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comments4.xml" ContentType="application/vnd.openxmlformats-officedocument.spreadsheetml.comments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omments5.xml" ContentType="application/vnd.openxmlformats-officedocument.spreadsheetml.comments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Grupo Duo\2025.03 Mosaico\04. Custo\04.3 Custo - Executivo\03 - Entregável\"/>
    </mc:Choice>
  </mc:AlternateContent>
  <xr:revisionPtr revIDLastSave="0" documentId="13_ncr:1_{F4FDDCB0-A615-493A-A7F0-1EEB74655B01}" xr6:coauthVersionLast="47" xr6:coauthVersionMax="47" xr10:uidLastSave="{00000000-0000-0000-0000-000000000000}"/>
  <bookViews>
    <workbookView xWindow="-120" yWindow="-120" windowWidth="38640" windowHeight="15720" tabRatio="881" xr2:uid="{00000000-000D-0000-FFFF-FFFF00000000}"/>
  </bookViews>
  <sheets>
    <sheet name="Obra " sheetId="1" r:id="rId1"/>
    <sheet name="EPCs" sheetId="2" r:id="rId2"/>
    <sheet name="CANTEIRO" sheetId="3" r:id="rId3"/>
    <sheet name="Ensaios " sheetId="4" r:id="rId4"/>
    <sheet name="Ger_Tec e Adm" sheetId="5" r:id="rId5"/>
    <sheet name="Ger_Executivo" sheetId="6" r:id="rId6"/>
    <sheet name="CPU" sheetId="7" r:id="rId7"/>
    <sheet name="Estacas" sheetId="10" r:id="rId8"/>
    <sheet name="Fundação Rasa" sheetId="11" r:id="rId9"/>
    <sheet name="Aço_Infraestrutura" sheetId="12" r:id="rId10"/>
    <sheet name="Supraestrutura" sheetId="13" r:id="rId11"/>
    <sheet name="Arquitetura" sheetId="14" r:id="rId12"/>
    <sheet name="Esq" sheetId="15" state="hidden" r:id="rId13"/>
    <sheet name="INSTALAÇÕES - RESUMO" sheetId="16" state="hidden" r:id="rId14"/>
    <sheet name="TELEFONECFTV" sheetId="17" r:id="rId15"/>
    <sheet name="TELEFONE - PREÇO" sheetId="18" state="hidden" r:id="rId16"/>
    <sheet name="PISCINA" sheetId="19" r:id="rId17"/>
    <sheet name="INTERFONIA" sheetId="20" r:id="rId18"/>
    <sheet name="PORTÕES" sheetId="21" r:id="rId19"/>
    <sheet name="PCISPDAGÁS" sheetId="22" r:id="rId20"/>
    <sheet name="PCISPDAGÁS - PREÇO" sheetId="23" state="hidden" r:id="rId21"/>
    <sheet name="HIDRO" sheetId="24" r:id="rId22"/>
    <sheet name="HIDRO - PREÇO" sheetId="25" state="hidden" r:id="rId23"/>
    <sheet name="ELETRICA" sheetId="26" r:id="rId24"/>
    <sheet name="ELETRICA - PREÇO" sheetId="27" state="hidden" r:id="rId25"/>
    <sheet name="CLIMATIZAÇÃO" sheetId="28" r:id="rId26"/>
    <sheet name="MOBILIÁRIO" sheetId="29" r:id="rId27"/>
    <sheet name="LOUÇAS E METAIS" sheetId="30" r:id="rId28"/>
  </sheets>
  <definedNames>
    <definedName name="_" localSheetId="3">#REF!</definedName>
    <definedName name="_" localSheetId="13">#REF!</definedName>
    <definedName name="_" localSheetId="26">#REF!</definedName>
    <definedName name="_" localSheetId="0">#REF!</definedName>
    <definedName name="_">#REF!</definedName>
    <definedName name="__" localSheetId="13">#REF!</definedName>
    <definedName name="__" localSheetId="0">#REF!</definedName>
    <definedName name="__">#REF!</definedName>
    <definedName name="___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3">#REF!</definedName>
    <definedName name="______ACR10" localSheetId="5">#REF!</definedName>
    <definedName name="______ACR10" localSheetId="13">#REF!</definedName>
    <definedName name="______ACR10" localSheetId="26">#REF!</definedName>
    <definedName name="______ACR10">#REF!</definedName>
    <definedName name="______ACR15" localSheetId="3">#REF!</definedName>
    <definedName name="______ACR15" localSheetId="5">#REF!</definedName>
    <definedName name="______ACR15" localSheetId="13">#REF!</definedName>
    <definedName name="______ACR15" localSheetId="26">#REF!</definedName>
    <definedName name="______ACR15">#REF!</definedName>
    <definedName name="______acr20" localSheetId="3">#REF!</definedName>
    <definedName name="______acr20" localSheetId="5">#REF!</definedName>
    <definedName name="______acr20" localSheetId="13">#REF!</definedName>
    <definedName name="______acr20" localSheetId="26">#REF!</definedName>
    <definedName name="______acr20">#REF!</definedName>
    <definedName name="______acr5" localSheetId="3">#REF!</definedName>
    <definedName name="______acr5" localSheetId="5">#REF!</definedName>
    <definedName name="______acr5" localSheetId="13">#REF!</definedName>
    <definedName name="______acr5" localSheetId="26">#REF!</definedName>
    <definedName name="______acr5">#REF!</definedName>
    <definedName name="______ARQ1" localSheetId="3">#REF!</definedName>
    <definedName name="______ARQ1" localSheetId="5">#REF!</definedName>
    <definedName name="______ARQ1" localSheetId="13">#REF!</definedName>
    <definedName name="______ARQ1" localSheetId="26">#REF!</definedName>
    <definedName name="______ARQ1">#REF!</definedName>
    <definedName name="______QT100" localSheetId="3">#REF!</definedName>
    <definedName name="______QT100" localSheetId="5">#REF!</definedName>
    <definedName name="______QT100" localSheetId="13">#REF!</definedName>
    <definedName name="______QT100" localSheetId="26">#REF!</definedName>
    <definedName name="______QT100">#REF!</definedName>
    <definedName name="______QT2" localSheetId="3">#REF!</definedName>
    <definedName name="______QT2" localSheetId="5">#REF!</definedName>
    <definedName name="______QT2" localSheetId="13">#REF!</definedName>
    <definedName name="______QT2" localSheetId="26">#REF!</definedName>
    <definedName name="______QT2">#REF!</definedName>
    <definedName name="______QT3" localSheetId="3">#REF!</definedName>
    <definedName name="______QT3" localSheetId="5">#REF!</definedName>
    <definedName name="______QT3" localSheetId="13">#REF!</definedName>
    <definedName name="______QT3" localSheetId="26">#REF!</definedName>
    <definedName name="______QT3">#REF!</definedName>
    <definedName name="______QT4" localSheetId="3">#REF!</definedName>
    <definedName name="______QT4" localSheetId="5">#REF!</definedName>
    <definedName name="______QT4" localSheetId="13">#REF!</definedName>
    <definedName name="______QT4" localSheetId="26">#REF!</definedName>
    <definedName name="______QT4">#REF!</definedName>
    <definedName name="______QT50" localSheetId="3">#REF!</definedName>
    <definedName name="______QT50" localSheetId="5">#REF!</definedName>
    <definedName name="______QT50" localSheetId="13">#REF!</definedName>
    <definedName name="______QT50" localSheetId="26">#REF!</definedName>
    <definedName name="______QT50">#REF!</definedName>
    <definedName name="______QT75" localSheetId="3">#REF!</definedName>
    <definedName name="______QT75" localSheetId="5">#REF!</definedName>
    <definedName name="______QT75" localSheetId="13">#REF!</definedName>
    <definedName name="______QT75" localSheetId="26">#REF!</definedName>
    <definedName name="______QT75">#REF!</definedName>
    <definedName name="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3">#REF!</definedName>
    <definedName name="_____ACR10" localSheetId="5">#REF!</definedName>
    <definedName name="_____ACR10" localSheetId="13">#REF!</definedName>
    <definedName name="_____ACR10" localSheetId="26">#REF!</definedName>
    <definedName name="_____ACR10">#REF!</definedName>
    <definedName name="_____ACR15" localSheetId="3">#REF!</definedName>
    <definedName name="_____ACR15" localSheetId="5">#REF!</definedName>
    <definedName name="_____ACR15" localSheetId="13">#REF!</definedName>
    <definedName name="_____ACR15" localSheetId="26">#REF!</definedName>
    <definedName name="_____ACR15">#REF!</definedName>
    <definedName name="_____acr20" localSheetId="3">#REF!</definedName>
    <definedName name="_____acr20" localSheetId="5">#REF!</definedName>
    <definedName name="_____acr20" localSheetId="13">#REF!</definedName>
    <definedName name="_____acr20" localSheetId="26">#REF!</definedName>
    <definedName name="_____acr20">#REF!</definedName>
    <definedName name="_____acr5" localSheetId="3">#REF!</definedName>
    <definedName name="_____acr5" localSheetId="5">#REF!</definedName>
    <definedName name="_____acr5" localSheetId="13">#REF!</definedName>
    <definedName name="_____acr5" localSheetId="26">#REF!</definedName>
    <definedName name="_____acr5">#REF!</definedName>
    <definedName name="_____ARQ1" localSheetId="3">#REF!</definedName>
    <definedName name="_____ARQ1" localSheetId="5">#REF!</definedName>
    <definedName name="_____ARQ1" localSheetId="13">#REF!</definedName>
    <definedName name="_____ARQ1" localSheetId="26">#REF!</definedName>
    <definedName name="_____ARQ1">#REF!</definedName>
    <definedName name="_____key2" localSheetId="3">#REF!</definedName>
    <definedName name="_____key2" localSheetId="13">#REF!</definedName>
    <definedName name="_____key2" localSheetId="0">#REF!</definedName>
    <definedName name="_____key2">#REF!</definedName>
    <definedName name="_____QT100" localSheetId="3">#REF!</definedName>
    <definedName name="_____QT100" localSheetId="5">#REF!</definedName>
    <definedName name="_____QT100" localSheetId="13">#REF!</definedName>
    <definedName name="_____QT100" localSheetId="26">#REF!</definedName>
    <definedName name="_____QT100">#REF!</definedName>
    <definedName name="_____QT2" localSheetId="3">#REF!</definedName>
    <definedName name="_____QT2" localSheetId="5">#REF!</definedName>
    <definedName name="_____QT2" localSheetId="13">#REF!</definedName>
    <definedName name="_____QT2" localSheetId="26">#REF!</definedName>
    <definedName name="_____QT2">#REF!</definedName>
    <definedName name="_____QT3" localSheetId="3">#REF!</definedName>
    <definedName name="_____QT3" localSheetId="5">#REF!</definedName>
    <definedName name="_____QT3" localSheetId="13">#REF!</definedName>
    <definedName name="_____QT3" localSheetId="26">#REF!</definedName>
    <definedName name="_____QT3">#REF!</definedName>
    <definedName name="_____QT4" localSheetId="3">#REF!</definedName>
    <definedName name="_____QT4" localSheetId="5">#REF!</definedName>
    <definedName name="_____QT4" localSheetId="13">#REF!</definedName>
    <definedName name="_____QT4" localSheetId="26">#REF!</definedName>
    <definedName name="_____QT4">#REF!</definedName>
    <definedName name="_____QT50" localSheetId="3">#REF!</definedName>
    <definedName name="_____QT50" localSheetId="5">#REF!</definedName>
    <definedName name="_____QT50" localSheetId="13">#REF!</definedName>
    <definedName name="_____QT50" localSheetId="26">#REF!</definedName>
    <definedName name="_____QT50">#REF!</definedName>
    <definedName name="_____QT75" localSheetId="3">#REF!</definedName>
    <definedName name="_____QT75" localSheetId="5">#REF!</definedName>
    <definedName name="_____QT75" localSheetId="13">#REF!</definedName>
    <definedName name="_____QT75" localSheetId="26">#REF!</definedName>
    <definedName name="_____QT75">#REF!</definedName>
    <definedName name="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3">#REF!</definedName>
    <definedName name="____key2" localSheetId="5">#REF!</definedName>
    <definedName name="____key2" localSheetId="13">#REF!</definedName>
    <definedName name="____key2" localSheetId="26">#REF!</definedName>
    <definedName name="____key2" localSheetId="0">#REF!</definedName>
    <definedName name="____key2">#REF!</definedName>
    <definedName name="____la29" localSheetId="13">#REF!</definedName>
    <definedName name="____la29" localSheetId="0">#REF!</definedName>
    <definedName name="____la29">#REF!</definedName>
    <definedName name="____la3" localSheetId="13">#REF!</definedName>
    <definedName name="____la3" localSheetId="0">#REF!</definedName>
    <definedName name="____la3">#REF!</definedName>
    <definedName name="____la31" localSheetId="13">#REF!</definedName>
    <definedName name="____la31">#REF!</definedName>
    <definedName name="____la32" localSheetId="13">#REF!</definedName>
    <definedName name="____la32">#REF!</definedName>
    <definedName name="____la4" localSheetId="13">#REF!</definedName>
    <definedName name="____la4">#REF!</definedName>
    <definedName name="____la5" localSheetId="13">#REF!</definedName>
    <definedName name="____la5">#REF!</definedName>
    <definedName name="____la6" localSheetId="13">#REF!</definedName>
    <definedName name="____la6">#REF!</definedName>
    <definedName name="____la7" localSheetId="13">#REF!</definedName>
    <definedName name="____la7">#REF!</definedName>
    <definedName name="____la8" localSheetId="13">#REF!</definedName>
    <definedName name="____la8">#REF!</definedName>
    <definedName name="____la9" localSheetId="13">#REF!</definedName>
    <definedName name="____la9">#REF!</definedName>
    <definedName name="____lb1" localSheetId="13">#REF!</definedName>
    <definedName name="____lb1">#REF!</definedName>
    <definedName name="____lb10" localSheetId="13">#REF!</definedName>
    <definedName name="____lb10">#REF!</definedName>
    <definedName name="____lb11" localSheetId="13">#REF!</definedName>
    <definedName name="____lb11">#REF!</definedName>
    <definedName name="____lb12" localSheetId="13">#REF!</definedName>
    <definedName name="____lb12">#REF!</definedName>
    <definedName name="____lb13" localSheetId="13">#REF!</definedName>
    <definedName name="____lb13">#REF!</definedName>
    <definedName name="____lb14" localSheetId="13">#REF!</definedName>
    <definedName name="____lb14">#REF!</definedName>
    <definedName name="____lb15" localSheetId="13">#REF!</definedName>
    <definedName name="____lb15">#REF!</definedName>
    <definedName name="____lb16" localSheetId="13">#REF!</definedName>
    <definedName name="____lb16">#REF!</definedName>
    <definedName name="____lb17" localSheetId="13">#REF!</definedName>
    <definedName name="____lb17">#REF!</definedName>
    <definedName name="____lb18" localSheetId="13">#REF!</definedName>
    <definedName name="____lb18">#REF!</definedName>
    <definedName name="____lb19" localSheetId="13">#REF!</definedName>
    <definedName name="____lb19">#REF!</definedName>
    <definedName name="____lb2" localSheetId="13">#REF!</definedName>
    <definedName name="____lb2">#REF!</definedName>
    <definedName name="____lb20" localSheetId="13">#REF!</definedName>
    <definedName name="____lb20">#REF!</definedName>
    <definedName name="____lb21" localSheetId="13">#REF!</definedName>
    <definedName name="____lb21">#REF!</definedName>
    <definedName name="____lb22" localSheetId="13">#REF!</definedName>
    <definedName name="____lb22">#REF!</definedName>
    <definedName name="____lb23" localSheetId="13">#REF!</definedName>
    <definedName name="____lb23">#REF!</definedName>
    <definedName name="____lb24" localSheetId="13">#REF!</definedName>
    <definedName name="____lb24">#REF!</definedName>
    <definedName name="____lb25" localSheetId="13">#REF!</definedName>
    <definedName name="____lb25">#REF!</definedName>
    <definedName name="____lb27" localSheetId="13">#REF!</definedName>
    <definedName name="____lb27">#REF!</definedName>
    <definedName name="____lb28" localSheetId="13">#REF!</definedName>
    <definedName name="____lb28">#REF!</definedName>
    <definedName name="____lb29" localSheetId="13">#REF!</definedName>
    <definedName name="____lb29">#REF!</definedName>
    <definedName name="____lb3" localSheetId="13">#REF!</definedName>
    <definedName name="____lb3">#REF!</definedName>
    <definedName name="____lb30" localSheetId="13">#REF!</definedName>
    <definedName name="____lb30">#REF!</definedName>
    <definedName name="____lb31" localSheetId="13">#REF!</definedName>
    <definedName name="____lb31">#REF!</definedName>
    <definedName name="____lb32" localSheetId="13">#REF!</definedName>
    <definedName name="____lb32">#REF!</definedName>
    <definedName name="____lb4" localSheetId="13">#REF!</definedName>
    <definedName name="____lb4">#REF!</definedName>
    <definedName name="____lb5" localSheetId="13">#REF!</definedName>
    <definedName name="____lb5">#REF!</definedName>
    <definedName name="____lb6" localSheetId="13">#REF!</definedName>
    <definedName name="____lb6">#REF!</definedName>
    <definedName name="____lb7" localSheetId="13">#REF!</definedName>
    <definedName name="____lb7">#REF!</definedName>
    <definedName name="____lb8" localSheetId="13">#REF!</definedName>
    <definedName name="____lb8">#REF!</definedName>
    <definedName name="____lb9" localSheetId="13">#REF!</definedName>
    <definedName name="____lb9">#REF!</definedName>
    <definedName name="____lbc1" localSheetId="13">#REF!</definedName>
    <definedName name="____lbc1">#REF!</definedName>
    <definedName name="____lbc10" localSheetId="13">#REF!</definedName>
    <definedName name="____lbc10">#REF!</definedName>
    <definedName name="____lbc11" localSheetId="13">#REF!</definedName>
    <definedName name="____lbc11">#REF!</definedName>
    <definedName name="____lbc12" localSheetId="13">#REF!</definedName>
    <definedName name="____lbc12">#REF!</definedName>
    <definedName name="____lbc13" localSheetId="13">#REF!</definedName>
    <definedName name="____lbc13">#REF!</definedName>
    <definedName name="____lbc14" localSheetId="13">#REF!</definedName>
    <definedName name="____lbc14">#REF!</definedName>
    <definedName name="____lbc15" localSheetId="13">#REF!</definedName>
    <definedName name="____lbc15">#REF!</definedName>
    <definedName name="____lbc16" localSheetId="13">#REF!</definedName>
    <definedName name="____lbc16">#REF!</definedName>
    <definedName name="____lbc17" localSheetId="13">#REF!</definedName>
    <definedName name="____lbc17">#REF!</definedName>
    <definedName name="____lbc18" localSheetId="13">#REF!</definedName>
    <definedName name="____lbc18">#REF!</definedName>
    <definedName name="____lbc19" localSheetId="13">#REF!</definedName>
    <definedName name="____lbc19">#REF!</definedName>
    <definedName name="____lbc2" localSheetId="13">#REF!</definedName>
    <definedName name="____lbc2">#REF!</definedName>
    <definedName name="____lbc20" localSheetId="13">#REF!</definedName>
    <definedName name="____lbc20">#REF!</definedName>
    <definedName name="____lbc21" localSheetId="13">#REF!</definedName>
    <definedName name="____lbc21">#REF!</definedName>
    <definedName name="____lbc22" localSheetId="13">#REF!</definedName>
    <definedName name="____lbc22">#REF!</definedName>
    <definedName name="____lbc23" localSheetId="13">#REF!</definedName>
    <definedName name="____lbc23">#REF!</definedName>
    <definedName name="____lbc24" localSheetId="13">#REF!</definedName>
    <definedName name="____lbc24">#REF!</definedName>
    <definedName name="____lbc25" localSheetId="13">#REF!</definedName>
    <definedName name="____lbc25">#REF!</definedName>
    <definedName name="____lbc26" localSheetId="13">#REF!</definedName>
    <definedName name="____lbc26">#REF!</definedName>
    <definedName name="____lbc27" localSheetId="13">#REF!</definedName>
    <definedName name="____lbc27">#REF!</definedName>
    <definedName name="____lbc28" localSheetId="13">#REF!</definedName>
    <definedName name="____lbc28">#REF!</definedName>
    <definedName name="____lbc29" localSheetId="13">#REF!</definedName>
    <definedName name="____lbc29">#REF!</definedName>
    <definedName name="____lbc3" localSheetId="13">#REF!</definedName>
    <definedName name="____lbc3">#REF!</definedName>
    <definedName name="____lbc31" localSheetId="13">#REF!</definedName>
    <definedName name="____lbc31">#REF!</definedName>
    <definedName name="____lbc32" localSheetId="13">#REF!</definedName>
    <definedName name="____lbc32">#REF!</definedName>
    <definedName name="____lbc4" localSheetId="13">#REF!</definedName>
    <definedName name="____lbc4">#REF!</definedName>
    <definedName name="____lbc5" localSheetId="13">#REF!</definedName>
    <definedName name="____lbc5">#REF!</definedName>
    <definedName name="____lbc6" localSheetId="13">#REF!</definedName>
    <definedName name="____lbc6">#REF!</definedName>
    <definedName name="____lbc7" localSheetId="13">#REF!</definedName>
    <definedName name="____lbc7">#REF!</definedName>
    <definedName name="____lbc8" localSheetId="13">#REF!</definedName>
    <definedName name="____lbc8">#REF!</definedName>
    <definedName name="____lbc9" localSheetId="13">#REF!</definedName>
    <definedName name="____lbc9">#REF!</definedName>
    <definedName name="____ld26" localSheetId="13">#REF!</definedName>
    <definedName name="____ld26">#REF!</definedName>
    <definedName name="____ld31" localSheetId="13">#REF!</definedName>
    <definedName name="____ld31">#REF!</definedName>
    <definedName name="____le31" localSheetId="13">#REF!</definedName>
    <definedName name="____le31">#REF!</definedName>
    <definedName name="____lf31" localSheetId="13">#REF!</definedName>
    <definedName name="____lf31">#REF!</definedName>
    <definedName name="____PK2" localSheetId="9">{"'장비'!$A$3:$M$12"}</definedName>
    <definedName name="____PK2" localSheetId="6">{"'장비'!$A$3:$M$12"}</definedName>
    <definedName name="____PK2" localSheetId="3">{"'장비'!$A$3:$M$12"}</definedName>
    <definedName name="____PK2" localSheetId="8">{"'장비'!$A$3:$M$12"}</definedName>
    <definedName name="____PK2" localSheetId="5">{"'장비'!$A$3:$M$12"}</definedName>
    <definedName name="____PK2" localSheetId="4">{"'장비'!$A$3:$M$12"}</definedName>
    <definedName name="____PK2" localSheetId="13">{"'장비'!$A$3:$M$12"}</definedName>
    <definedName name="____PK2" localSheetId="17">{"'장비'!$A$3:$M$12"}</definedName>
    <definedName name="____PK2" localSheetId="0">{"'장비'!$A$3:$M$12"}</definedName>
    <definedName name="____PK2" localSheetId="19">{"'장비'!$A$3:$M$12"}</definedName>
    <definedName name="____PK2" localSheetId="16">{"'장비'!$A$3:$M$12"}</definedName>
    <definedName name="____PK2" localSheetId="18">{"'장비'!$A$3:$M$12"}</definedName>
    <definedName name="____PK2" localSheetId="10">{"'장비'!$A$3:$M$12"}</definedName>
    <definedName name="____PK2">{"'장비'!$A$3:$M$12"}</definedName>
    <definedName name="____PKG3" localSheetId="9">{"'장비'!$A$3:$M$12"}</definedName>
    <definedName name="____PKG3" localSheetId="6">{"'장비'!$A$3:$M$12"}</definedName>
    <definedName name="____PKG3" localSheetId="3">{"'장비'!$A$3:$M$12"}</definedName>
    <definedName name="____PKG3" localSheetId="8">{"'장비'!$A$3:$M$12"}</definedName>
    <definedName name="____PKG3" localSheetId="5">{"'장비'!$A$3:$M$12"}</definedName>
    <definedName name="____PKG3" localSheetId="4">{"'장비'!$A$3:$M$12"}</definedName>
    <definedName name="____PKG3" localSheetId="13">{"'장비'!$A$3:$M$12"}</definedName>
    <definedName name="____PKG3" localSheetId="17">{"'장비'!$A$3:$M$12"}</definedName>
    <definedName name="____PKG3" localSheetId="0">{"'장비'!$A$3:$M$12"}</definedName>
    <definedName name="____PKG3" localSheetId="19">{"'장비'!$A$3:$M$12"}</definedName>
    <definedName name="____PKG3" localSheetId="16">{"'장비'!$A$3:$M$12"}</definedName>
    <definedName name="____PKG3" localSheetId="18">{"'장비'!$A$3:$M$12"}</definedName>
    <definedName name="____PKG3" localSheetId="10">{"'장비'!$A$3:$M$12"}</definedName>
    <definedName name="____PKG3">{"'장비'!$A$3:$M$12"}</definedName>
    <definedName name="____qqq222" localSheetId="9">{"'장비'!$A$3:$M$12"}</definedName>
    <definedName name="____qqq222" localSheetId="6">{"'장비'!$A$3:$M$12"}</definedName>
    <definedName name="____qqq222" localSheetId="3">{"'장비'!$A$3:$M$12"}</definedName>
    <definedName name="____qqq222" localSheetId="8">{"'장비'!$A$3:$M$12"}</definedName>
    <definedName name="____qqq222" localSheetId="5">{"'장비'!$A$3:$M$12"}</definedName>
    <definedName name="____qqq222" localSheetId="4">{"'장비'!$A$3:$M$12"}</definedName>
    <definedName name="____qqq222" localSheetId="13">{"'장비'!$A$3:$M$12"}</definedName>
    <definedName name="____qqq222" localSheetId="17">{"'장비'!$A$3:$M$12"}</definedName>
    <definedName name="____qqq222" localSheetId="0">{"'장비'!$A$3:$M$12"}</definedName>
    <definedName name="____qqq222" localSheetId="19">{"'장비'!$A$3:$M$12"}</definedName>
    <definedName name="____qqq222" localSheetId="16">{"'장비'!$A$3:$M$12"}</definedName>
    <definedName name="____qqq222" localSheetId="18">{"'장비'!$A$3:$M$12"}</definedName>
    <definedName name="____qqq222" localSheetId="10">{"'장비'!$A$3:$M$12"}</definedName>
    <definedName name="____qqq222">{"'장비'!$A$3:$M$12"}</definedName>
    <definedName name="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3">#REF!</definedName>
    <definedName name="____x10" localSheetId="8">#REF!</definedName>
    <definedName name="____x10" localSheetId="13">#REF!</definedName>
    <definedName name="____x10">#REF!</definedName>
    <definedName name="____x11" localSheetId="3">#REF!</definedName>
    <definedName name="____x11" localSheetId="8">#REF!</definedName>
    <definedName name="____x11" localSheetId="13">#REF!</definedName>
    <definedName name="____x11">#REF!</definedName>
    <definedName name="____x12" localSheetId="3">#REF!</definedName>
    <definedName name="____x12" localSheetId="8">#REF!</definedName>
    <definedName name="____x12" localSheetId="13">#REF!</definedName>
    <definedName name="____x12">#REF!</definedName>
    <definedName name="____x13" localSheetId="13">#REF!</definedName>
    <definedName name="____x13">#REF!</definedName>
    <definedName name="____x14" localSheetId="13">#REF!</definedName>
    <definedName name="____x14">#REF!</definedName>
    <definedName name="____x15" localSheetId="13">#REF!</definedName>
    <definedName name="____x15">#REF!</definedName>
    <definedName name="____x16" localSheetId="13">#REF!</definedName>
    <definedName name="____x16">#REF!</definedName>
    <definedName name="____x17" localSheetId="13">#REF!</definedName>
    <definedName name="____x17">#REF!</definedName>
    <definedName name="____x18" localSheetId="13">#REF!</definedName>
    <definedName name="____x18">#REF!</definedName>
    <definedName name="____x19" localSheetId="13">#REF!</definedName>
    <definedName name="____x19">#REF!</definedName>
    <definedName name="____x20" localSheetId="13">#REF!</definedName>
    <definedName name="____x20">#REF!</definedName>
    <definedName name="____x21" localSheetId="13">#REF!</definedName>
    <definedName name="____x21">#REF!</definedName>
    <definedName name="____x22" localSheetId="13">#REF!</definedName>
    <definedName name="____x22">#REF!</definedName>
    <definedName name="____x23" localSheetId="13">#REF!</definedName>
    <definedName name="____x23">#REF!</definedName>
    <definedName name="____x24" localSheetId="13">#REF!</definedName>
    <definedName name="____x24">#REF!</definedName>
    <definedName name="____x25" localSheetId="13">#REF!</definedName>
    <definedName name="____x25">#REF!</definedName>
    <definedName name="____x28" localSheetId="13">#REF!</definedName>
    <definedName name="____x28">#REF!</definedName>
    <definedName name="____x29" localSheetId="13">#REF!</definedName>
    <definedName name="____x29">#REF!</definedName>
    <definedName name="____x32" localSheetId="13">#REF!</definedName>
    <definedName name="____x32">#REF!</definedName>
    <definedName name="____x4" localSheetId="13">#REF!</definedName>
    <definedName name="____x4">#REF!</definedName>
    <definedName name="____x5" localSheetId="13">#REF!</definedName>
    <definedName name="____x5">#REF!</definedName>
    <definedName name="____x6" localSheetId="13">#REF!</definedName>
    <definedName name="____x6">#REF!</definedName>
    <definedName name="____x7" localSheetId="13">#REF!</definedName>
    <definedName name="____x7">#REF!</definedName>
    <definedName name="____x8" localSheetId="13">#REF!</definedName>
    <definedName name="____x8">#REF!</definedName>
    <definedName name="____x9" localSheetId="13">#REF!</definedName>
    <definedName name="____x9">#REF!</definedName>
    <definedName name="___ACR10" localSheetId="3">#REF!</definedName>
    <definedName name="___ACR10" localSheetId="5">#REF!</definedName>
    <definedName name="___ACR10" localSheetId="13">#REF!</definedName>
    <definedName name="___ACR10" localSheetId="26">#REF!</definedName>
    <definedName name="___ACR10">#REF!</definedName>
    <definedName name="___ACR15" localSheetId="3">#REF!</definedName>
    <definedName name="___ACR15" localSheetId="5">#REF!</definedName>
    <definedName name="___ACR15" localSheetId="13">#REF!</definedName>
    <definedName name="___ACR15" localSheetId="26">#REF!</definedName>
    <definedName name="___ACR15">#REF!</definedName>
    <definedName name="___acr20" localSheetId="3">#REF!</definedName>
    <definedName name="___acr20" localSheetId="5">#REF!</definedName>
    <definedName name="___acr20" localSheetId="13">#REF!</definedName>
    <definedName name="___acr20" localSheetId="26">#REF!</definedName>
    <definedName name="___acr20">#REF!</definedName>
    <definedName name="___acr5" localSheetId="3">#REF!</definedName>
    <definedName name="___acr5" localSheetId="5">#REF!</definedName>
    <definedName name="___acr5" localSheetId="13">#REF!</definedName>
    <definedName name="___acr5" localSheetId="26">#REF!</definedName>
    <definedName name="___acr5">#REF!</definedName>
    <definedName name="___ARQ1" localSheetId="3">#REF!</definedName>
    <definedName name="___ARQ1" localSheetId="5">#REF!</definedName>
    <definedName name="___ARQ1" localSheetId="13">#REF!</definedName>
    <definedName name="___ARQ1" localSheetId="26">#REF!</definedName>
    <definedName name="___ARQ1">#REF!</definedName>
    <definedName name="__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3">#REF!</definedName>
    <definedName name="___key2" localSheetId="5">#REF!</definedName>
    <definedName name="___key2" localSheetId="13">#REF!</definedName>
    <definedName name="___key2" localSheetId="26">#REF!</definedName>
    <definedName name="___key2" localSheetId="0">#REF!</definedName>
    <definedName name="___key2">#REF!</definedName>
    <definedName name="___la29" localSheetId="13">#REF!</definedName>
    <definedName name="___la29" localSheetId="0">#REF!</definedName>
    <definedName name="___la29">#REF!</definedName>
    <definedName name="___la3" localSheetId="13">#REF!</definedName>
    <definedName name="___la3" localSheetId="0">#REF!</definedName>
    <definedName name="___la3">#REF!</definedName>
    <definedName name="___la31" localSheetId="13">#REF!</definedName>
    <definedName name="___la31">#REF!</definedName>
    <definedName name="___la32" localSheetId="13">#REF!</definedName>
    <definedName name="___la32">#REF!</definedName>
    <definedName name="___la4" localSheetId="13">#REF!</definedName>
    <definedName name="___la4">#REF!</definedName>
    <definedName name="___la5" localSheetId="13">#REF!</definedName>
    <definedName name="___la5">#REF!</definedName>
    <definedName name="___la6" localSheetId="13">#REF!</definedName>
    <definedName name="___la6">#REF!</definedName>
    <definedName name="___la7" localSheetId="13">#REF!</definedName>
    <definedName name="___la7">#REF!</definedName>
    <definedName name="___la8" localSheetId="13">#REF!</definedName>
    <definedName name="___la8">#REF!</definedName>
    <definedName name="___la9" localSheetId="13">#REF!</definedName>
    <definedName name="___la9">#REF!</definedName>
    <definedName name="___lb1" localSheetId="13">#REF!</definedName>
    <definedName name="___lb1">#REF!</definedName>
    <definedName name="___lb10" localSheetId="13">#REF!</definedName>
    <definedName name="___lb10">#REF!</definedName>
    <definedName name="___lb11" localSheetId="13">#REF!</definedName>
    <definedName name="___lb11">#REF!</definedName>
    <definedName name="___lb12" localSheetId="13">#REF!</definedName>
    <definedName name="___lb12">#REF!</definedName>
    <definedName name="___lb13" localSheetId="13">#REF!</definedName>
    <definedName name="___lb13">#REF!</definedName>
    <definedName name="___lb14" localSheetId="13">#REF!</definedName>
    <definedName name="___lb14">#REF!</definedName>
    <definedName name="___lb15" localSheetId="13">#REF!</definedName>
    <definedName name="___lb15">#REF!</definedName>
    <definedName name="___lb16" localSheetId="13">#REF!</definedName>
    <definedName name="___lb16">#REF!</definedName>
    <definedName name="___lb17" localSheetId="13">#REF!</definedName>
    <definedName name="___lb17">#REF!</definedName>
    <definedName name="___lb18" localSheetId="13">#REF!</definedName>
    <definedName name="___lb18">#REF!</definedName>
    <definedName name="___lb19" localSheetId="13">#REF!</definedName>
    <definedName name="___lb19">#REF!</definedName>
    <definedName name="___lb2" localSheetId="13">#REF!</definedName>
    <definedName name="___lb2">#REF!</definedName>
    <definedName name="___lb20" localSheetId="13">#REF!</definedName>
    <definedName name="___lb20">#REF!</definedName>
    <definedName name="___lb21" localSheetId="13">#REF!</definedName>
    <definedName name="___lb21">#REF!</definedName>
    <definedName name="___lb22" localSheetId="13">#REF!</definedName>
    <definedName name="___lb22">#REF!</definedName>
    <definedName name="___lb23" localSheetId="13">#REF!</definedName>
    <definedName name="___lb23">#REF!</definedName>
    <definedName name="___lb24" localSheetId="13">#REF!</definedName>
    <definedName name="___lb24">#REF!</definedName>
    <definedName name="___lb25" localSheetId="13">#REF!</definedName>
    <definedName name="___lb25">#REF!</definedName>
    <definedName name="___lb27" localSheetId="13">#REF!</definedName>
    <definedName name="___lb27">#REF!</definedName>
    <definedName name="___lb28" localSheetId="13">#REF!</definedName>
    <definedName name="___lb28">#REF!</definedName>
    <definedName name="___lb29" localSheetId="13">#REF!</definedName>
    <definedName name="___lb29">#REF!</definedName>
    <definedName name="___lb3" localSheetId="13">#REF!</definedName>
    <definedName name="___lb3">#REF!</definedName>
    <definedName name="___lb30" localSheetId="13">#REF!</definedName>
    <definedName name="___lb30">#REF!</definedName>
    <definedName name="___lb31" localSheetId="13">#REF!</definedName>
    <definedName name="___lb31">#REF!</definedName>
    <definedName name="___lb32" localSheetId="13">#REF!</definedName>
    <definedName name="___lb32">#REF!</definedName>
    <definedName name="___lb4" localSheetId="13">#REF!</definedName>
    <definedName name="___lb4">#REF!</definedName>
    <definedName name="___lb5" localSheetId="13">#REF!</definedName>
    <definedName name="___lb5">#REF!</definedName>
    <definedName name="___lb6" localSheetId="13">#REF!</definedName>
    <definedName name="___lb6">#REF!</definedName>
    <definedName name="___lb7" localSheetId="13">#REF!</definedName>
    <definedName name="___lb7">#REF!</definedName>
    <definedName name="___lb8" localSheetId="13">#REF!</definedName>
    <definedName name="___lb8">#REF!</definedName>
    <definedName name="___lb9" localSheetId="13">#REF!</definedName>
    <definedName name="___lb9">#REF!</definedName>
    <definedName name="___lbc1" localSheetId="13">#REF!</definedName>
    <definedName name="___lbc1">#REF!</definedName>
    <definedName name="___lbc10" localSheetId="13">#REF!</definedName>
    <definedName name="___lbc10">#REF!</definedName>
    <definedName name="___lbc11" localSheetId="13">#REF!</definedName>
    <definedName name="___lbc11">#REF!</definedName>
    <definedName name="___lbc12" localSheetId="13">#REF!</definedName>
    <definedName name="___lbc12">#REF!</definedName>
    <definedName name="___lbc13" localSheetId="13">#REF!</definedName>
    <definedName name="___lbc13">#REF!</definedName>
    <definedName name="___lbc14" localSheetId="13">#REF!</definedName>
    <definedName name="___lbc14">#REF!</definedName>
    <definedName name="___lbc15" localSheetId="13">#REF!</definedName>
    <definedName name="___lbc15">#REF!</definedName>
    <definedName name="___lbc16" localSheetId="13">#REF!</definedName>
    <definedName name="___lbc16">#REF!</definedName>
    <definedName name="___lbc17" localSheetId="13">#REF!</definedName>
    <definedName name="___lbc17">#REF!</definedName>
    <definedName name="___lbc18" localSheetId="13">#REF!</definedName>
    <definedName name="___lbc18">#REF!</definedName>
    <definedName name="___lbc19" localSheetId="13">#REF!</definedName>
    <definedName name="___lbc19">#REF!</definedName>
    <definedName name="___lbc2" localSheetId="13">#REF!</definedName>
    <definedName name="___lbc2">#REF!</definedName>
    <definedName name="___lbc20" localSheetId="13">#REF!</definedName>
    <definedName name="___lbc20">#REF!</definedName>
    <definedName name="___lbc21" localSheetId="13">#REF!</definedName>
    <definedName name="___lbc21">#REF!</definedName>
    <definedName name="___lbc22" localSheetId="13">#REF!</definedName>
    <definedName name="___lbc22">#REF!</definedName>
    <definedName name="___lbc23" localSheetId="13">#REF!</definedName>
    <definedName name="___lbc23">#REF!</definedName>
    <definedName name="___lbc24" localSheetId="13">#REF!</definedName>
    <definedName name="___lbc24">#REF!</definedName>
    <definedName name="___lbc25" localSheetId="13">#REF!</definedName>
    <definedName name="___lbc25">#REF!</definedName>
    <definedName name="___lbc26" localSheetId="13">#REF!</definedName>
    <definedName name="___lbc26">#REF!</definedName>
    <definedName name="___lbc27" localSheetId="13">#REF!</definedName>
    <definedName name="___lbc27">#REF!</definedName>
    <definedName name="___lbc28" localSheetId="13">#REF!</definedName>
    <definedName name="___lbc28">#REF!</definedName>
    <definedName name="___lbc29" localSheetId="13">#REF!</definedName>
    <definedName name="___lbc29">#REF!</definedName>
    <definedName name="___lbc3" localSheetId="13">#REF!</definedName>
    <definedName name="___lbc3">#REF!</definedName>
    <definedName name="___lbc31" localSheetId="13">#REF!</definedName>
    <definedName name="___lbc31">#REF!</definedName>
    <definedName name="___lbc32" localSheetId="13">#REF!</definedName>
    <definedName name="___lbc32">#REF!</definedName>
    <definedName name="___lbc4" localSheetId="13">#REF!</definedName>
    <definedName name="___lbc4">#REF!</definedName>
    <definedName name="___lbc5" localSheetId="13">#REF!</definedName>
    <definedName name="___lbc5">#REF!</definedName>
    <definedName name="___lbc6" localSheetId="13">#REF!</definedName>
    <definedName name="___lbc6">#REF!</definedName>
    <definedName name="___lbc7" localSheetId="13">#REF!</definedName>
    <definedName name="___lbc7">#REF!</definedName>
    <definedName name="___lbc8" localSheetId="13">#REF!</definedName>
    <definedName name="___lbc8">#REF!</definedName>
    <definedName name="___lbc9" localSheetId="13">#REF!</definedName>
    <definedName name="___lbc9">#REF!</definedName>
    <definedName name="___ld26" localSheetId="13">#REF!</definedName>
    <definedName name="___ld26">#REF!</definedName>
    <definedName name="___ld31" localSheetId="13">#REF!</definedName>
    <definedName name="___ld31">#REF!</definedName>
    <definedName name="___le31" localSheetId="13">#REF!</definedName>
    <definedName name="___le31">#REF!</definedName>
    <definedName name="___lf31" localSheetId="13">#REF!</definedName>
    <definedName name="___lf31">#REF!</definedName>
    <definedName name="___PK2" localSheetId="9">{"'장비'!$A$3:$M$12"}</definedName>
    <definedName name="___PK2" localSheetId="6">{"'장비'!$A$3:$M$12"}</definedName>
    <definedName name="___PK2" localSheetId="3">{"'장비'!$A$3:$M$12"}</definedName>
    <definedName name="___PK2" localSheetId="8">{"'장비'!$A$3:$M$12"}</definedName>
    <definedName name="___PK2" localSheetId="5">{"'장비'!$A$3:$M$12"}</definedName>
    <definedName name="___PK2" localSheetId="4">{"'장비'!$A$3:$M$12"}</definedName>
    <definedName name="___PK2" localSheetId="13">{"'장비'!$A$3:$M$12"}</definedName>
    <definedName name="___PK2" localSheetId="17">{"'장비'!$A$3:$M$12"}</definedName>
    <definedName name="___PK2" localSheetId="0">{"'장비'!$A$3:$M$12"}</definedName>
    <definedName name="___PK2" localSheetId="19">{"'장비'!$A$3:$M$12"}</definedName>
    <definedName name="___PK2" localSheetId="16">{"'장비'!$A$3:$M$12"}</definedName>
    <definedName name="___PK2" localSheetId="18">{"'장비'!$A$3:$M$12"}</definedName>
    <definedName name="___PK2" localSheetId="10">{"'장비'!$A$3:$M$12"}</definedName>
    <definedName name="___PK2">{"'장비'!$A$3:$M$12"}</definedName>
    <definedName name="___PKG3" localSheetId="9">{"'장비'!$A$3:$M$12"}</definedName>
    <definedName name="___PKG3" localSheetId="6">{"'장비'!$A$3:$M$12"}</definedName>
    <definedName name="___PKG3" localSheetId="3">{"'장비'!$A$3:$M$12"}</definedName>
    <definedName name="___PKG3" localSheetId="8">{"'장비'!$A$3:$M$12"}</definedName>
    <definedName name="___PKG3" localSheetId="5">{"'장비'!$A$3:$M$12"}</definedName>
    <definedName name="___PKG3" localSheetId="4">{"'장비'!$A$3:$M$12"}</definedName>
    <definedName name="___PKG3" localSheetId="13">{"'장비'!$A$3:$M$12"}</definedName>
    <definedName name="___PKG3" localSheetId="17">{"'장비'!$A$3:$M$12"}</definedName>
    <definedName name="___PKG3" localSheetId="0">{"'장비'!$A$3:$M$12"}</definedName>
    <definedName name="___PKG3" localSheetId="19">{"'장비'!$A$3:$M$12"}</definedName>
    <definedName name="___PKG3" localSheetId="16">{"'장비'!$A$3:$M$12"}</definedName>
    <definedName name="___PKG3" localSheetId="18">{"'장비'!$A$3:$M$12"}</definedName>
    <definedName name="___PKG3" localSheetId="10">{"'장비'!$A$3:$M$12"}</definedName>
    <definedName name="___PKG3">{"'장비'!$A$3:$M$12"}</definedName>
    <definedName name="___qqq222" localSheetId="9">{"'장비'!$A$3:$M$12"}</definedName>
    <definedName name="___qqq222" localSheetId="6">{"'장비'!$A$3:$M$12"}</definedName>
    <definedName name="___qqq222" localSheetId="3">{"'장비'!$A$3:$M$12"}</definedName>
    <definedName name="___qqq222" localSheetId="8">{"'장비'!$A$3:$M$12"}</definedName>
    <definedName name="___qqq222" localSheetId="5">{"'장비'!$A$3:$M$12"}</definedName>
    <definedName name="___qqq222" localSheetId="4">{"'장비'!$A$3:$M$12"}</definedName>
    <definedName name="___qqq222" localSheetId="13">{"'장비'!$A$3:$M$12"}</definedName>
    <definedName name="___qqq222" localSheetId="17">{"'장비'!$A$3:$M$12"}</definedName>
    <definedName name="___qqq222" localSheetId="0">{"'장비'!$A$3:$M$12"}</definedName>
    <definedName name="___qqq222" localSheetId="19">{"'장비'!$A$3:$M$12"}</definedName>
    <definedName name="___qqq222" localSheetId="16">{"'장비'!$A$3:$M$12"}</definedName>
    <definedName name="___qqq222" localSheetId="18">{"'장비'!$A$3:$M$12"}</definedName>
    <definedName name="___qqq222" localSheetId="10">{"'장비'!$A$3:$M$12"}</definedName>
    <definedName name="___qqq222">{"'장비'!$A$3:$M$12"}</definedName>
    <definedName name="___QT100" localSheetId="3">#REF!</definedName>
    <definedName name="___QT100" localSheetId="5">#REF!</definedName>
    <definedName name="___QT100" localSheetId="13">#REF!</definedName>
    <definedName name="___QT100" localSheetId="26">#REF!</definedName>
    <definedName name="___QT100">#REF!</definedName>
    <definedName name="___QT2" localSheetId="3">#REF!</definedName>
    <definedName name="___QT2" localSheetId="5">#REF!</definedName>
    <definedName name="___QT2" localSheetId="13">#REF!</definedName>
    <definedName name="___QT2" localSheetId="26">#REF!</definedName>
    <definedName name="___QT2">#REF!</definedName>
    <definedName name="___QT3" localSheetId="3">#REF!</definedName>
    <definedName name="___QT3" localSheetId="5">#REF!</definedName>
    <definedName name="___QT3" localSheetId="13">#REF!</definedName>
    <definedName name="___QT3" localSheetId="26">#REF!</definedName>
    <definedName name="___QT3">#REF!</definedName>
    <definedName name="___QT4" localSheetId="3">#REF!</definedName>
    <definedName name="___QT4" localSheetId="5">#REF!</definedName>
    <definedName name="___QT4" localSheetId="13">#REF!</definedName>
    <definedName name="___QT4" localSheetId="26">#REF!</definedName>
    <definedName name="___QT4">#REF!</definedName>
    <definedName name="___QT50" localSheetId="3">#REF!</definedName>
    <definedName name="___QT50" localSheetId="5">#REF!</definedName>
    <definedName name="___QT50" localSheetId="13">#REF!</definedName>
    <definedName name="___QT50" localSheetId="26">#REF!</definedName>
    <definedName name="___QT50">#REF!</definedName>
    <definedName name="___QT75" localSheetId="3">#REF!</definedName>
    <definedName name="___QT75" localSheetId="5">#REF!</definedName>
    <definedName name="___QT75" localSheetId="13">#REF!</definedName>
    <definedName name="___QT75" localSheetId="26">#REF!</definedName>
    <definedName name="___QT75">#REF!</definedName>
    <definedName name="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3">#REF!</definedName>
    <definedName name="___x10" localSheetId="8">#REF!</definedName>
    <definedName name="___x10" localSheetId="13">#REF!</definedName>
    <definedName name="___x10">#REF!</definedName>
    <definedName name="___x11" localSheetId="3">#REF!</definedName>
    <definedName name="___x11" localSheetId="8">#REF!</definedName>
    <definedName name="___x11" localSheetId="13">#REF!</definedName>
    <definedName name="___x11">#REF!</definedName>
    <definedName name="___x12" localSheetId="3">#REF!</definedName>
    <definedName name="___x12" localSheetId="8">#REF!</definedName>
    <definedName name="___x12" localSheetId="13">#REF!</definedName>
    <definedName name="___x12">#REF!</definedName>
    <definedName name="___x13" localSheetId="13">#REF!</definedName>
    <definedName name="___x13">#REF!</definedName>
    <definedName name="___x14" localSheetId="13">#REF!</definedName>
    <definedName name="___x14">#REF!</definedName>
    <definedName name="___x15" localSheetId="13">#REF!</definedName>
    <definedName name="___x15">#REF!</definedName>
    <definedName name="___x16" localSheetId="13">#REF!</definedName>
    <definedName name="___x16">#REF!</definedName>
    <definedName name="___x17" localSheetId="13">#REF!</definedName>
    <definedName name="___x17">#REF!</definedName>
    <definedName name="___x18" localSheetId="13">#REF!</definedName>
    <definedName name="___x18">#REF!</definedName>
    <definedName name="___x19" localSheetId="13">#REF!</definedName>
    <definedName name="___x19">#REF!</definedName>
    <definedName name="___x20" localSheetId="13">#REF!</definedName>
    <definedName name="___x20">#REF!</definedName>
    <definedName name="___x21" localSheetId="13">#REF!</definedName>
    <definedName name="___x21">#REF!</definedName>
    <definedName name="___x22" localSheetId="13">#REF!</definedName>
    <definedName name="___x22">#REF!</definedName>
    <definedName name="___x23" localSheetId="13">#REF!</definedName>
    <definedName name="___x23">#REF!</definedName>
    <definedName name="___x24" localSheetId="13">#REF!</definedName>
    <definedName name="___x24">#REF!</definedName>
    <definedName name="___x25" localSheetId="13">#REF!</definedName>
    <definedName name="___x25">#REF!</definedName>
    <definedName name="___x28" localSheetId="13">#REF!</definedName>
    <definedName name="___x28">#REF!</definedName>
    <definedName name="___x29" localSheetId="13">#REF!</definedName>
    <definedName name="___x29">#REF!</definedName>
    <definedName name="___x32" localSheetId="13">#REF!</definedName>
    <definedName name="___x32">#REF!</definedName>
    <definedName name="___x4" localSheetId="13">#REF!</definedName>
    <definedName name="___x4">#REF!</definedName>
    <definedName name="___x5" localSheetId="13">#REF!</definedName>
    <definedName name="___x5">#REF!</definedName>
    <definedName name="___x6" localSheetId="13">#REF!</definedName>
    <definedName name="___x6">#REF!</definedName>
    <definedName name="___x7" localSheetId="13">#REF!</definedName>
    <definedName name="___x7">#REF!</definedName>
    <definedName name="___x8" localSheetId="13">#REF!</definedName>
    <definedName name="___x8">#REF!</definedName>
    <definedName name="___x9" localSheetId="13">#REF!</definedName>
    <definedName name="___x9">#REF!</definedName>
    <definedName name="__123Graph_A" localSheetId="13">#REF!</definedName>
    <definedName name="__123Graph_A">#REF!</definedName>
    <definedName name="__123Graph_AChart1" localSheetId="3">#REF!</definedName>
    <definedName name="__123Graph_AChart1" localSheetId="5">#REF!</definedName>
    <definedName name="__123Graph_AChart1" localSheetId="13">#REF!</definedName>
    <definedName name="__123Graph_AChart1" localSheetId="26">#REF!</definedName>
    <definedName name="__123Graph_AChart1" localSheetId="0">#REF!</definedName>
    <definedName name="__123Graph_AChart1">#REF!</definedName>
    <definedName name="__123Graph_ACurrent" localSheetId="13">#REF!</definedName>
    <definedName name="__123Graph_ACurrent">#REF!</definedName>
    <definedName name="__123Graph_ACUSTO" localSheetId="13">#REF!</definedName>
    <definedName name="__123Graph_ACUSTO">#REF!</definedName>
    <definedName name="__123Graph_AFAT" localSheetId="13">#REF!</definedName>
    <definedName name="__123Graph_AFAT">#REF!</definedName>
    <definedName name="__123Graph_AGRA1" localSheetId="3">#REF!</definedName>
    <definedName name="__123Graph_AGRA1" localSheetId="5">#REF!</definedName>
    <definedName name="__123Graph_AGRA1" localSheetId="13">#REF!</definedName>
    <definedName name="__123Graph_AGRA1" localSheetId="26">#REF!</definedName>
    <definedName name="__123Graph_AGRA1" localSheetId="0">#REF!</definedName>
    <definedName name="__123Graph_AGRA1">#REF!</definedName>
    <definedName name="__123Graph_ARES" localSheetId="3">#REF!</definedName>
    <definedName name="__123Graph_ARES" localSheetId="5">#REF!</definedName>
    <definedName name="__123Graph_ARES" localSheetId="13">#REF!</definedName>
    <definedName name="__123Graph_ARES" localSheetId="26">#REF!</definedName>
    <definedName name="__123Graph_ARES" localSheetId="0">#REF!</definedName>
    <definedName name="__123Graph_ARES">#REF!</definedName>
    <definedName name="__123Graph_B" localSheetId="3">#REF!</definedName>
    <definedName name="__123Graph_B" localSheetId="5">#REF!</definedName>
    <definedName name="__123Graph_B" localSheetId="13">#REF!</definedName>
    <definedName name="__123Graph_B" localSheetId="26">#REF!</definedName>
    <definedName name="__123Graph_B" localSheetId="0">#REF!</definedName>
    <definedName name="__123Graph_B">#REF!</definedName>
    <definedName name="__123Graph_BChart1" localSheetId="3">#REF!</definedName>
    <definedName name="__123Graph_BChart1" localSheetId="5">#REF!</definedName>
    <definedName name="__123Graph_BChart1" localSheetId="13">#REF!</definedName>
    <definedName name="__123Graph_BChart1" localSheetId="26">#REF!</definedName>
    <definedName name="__123Graph_BChart1" localSheetId="0">#REF!</definedName>
    <definedName name="__123Graph_BChart1">#REF!</definedName>
    <definedName name="__123Graph_BCurrent" localSheetId="13">#REF!</definedName>
    <definedName name="__123Graph_BCurrent">#REF!</definedName>
    <definedName name="__123Graph_BCUSTO" localSheetId="13">#REF!</definedName>
    <definedName name="__123Graph_BCUSTO">#REF!</definedName>
    <definedName name="__123Graph_BFAT" localSheetId="13">#REF!</definedName>
    <definedName name="__123Graph_BFAT">#REF!</definedName>
    <definedName name="__123Graph_BPERFORMANCE" localSheetId="13">#REF!</definedName>
    <definedName name="__123Graph_BPERFORMANCE">#REF!</definedName>
    <definedName name="__123Graph_BRES" localSheetId="13">#REF!</definedName>
    <definedName name="__123Graph_BRES">#REF!</definedName>
    <definedName name="__123Graph_C" localSheetId="3">#REF!</definedName>
    <definedName name="__123Graph_C" localSheetId="5">#REF!</definedName>
    <definedName name="__123Graph_C" localSheetId="13">#REF!</definedName>
    <definedName name="__123Graph_C" localSheetId="26">#REF!</definedName>
    <definedName name="__123Graph_C" localSheetId="0">#REF!</definedName>
    <definedName name="__123Graph_C">#REF!</definedName>
    <definedName name="__123Graph_D" localSheetId="3">#REF!</definedName>
    <definedName name="__123Graph_D" localSheetId="5">#REF!</definedName>
    <definedName name="__123Graph_D" localSheetId="13">#REF!</definedName>
    <definedName name="__123Graph_D" localSheetId="26">#REF!</definedName>
    <definedName name="__123Graph_D" localSheetId="0">#REF!</definedName>
    <definedName name="__123Graph_D">#REF!</definedName>
    <definedName name="__123Graph_E" localSheetId="13">#REF!</definedName>
    <definedName name="__123Graph_E">#REF!</definedName>
    <definedName name="__123Graph_F" localSheetId="13">#REF!</definedName>
    <definedName name="__123Graph_F">#REF!</definedName>
    <definedName name="__123Graph_LBL_A" localSheetId="13">#REF!</definedName>
    <definedName name="__123Graph_LBL_A">#REF!</definedName>
    <definedName name="__123Graph_LBL_B" localSheetId="13">#REF!</definedName>
    <definedName name="__123Graph_LBL_B">#REF!</definedName>
    <definedName name="__123Graph_X" localSheetId="3">#REF!</definedName>
    <definedName name="__123Graph_X" localSheetId="5">#REF!</definedName>
    <definedName name="__123Graph_X" localSheetId="13">#REF!</definedName>
    <definedName name="__123Graph_X" localSheetId="26">#REF!</definedName>
    <definedName name="__123Graph_X" localSheetId="0">#REF!</definedName>
    <definedName name="__123Graph_X">#REF!</definedName>
    <definedName name="__123Graph_XChart1" localSheetId="3">#REF!</definedName>
    <definedName name="__123Graph_XChart1" localSheetId="5">#REF!</definedName>
    <definedName name="__123Graph_XChart1" localSheetId="13">#REF!</definedName>
    <definedName name="__123Graph_XChart1" localSheetId="26">#REF!</definedName>
    <definedName name="__123Graph_XChart1" localSheetId="0">#REF!</definedName>
    <definedName name="__123Graph_XChart1">#REF!</definedName>
    <definedName name="__123Graph_XCurrent" localSheetId="13">#REF!</definedName>
    <definedName name="__123Graph_XCurrent">#REF!</definedName>
    <definedName name="__123Graph_XCUSTO" localSheetId="13">#REF!</definedName>
    <definedName name="__123Graph_XCUSTO">#REF!</definedName>
    <definedName name="__123Graph_XFAT" localSheetId="13">#REF!</definedName>
    <definedName name="__123Graph_XFAT">#REF!</definedName>
    <definedName name="__123Graph_XGRA1" localSheetId="3">#REF!</definedName>
    <definedName name="__123Graph_XGRA1" localSheetId="5">#REF!</definedName>
    <definedName name="__123Graph_XGRA1" localSheetId="13">#REF!</definedName>
    <definedName name="__123Graph_XGRA1" localSheetId="26">#REF!</definedName>
    <definedName name="__123Graph_XGRA1" localSheetId="0">#REF!</definedName>
    <definedName name="__123Graph_XGRA1">#REF!</definedName>
    <definedName name="__123Graph_XRES" localSheetId="3">#REF!</definedName>
    <definedName name="__123Graph_XRES" localSheetId="5">#REF!</definedName>
    <definedName name="__123Graph_XRES" localSheetId="13">#REF!</definedName>
    <definedName name="__123Graph_XRES" localSheetId="26">#REF!</definedName>
    <definedName name="__123Graph_XRES" localSheetId="0">#REF!</definedName>
    <definedName name="__123Graph_XRES">#REF!</definedName>
    <definedName name="__ACR10" localSheetId="3">#REF!</definedName>
    <definedName name="__ACR10" localSheetId="5">#REF!</definedName>
    <definedName name="__ACR10" localSheetId="13">#REF!</definedName>
    <definedName name="__ACR10" localSheetId="26">#REF!</definedName>
    <definedName name="__ACR10">#REF!</definedName>
    <definedName name="__ACR15" localSheetId="3">#REF!</definedName>
    <definedName name="__ACR15" localSheetId="5">#REF!</definedName>
    <definedName name="__ACR15" localSheetId="13">#REF!</definedName>
    <definedName name="__ACR15" localSheetId="26">#REF!</definedName>
    <definedName name="__ACR15">#REF!</definedName>
    <definedName name="__acr20" localSheetId="3">#REF!</definedName>
    <definedName name="__acr20" localSheetId="5">#REF!</definedName>
    <definedName name="__acr20" localSheetId="13">#REF!</definedName>
    <definedName name="__acr20" localSheetId="26">#REF!</definedName>
    <definedName name="__acr20">#REF!</definedName>
    <definedName name="__acr5" localSheetId="3">#REF!</definedName>
    <definedName name="__acr5" localSheetId="5">#REF!</definedName>
    <definedName name="__acr5" localSheetId="13">#REF!</definedName>
    <definedName name="__acr5" localSheetId="26">#REF!</definedName>
    <definedName name="__acr5">#REF!</definedName>
    <definedName name="__ARQ1" localSheetId="3">#REF!</definedName>
    <definedName name="__ARQ1" localSheetId="5">#REF!</definedName>
    <definedName name="__ARQ1" localSheetId="13">#REF!</definedName>
    <definedName name="__ARQ1" localSheetId="26">#REF!</definedName>
    <definedName name="__ARQ1">#REF!</definedName>
    <definedName name="__Axe3" localSheetId="3">#REF!</definedName>
    <definedName name="__Axe3" localSheetId="5">#REF!</definedName>
    <definedName name="__Axe3" localSheetId="13">#REF!</definedName>
    <definedName name="__Axe3" localSheetId="26">#REF!</definedName>
    <definedName name="__Axe3">#REF!</definedName>
    <definedName name="__Axe4" localSheetId="3">#REF!</definedName>
    <definedName name="__Axe4" localSheetId="5">#REF!</definedName>
    <definedName name="__Axe4" localSheetId="13">#REF!</definedName>
    <definedName name="__Axe4" localSheetId="26">#REF!</definedName>
    <definedName name="__Axe4">#REF!</definedName>
    <definedName name="_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3">#REF!</definedName>
    <definedName name="__htm2" localSheetId="5">#REF!</definedName>
    <definedName name="__htm2" localSheetId="13">#REF!</definedName>
    <definedName name="__htm2" localSheetId="26">#REF!</definedName>
    <definedName name="__htm2">#REF!</definedName>
    <definedName name="__htn2" localSheetId="3">#REF!</definedName>
    <definedName name="__htn2" localSheetId="5">#REF!</definedName>
    <definedName name="__htn2" localSheetId="13">#REF!</definedName>
    <definedName name="__htn2" localSheetId="26">#REF!</definedName>
    <definedName name="__htn2">#REF!</definedName>
    <definedName name="__iss2" localSheetId="3">#REF!</definedName>
    <definedName name="__iss2" localSheetId="5">#REF!</definedName>
    <definedName name="__iss2" localSheetId="13">#REF!</definedName>
    <definedName name="__iss2" localSheetId="26">#REF!</definedName>
    <definedName name="__iss2">#REF!</definedName>
    <definedName name="__key2" localSheetId="3">#REF!</definedName>
    <definedName name="__key2" localSheetId="13">#REF!</definedName>
    <definedName name="__key2" localSheetId="0">#REF!</definedName>
    <definedName name="__key2">#REF!</definedName>
    <definedName name="__la29" localSheetId="13">#REF!</definedName>
    <definedName name="__la29" localSheetId="0">#REF!</definedName>
    <definedName name="__la29">#REF!</definedName>
    <definedName name="__la3" localSheetId="13">#REF!</definedName>
    <definedName name="__la3" localSheetId="0">#REF!</definedName>
    <definedName name="__la3">#REF!</definedName>
    <definedName name="__la31" localSheetId="13">#REF!</definedName>
    <definedName name="__la31">#REF!</definedName>
    <definedName name="__la32" localSheetId="13">#REF!</definedName>
    <definedName name="__la32">#REF!</definedName>
    <definedName name="__la4" localSheetId="13">#REF!</definedName>
    <definedName name="__la4">#REF!</definedName>
    <definedName name="__la5" localSheetId="13">#REF!</definedName>
    <definedName name="__la5">#REF!</definedName>
    <definedName name="__la6" localSheetId="13">#REF!</definedName>
    <definedName name="__la6">#REF!</definedName>
    <definedName name="__la7" localSheetId="13">#REF!</definedName>
    <definedName name="__la7">#REF!</definedName>
    <definedName name="__la8" localSheetId="13">#REF!</definedName>
    <definedName name="__la8">#REF!</definedName>
    <definedName name="__la9" localSheetId="13">#REF!</definedName>
    <definedName name="__la9">#REF!</definedName>
    <definedName name="__lb1" localSheetId="13">#REF!</definedName>
    <definedName name="__lb1">#REF!</definedName>
    <definedName name="__lb10" localSheetId="13">#REF!</definedName>
    <definedName name="__lb10">#REF!</definedName>
    <definedName name="__lb11" localSheetId="13">#REF!</definedName>
    <definedName name="__lb11">#REF!</definedName>
    <definedName name="__lb12" localSheetId="13">#REF!</definedName>
    <definedName name="__lb12">#REF!</definedName>
    <definedName name="__lb13" localSheetId="13">#REF!</definedName>
    <definedName name="__lb13">#REF!</definedName>
    <definedName name="__lb14" localSheetId="13">#REF!</definedName>
    <definedName name="__lb14">#REF!</definedName>
    <definedName name="__lb15" localSheetId="13">#REF!</definedName>
    <definedName name="__lb15">#REF!</definedName>
    <definedName name="__lb16" localSheetId="13">#REF!</definedName>
    <definedName name="__lb16">#REF!</definedName>
    <definedName name="__lb17" localSheetId="13">#REF!</definedName>
    <definedName name="__lb17">#REF!</definedName>
    <definedName name="__lb18" localSheetId="13">#REF!</definedName>
    <definedName name="__lb18">#REF!</definedName>
    <definedName name="__lb19" localSheetId="13">#REF!</definedName>
    <definedName name="__lb19">#REF!</definedName>
    <definedName name="__lb2" localSheetId="13">#REF!</definedName>
    <definedName name="__lb2">#REF!</definedName>
    <definedName name="__lb20" localSheetId="13">#REF!</definedName>
    <definedName name="__lb20">#REF!</definedName>
    <definedName name="__lb21" localSheetId="13">#REF!</definedName>
    <definedName name="__lb21">#REF!</definedName>
    <definedName name="__lb22" localSheetId="13">#REF!</definedName>
    <definedName name="__lb22">#REF!</definedName>
    <definedName name="__lb23" localSheetId="13">#REF!</definedName>
    <definedName name="__lb23">#REF!</definedName>
    <definedName name="__lb24" localSheetId="13">#REF!</definedName>
    <definedName name="__lb24">#REF!</definedName>
    <definedName name="__lb25" localSheetId="13">#REF!</definedName>
    <definedName name="__lb25">#REF!</definedName>
    <definedName name="__lb27" localSheetId="13">#REF!</definedName>
    <definedName name="__lb27">#REF!</definedName>
    <definedName name="__lb28" localSheetId="13">#REF!</definedName>
    <definedName name="__lb28">#REF!</definedName>
    <definedName name="__lb29" localSheetId="13">#REF!</definedName>
    <definedName name="__lb29">#REF!</definedName>
    <definedName name="__lb3" localSheetId="13">#REF!</definedName>
    <definedName name="__lb3">#REF!</definedName>
    <definedName name="__lb30" localSheetId="13">#REF!</definedName>
    <definedName name="__lb30">#REF!</definedName>
    <definedName name="__lb31" localSheetId="13">#REF!</definedName>
    <definedName name="__lb31">#REF!</definedName>
    <definedName name="__lb32" localSheetId="13">#REF!</definedName>
    <definedName name="__lb32">#REF!</definedName>
    <definedName name="__lb4" localSheetId="13">#REF!</definedName>
    <definedName name="__lb4">#REF!</definedName>
    <definedName name="__lb5" localSheetId="13">#REF!</definedName>
    <definedName name="__lb5">#REF!</definedName>
    <definedName name="__lb6" localSheetId="13">#REF!</definedName>
    <definedName name="__lb6">#REF!</definedName>
    <definedName name="__lb7" localSheetId="13">#REF!</definedName>
    <definedName name="__lb7">#REF!</definedName>
    <definedName name="__lb8" localSheetId="13">#REF!</definedName>
    <definedName name="__lb8">#REF!</definedName>
    <definedName name="__lb9" localSheetId="13">#REF!</definedName>
    <definedName name="__lb9">#REF!</definedName>
    <definedName name="__lbc1" localSheetId="13">#REF!</definedName>
    <definedName name="__lbc1">#REF!</definedName>
    <definedName name="__lbc10" localSheetId="13">#REF!</definedName>
    <definedName name="__lbc10">#REF!</definedName>
    <definedName name="__lbc11" localSheetId="13">#REF!</definedName>
    <definedName name="__lbc11">#REF!</definedName>
    <definedName name="__lbc12" localSheetId="13">#REF!</definedName>
    <definedName name="__lbc12">#REF!</definedName>
    <definedName name="__lbc13" localSheetId="13">#REF!</definedName>
    <definedName name="__lbc13">#REF!</definedName>
    <definedName name="__lbc14" localSheetId="13">#REF!</definedName>
    <definedName name="__lbc14">#REF!</definedName>
    <definedName name="__lbc15" localSheetId="13">#REF!</definedName>
    <definedName name="__lbc15">#REF!</definedName>
    <definedName name="__lbc16" localSheetId="13">#REF!</definedName>
    <definedName name="__lbc16">#REF!</definedName>
    <definedName name="__lbc17" localSheetId="13">#REF!</definedName>
    <definedName name="__lbc17">#REF!</definedName>
    <definedName name="__lbc18" localSheetId="13">#REF!</definedName>
    <definedName name="__lbc18">#REF!</definedName>
    <definedName name="__lbc19" localSheetId="13">#REF!</definedName>
    <definedName name="__lbc19">#REF!</definedName>
    <definedName name="__lbc2" localSheetId="13">#REF!</definedName>
    <definedName name="__lbc2">#REF!</definedName>
    <definedName name="__lbc20" localSheetId="13">#REF!</definedName>
    <definedName name="__lbc20">#REF!</definedName>
    <definedName name="__lbc21" localSheetId="13">#REF!</definedName>
    <definedName name="__lbc21">#REF!</definedName>
    <definedName name="__lbc22" localSheetId="13">#REF!</definedName>
    <definedName name="__lbc22">#REF!</definedName>
    <definedName name="__lbc23" localSheetId="13">#REF!</definedName>
    <definedName name="__lbc23">#REF!</definedName>
    <definedName name="__lbc24" localSheetId="13">#REF!</definedName>
    <definedName name="__lbc24">#REF!</definedName>
    <definedName name="__lbc25" localSheetId="13">#REF!</definedName>
    <definedName name="__lbc25">#REF!</definedName>
    <definedName name="__lbc26" localSheetId="13">#REF!</definedName>
    <definedName name="__lbc26">#REF!</definedName>
    <definedName name="__lbc27" localSheetId="13">#REF!</definedName>
    <definedName name="__lbc27">#REF!</definedName>
    <definedName name="__lbc28" localSheetId="13">#REF!</definedName>
    <definedName name="__lbc28">#REF!</definedName>
    <definedName name="__lbc29" localSheetId="13">#REF!</definedName>
    <definedName name="__lbc29">#REF!</definedName>
    <definedName name="__lbc3" localSheetId="13">#REF!</definedName>
    <definedName name="__lbc3">#REF!</definedName>
    <definedName name="__lbc31" localSheetId="13">#REF!</definedName>
    <definedName name="__lbc31">#REF!</definedName>
    <definedName name="__lbc32" localSheetId="13">#REF!</definedName>
    <definedName name="__lbc32">#REF!</definedName>
    <definedName name="__lbc4" localSheetId="13">#REF!</definedName>
    <definedName name="__lbc4">#REF!</definedName>
    <definedName name="__lbc5" localSheetId="13">#REF!</definedName>
    <definedName name="__lbc5">#REF!</definedName>
    <definedName name="__lbc6" localSheetId="13">#REF!</definedName>
    <definedName name="__lbc6">#REF!</definedName>
    <definedName name="__lbc7" localSheetId="13">#REF!</definedName>
    <definedName name="__lbc7">#REF!</definedName>
    <definedName name="__lbc8" localSheetId="13">#REF!</definedName>
    <definedName name="__lbc8">#REF!</definedName>
    <definedName name="__lbc9" localSheetId="13">#REF!</definedName>
    <definedName name="__lbc9">#REF!</definedName>
    <definedName name="__ld26" localSheetId="13">#REF!</definedName>
    <definedName name="__ld26">#REF!</definedName>
    <definedName name="__ld31" localSheetId="13">#REF!</definedName>
    <definedName name="__ld31">#REF!</definedName>
    <definedName name="__le31" localSheetId="13">#REF!</definedName>
    <definedName name="__le31">#REF!</definedName>
    <definedName name="__lf31" localSheetId="13">#REF!</definedName>
    <definedName name="__lf31">#REF!</definedName>
    <definedName name="__PK2" localSheetId="9">{"'장비'!$A$3:$M$12"}</definedName>
    <definedName name="__PK2" localSheetId="6">{"'장비'!$A$3:$M$12"}</definedName>
    <definedName name="__PK2" localSheetId="3">{"'장비'!$A$3:$M$12"}</definedName>
    <definedName name="__PK2" localSheetId="8">{"'장비'!$A$3:$M$12"}</definedName>
    <definedName name="__PK2" localSheetId="5">{"'장비'!$A$3:$M$12"}</definedName>
    <definedName name="__PK2" localSheetId="4">{"'장비'!$A$3:$M$12"}</definedName>
    <definedName name="__PK2" localSheetId="13">{"'장비'!$A$3:$M$12"}</definedName>
    <definedName name="__PK2" localSheetId="17">{"'장비'!$A$3:$M$12"}</definedName>
    <definedName name="__PK2" localSheetId="0">{"'장비'!$A$3:$M$12"}</definedName>
    <definedName name="__PK2" localSheetId="19">{"'장비'!$A$3:$M$12"}</definedName>
    <definedName name="__PK2" localSheetId="16">{"'장비'!$A$3:$M$12"}</definedName>
    <definedName name="__PK2" localSheetId="18">{"'장비'!$A$3:$M$12"}</definedName>
    <definedName name="__PK2" localSheetId="10">{"'장비'!$A$3:$M$12"}</definedName>
    <definedName name="__PK2">{"'장비'!$A$3:$M$12"}</definedName>
    <definedName name="__PKG3" localSheetId="9">{"'장비'!$A$3:$M$12"}</definedName>
    <definedName name="__PKG3" localSheetId="6">{"'장비'!$A$3:$M$12"}</definedName>
    <definedName name="__PKG3" localSheetId="3">{"'장비'!$A$3:$M$12"}</definedName>
    <definedName name="__PKG3" localSheetId="8">{"'장비'!$A$3:$M$12"}</definedName>
    <definedName name="__PKG3" localSheetId="5">{"'장비'!$A$3:$M$12"}</definedName>
    <definedName name="__PKG3" localSheetId="4">{"'장비'!$A$3:$M$12"}</definedName>
    <definedName name="__PKG3" localSheetId="13">{"'장비'!$A$3:$M$12"}</definedName>
    <definedName name="__PKG3" localSheetId="17">{"'장비'!$A$3:$M$12"}</definedName>
    <definedName name="__PKG3" localSheetId="0">{"'장비'!$A$3:$M$12"}</definedName>
    <definedName name="__PKG3" localSheetId="19">{"'장비'!$A$3:$M$12"}</definedName>
    <definedName name="__PKG3" localSheetId="16">{"'장비'!$A$3:$M$12"}</definedName>
    <definedName name="__PKG3" localSheetId="18">{"'장비'!$A$3:$M$12"}</definedName>
    <definedName name="__PKG3" localSheetId="10">{"'장비'!$A$3:$M$12"}</definedName>
    <definedName name="__PKG3">{"'장비'!$A$3:$M$12"}</definedName>
    <definedName name="__qqq222" localSheetId="9">{"'장비'!$A$3:$M$12"}</definedName>
    <definedName name="__qqq222" localSheetId="6">{"'장비'!$A$3:$M$12"}</definedName>
    <definedName name="__qqq222" localSheetId="3">{"'장비'!$A$3:$M$12"}</definedName>
    <definedName name="__qqq222" localSheetId="8">{"'장비'!$A$3:$M$12"}</definedName>
    <definedName name="__qqq222" localSheetId="5">{"'장비'!$A$3:$M$12"}</definedName>
    <definedName name="__qqq222" localSheetId="4">{"'장비'!$A$3:$M$12"}</definedName>
    <definedName name="__qqq222" localSheetId="13">{"'장비'!$A$3:$M$12"}</definedName>
    <definedName name="__qqq222" localSheetId="17">{"'장비'!$A$3:$M$12"}</definedName>
    <definedName name="__qqq222" localSheetId="0">{"'장비'!$A$3:$M$12"}</definedName>
    <definedName name="__qqq222" localSheetId="19">{"'장비'!$A$3:$M$12"}</definedName>
    <definedName name="__qqq222" localSheetId="16">{"'장비'!$A$3:$M$12"}</definedName>
    <definedName name="__qqq222" localSheetId="18">{"'장비'!$A$3:$M$12"}</definedName>
    <definedName name="__qqq222" localSheetId="10">{"'장비'!$A$3:$M$12"}</definedName>
    <definedName name="__qqq222">{"'장비'!$A$3:$M$12"}</definedName>
    <definedName name="__QT100" localSheetId="3">#REF!</definedName>
    <definedName name="__QT100" localSheetId="5">#REF!</definedName>
    <definedName name="__QT100" localSheetId="13">#REF!</definedName>
    <definedName name="__QT100" localSheetId="26">#REF!</definedName>
    <definedName name="__QT100">#REF!</definedName>
    <definedName name="__QT2" localSheetId="3">#REF!</definedName>
    <definedName name="__QT2" localSheetId="5">#REF!</definedName>
    <definedName name="__QT2" localSheetId="13">#REF!</definedName>
    <definedName name="__QT2" localSheetId="26">#REF!</definedName>
    <definedName name="__QT2">#REF!</definedName>
    <definedName name="__QT3" localSheetId="3">#REF!</definedName>
    <definedName name="__QT3" localSheetId="5">#REF!</definedName>
    <definedName name="__QT3" localSheetId="13">#REF!</definedName>
    <definedName name="__QT3" localSheetId="26">#REF!</definedName>
    <definedName name="__QT3">#REF!</definedName>
    <definedName name="__QT4" localSheetId="3">#REF!</definedName>
    <definedName name="__QT4" localSheetId="5">#REF!</definedName>
    <definedName name="__QT4" localSheetId="13">#REF!</definedName>
    <definedName name="__QT4" localSheetId="26">#REF!</definedName>
    <definedName name="__QT4">#REF!</definedName>
    <definedName name="__QT50" localSheetId="3">#REF!</definedName>
    <definedName name="__QT50" localSheetId="5">#REF!</definedName>
    <definedName name="__QT50" localSheetId="13">#REF!</definedName>
    <definedName name="__QT50" localSheetId="26">#REF!</definedName>
    <definedName name="__QT50">#REF!</definedName>
    <definedName name="__QT75" localSheetId="3">#REF!</definedName>
    <definedName name="__QT75" localSheetId="5">#REF!</definedName>
    <definedName name="__QT75" localSheetId="13">#REF!</definedName>
    <definedName name="__QT75" localSheetId="26">#REF!</definedName>
    <definedName name="__QT75">#REF!</definedName>
    <definedName name="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3">#REF!</definedName>
    <definedName name="__x10" localSheetId="8">#REF!</definedName>
    <definedName name="__x10" localSheetId="13">#REF!</definedName>
    <definedName name="__x10">#REF!</definedName>
    <definedName name="__x11" localSheetId="3">#REF!</definedName>
    <definedName name="__x11" localSheetId="8">#REF!</definedName>
    <definedName name="__x11" localSheetId="13">#REF!</definedName>
    <definedName name="__x11">#REF!</definedName>
    <definedName name="__x12" localSheetId="3">#REF!</definedName>
    <definedName name="__x12" localSheetId="8">#REF!</definedName>
    <definedName name="__x12" localSheetId="13">#REF!</definedName>
    <definedName name="__x12">#REF!</definedName>
    <definedName name="__x13" localSheetId="13">#REF!</definedName>
    <definedName name="__x13">#REF!</definedName>
    <definedName name="__x14" localSheetId="13">#REF!</definedName>
    <definedName name="__x14">#REF!</definedName>
    <definedName name="__x15" localSheetId="13">#REF!</definedName>
    <definedName name="__x15">#REF!</definedName>
    <definedName name="__x16" localSheetId="13">#REF!</definedName>
    <definedName name="__x16">#REF!</definedName>
    <definedName name="__x17" localSheetId="13">#REF!</definedName>
    <definedName name="__x17">#REF!</definedName>
    <definedName name="__x18" localSheetId="13">#REF!</definedName>
    <definedName name="__x18">#REF!</definedName>
    <definedName name="__x19" localSheetId="13">#REF!</definedName>
    <definedName name="__x19">#REF!</definedName>
    <definedName name="__x20" localSheetId="13">#REF!</definedName>
    <definedName name="__x20">#REF!</definedName>
    <definedName name="__x21" localSheetId="13">#REF!</definedName>
    <definedName name="__x21">#REF!</definedName>
    <definedName name="__x22" localSheetId="13">#REF!</definedName>
    <definedName name="__x22">#REF!</definedName>
    <definedName name="__x23" localSheetId="13">#REF!</definedName>
    <definedName name="__x23">#REF!</definedName>
    <definedName name="__x24" localSheetId="13">#REF!</definedName>
    <definedName name="__x24">#REF!</definedName>
    <definedName name="__x25" localSheetId="13">#REF!</definedName>
    <definedName name="__x25">#REF!</definedName>
    <definedName name="__x28" localSheetId="13">#REF!</definedName>
    <definedName name="__x28">#REF!</definedName>
    <definedName name="__x29" localSheetId="13">#REF!</definedName>
    <definedName name="__x29">#REF!</definedName>
    <definedName name="__x32" localSheetId="13">#REF!</definedName>
    <definedName name="__x32">#REF!</definedName>
    <definedName name="__x4" localSheetId="13">#REF!</definedName>
    <definedName name="__x4">#REF!</definedName>
    <definedName name="__x5" localSheetId="13">#REF!</definedName>
    <definedName name="__x5">#REF!</definedName>
    <definedName name="__x6" localSheetId="13">#REF!</definedName>
    <definedName name="__x6">#REF!</definedName>
    <definedName name="__x7" localSheetId="13">#REF!</definedName>
    <definedName name="__x7">#REF!</definedName>
    <definedName name="__x8" localSheetId="13">#REF!</definedName>
    <definedName name="__x8">#REF!</definedName>
    <definedName name="__x9" localSheetId="13">#REF!</definedName>
    <definedName name="__x9">#REF!</definedName>
    <definedName name="_0.CURVA_OBRA" localSheetId="3">#REF!</definedName>
    <definedName name="_0.CURVA_OBRA" localSheetId="5">#REF!</definedName>
    <definedName name="_0.CURVA_OBRA" localSheetId="13">#REF!</definedName>
    <definedName name="_0.CURVA_OBRA" localSheetId="26">#REF!</definedName>
    <definedName name="_0.CURVA_OBRA">#REF!</definedName>
    <definedName name="_00.VAR._GASTO" localSheetId="3">#REF!</definedName>
    <definedName name="_00.VAR._GASTO" localSheetId="5">#REF!</definedName>
    <definedName name="_00.VAR._GASTO" localSheetId="13">#REF!</definedName>
    <definedName name="_00.VAR._GASTO" localSheetId="26">#REF!</definedName>
    <definedName name="_00.VAR._GASTO">#REF!</definedName>
    <definedName name="_000.CURVA_FINA" localSheetId="3">#REF!</definedName>
    <definedName name="_000.CURVA_FINA" localSheetId="5">#REF!</definedName>
    <definedName name="_000.CURVA_FINA" localSheetId="13">#REF!</definedName>
    <definedName name="_000.CURVA_FINA" localSheetId="26">#REF!</definedName>
    <definedName name="_000.CURVA_FINA">#REF!</definedName>
    <definedName name="_1" localSheetId="3">#REF!</definedName>
    <definedName name="_1" localSheetId="5">#REF!</definedName>
    <definedName name="_1" localSheetId="13">#REF!</definedName>
    <definedName name="_1" localSheetId="26">#REF!</definedName>
    <definedName name="_1">#REF!</definedName>
    <definedName name="_1__123Graph_ACHART_1" localSheetId="3">#REF!</definedName>
    <definedName name="_1__123Graph_ACHART_1" localSheetId="5">#REF!</definedName>
    <definedName name="_1__123Graph_ACHART_1" localSheetId="13">#REF!</definedName>
    <definedName name="_1__123Graph_ACHART_1" localSheetId="26">#REF!</definedName>
    <definedName name="_1__123Graph_ACHART_1" localSheetId="0">#REF!</definedName>
    <definedName name="_1__123Graph_ACHART_1">#REF!</definedName>
    <definedName name="_10__123Graph_CCHART_1" localSheetId="3">#REF!</definedName>
    <definedName name="_10__123Graph_CCHART_1" localSheetId="5">#REF!</definedName>
    <definedName name="_10__123Graph_CCHART_1" localSheetId="13">#REF!</definedName>
    <definedName name="_10__123Graph_CCHART_1" localSheetId="26">#REF!</definedName>
    <definedName name="_10__123Graph_CCHART_1" localSheetId="0">#REF!</definedName>
    <definedName name="_10__123Graph_CCHART_1">#REF!</definedName>
    <definedName name="_11.SERV.TECNIC" localSheetId="3">#REF!</definedName>
    <definedName name="_11.SERV.TECNIC" localSheetId="5">#REF!</definedName>
    <definedName name="_11.SERV.TECNIC" localSheetId="13">#REF!</definedName>
    <definedName name="_11.SERV.TECNIC" localSheetId="26">#REF!</definedName>
    <definedName name="_11.SERV.TECNIC">#REF!</definedName>
    <definedName name="_11__123Graph_DCHART_1" localSheetId="3">#REF!</definedName>
    <definedName name="_11__123Graph_DCHART_1" localSheetId="5">#REF!</definedName>
    <definedName name="_11__123Graph_DCHART_1" localSheetId="13">#REF!</definedName>
    <definedName name="_11__123Graph_DCHART_1" localSheetId="26">#REF!</definedName>
    <definedName name="_11__123Graph_DCHART_1" localSheetId="0">#REF!</definedName>
    <definedName name="_11__123Graph_DCHART_1">#REF!</definedName>
    <definedName name="_12.GAST_GERAIS" localSheetId="3">#REF!</definedName>
    <definedName name="_12.GAST_GERAIS" localSheetId="5">#REF!</definedName>
    <definedName name="_12.GAST_GERAIS" localSheetId="13">#REF!</definedName>
    <definedName name="_12.GAST_GERAIS" localSheetId="26">#REF!</definedName>
    <definedName name="_12.GAST_GERAIS">#REF!</definedName>
    <definedName name="_12__123Graph_XChart_1A" localSheetId="13">#REF!</definedName>
    <definedName name="_12__123Graph_XChart_1A">#REF!</definedName>
    <definedName name="_13.P._PERMAN." localSheetId="3">#REF!</definedName>
    <definedName name="_13.P._PERMAN." localSheetId="5">#REF!</definedName>
    <definedName name="_13.P._PERMAN." localSheetId="13">#REF!</definedName>
    <definedName name="_13.P._PERMAN." localSheetId="26">#REF!</definedName>
    <definedName name="_13.P._PERMAN.">#REF!</definedName>
    <definedName name="_15.IMPL._CANT" localSheetId="3">#REF!</definedName>
    <definedName name="_15.IMPL._CANT" localSheetId="5">#REF!</definedName>
    <definedName name="_15.IMPL._CANT" localSheetId="13">#REF!</definedName>
    <definedName name="_15.IMPL._CANT" localSheetId="26">#REF!</definedName>
    <definedName name="_15.IMPL._CANT">#REF!</definedName>
    <definedName name="_16.EQUIPAM." localSheetId="3">#REF!</definedName>
    <definedName name="_16.EQUIPAM." localSheetId="5">#REF!</definedName>
    <definedName name="_16.EQUIPAM." localSheetId="13">#REF!</definedName>
    <definedName name="_16.EQUIPAM." localSheetId="26">#REF!</definedName>
    <definedName name="_16.EQUIPAM.">#REF!</definedName>
    <definedName name="_17.OPER._CANT." localSheetId="3">#REF!</definedName>
    <definedName name="_17.OPER._CANT." localSheetId="5">#REF!</definedName>
    <definedName name="_17.OPER._CANT." localSheetId="13">#REF!</definedName>
    <definedName name="_17.OPER._CANT." localSheetId="26">#REF!</definedName>
    <definedName name="_17.OPER._CANT.">#REF!</definedName>
    <definedName name="_19.TRANC_LIMP." localSheetId="3">#REF!</definedName>
    <definedName name="_19.TRANC_LIMP." localSheetId="5">#REF!</definedName>
    <definedName name="_19.TRANC_LIMP." localSheetId="13">#REF!</definedName>
    <definedName name="_19.TRANC_LIMP." localSheetId="26">#REF!</definedName>
    <definedName name="_19.TRANC_LIMP.">#REF!</definedName>
    <definedName name="_1Dist_Val" localSheetId="13">#REF!</definedName>
    <definedName name="_1Dist_Val">#REF!</definedName>
    <definedName name="_2" localSheetId="3">#REF!</definedName>
    <definedName name="_2" localSheetId="5">#REF!</definedName>
    <definedName name="_2" localSheetId="13">#REF!</definedName>
    <definedName name="_2" localSheetId="26">#REF!</definedName>
    <definedName name="_2">#REF!</definedName>
    <definedName name="_2__123Graph_BCHART_1" localSheetId="3">#REF!</definedName>
    <definedName name="_2__123Graph_BCHART_1" localSheetId="5">#REF!</definedName>
    <definedName name="_2__123Graph_BCHART_1" localSheetId="13">#REF!</definedName>
    <definedName name="_2__123Graph_BCHART_1" localSheetId="26">#REF!</definedName>
    <definedName name="_2__123Graph_BCHART_1" localSheetId="0">#REF!</definedName>
    <definedName name="_2__123Graph_BCHART_1">#REF!</definedName>
    <definedName name="_25.PREP.TERREN" localSheetId="3">#REF!</definedName>
    <definedName name="_25.PREP.TERREN" localSheetId="5">#REF!</definedName>
    <definedName name="_25.PREP.TERREN" localSheetId="13">#REF!</definedName>
    <definedName name="_25.PREP.TERREN" localSheetId="26">#REF!</definedName>
    <definedName name="_25.PREP.TERREN">#REF!</definedName>
    <definedName name="_27.FUND._ESCOR" localSheetId="3">#REF!</definedName>
    <definedName name="_27.FUND._ESCOR" localSheetId="5">#REF!</definedName>
    <definedName name="_27.FUND._ESCOR" localSheetId="13">#REF!</definedName>
    <definedName name="_27.FUND._ESCOR" localSheetId="26">#REF!</definedName>
    <definedName name="_27.FUND._ESCOR">#REF!</definedName>
    <definedName name="_2F" localSheetId="13">#REF!</definedName>
    <definedName name="_2F">#REF!</definedName>
    <definedName name="_3__123Graph_XCHART_1" localSheetId="3">#REF!</definedName>
    <definedName name="_3__123Graph_XCHART_1" localSheetId="5">#REF!</definedName>
    <definedName name="_3__123Graph_XCHART_1" localSheetId="13">#REF!</definedName>
    <definedName name="_3__123Graph_XCHART_1" localSheetId="26">#REF!</definedName>
    <definedName name="_3__123Graph_XCHART_1" localSheetId="0">#REF!</definedName>
    <definedName name="_3__123Graph_XCHART_1">#REF!</definedName>
    <definedName name="_31_32_33.C_A" localSheetId="3">#REF!</definedName>
    <definedName name="_31_32_33.C_A" localSheetId="5">#REF!</definedName>
    <definedName name="_31_32_33.C_A" localSheetId="13">#REF!</definedName>
    <definedName name="_31_32_33.C_A" localSheetId="26">#REF!</definedName>
    <definedName name="_31_32_33.C_A">#REF!</definedName>
    <definedName name="_41.ALVENARIA" localSheetId="3">#REF!</definedName>
    <definedName name="_41.ALVENARIA" localSheetId="5">#REF!</definedName>
    <definedName name="_41.ALVENARIA" localSheetId="13">#REF!</definedName>
    <definedName name="_41.ALVENARIA" localSheetId="26">#REF!</definedName>
    <definedName name="_41.ALVENARIA">#REF!</definedName>
    <definedName name="_47.IMP._ISOLA." localSheetId="3">#REF!</definedName>
    <definedName name="_47.IMP._ISOLA." localSheetId="5">#REF!</definedName>
    <definedName name="_47.IMP._ISOLA." localSheetId="13">#REF!</definedName>
    <definedName name="_47.IMP._ISOLA." localSheetId="26">#REF!</definedName>
    <definedName name="_47.IMP._ISOLA.">#REF!</definedName>
    <definedName name="_5__123Graph_ACHART_1" localSheetId="3">#REF!</definedName>
    <definedName name="_5__123Graph_ACHART_1" localSheetId="5">#REF!</definedName>
    <definedName name="_5__123Graph_ACHART_1" localSheetId="13">#REF!</definedName>
    <definedName name="_5__123Graph_ACHART_1" localSheetId="26">#REF!</definedName>
    <definedName name="_5__123Graph_ACHART_1" localSheetId="0">#REF!</definedName>
    <definedName name="_5__123Graph_ACHART_1">#REF!</definedName>
    <definedName name="_51.REV.ARGAMAS" localSheetId="3">#REF!</definedName>
    <definedName name="_51.REV.ARGAMAS" localSheetId="5">#REF!</definedName>
    <definedName name="_51.REV.ARGAMAS" localSheetId="13">#REF!</definedName>
    <definedName name="_51.REV.ARGAMAS" localSheetId="26">#REF!</definedName>
    <definedName name="_51.REV.ARGAMAS">#REF!</definedName>
    <definedName name="_52.REV.CERAM.I" localSheetId="3">#REF!</definedName>
    <definedName name="_52.REV.CERAM.I" localSheetId="5">#REF!</definedName>
    <definedName name="_52.REV.CERAM.I" localSheetId="13">#REF!</definedName>
    <definedName name="_52.REV.CERAM.I" localSheetId="26">#REF!</definedName>
    <definedName name="_52.REV.CERAM.I">#REF!</definedName>
    <definedName name="_53.REV.CERAM.E" localSheetId="3">#REF!</definedName>
    <definedName name="_53.REV.CERAM.E" localSheetId="5">#REF!</definedName>
    <definedName name="_53.REV.CERAM.E" localSheetId="13">#REF!</definedName>
    <definedName name="_53.REV.CERAM.E" localSheetId="26">#REF!</definedName>
    <definedName name="_53.REV.CERAM.E">#REF!</definedName>
    <definedName name="_54.TACOS_E_ASS" localSheetId="3">#REF!</definedName>
    <definedName name="_54.TACOS_E_ASS" localSheetId="5">#REF!</definedName>
    <definedName name="_54.TACOS_E_ASS" localSheetId="13">#REF!</definedName>
    <definedName name="_54.TACOS_E_ASS" localSheetId="26">#REF!</definedName>
    <definedName name="_54.TACOS_E_ASS">#REF!</definedName>
    <definedName name="_55.MARM._E_GRA" localSheetId="3">#REF!</definedName>
    <definedName name="_55.MARM._E_GRA" localSheetId="5">#REF!</definedName>
    <definedName name="_55.MARM._E_GRA" localSheetId="13">#REF!</definedName>
    <definedName name="_55.MARM._E_GRA" localSheetId="26">#REF!</definedName>
    <definedName name="_55.MARM._E_GRA">#REF!</definedName>
    <definedName name="_56.MARMORITE" localSheetId="3">#REF!</definedName>
    <definedName name="_56.MARMORITE" localSheetId="5">#REF!</definedName>
    <definedName name="_56.MARMORITE" localSheetId="13">#REF!</definedName>
    <definedName name="_56.MARMORITE" localSheetId="26">#REF!</definedName>
    <definedName name="_56.MARMORITE">#REF!</definedName>
    <definedName name="_59.OUTRS_REVES" localSheetId="3">#REF!</definedName>
    <definedName name="_59.OUTRS_REVES" localSheetId="5">#REF!</definedName>
    <definedName name="_59.OUTRS_REVES" localSheetId="13">#REF!</definedName>
    <definedName name="_59.OUTRS_REVES" localSheetId="26">#REF!</definedName>
    <definedName name="_59.OUTRS_REVES">#REF!</definedName>
    <definedName name="_6__123Graph_AChart_1A" localSheetId="13">#REF!</definedName>
    <definedName name="_6__123Graph_AChart_1A">#REF!</definedName>
    <definedName name="_61.ESQUAD._MAD" localSheetId="3">#REF!</definedName>
    <definedName name="_61.ESQUAD._MAD" localSheetId="5">#REF!</definedName>
    <definedName name="_61.ESQUAD._MAD" localSheetId="13">#REF!</definedName>
    <definedName name="_61.ESQUAD._MAD" localSheetId="26">#REF!</definedName>
    <definedName name="_61.ESQUAD._MAD">#REF!</definedName>
    <definedName name="_63.ESQUAD._ALU" localSheetId="3">#REF!</definedName>
    <definedName name="_63.ESQUAD._ALU" localSheetId="5">#REF!</definedName>
    <definedName name="_63.ESQUAD._ALU" localSheetId="13">#REF!</definedName>
    <definedName name="_63.ESQUAD._ALU" localSheetId="26">#REF!</definedName>
    <definedName name="_63.ESQUAD._ALU">#REF!</definedName>
    <definedName name="_65.ESQUAD._FER" localSheetId="3">#REF!</definedName>
    <definedName name="_65.ESQUAD._FER" localSheetId="5">#REF!</definedName>
    <definedName name="_65.ESQUAD._FER" localSheetId="13">#REF!</definedName>
    <definedName name="_65.ESQUAD._FER" localSheetId="26">#REF!</definedName>
    <definedName name="_65.ESQUAD._FER">#REF!</definedName>
    <definedName name="_67.VIDROS" localSheetId="3">#REF!</definedName>
    <definedName name="_67.VIDROS" localSheetId="5">#REF!</definedName>
    <definedName name="_67.VIDROS" localSheetId="13">#REF!</definedName>
    <definedName name="_67.VIDROS" localSheetId="26">#REF!</definedName>
    <definedName name="_67.VIDROS">#REF!</definedName>
    <definedName name="_7__123Graph_ACHART_2" localSheetId="3">#REF!</definedName>
    <definedName name="_7__123Graph_ACHART_2" localSheetId="5">#REF!</definedName>
    <definedName name="_7__123Graph_ACHART_2" localSheetId="13">#REF!</definedName>
    <definedName name="_7__123Graph_ACHART_2" localSheetId="26">#REF!</definedName>
    <definedName name="_7__123Graph_ACHART_2" localSheetId="0">#REF!</definedName>
    <definedName name="_7__123Graph_ACHART_2">#REF!</definedName>
    <definedName name="_71_73.I.ELET_H" localSheetId="3">#REF!</definedName>
    <definedName name="_71_73.I.ELET_H" localSheetId="5">#REF!</definedName>
    <definedName name="_71_73.I.ELET_H" localSheetId="13">#REF!</definedName>
    <definedName name="_71_73.I.ELET_H" localSheetId="26">#REF!</definedName>
    <definedName name="_71_73.I.ELET_H">#REF!</definedName>
    <definedName name="_77.OUTRAS_INST." localSheetId="3">#REF!</definedName>
    <definedName name="_77.OUTRAS_INST." localSheetId="5">#REF!</definedName>
    <definedName name="_77.OUTRAS_INST." localSheetId="13">#REF!</definedName>
    <definedName name="_77.OUTRAS_INST." localSheetId="26">#REF!</definedName>
    <definedName name="_77.OUTRAS_INST.">#REF!</definedName>
    <definedName name="_78.ELEVADORES" localSheetId="3">#REF!</definedName>
    <definedName name="_78.ELEVADORES" localSheetId="5">#REF!</definedName>
    <definedName name="_78.ELEVADORES" localSheetId="13">#REF!</definedName>
    <definedName name="_78.ELEVADORES" localSheetId="26">#REF!</definedName>
    <definedName name="_78.ELEVADORES">#REF!</definedName>
    <definedName name="_8__123Graph_BChart_1A" localSheetId="13">#REF!</definedName>
    <definedName name="_8__123Graph_BChart_1A">#REF!</definedName>
    <definedName name="_81.APAR._SANIT" localSheetId="3">#REF!</definedName>
    <definedName name="_81.APAR._SANIT" localSheetId="5">#REF!</definedName>
    <definedName name="_81.APAR._SANIT" localSheetId="13">#REF!</definedName>
    <definedName name="_81.APAR._SANIT" localSheetId="26">#REF!</definedName>
    <definedName name="_81.APAR._SANIT">#REF!</definedName>
    <definedName name="_83_85.PINT_LIM" localSheetId="3">#REF!</definedName>
    <definedName name="_83_85.PINT_LIM" localSheetId="5">#REF!</definedName>
    <definedName name="_83_85.PINT_LIM" localSheetId="13">#REF!</definedName>
    <definedName name="_83_85.PINT_LIM" localSheetId="26">#REF!</definedName>
    <definedName name="_83_85.PINT_LIM">#REF!</definedName>
    <definedName name="_9__123Graph_BCHART_2" localSheetId="3">#REF!</definedName>
    <definedName name="_9__123Graph_BCHART_2" localSheetId="5">#REF!</definedName>
    <definedName name="_9__123Graph_BCHART_2" localSheetId="13">#REF!</definedName>
    <definedName name="_9__123Graph_BCHART_2" localSheetId="26">#REF!</definedName>
    <definedName name="_9__123Graph_BCHART_2" localSheetId="0">#REF!</definedName>
    <definedName name="_9__123Graph_BCHART_2">#REF!</definedName>
    <definedName name="_ACR10" localSheetId="3">#REF!</definedName>
    <definedName name="_ACR10" localSheetId="5">#REF!</definedName>
    <definedName name="_ACR10" localSheetId="13">#REF!</definedName>
    <definedName name="_ACR10" localSheetId="26">#REF!</definedName>
    <definedName name="_ACR10">#REF!</definedName>
    <definedName name="_ACR15" localSheetId="3">#REF!</definedName>
    <definedName name="_ACR15" localSheetId="5">#REF!</definedName>
    <definedName name="_ACR15" localSheetId="13">#REF!</definedName>
    <definedName name="_ACR15" localSheetId="26">#REF!</definedName>
    <definedName name="_ACR15">#REF!</definedName>
    <definedName name="_acr20" localSheetId="3">#REF!</definedName>
    <definedName name="_acr20" localSheetId="5">#REF!</definedName>
    <definedName name="_acr20" localSheetId="13">#REF!</definedName>
    <definedName name="_acr20" localSheetId="26">#REF!</definedName>
    <definedName name="_acr20">#REF!</definedName>
    <definedName name="_acr5" localSheetId="3">#REF!</definedName>
    <definedName name="_acr5" localSheetId="5">#REF!</definedName>
    <definedName name="_acr5" localSheetId="13">#REF!</definedName>
    <definedName name="_acr5" localSheetId="26">#REF!</definedName>
    <definedName name="_acr5">#REF!</definedName>
    <definedName name="_akhnsdkjsdb" localSheetId="3">#REF!</definedName>
    <definedName name="_akhnsdkjsdb" localSheetId="5">#REF!</definedName>
    <definedName name="_akhnsdkjsdb" localSheetId="13">#REF!</definedName>
    <definedName name="_akhnsdkjsdb" localSheetId="26">#REF!</definedName>
    <definedName name="_akhnsdkjsdb">#REF!</definedName>
    <definedName name="_AMO_UniqueIdentifier">"'54256040-62ff-475a-9348-dbdfce08df30'"</definedName>
    <definedName name="_ARQ1" localSheetId="3">#REF!</definedName>
    <definedName name="_ARQ1" localSheetId="5">#REF!</definedName>
    <definedName name="_ARQ1" localSheetId="13">#REF!</definedName>
    <definedName name="_ARQ1" localSheetId="26">#REF!</definedName>
    <definedName name="_ARQ1">#REF!</definedName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xe3" localSheetId="3">#REF!</definedName>
    <definedName name="_Axe3" localSheetId="5">#REF!</definedName>
    <definedName name="_Axe3" localSheetId="13">#REF!</definedName>
    <definedName name="_Axe3" localSheetId="26">#REF!</definedName>
    <definedName name="_Axe3">#REF!</definedName>
    <definedName name="_Axe4" localSheetId="3">#REF!</definedName>
    <definedName name="_Axe4" localSheetId="5">#REF!</definedName>
    <definedName name="_Axe4" localSheetId="13">#REF!</definedName>
    <definedName name="_Axe4" localSheetId="26">#REF!</definedName>
    <definedName name="_Axe4">#REF!</definedName>
    <definedName name="_Builtin13" localSheetId="3">#REF!</definedName>
    <definedName name="_Builtin13" localSheetId="5">#REF!</definedName>
    <definedName name="_Builtin13" localSheetId="13">#REF!</definedName>
    <definedName name="_Builtin13" localSheetId="26">#REF!</definedName>
    <definedName name="_Builtin13" localSheetId="0">#REF!</definedName>
    <definedName name="_Builtin13">#REF!</definedName>
    <definedName name="_CAB1" localSheetId="3">#REF!</definedName>
    <definedName name="_CAB1" localSheetId="5">#REF!</definedName>
    <definedName name="_CAB1" localSheetId="13">#REF!</definedName>
    <definedName name="_CAB1" localSheetId="26">#REF!</definedName>
    <definedName name="_CAB1">#REF!</definedName>
    <definedName name="_CAB2" localSheetId="3">#REF!</definedName>
    <definedName name="_CAB2" localSheetId="5">#REF!</definedName>
    <definedName name="_CAB2" localSheetId="13">#REF!</definedName>
    <definedName name="_CAB2" localSheetId="26">#REF!</definedName>
    <definedName name="_CAB2">#REF!</definedName>
    <definedName name="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3">#REF!</definedName>
    <definedName name="_Dist_Bin" localSheetId="5">#REF!</definedName>
    <definedName name="_Dist_Bin" localSheetId="13">#REF!</definedName>
    <definedName name="_Dist_Bin" localSheetId="26">#REF!</definedName>
    <definedName name="_Dist_Bin" localSheetId="0">#REF!</definedName>
    <definedName name="_Dist_Bin">#REF!</definedName>
    <definedName name="_Dist_Values" localSheetId="3">#REF!</definedName>
    <definedName name="_Dist_Values" localSheetId="5">#REF!</definedName>
    <definedName name="_Dist_Values" localSheetId="13">#REF!</definedName>
    <definedName name="_Dist_Values" localSheetId="26">#REF!</definedName>
    <definedName name="_Dist_Values" localSheetId="0">#REF!</definedName>
    <definedName name="_Dist_Values">#REF!</definedName>
    <definedName name="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9">#REF!</definedName>
    <definedName name="_Fill" localSheetId="3">#REF!</definedName>
    <definedName name="_Fill" localSheetId="13">#REF!</definedName>
    <definedName name="_Fill" localSheetId="26">#REF!</definedName>
    <definedName name="_Fill" localSheetId="0">#REF!</definedName>
    <definedName name="_Fill">#REF!</definedName>
    <definedName name="_fill1" localSheetId="13">#REF!</definedName>
    <definedName name="_fill1" localSheetId="0">#REF!</definedName>
    <definedName name="_fill1">#REF!</definedName>
    <definedName name="_FiltrarBancoDados2" localSheetId="8">#REF!</definedName>
    <definedName name="_FiltrarBancoDados2" localSheetId="13">#REF!</definedName>
    <definedName name="_FiltrarBancoDados2" localSheetId="26">#REF!</definedName>
    <definedName name="_FiltrarBancoDados2">#REF!</definedName>
    <definedName name="_xlnm._FilterDatabase" localSheetId="8" hidden="1">'Fundação Rasa'!$A$9:$Y$151</definedName>
    <definedName name="_xlnm._FilterDatabase" localSheetId="5" hidden="1">Ger_Executivo!$G$7:$P$351</definedName>
    <definedName name="_xlnm._FilterDatabase" localSheetId="4" hidden="1">'Ger_Tec e Adm'!$G$7:$P$127</definedName>
    <definedName name="_xlnm._FilterDatabase" localSheetId="21" hidden="1">HIDRO!$A$6:$J$73</definedName>
    <definedName name="_xlnm._FilterDatabase" localSheetId="22" hidden="1">'HIDRO - PREÇO'!$B$6:$E$222</definedName>
    <definedName name="_xlnm._FilterDatabase" localSheetId="26" hidden="1">MOBILIÁRIO!$B$11:$H$92</definedName>
    <definedName name="_htm2" localSheetId="3">#REF!</definedName>
    <definedName name="_htm2" localSheetId="5">#REF!</definedName>
    <definedName name="_htm2" localSheetId="13">#REF!</definedName>
    <definedName name="_htm2" localSheetId="26">#REF!</definedName>
    <definedName name="_htm2">#REF!</definedName>
    <definedName name="_htn2" localSheetId="3">#REF!</definedName>
    <definedName name="_htn2" localSheetId="5">#REF!</definedName>
    <definedName name="_htn2" localSheetId="13">#REF!</definedName>
    <definedName name="_htn2" localSheetId="26">#REF!</definedName>
    <definedName name="_htn2">#REF!</definedName>
    <definedName name="_IA0542" localSheetId="9">{#N/A,#N/A,FALSE,"Plan1";#N/A,#N/A,FALSE,"Plan2"}</definedName>
    <definedName name="_IA0542" localSheetId="6">{#N/A,#N/A,FALSE,"Plan1";#N/A,#N/A,FALSE,"Plan2"}</definedName>
    <definedName name="_IA0542" localSheetId="3">{#N/A,#N/A,FALSE,"Plan1";#N/A,#N/A,FALSE,"Plan2"}</definedName>
    <definedName name="_IA0542" localSheetId="8">{#N/A,#N/A,FALSE,"Plan1";#N/A,#N/A,FALSE,"Plan2"}</definedName>
    <definedName name="_IA0542" localSheetId="5">{#N/A,#N/A,FALSE,"Plan1";#N/A,#N/A,FALSE,"Plan2"}</definedName>
    <definedName name="_IA0542" localSheetId="4">{#N/A,#N/A,FALSE,"Plan1";#N/A,#N/A,FALSE,"Plan2"}</definedName>
    <definedName name="_IA0542" localSheetId="13">{#N/A,#N/A,FALSE,"Plan1";#N/A,#N/A,FALSE,"Plan2"}</definedName>
    <definedName name="_IA0542" localSheetId="17">{#N/A,#N/A,FALSE,"Plan1";#N/A,#N/A,FALSE,"Plan2"}</definedName>
    <definedName name="_IA0542" localSheetId="0">{#N/A,#N/A,FALSE,"Plan1";#N/A,#N/A,FALSE,"Plan2"}</definedName>
    <definedName name="_IA0542" localSheetId="19">{#N/A,#N/A,FALSE,"Plan1";#N/A,#N/A,FALSE,"Plan2"}</definedName>
    <definedName name="_IA0542" localSheetId="16">{#N/A,#N/A,FALSE,"Plan1";#N/A,#N/A,FALSE,"Plan2"}</definedName>
    <definedName name="_IA0542" localSheetId="18">{#N/A,#N/A,FALSE,"Plan1";#N/A,#N/A,FALSE,"Plan2"}</definedName>
    <definedName name="_IA0542" localSheetId="10">{#N/A,#N/A,FALSE,"Plan1";#N/A,#N/A,FALSE,"Plan2"}</definedName>
    <definedName name="_IA0542">{#N/A,#N/A,FALSE,"Plan1";#N/A,#N/A,FALSE,"Plan2"}</definedName>
    <definedName name="_iss2" localSheetId="3">#REF!</definedName>
    <definedName name="_iss2" localSheetId="5">#REF!</definedName>
    <definedName name="_iss2" localSheetId="13">#REF!</definedName>
    <definedName name="_iss2" localSheetId="26">#REF!</definedName>
    <definedName name="_iss2">#REF!</definedName>
    <definedName name="_IV65617" localSheetId="3">#REF!</definedName>
    <definedName name="_IV65617" localSheetId="5">#REF!</definedName>
    <definedName name="_IV65617" localSheetId="13">#REF!</definedName>
    <definedName name="_IV65617" localSheetId="26">#REF!</definedName>
    <definedName name="_IV65617">#REF!</definedName>
    <definedName name="_IV65999" localSheetId="3">#REF!</definedName>
    <definedName name="_IV65999" localSheetId="5">#REF!</definedName>
    <definedName name="_IV65999" localSheetId="13">#REF!</definedName>
    <definedName name="_IV65999" localSheetId="26">#REF!</definedName>
    <definedName name="_IV65999">#REF!</definedName>
    <definedName name="_IV66000" localSheetId="3">#REF!</definedName>
    <definedName name="_IV66000" localSheetId="5">#REF!</definedName>
    <definedName name="_IV66000" localSheetId="13">#REF!</definedName>
    <definedName name="_IV66000" localSheetId="26">#REF!</definedName>
    <definedName name="_IV66000">#REF!</definedName>
    <definedName name="_IV67021" localSheetId="3">#REF!</definedName>
    <definedName name="_IV67021" localSheetId="5">#REF!</definedName>
    <definedName name="_IV67021" localSheetId="13">#REF!</definedName>
    <definedName name="_IV67021" localSheetId="26">#REF!</definedName>
    <definedName name="_IV67021">#REF!</definedName>
    <definedName name="_IV67022" localSheetId="3">#REF!</definedName>
    <definedName name="_IV67022" localSheetId="5">#REF!</definedName>
    <definedName name="_IV67022" localSheetId="13">#REF!</definedName>
    <definedName name="_IV67022" localSheetId="26">#REF!</definedName>
    <definedName name="_IV67022">#REF!</definedName>
    <definedName name="_Key1" localSheetId="3">#REF!</definedName>
    <definedName name="_Key1" localSheetId="5">#REF!</definedName>
    <definedName name="_Key1" localSheetId="13">#REF!</definedName>
    <definedName name="_Key1" localSheetId="26">#REF!</definedName>
    <definedName name="_Key1" localSheetId="0">#REF!</definedName>
    <definedName name="_Key1">#REF!</definedName>
    <definedName name="_Key2" localSheetId="13">#REF!</definedName>
    <definedName name="_Key2" localSheetId="0">#REF!</definedName>
    <definedName name="_Key2">#REF!</definedName>
    <definedName name="_KEY3" localSheetId="13">#REF!</definedName>
    <definedName name="_KEY3">#REF!</definedName>
    <definedName name="_key4" localSheetId="13">#REF!</definedName>
    <definedName name="_key4">#REF!</definedName>
    <definedName name="_l" localSheetId="3">#REF!</definedName>
    <definedName name="_l" localSheetId="5">#REF!</definedName>
    <definedName name="_l" localSheetId="13">#REF!</definedName>
    <definedName name="_l" localSheetId="26">#REF!</definedName>
    <definedName name="_l">#REF!</definedName>
    <definedName name="_la29" localSheetId="3">#REF!</definedName>
    <definedName name="_la29" localSheetId="5">#REF!</definedName>
    <definedName name="_la29" localSheetId="13">#REF!</definedName>
    <definedName name="_la29" localSheetId="26">#REF!</definedName>
    <definedName name="_la29" localSheetId="0">#REF!</definedName>
    <definedName name="_la29">#REF!</definedName>
    <definedName name="_la3" localSheetId="3">#REF!</definedName>
    <definedName name="_la3" localSheetId="5">#REF!</definedName>
    <definedName name="_la3" localSheetId="13">#REF!</definedName>
    <definedName name="_la3" localSheetId="26">#REF!</definedName>
    <definedName name="_la3" localSheetId="0">#REF!</definedName>
    <definedName name="_la3">#REF!</definedName>
    <definedName name="_la31" localSheetId="13">#REF!</definedName>
    <definedName name="_la31">#REF!</definedName>
    <definedName name="_la32" localSheetId="13">#REF!</definedName>
    <definedName name="_la32">#REF!</definedName>
    <definedName name="_la4" localSheetId="13">#REF!</definedName>
    <definedName name="_la4">#REF!</definedName>
    <definedName name="_la5" localSheetId="13">#REF!</definedName>
    <definedName name="_la5">#REF!</definedName>
    <definedName name="_la6" localSheetId="13">#REF!</definedName>
    <definedName name="_la6">#REF!</definedName>
    <definedName name="_la7" localSheetId="13">#REF!</definedName>
    <definedName name="_la7">#REF!</definedName>
    <definedName name="_la8" localSheetId="13">#REF!</definedName>
    <definedName name="_la8">#REF!</definedName>
    <definedName name="_la9" localSheetId="13">#REF!</definedName>
    <definedName name="_la9">#REF!</definedName>
    <definedName name="_lb1" localSheetId="13">#REF!</definedName>
    <definedName name="_lb1">#REF!</definedName>
    <definedName name="_lb10" localSheetId="13">#REF!</definedName>
    <definedName name="_lb10">#REF!</definedName>
    <definedName name="_lb11" localSheetId="13">#REF!</definedName>
    <definedName name="_lb11">#REF!</definedName>
    <definedName name="_lb12" localSheetId="13">#REF!</definedName>
    <definedName name="_lb12">#REF!</definedName>
    <definedName name="_lb13" localSheetId="13">#REF!</definedName>
    <definedName name="_lb13">#REF!</definedName>
    <definedName name="_lb14" localSheetId="13">#REF!</definedName>
    <definedName name="_lb14">#REF!</definedName>
    <definedName name="_lb15" localSheetId="13">#REF!</definedName>
    <definedName name="_lb15">#REF!</definedName>
    <definedName name="_lb16" localSheetId="13">#REF!</definedName>
    <definedName name="_lb16">#REF!</definedName>
    <definedName name="_lb17" localSheetId="13">#REF!</definedName>
    <definedName name="_lb17">#REF!</definedName>
    <definedName name="_lb18" localSheetId="13">#REF!</definedName>
    <definedName name="_lb18">#REF!</definedName>
    <definedName name="_lb19" localSheetId="13">#REF!</definedName>
    <definedName name="_lb19">#REF!</definedName>
    <definedName name="_lb2" localSheetId="13">#REF!</definedName>
    <definedName name="_lb2">#REF!</definedName>
    <definedName name="_lb20" localSheetId="13">#REF!</definedName>
    <definedName name="_lb20">#REF!</definedName>
    <definedName name="_lb21" localSheetId="13">#REF!</definedName>
    <definedName name="_lb21">#REF!</definedName>
    <definedName name="_lb22" localSheetId="13">#REF!</definedName>
    <definedName name="_lb22">#REF!</definedName>
    <definedName name="_lb23" localSheetId="13">#REF!</definedName>
    <definedName name="_lb23">#REF!</definedName>
    <definedName name="_lb24" localSheetId="13">#REF!</definedName>
    <definedName name="_lb24">#REF!</definedName>
    <definedName name="_lb25" localSheetId="13">#REF!</definedName>
    <definedName name="_lb25">#REF!</definedName>
    <definedName name="_lb27" localSheetId="13">#REF!</definedName>
    <definedName name="_lb27">#REF!</definedName>
    <definedName name="_lb28" localSheetId="13">#REF!</definedName>
    <definedName name="_lb28">#REF!</definedName>
    <definedName name="_lb29" localSheetId="13">#REF!</definedName>
    <definedName name="_lb29">#REF!</definedName>
    <definedName name="_lb3" localSheetId="13">#REF!</definedName>
    <definedName name="_lb3">#REF!</definedName>
    <definedName name="_lb30" localSheetId="13">#REF!</definedName>
    <definedName name="_lb30">#REF!</definedName>
    <definedName name="_lb31" localSheetId="13">#REF!</definedName>
    <definedName name="_lb31">#REF!</definedName>
    <definedName name="_lb32" localSheetId="13">#REF!</definedName>
    <definedName name="_lb32">#REF!</definedName>
    <definedName name="_lb4" localSheetId="13">#REF!</definedName>
    <definedName name="_lb4">#REF!</definedName>
    <definedName name="_lb5" localSheetId="13">#REF!</definedName>
    <definedName name="_lb5">#REF!</definedName>
    <definedName name="_lb6" localSheetId="13">#REF!</definedName>
    <definedName name="_lb6">#REF!</definedName>
    <definedName name="_lb7" localSheetId="13">#REF!</definedName>
    <definedName name="_lb7">#REF!</definedName>
    <definedName name="_lb8" localSheetId="13">#REF!</definedName>
    <definedName name="_lb8">#REF!</definedName>
    <definedName name="_lb9" localSheetId="13">#REF!</definedName>
    <definedName name="_lb9">#REF!</definedName>
    <definedName name="_lbc1" localSheetId="13">#REF!</definedName>
    <definedName name="_lbc1">#REF!</definedName>
    <definedName name="_lbc10" localSheetId="13">#REF!</definedName>
    <definedName name="_lbc10">#REF!</definedName>
    <definedName name="_lbc11" localSheetId="13">#REF!</definedName>
    <definedName name="_lbc11">#REF!</definedName>
    <definedName name="_lbc12" localSheetId="13">#REF!</definedName>
    <definedName name="_lbc12">#REF!</definedName>
    <definedName name="_lbc13" localSheetId="13">#REF!</definedName>
    <definedName name="_lbc13">#REF!</definedName>
    <definedName name="_lbc14" localSheetId="13">#REF!</definedName>
    <definedName name="_lbc14">#REF!</definedName>
    <definedName name="_lbc15" localSheetId="13">#REF!</definedName>
    <definedName name="_lbc15">#REF!</definedName>
    <definedName name="_lbc16" localSheetId="13">#REF!</definedName>
    <definedName name="_lbc16">#REF!</definedName>
    <definedName name="_lbc17" localSheetId="13">#REF!</definedName>
    <definedName name="_lbc17">#REF!</definedName>
    <definedName name="_lbc18" localSheetId="13">#REF!</definedName>
    <definedName name="_lbc18">#REF!</definedName>
    <definedName name="_lbc19" localSheetId="13">#REF!</definedName>
    <definedName name="_lbc19">#REF!</definedName>
    <definedName name="_lbc2" localSheetId="13">#REF!</definedName>
    <definedName name="_lbc2">#REF!</definedName>
    <definedName name="_lbc20" localSheetId="13">#REF!</definedName>
    <definedName name="_lbc20">#REF!</definedName>
    <definedName name="_lbc21" localSheetId="13">#REF!</definedName>
    <definedName name="_lbc21">#REF!</definedName>
    <definedName name="_lbc22" localSheetId="13">#REF!</definedName>
    <definedName name="_lbc22">#REF!</definedName>
    <definedName name="_lbc23" localSheetId="13">#REF!</definedName>
    <definedName name="_lbc23">#REF!</definedName>
    <definedName name="_lbc24" localSheetId="13">#REF!</definedName>
    <definedName name="_lbc24">#REF!</definedName>
    <definedName name="_lbc25" localSheetId="13">#REF!</definedName>
    <definedName name="_lbc25">#REF!</definedName>
    <definedName name="_lbc26" localSheetId="13">#REF!</definedName>
    <definedName name="_lbc26">#REF!</definedName>
    <definedName name="_lbc27" localSheetId="13">#REF!</definedName>
    <definedName name="_lbc27">#REF!</definedName>
    <definedName name="_lbc28" localSheetId="13">#REF!</definedName>
    <definedName name="_lbc28">#REF!</definedName>
    <definedName name="_lbc29" localSheetId="13">#REF!</definedName>
    <definedName name="_lbc29">#REF!</definedName>
    <definedName name="_lbc3" localSheetId="13">#REF!</definedName>
    <definedName name="_lbc3">#REF!</definedName>
    <definedName name="_lbc31" localSheetId="13">#REF!</definedName>
    <definedName name="_lbc31">#REF!</definedName>
    <definedName name="_lbc32" localSheetId="13">#REF!</definedName>
    <definedName name="_lbc32">#REF!</definedName>
    <definedName name="_lbc4" localSheetId="13">#REF!</definedName>
    <definedName name="_lbc4">#REF!</definedName>
    <definedName name="_lbc5" localSheetId="13">#REF!</definedName>
    <definedName name="_lbc5">#REF!</definedName>
    <definedName name="_lbc6" localSheetId="13">#REF!</definedName>
    <definedName name="_lbc6">#REF!</definedName>
    <definedName name="_lbc7" localSheetId="13">#REF!</definedName>
    <definedName name="_lbc7">#REF!</definedName>
    <definedName name="_lbc8" localSheetId="13">#REF!</definedName>
    <definedName name="_lbc8">#REF!</definedName>
    <definedName name="_lbc9" localSheetId="13">#REF!</definedName>
    <definedName name="_lbc9">#REF!</definedName>
    <definedName name="_ld26" localSheetId="13">#REF!</definedName>
    <definedName name="_ld26">#REF!</definedName>
    <definedName name="_ld31" localSheetId="13">#REF!</definedName>
    <definedName name="_ld31">#REF!</definedName>
    <definedName name="_le31" localSheetId="13">#REF!</definedName>
    <definedName name="_le31">#REF!</definedName>
    <definedName name="_lf31" localSheetId="13">#REF!</definedName>
    <definedName name="_lf31">#REF!</definedName>
    <definedName name="_MatInverse_In" localSheetId="13">#REF!</definedName>
    <definedName name="_MatInverse_In">#REF!</definedName>
    <definedName name="_MatMult_A" localSheetId="3">#REF!</definedName>
    <definedName name="_MatMult_A" localSheetId="5">#REF!</definedName>
    <definedName name="_MatMult_A" localSheetId="13">#REF!</definedName>
    <definedName name="_MatMult_A" localSheetId="26">#REF!</definedName>
    <definedName name="_MatMult_A" localSheetId="0">#REF!</definedName>
    <definedName name="_MatMult_A">#REF!</definedName>
    <definedName name="_MatMult_AxB" localSheetId="13">#REF!</definedName>
    <definedName name="_MatMult_AxB">#REF!</definedName>
    <definedName name="_MatMult_B" localSheetId="13">#REF!</definedName>
    <definedName name="_MatMult_B">#REF!</definedName>
    <definedName name="_new11" localSheetId="9">{#N/A,#N/A,FALSE,"Global by BU";#N/A,#N/A,FALSE,"U.S. by BU";#N/A,#N/A,FALSE,"Canada by BU";#N/A,#N/A,FALSE,"Europe by BU";#N/A,#N/A,FALSE,"Asia by BU";#N/A,#N/A,FALSE,"Cala by BU"}</definedName>
    <definedName name="_new11" localSheetId="6">{#N/A,#N/A,FALSE,"Global by BU";#N/A,#N/A,FALSE,"U.S. by BU";#N/A,#N/A,FALSE,"Canada by BU";#N/A,#N/A,FALSE,"Europe by BU";#N/A,#N/A,FALSE,"Asia by BU";#N/A,#N/A,FALSE,"Cala by BU"}</definedName>
    <definedName name="_new11" localSheetId="3">{#N/A,#N/A,FALSE,"Global by BU";#N/A,#N/A,FALSE,"U.S. by BU";#N/A,#N/A,FALSE,"Canada by BU";#N/A,#N/A,FALSE,"Europe by BU";#N/A,#N/A,FALSE,"Asia by BU";#N/A,#N/A,FALSE,"Cala by BU"}</definedName>
    <definedName name="_new11" localSheetId="8">{#N/A,#N/A,FALSE,"Global by BU";#N/A,#N/A,FALSE,"U.S. by BU";#N/A,#N/A,FALSE,"Canada by BU";#N/A,#N/A,FALSE,"Europe by BU";#N/A,#N/A,FALSE,"Asia by BU";#N/A,#N/A,FALSE,"Cala by BU"}</definedName>
    <definedName name="_new11" localSheetId="5">{#N/A,#N/A,FALSE,"Global by BU";#N/A,#N/A,FALSE,"U.S. by BU";#N/A,#N/A,FALSE,"Canada by BU";#N/A,#N/A,FALSE,"Europe by BU";#N/A,#N/A,FALSE,"Asia by BU";#N/A,#N/A,FALSE,"Cala by BU"}</definedName>
    <definedName name="_new11" localSheetId="4">{#N/A,#N/A,FALSE,"Global by BU";#N/A,#N/A,FALSE,"U.S. by BU";#N/A,#N/A,FALSE,"Canada by BU";#N/A,#N/A,FALSE,"Europe by BU";#N/A,#N/A,FALSE,"Asia by BU";#N/A,#N/A,FALSE,"Cala by BU"}</definedName>
    <definedName name="_new11" localSheetId="13">{#N/A,#N/A,FALSE,"Global by BU";#N/A,#N/A,FALSE,"U.S. by BU";#N/A,#N/A,FALSE,"Canada by BU";#N/A,#N/A,FALSE,"Europe by BU";#N/A,#N/A,FALSE,"Asia by BU";#N/A,#N/A,FALSE,"Cala by BU"}</definedName>
    <definedName name="_new11" localSheetId="17">{#N/A,#N/A,FALSE,"Global by BU";#N/A,#N/A,FALSE,"U.S. by BU";#N/A,#N/A,FALSE,"Canada by BU";#N/A,#N/A,FALSE,"Europe by BU";#N/A,#N/A,FALSE,"Asia by BU";#N/A,#N/A,FALSE,"Cala by BU"}</definedName>
    <definedName name="_new11" localSheetId="0">{#N/A,#N/A,FALSE,"Global by BU";#N/A,#N/A,FALSE,"U.S. by BU";#N/A,#N/A,FALSE,"Canada by BU";#N/A,#N/A,FALSE,"Europe by BU";#N/A,#N/A,FALSE,"Asia by BU";#N/A,#N/A,FALSE,"Cala by BU"}</definedName>
    <definedName name="_new11" localSheetId="19">{#N/A,#N/A,FALSE,"Global by BU";#N/A,#N/A,FALSE,"U.S. by BU";#N/A,#N/A,FALSE,"Canada by BU";#N/A,#N/A,FALSE,"Europe by BU";#N/A,#N/A,FALSE,"Asia by BU";#N/A,#N/A,FALSE,"Cala by BU"}</definedName>
    <definedName name="_new11" localSheetId="16">{#N/A,#N/A,FALSE,"Global by BU";#N/A,#N/A,FALSE,"U.S. by BU";#N/A,#N/A,FALSE,"Canada by BU";#N/A,#N/A,FALSE,"Europe by BU";#N/A,#N/A,FALSE,"Asia by BU";#N/A,#N/A,FALSE,"Cala by BU"}</definedName>
    <definedName name="_new11" localSheetId="18">{#N/A,#N/A,FALSE,"Global by BU";#N/A,#N/A,FALSE,"U.S. by BU";#N/A,#N/A,FALSE,"Canada by BU";#N/A,#N/A,FALSE,"Europe by BU";#N/A,#N/A,FALSE,"Asia by BU";#N/A,#N/A,FALSE,"Cala by BU"}</definedName>
    <definedName name="_new11" localSheetId="10">{#N/A,#N/A,FALSE,"Global by BU";#N/A,#N/A,FALSE,"U.S. by BU";#N/A,#N/A,FALSE,"Canada by BU";#N/A,#N/A,FALSE,"Europe by BU";#N/A,#N/A,FALSE,"Asia by BU";#N/A,#N/A,FALSE,"Cala by BU"}</definedName>
    <definedName name="_new11">{#N/A,#N/A,FALSE,"Global by BU";#N/A,#N/A,FALSE,"U.S. by BU";#N/A,#N/A,FALSE,"Canada by BU";#N/A,#N/A,FALSE,"Europe by BU";#N/A,#N/A,FALSE,"Asia by BU";#N/A,#N/A,FALSE,"Cala by BU"}</definedName>
    <definedName name="_Order1">0</definedName>
    <definedName name="_Order2" localSheetId="6">0</definedName>
    <definedName name="_Order2" localSheetId="8">0</definedName>
    <definedName name="_Order2" localSheetId="5">0</definedName>
    <definedName name="_Order2" localSheetId="4">255</definedName>
    <definedName name="_Order2" localSheetId="0">255</definedName>
    <definedName name="_Order2" localSheetId="19">0</definedName>
    <definedName name="_Order2">255</definedName>
    <definedName name="_Parse_Out" localSheetId="3">#REF!</definedName>
    <definedName name="_Parse_Out" localSheetId="13">#REF!</definedName>
    <definedName name="_Parse_Out" localSheetId="26">#REF!</definedName>
    <definedName name="_Parse_Out" localSheetId="0">#REF!</definedName>
    <definedName name="_Parse_Out">#REF!</definedName>
    <definedName name="_PAV01" localSheetId="3">#REF!</definedName>
    <definedName name="_PAV01" localSheetId="5">#REF!</definedName>
    <definedName name="_PAV01" localSheetId="13">#REF!</definedName>
    <definedName name="_PAV01" localSheetId="26">#REF!</definedName>
    <definedName name="_PAV01">#REF!</definedName>
    <definedName name="_PAV02" localSheetId="3">#REF!</definedName>
    <definedName name="_PAV02" localSheetId="5">#REF!</definedName>
    <definedName name="_PAV02" localSheetId="13">#REF!</definedName>
    <definedName name="_PAV02" localSheetId="26">#REF!</definedName>
    <definedName name="_PAV02">#REF!</definedName>
    <definedName name="_PAV03" localSheetId="3">#REF!</definedName>
    <definedName name="_PAV03" localSheetId="5">#REF!</definedName>
    <definedName name="_PAV03" localSheetId="13">#REF!</definedName>
    <definedName name="_PAV03" localSheetId="26">#REF!</definedName>
    <definedName name="_PAV03">#REF!</definedName>
    <definedName name="_PAV04" localSheetId="3">#REF!</definedName>
    <definedName name="_PAV04" localSheetId="5">#REF!</definedName>
    <definedName name="_PAV04" localSheetId="13">#REF!</definedName>
    <definedName name="_PAV04" localSheetId="26">#REF!</definedName>
    <definedName name="_PAV04">#REF!</definedName>
    <definedName name="_PAV05" localSheetId="3">#REF!</definedName>
    <definedName name="_PAV05" localSheetId="5">#REF!</definedName>
    <definedName name="_PAV05" localSheetId="13">#REF!</definedName>
    <definedName name="_PAV05" localSheetId="26">#REF!</definedName>
    <definedName name="_PAV05">#REF!</definedName>
    <definedName name="_PAV06" localSheetId="3">#REF!</definedName>
    <definedName name="_PAV06" localSheetId="5">#REF!</definedName>
    <definedName name="_PAV06" localSheetId="13">#REF!</definedName>
    <definedName name="_PAV06" localSheetId="26">#REF!</definedName>
    <definedName name="_PAV06">#REF!</definedName>
    <definedName name="_PAV07" localSheetId="3">#REF!</definedName>
    <definedName name="_PAV07" localSheetId="5">#REF!</definedName>
    <definedName name="_PAV07" localSheetId="13">#REF!</definedName>
    <definedName name="_PAV07" localSheetId="26">#REF!</definedName>
    <definedName name="_PAV07">#REF!</definedName>
    <definedName name="_PAV08" localSheetId="3">#REF!</definedName>
    <definedName name="_PAV08" localSheetId="5">#REF!</definedName>
    <definedName name="_PAV08" localSheetId="13">#REF!</definedName>
    <definedName name="_PAV08" localSheetId="26">#REF!</definedName>
    <definedName name="_PAV08">#REF!</definedName>
    <definedName name="_PAV09" localSheetId="3">#REF!</definedName>
    <definedName name="_PAV09" localSheetId="5">#REF!</definedName>
    <definedName name="_PAV09" localSheetId="13">#REF!</definedName>
    <definedName name="_PAV09" localSheetId="26">#REF!</definedName>
    <definedName name="_PAV09">#REF!</definedName>
    <definedName name="_PAV10" localSheetId="3">#REF!</definedName>
    <definedName name="_PAV10" localSheetId="5">#REF!</definedName>
    <definedName name="_PAV10" localSheetId="13">#REF!</definedName>
    <definedName name="_PAV10" localSheetId="26">#REF!</definedName>
    <definedName name="_PAV10">#REF!</definedName>
    <definedName name="_PAV11" localSheetId="3">#REF!</definedName>
    <definedName name="_PAV11" localSheetId="5">#REF!</definedName>
    <definedName name="_PAV11" localSheetId="13">#REF!</definedName>
    <definedName name="_PAV11" localSheetId="26">#REF!</definedName>
    <definedName name="_PAV11">#REF!</definedName>
    <definedName name="_PK2" localSheetId="9">{"'장비'!$A$3:$M$12"}</definedName>
    <definedName name="_PK2" localSheetId="6">{"'장비'!$A$3:$M$12"}</definedName>
    <definedName name="_PK2" localSheetId="3">{"'장비'!$A$3:$M$12"}</definedName>
    <definedName name="_PK2" localSheetId="8">{"'장비'!$A$3:$M$12"}</definedName>
    <definedName name="_PK2" localSheetId="5">{"'장비'!$A$3:$M$12"}</definedName>
    <definedName name="_PK2" localSheetId="4">{"'장비'!$A$3:$M$12"}</definedName>
    <definedName name="_PK2" localSheetId="13">{"'장비'!$A$3:$M$12"}</definedName>
    <definedName name="_PK2" localSheetId="17">{"'장비'!$A$3:$M$12"}</definedName>
    <definedName name="_PK2" localSheetId="0">{"'장비'!$A$3:$M$12"}</definedName>
    <definedName name="_PK2" localSheetId="19">{"'장비'!$A$3:$M$12"}</definedName>
    <definedName name="_PK2" localSheetId="16">{"'장비'!$A$3:$M$12"}</definedName>
    <definedName name="_PK2" localSheetId="18">{"'장비'!$A$3:$M$12"}</definedName>
    <definedName name="_PK2" localSheetId="10">{"'장비'!$A$3:$M$12"}</definedName>
    <definedName name="_PK2">{"'장비'!$A$3:$M$12"}</definedName>
    <definedName name="_PKG3" localSheetId="9">{"'장비'!$A$3:$M$12"}</definedName>
    <definedName name="_PKG3" localSheetId="6">{"'장비'!$A$3:$M$12"}</definedName>
    <definedName name="_PKG3" localSheetId="3">{"'장비'!$A$3:$M$12"}</definedName>
    <definedName name="_PKG3" localSheetId="8">{"'장비'!$A$3:$M$12"}</definedName>
    <definedName name="_PKG3" localSheetId="5">{"'장비'!$A$3:$M$12"}</definedName>
    <definedName name="_PKG3" localSheetId="4">{"'장비'!$A$3:$M$12"}</definedName>
    <definedName name="_PKG3" localSheetId="13">{"'장비'!$A$3:$M$12"}</definedName>
    <definedName name="_PKG3" localSheetId="17">{"'장비'!$A$3:$M$12"}</definedName>
    <definedName name="_PKG3" localSheetId="0">{"'장비'!$A$3:$M$12"}</definedName>
    <definedName name="_PKG3" localSheetId="19">{"'장비'!$A$3:$M$12"}</definedName>
    <definedName name="_PKG3" localSheetId="16">{"'장비'!$A$3:$M$12"}</definedName>
    <definedName name="_PKG3" localSheetId="18">{"'장비'!$A$3:$M$12"}</definedName>
    <definedName name="_PKG3" localSheetId="10">{"'장비'!$A$3:$M$12"}</definedName>
    <definedName name="_PKG3">{"'장비'!$A$3:$M$12"}</definedName>
    <definedName name="_qqq222" localSheetId="9">{"'장비'!$A$3:$M$12"}</definedName>
    <definedName name="_qqq222" localSheetId="6">{"'장비'!$A$3:$M$12"}</definedName>
    <definedName name="_qqq222" localSheetId="3">{"'장비'!$A$3:$M$12"}</definedName>
    <definedName name="_qqq222" localSheetId="8">{"'장비'!$A$3:$M$12"}</definedName>
    <definedName name="_qqq222" localSheetId="5">{"'장비'!$A$3:$M$12"}</definedName>
    <definedName name="_qqq222" localSheetId="4">{"'장비'!$A$3:$M$12"}</definedName>
    <definedName name="_qqq222" localSheetId="13">{"'장비'!$A$3:$M$12"}</definedName>
    <definedName name="_qqq222" localSheetId="17">{"'장비'!$A$3:$M$12"}</definedName>
    <definedName name="_qqq222" localSheetId="0">{"'장비'!$A$3:$M$12"}</definedName>
    <definedName name="_qqq222" localSheetId="19">{"'장비'!$A$3:$M$12"}</definedName>
    <definedName name="_qqq222" localSheetId="16">{"'장비'!$A$3:$M$12"}</definedName>
    <definedName name="_qqq222" localSheetId="18">{"'장비'!$A$3:$M$12"}</definedName>
    <definedName name="_qqq222" localSheetId="10">{"'장비'!$A$3:$M$12"}</definedName>
    <definedName name="_qqq222">{"'장비'!$A$3:$M$12"}</definedName>
    <definedName name="_QT100" localSheetId="3">#REF!</definedName>
    <definedName name="_QT100" localSheetId="5">#REF!</definedName>
    <definedName name="_QT100" localSheetId="13">#REF!</definedName>
    <definedName name="_QT100" localSheetId="26">#REF!</definedName>
    <definedName name="_QT100">#REF!</definedName>
    <definedName name="_QT2" localSheetId="3">#REF!</definedName>
    <definedName name="_QT2" localSheetId="5">#REF!</definedName>
    <definedName name="_QT2" localSheetId="13">#REF!</definedName>
    <definedName name="_QT2" localSheetId="26">#REF!</definedName>
    <definedName name="_QT2">#REF!</definedName>
    <definedName name="_QT3" localSheetId="3">#REF!</definedName>
    <definedName name="_QT3" localSheetId="5">#REF!</definedName>
    <definedName name="_QT3" localSheetId="13">#REF!</definedName>
    <definedName name="_QT3" localSheetId="26">#REF!</definedName>
    <definedName name="_QT3">#REF!</definedName>
    <definedName name="_QT4" localSheetId="3">#REF!</definedName>
    <definedName name="_QT4" localSheetId="5">#REF!</definedName>
    <definedName name="_QT4" localSheetId="13">#REF!</definedName>
    <definedName name="_QT4" localSheetId="26">#REF!</definedName>
    <definedName name="_QT4">#REF!</definedName>
    <definedName name="_QT50" localSheetId="3">#REF!</definedName>
    <definedName name="_QT50" localSheetId="5">#REF!</definedName>
    <definedName name="_QT50" localSheetId="13">#REF!</definedName>
    <definedName name="_QT50" localSheetId="26">#REF!</definedName>
    <definedName name="_QT50">#REF!</definedName>
    <definedName name="_QT75" localSheetId="3">#REF!</definedName>
    <definedName name="_QT75" localSheetId="5">#REF!</definedName>
    <definedName name="_QT75" localSheetId="13">#REF!</definedName>
    <definedName name="_QT75" localSheetId="26">#REF!</definedName>
    <definedName name="_QT75">#REF!</definedName>
    <definedName name="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>1</definedName>
    <definedName name="_Regression_Out" localSheetId="3">#REF!</definedName>
    <definedName name="_Regression_Out" localSheetId="5">#REF!</definedName>
    <definedName name="_Regression_Out" localSheetId="13">#REF!</definedName>
    <definedName name="_Regression_Out" localSheetId="26">#REF!</definedName>
    <definedName name="_Regression_Out" localSheetId="0">#REF!</definedName>
    <definedName name="_Regression_Out">#REF!</definedName>
    <definedName name="_Regression_X" localSheetId="13">#REF!</definedName>
    <definedName name="_Regression_X" localSheetId="0">#REF!</definedName>
    <definedName name="_Regression_X">#REF!</definedName>
    <definedName name="_Regression_Y" localSheetId="13">#REF!</definedName>
    <definedName name="_Regression_Y" localSheetId="0">#REF!</definedName>
    <definedName name="_Regression_Y">#REF!</definedName>
    <definedName name="_sfe5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3">#REF!</definedName>
    <definedName name="_Sort" localSheetId="5">#REF!</definedName>
    <definedName name="_Sort" localSheetId="13">#REF!</definedName>
    <definedName name="_Sort" localSheetId="26">#REF!</definedName>
    <definedName name="_Sort" localSheetId="0">#REF!</definedName>
    <definedName name="_Sort">#REF!</definedName>
    <definedName name="_T" localSheetId="3">#REF!</definedName>
    <definedName name="_T" localSheetId="5">#REF!</definedName>
    <definedName name="_T" localSheetId="13">#REF!</definedName>
    <definedName name="_T" localSheetId="26">#REF!</definedName>
    <definedName name="_T">#REF!</definedName>
    <definedName name="_Table1_In1" localSheetId="13">#REF!</definedName>
    <definedName name="_Table1_In1" localSheetId="0">#REF!</definedName>
    <definedName name="_Table1_In1">#REF!</definedName>
    <definedName name="_Table1_Out" localSheetId="13">#REF!</definedName>
    <definedName name="_Table1_Out">#REF!</definedName>
    <definedName name="_wer3" localSheetId="9">{#N/A,#N/A,FALSE,"Plan1";#N/A,#N/A,FALSE,"Plan2"}</definedName>
    <definedName name="_wer3" localSheetId="6">{#N/A,#N/A,FALSE,"Plan1";#N/A,#N/A,FALSE,"Plan2"}</definedName>
    <definedName name="_wer3" localSheetId="3">{#N/A,#N/A,FALSE,"Plan1";#N/A,#N/A,FALSE,"Plan2"}</definedName>
    <definedName name="_wer3" localSheetId="8">{#N/A,#N/A,FALSE,"Plan1";#N/A,#N/A,FALSE,"Plan2"}</definedName>
    <definedName name="_wer3" localSheetId="5">{#N/A,#N/A,FALSE,"Plan1";#N/A,#N/A,FALSE,"Plan2"}</definedName>
    <definedName name="_wer3" localSheetId="4">{#N/A,#N/A,FALSE,"Plan1";#N/A,#N/A,FALSE,"Plan2"}</definedName>
    <definedName name="_wer3" localSheetId="13">{#N/A,#N/A,FALSE,"Plan1";#N/A,#N/A,FALSE,"Plan2"}</definedName>
    <definedName name="_wer3" localSheetId="17">{#N/A,#N/A,FALSE,"Plan1";#N/A,#N/A,FALSE,"Plan2"}</definedName>
    <definedName name="_wer3" localSheetId="0">{#N/A,#N/A,FALSE,"Plan1";#N/A,#N/A,FALSE,"Plan2"}</definedName>
    <definedName name="_wer3" localSheetId="19">{#N/A,#N/A,FALSE,"Plan1";#N/A,#N/A,FALSE,"Plan2"}</definedName>
    <definedName name="_wer3" localSheetId="16">{#N/A,#N/A,FALSE,"Plan1";#N/A,#N/A,FALSE,"Plan2"}</definedName>
    <definedName name="_wer3" localSheetId="18">{#N/A,#N/A,FALSE,"Plan1";#N/A,#N/A,FALSE,"Plan2"}</definedName>
    <definedName name="_wer3" localSheetId="10">{#N/A,#N/A,FALSE,"Plan1";#N/A,#N/A,FALSE,"Plan2"}</definedName>
    <definedName name="_wer3">{#N/A,#N/A,FALSE,"Plan1";#N/A,#N/A,FALSE,"Plan2"}</definedName>
    <definedName name="_wrn.pendenci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3">#REF!</definedName>
    <definedName name="_x10" localSheetId="5">#REF!</definedName>
    <definedName name="_x10" localSheetId="13">#REF!</definedName>
    <definedName name="_x10" localSheetId="26">#REF!</definedName>
    <definedName name="_x10" localSheetId="0">#REF!</definedName>
    <definedName name="_x10">#REF!</definedName>
    <definedName name="_x11" localSheetId="3">#REF!</definedName>
    <definedName name="_x11" localSheetId="5">#REF!</definedName>
    <definedName name="_x11" localSheetId="13">#REF!</definedName>
    <definedName name="_x11" localSheetId="26">#REF!</definedName>
    <definedName name="_x11" localSheetId="0">#REF!</definedName>
    <definedName name="_x11">#REF!</definedName>
    <definedName name="_x12" localSheetId="3">#REF!</definedName>
    <definedName name="_x12" localSheetId="5">#REF!</definedName>
    <definedName name="_x12" localSheetId="13">#REF!</definedName>
    <definedName name="_x12" localSheetId="26">#REF!</definedName>
    <definedName name="_x12" localSheetId="0">#REF!</definedName>
    <definedName name="_x12">#REF!</definedName>
    <definedName name="_x13" localSheetId="13">#REF!</definedName>
    <definedName name="_x13">#REF!</definedName>
    <definedName name="_x14" localSheetId="13">#REF!</definedName>
    <definedName name="_x14">#REF!</definedName>
    <definedName name="_x15" localSheetId="13">#REF!</definedName>
    <definedName name="_x15">#REF!</definedName>
    <definedName name="_x16" localSheetId="13">#REF!</definedName>
    <definedName name="_x16">#REF!</definedName>
    <definedName name="_x17" localSheetId="13">#REF!</definedName>
    <definedName name="_x17">#REF!</definedName>
    <definedName name="_x18" localSheetId="13">#REF!</definedName>
    <definedName name="_x18">#REF!</definedName>
    <definedName name="_x19" localSheetId="13">#REF!</definedName>
    <definedName name="_x19">#REF!</definedName>
    <definedName name="_x20" localSheetId="13">#REF!</definedName>
    <definedName name="_x20">#REF!</definedName>
    <definedName name="_x21" localSheetId="13">#REF!</definedName>
    <definedName name="_x21">#REF!</definedName>
    <definedName name="_x22" localSheetId="13">#REF!</definedName>
    <definedName name="_x22">#REF!</definedName>
    <definedName name="_x23" localSheetId="13">#REF!</definedName>
    <definedName name="_x23">#REF!</definedName>
    <definedName name="_x24" localSheetId="13">#REF!</definedName>
    <definedName name="_x24">#REF!</definedName>
    <definedName name="_x25" localSheetId="13">#REF!</definedName>
    <definedName name="_x25">#REF!</definedName>
    <definedName name="_x28" localSheetId="13">#REF!</definedName>
    <definedName name="_x28">#REF!</definedName>
    <definedName name="_x29" localSheetId="13">#REF!</definedName>
    <definedName name="_x29">#REF!</definedName>
    <definedName name="_x32" localSheetId="13">#REF!</definedName>
    <definedName name="_x32">#REF!</definedName>
    <definedName name="_x4" localSheetId="13">#REF!</definedName>
    <definedName name="_x4">#REF!</definedName>
    <definedName name="_x5" localSheetId="13">#REF!</definedName>
    <definedName name="_x5">#REF!</definedName>
    <definedName name="_x6" localSheetId="13">#REF!</definedName>
    <definedName name="_x6">#REF!</definedName>
    <definedName name="_x7" localSheetId="13">#REF!</definedName>
    <definedName name="_x7">#REF!</definedName>
    <definedName name="_x8" localSheetId="13">#REF!</definedName>
    <definedName name="_x8">#REF!</definedName>
    <definedName name="_x9" localSheetId="13">#REF!</definedName>
    <definedName name="_x9">#REF!</definedName>
    <definedName name="_xlcn.WorksheetConnection_2018_03ResumoRGOObrasRJ.xlsbTabela1" localSheetId="3">#REF!</definedName>
    <definedName name="_xlcn.WorksheetConnection_2018_03ResumoRGOObrasRJ.xlsbTabela1" localSheetId="5">#REF!</definedName>
    <definedName name="_xlcn.WorksheetConnection_2018_03ResumoRGOObrasRJ.xlsbTabela1" localSheetId="13">#REF!</definedName>
    <definedName name="_xlcn.WorksheetConnection_2018_03ResumoRGOObrasRJ.xlsbTabela1" localSheetId="26">#REF!</definedName>
    <definedName name="_xlcn.WorksheetConnection_2018_03ResumoRGOObrasRJ.xlsbTabela1" localSheetId="0">#REF!</definedName>
    <definedName name="_xlcn.WorksheetConnection_2018_03ResumoRGOObrasRJ.xlsbTabela1">#REF!</definedName>
    <definedName name="_xlcn.WorksheetConnection_ProjetocontrolefisicoefinanceiroRJ.xlsxTabela31" localSheetId="3">#REF!</definedName>
    <definedName name="_xlcn.WorksheetConnection_ProjetocontrolefisicoefinanceiroRJ.xlsxTabela31" localSheetId="5">#REF!</definedName>
    <definedName name="_xlcn.WorksheetConnection_ProjetocontrolefisicoefinanceiroRJ.xlsxTabela31" localSheetId="13">#REF!</definedName>
    <definedName name="_xlcn.WorksheetConnection_ProjetocontrolefisicoefinanceiroRJ.xlsxTabela31" localSheetId="26">#REF!</definedName>
    <definedName name="_xlcn.WorksheetConnection_ProjetocontrolefisicoefinanceiroRJ.xlsxTabela31" localSheetId="0">#REF!</definedName>
    <definedName name="_xlcn.WorksheetConnection_ProjetocontrolefisicoefinanceiroRJ.xlsxTabela31">#REF!</definedName>
    <definedName name="a" localSheetId="3">#REF!</definedName>
    <definedName name="a" localSheetId="5">#REF!</definedName>
    <definedName name="a" localSheetId="13">#REF!</definedName>
    <definedName name="a" localSheetId="26">#REF!</definedName>
    <definedName name="a" localSheetId="0">#REF!</definedName>
    <definedName name="a">#REF!</definedName>
    <definedName name="aa" localSheetId="2">#REF!</definedName>
    <definedName name="aa" localSheetId="3">#REF!</definedName>
    <definedName name="aa" localSheetId="1">#REF!</definedName>
    <definedName name="aa" localSheetId="5">#REF!</definedName>
    <definedName name="aa" localSheetId="21">#REF!</definedName>
    <definedName name="aa" localSheetId="22">#REF!</definedName>
    <definedName name="aa" localSheetId="13">#REF!</definedName>
    <definedName name="aa" localSheetId="26">#REF!</definedName>
    <definedName name="aa" localSheetId="0">#REF!</definedName>
    <definedName name="aa">#REF!</definedName>
    <definedName name="aaa" localSheetId="3">#REF!</definedName>
    <definedName name="aaa" localSheetId="5">#REF!</definedName>
    <definedName name="aaa" localSheetId="13">#REF!</definedName>
    <definedName name="aaa" localSheetId="26">#REF!</definedName>
    <definedName name="aaa">#REF!</definedName>
    <definedName name="AAAA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">#REF!</definedName>
    <definedName name="aaaa" localSheetId="6">#REF!</definedName>
    <definedName name="AAAA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">#REF!</definedName>
    <definedName name="aaaa" localSheetId="8">#REF!</definedName>
    <definedName name="AAAA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1">#REF!</definedName>
    <definedName name="aaaa" localSheetId="13">#REF!</definedName>
    <definedName name="AAAA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26">#REF!</definedName>
    <definedName name="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3">#REF!</definedName>
    <definedName name="aaaadc" localSheetId="5">#REF!</definedName>
    <definedName name="aaaadc" localSheetId="13">#REF!</definedName>
    <definedName name="aaaadc" localSheetId="26">#REF!</definedName>
    <definedName name="aaaadc">#REF!</definedName>
    <definedName name="aaacccc" localSheetId="9">{#N/A,#N/A,FALSE,"Plan1";#N/A,#N/A,FALSE,"Plan2"}</definedName>
    <definedName name="aaacccc" localSheetId="6">{#N/A,#N/A,FALSE,"Plan1";#N/A,#N/A,FALSE,"Plan2"}</definedName>
    <definedName name="aaacccc" localSheetId="3">{#N/A,#N/A,FALSE,"Plan1";#N/A,#N/A,FALSE,"Plan2"}</definedName>
    <definedName name="aaacccc" localSheetId="8">{#N/A,#N/A,FALSE,"Plan1";#N/A,#N/A,FALSE,"Plan2"}</definedName>
    <definedName name="aaacccc" localSheetId="5">{#N/A,#N/A,FALSE,"Plan1";#N/A,#N/A,FALSE,"Plan2"}</definedName>
    <definedName name="aaacccc" localSheetId="4">{#N/A,#N/A,FALSE,"Plan1";#N/A,#N/A,FALSE,"Plan2"}</definedName>
    <definedName name="aaacccc" localSheetId="13">{#N/A,#N/A,FALSE,"Plan1";#N/A,#N/A,FALSE,"Plan2"}</definedName>
    <definedName name="aaacccc" localSheetId="17">{#N/A,#N/A,FALSE,"Plan1";#N/A,#N/A,FALSE,"Plan2"}</definedName>
    <definedName name="aaacccc" localSheetId="0">{#N/A,#N/A,FALSE,"Plan1";#N/A,#N/A,FALSE,"Plan2"}</definedName>
    <definedName name="aaacccc" localSheetId="19">{#N/A,#N/A,FALSE,"Plan1";#N/A,#N/A,FALSE,"Plan2"}</definedName>
    <definedName name="aaacccc" localSheetId="16">{#N/A,#N/A,FALSE,"Plan1";#N/A,#N/A,FALSE,"Plan2"}</definedName>
    <definedName name="aaacccc" localSheetId="18">{#N/A,#N/A,FALSE,"Plan1";#N/A,#N/A,FALSE,"Plan2"}</definedName>
    <definedName name="aaacccc" localSheetId="10">{#N/A,#N/A,FALSE,"Plan1";#N/A,#N/A,FALSE,"Plan2"}</definedName>
    <definedName name="aaacccc">{#N/A,#N/A,FALSE,"Plan1";#N/A,#N/A,FALSE,"Plan2"}</definedName>
    <definedName name="aaas" localSheetId="3">#REF!</definedName>
    <definedName name="aaas" localSheetId="5">#REF!</definedName>
    <definedName name="aaas" localSheetId="13">#REF!</definedName>
    <definedName name="aaas" localSheetId="26">#REF!</definedName>
    <definedName name="aaas">#REF!</definedName>
    <definedName name="AB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5">#REF!</definedName>
    <definedName name="AB" localSheetId="13">#REF!</definedName>
    <definedName name="AB" localSheetId="17">#REF!</definedName>
    <definedName name="AB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3">#REF!</definedName>
    <definedName name="Abat_ISS" localSheetId="8">#REF!</definedName>
    <definedName name="Abat_ISS" localSheetId="5">#REF!</definedName>
    <definedName name="Abat_ISS" localSheetId="13">#REF!</definedName>
    <definedName name="Abat_ISS" localSheetId="26">#REF!</definedName>
    <definedName name="Abat_ISS">#REF!</definedName>
    <definedName name="ab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3">#REF!</definedName>
    <definedName name="ABCD" localSheetId="13">#REF!</definedName>
    <definedName name="ABCD" localSheetId="26">#REF!</definedName>
    <definedName name="ABCD" localSheetId="0">#REF!</definedName>
    <definedName name="ABCD">#REF!</definedName>
    <definedName name="abebqt" localSheetId="3">#REF!</definedName>
    <definedName name="abebqt" localSheetId="5">#REF!</definedName>
    <definedName name="abebqt" localSheetId="13">#REF!</definedName>
    <definedName name="abebqt" localSheetId="26">#REF!</definedName>
    <definedName name="abebqt">#REF!</definedName>
    <definedName name="abr17RJ" localSheetId="3">#REF!</definedName>
    <definedName name="abr17RJ" localSheetId="5">#REF!</definedName>
    <definedName name="abr17RJ" localSheetId="13">#REF!</definedName>
    <definedName name="abr17RJ" localSheetId="26">#REF!</definedName>
    <definedName name="abr17RJ">#REF!</definedName>
    <definedName name="ABRIL" localSheetId="3">#REF!</definedName>
    <definedName name="ABRIL" localSheetId="5">#REF!</definedName>
    <definedName name="ABRIL" localSheetId="13">#REF!</definedName>
    <definedName name="ABRIL" localSheetId="26">#REF!</definedName>
    <definedName name="ABRIL">#REF!</definedName>
    <definedName name="ABRIL2001" localSheetId="3">#REF!</definedName>
    <definedName name="ABRIL2001" localSheetId="5">#REF!</definedName>
    <definedName name="ABRIL2001" localSheetId="13">#REF!</definedName>
    <definedName name="ABRIL2001" localSheetId="26">#REF!</definedName>
    <definedName name="ABRIL2001">#REF!</definedName>
    <definedName name="ac" localSheetId="13">#REF!</definedName>
    <definedName name="ac" localSheetId="0">#REF!</definedName>
    <definedName name="ac">#REF!</definedName>
    <definedName name="Acabam." localSheetId="3">#REF!</definedName>
    <definedName name="Acabam." localSheetId="5">#REF!</definedName>
    <definedName name="Acabam." localSheetId="13">#REF!</definedName>
    <definedName name="Acabam." localSheetId="26">#REF!</definedName>
    <definedName name="Acabam.">#REF!</definedName>
    <definedName name="ACADUC" localSheetId="3">#REF!</definedName>
    <definedName name="ACADUC" localSheetId="5">#REF!</definedName>
    <definedName name="ACADUC" localSheetId="13">#REF!</definedName>
    <definedName name="ACADUC" localSheetId="26">#REF!</definedName>
    <definedName name="ACADUC">#REF!</definedName>
    <definedName name="ACBEB" localSheetId="3">#REF!</definedName>
    <definedName name="ACBEB" localSheetId="5">#REF!</definedName>
    <definedName name="ACBEB" localSheetId="13">#REF!</definedName>
    <definedName name="ACBEB" localSheetId="26">#REF!</definedName>
    <definedName name="ACBEB">#REF!</definedName>
    <definedName name="ACBOMB" localSheetId="3">#REF!</definedName>
    <definedName name="ACBOMB" localSheetId="5">#REF!</definedName>
    <definedName name="ACBOMB" localSheetId="13">#REF!</definedName>
    <definedName name="ACBOMB" localSheetId="26">#REF!</definedName>
    <definedName name="ACBOMB">#REF!</definedName>
    <definedName name="AccessDatabase">"C:\posec\DATABASE\vlv_list\vlvlist1.mdb"</definedName>
    <definedName name="ACCHAF" localSheetId="3">#REF!</definedName>
    <definedName name="ACCHAF" localSheetId="5">#REF!</definedName>
    <definedName name="ACCHAF" localSheetId="13">#REF!</definedName>
    <definedName name="ACCHAF" localSheetId="26">#REF!</definedName>
    <definedName name="ACCHAF">#REF!</definedName>
    <definedName name="ACCLINK.XLS_Localization_Table_List">"$A$1:$B$11"</definedName>
    <definedName name="ACCLINK.XLS_Localization_Table_List1">"$A$13:$B$31"</definedName>
    <definedName name="ACCLINK.XLS_Localization_Table_List10">"$A$13:$B$33"</definedName>
    <definedName name="ACCLINK.XLS_Localization_Table_List11">"$A$13:$B$33"</definedName>
    <definedName name="ACCLINK.XLS_Localization_Table_List12">"$A$13:$B$33"</definedName>
    <definedName name="ACCLINK.XLS_Localization_Table_List13">"$A$13:$B$33"</definedName>
    <definedName name="ACCLINK.XLS_Localization_Table_List14">"$A$13:$B$33"</definedName>
    <definedName name="ACCLINK.XLS_Localization_Table_List15">"$A$13:$B$33"</definedName>
    <definedName name="ACCLINK.XLS_Localization_Table_List16">"$A$13:$B$33"</definedName>
    <definedName name="ACCLINK.XLS_Localization_Table_List17">"$A$13:$B$33"</definedName>
    <definedName name="ACCLINK.XLS_Localization_Table_List18">"$A$13:$B$33"</definedName>
    <definedName name="ACCLINK.XLS_Localization_Table_List19">"$A$13:$B$33"</definedName>
    <definedName name="ACCLINK.XLS_Localization_Table_List2">"$A$13:$B$31"</definedName>
    <definedName name="ACCLINK.XLS_Localization_Table_List3">"$A$13:$B$31"</definedName>
    <definedName name="ACCLINK.XLS_Localization_Table_List4">"$A$13:$B$31"</definedName>
    <definedName name="ACCLINK.XLS_Localization_Table_List5">"$A$13:$B$31"</definedName>
    <definedName name="ACCLINK.XLS_Localization_Table_List6">"$A$13:$B$31"</definedName>
    <definedName name="ACCLINK.XLS_Localization_Table_List7">"$A$13:$B$31"</definedName>
    <definedName name="ACCLINK.XLS_Localization_Table_List8">"$A$13:$B$31"</definedName>
    <definedName name="ACCLINK.XLS_Localization_Table_List9">"$A$13:$B$33"</definedName>
    <definedName name="acdb" localSheetId="3">#REF!</definedName>
    <definedName name="acdb" localSheetId="5">#REF!</definedName>
    <definedName name="acdb" localSheetId="13">#REF!</definedName>
    <definedName name="acdb" localSheetId="26">#REF!</definedName>
    <definedName name="acdb" localSheetId="0">#REF!</definedName>
    <definedName name="acdb">#REF!</definedName>
    <definedName name="ACDER" localSheetId="3">#REF!</definedName>
    <definedName name="ACDER" localSheetId="5">#REF!</definedName>
    <definedName name="ACDER" localSheetId="13">#REF!</definedName>
    <definedName name="ACDER" localSheetId="26">#REF!</definedName>
    <definedName name="ACDER">#REF!</definedName>
    <definedName name="ACDIV" localSheetId="3">#REF!</definedName>
    <definedName name="ACDIV" localSheetId="5">#REF!</definedName>
    <definedName name="ACDIV" localSheetId="13">#REF!</definedName>
    <definedName name="ACDIV" localSheetId="26">#REF!</definedName>
    <definedName name="ACDIV">#REF!</definedName>
    <definedName name="ACDS" localSheetId="13">#REF!</definedName>
    <definedName name="ACDS" localSheetId="0">#REF!</definedName>
    <definedName name="ACDS">#REF!</definedName>
    <definedName name="ACEQP" localSheetId="3">#REF!</definedName>
    <definedName name="ACEQP" localSheetId="5">#REF!</definedName>
    <definedName name="ACEQP" localSheetId="13">#REF!</definedName>
    <definedName name="ACEQP" localSheetId="26">#REF!</definedName>
    <definedName name="ACEQP">#REF!</definedName>
    <definedName name="ACHAFQT" localSheetId="3">#REF!</definedName>
    <definedName name="ACHAFQT" localSheetId="5">#REF!</definedName>
    <definedName name="ACHAFQT" localSheetId="13">#REF!</definedName>
    <definedName name="ACHAFQT" localSheetId="26">#REF!</definedName>
    <definedName name="ACHAFQT">#REF!</definedName>
    <definedName name="achar18" localSheetId="13">#REF!</definedName>
    <definedName name="achar18" localSheetId="0">#REF!</definedName>
    <definedName name="achar18">#REF!</definedName>
    <definedName name="achar19" localSheetId="13">#REF!</definedName>
    <definedName name="achar19">#REF!</definedName>
    <definedName name="achart1" localSheetId="13">#REF!</definedName>
    <definedName name="achart1">#REF!</definedName>
    <definedName name="achart10" localSheetId="13">#REF!</definedName>
    <definedName name="achart10">#REF!</definedName>
    <definedName name="achart11" localSheetId="13">#REF!</definedName>
    <definedName name="achart11">#REF!</definedName>
    <definedName name="achart12" localSheetId="13">#REF!</definedName>
    <definedName name="achart12">#REF!</definedName>
    <definedName name="achart13" localSheetId="13">#REF!</definedName>
    <definedName name="achart13">#REF!</definedName>
    <definedName name="achart14" localSheetId="13">#REF!</definedName>
    <definedName name="achart14">#REF!</definedName>
    <definedName name="achart15" localSheetId="13">#REF!</definedName>
    <definedName name="achart15">#REF!</definedName>
    <definedName name="achart16" localSheetId="13">#REF!</definedName>
    <definedName name="achart16">#REF!</definedName>
    <definedName name="achart17" localSheetId="13">#REF!</definedName>
    <definedName name="achart17">#REF!</definedName>
    <definedName name="achart2" localSheetId="13">#REF!</definedName>
    <definedName name="achart2">#REF!</definedName>
    <definedName name="achart20" localSheetId="13">#REF!</definedName>
    <definedName name="achart20">#REF!</definedName>
    <definedName name="achart21" localSheetId="13">#REF!</definedName>
    <definedName name="achart21">#REF!</definedName>
    <definedName name="achart22" localSheetId="13">#REF!</definedName>
    <definedName name="achart22">#REF!</definedName>
    <definedName name="achart23" localSheetId="13">#REF!</definedName>
    <definedName name="achart23">#REF!</definedName>
    <definedName name="achart24" localSheetId="13">#REF!</definedName>
    <definedName name="achart24">#REF!</definedName>
    <definedName name="achart25" localSheetId="13">#REF!</definedName>
    <definedName name="achart25">#REF!</definedName>
    <definedName name="achart26" localSheetId="13">#REF!</definedName>
    <definedName name="achart26">#REF!</definedName>
    <definedName name="achart27" localSheetId="13">#REF!</definedName>
    <definedName name="achart27">#REF!</definedName>
    <definedName name="achart28" localSheetId="13">#REF!</definedName>
    <definedName name="achart28">#REF!</definedName>
    <definedName name="achart29" localSheetId="13">#REF!</definedName>
    <definedName name="achart29">#REF!</definedName>
    <definedName name="achart3" localSheetId="13">#REF!</definedName>
    <definedName name="achart3">#REF!</definedName>
    <definedName name="achart30" localSheetId="13">#REF!</definedName>
    <definedName name="achart30">#REF!</definedName>
    <definedName name="achart31" localSheetId="13">#REF!</definedName>
    <definedName name="achart31">#REF!</definedName>
    <definedName name="achart32" localSheetId="13">#REF!</definedName>
    <definedName name="achart32">#REF!</definedName>
    <definedName name="achart4" localSheetId="13">#REF!</definedName>
    <definedName name="achart4">#REF!</definedName>
    <definedName name="achart5" localSheetId="13">#REF!</definedName>
    <definedName name="achart5">#REF!</definedName>
    <definedName name="achart6" localSheetId="13">#REF!</definedName>
    <definedName name="achart6">#REF!</definedName>
    <definedName name="achart7" localSheetId="13">#REF!</definedName>
    <definedName name="achart7">#REF!</definedName>
    <definedName name="achart8" localSheetId="13">#REF!</definedName>
    <definedName name="achart8">#REF!</definedName>
    <definedName name="achart9" localSheetId="13">#REF!</definedName>
    <definedName name="achart9">#REF!</definedName>
    <definedName name="ACMUR" localSheetId="3">#REF!</definedName>
    <definedName name="ACMUR" localSheetId="5">#REF!</definedName>
    <definedName name="ACMUR" localSheetId="13">#REF!</definedName>
    <definedName name="ACMUR" localSheetId="26">#REF!</definedName>
    <definedName name="ACMUR">#REF!</definedName>
    <definedName name="açoeeer" localSheetId="9">{#N/A,#N/A,FALSE,"Plan1";#N/A,#N/A,FALSE,"Plan2"}</definedName>
    <definedName name="açoeeer" localSheetId="6">{#N/A,#N/A,FALSE,"Plan1";#N/A,#N/A,FALSE,"Plan2"}</definedName>
    <definedName name="açoeeer" localSheetId="3">{#N/A,#N/A,FALSE,"Plan1";#N/A,#N/A,FALSE,"Plan2"}</definedName>
    <definedName name="açoeeer" localSheetId="8">{#N/A,#N/A,FALSE,"Plan1";#N/A,#N/A,FALSE,"Plan2"}</definedName>
    <definedName name="açoeeer" localSheetId="5">{#N/A,#N/A,FALSE,"Plan1";#N/A,#N/A,FALSE,"Plan2"}</definedName>
    <definedName name="açoeeer" localSheetId="4">{#N/A,#N/A,FALSE,"Plan1";#N/A,#N/A,FALSE,"Plan2"}</definedName>
    <definedName name="açoeeer" localSheetId="13">{#N/A,#N/A,FALSE,"Plan1";#N/A,#N/A,FALSE,"Plan2"}</definedName>
    <definedName name="açoeeer" localSheetId="17">{#N/A,#N/A,FALSE,"Plan1";#N/A,#N/A,FALSE,"Plan2"}</definedName>
    <definedName name="açoeeer" localSheetId="0">{#N/A,#N/A,FALSE,"Plan1";#N/A,#N/A,FALSE,"Plan2"}</definedName>
    <definedName name="açoeeer" localSheetId="19">{#N/A,#N/A,FALSE,"Plan1";#N/A,#N/A,FALSE,"Plan2"}</definedName>
    <definedName name="açoeeer" localSheetId="16">{#N/A,#N/A,FALSE,"Plan1";#N/A,#N/A,FALSE,"Plan2"}</definedName>
    <definedName name="açoeeer" localSheetId="18">{#N/A,#N/A,FALSE,"Plan1";#N/A,#N/A,FALSE,"Plan2"}</definedName>
    <definedName name="açoeeer" localSheetId="10">{#N/A,#N/A,FALSE,"Plan1";#N/A,#N/A,FALSE,"Plan2"}</definedName>
    <definedName name="açoeeer">{#N/A,#N/A,FALSE,"Plan1";#N/A,#N/A,FALSE,"Plan2"}</definedName>
    <definedName name="ACOMP" localSheetId="3">#REF!</definedName>
    <definedName name="ACOMP" localSheetId="5">#REF!</definedName>
    <definedName name="ACOMP" localSheetId="13">#REF!</definedName>
    <definedName name="ACOMP" localSheetId="26">#REF!</definedName>
    <definedName name="ACOMP">#REF!</definedName>
    <definedName name="ACONT2" localSheetId="3">#REF!</definedName>
    <definedName name="ACONT2" localSheetId="5">#REF!</definedName>
    <definedName name="ACONT2" localSheetId="13">#REF!</definedName>
    <definedName name="ACONT2" localSheetId="26">#REF!</definedName>
    <definedName name="ACONT2">#REF!</definedName>
    <definedName name="ACPIPA" localSheetId="3">#REF!</definedName>
    <definedName name="ACPIPA" localSheetId="5">#REF!</definedName>
    <definedName name="ACPIPA" localSheetId="13">#REF!</definedName>
    <definedName name="ACPIPA" localSheetId="26">#REF!</definedName>
    <definedName name="ACPIPA">#REF!</definedName>
    <definedName name="ACTRANSP" localSheetId="3">#REF!</definedName>
    <definedName name="ACTRANSP" localSheetId="5">#REF!</definedName>
    <definedName name="ACTRANSP" localSheetId="13">#REF!</definedName>
    <definedName name="ACTRANSP" localSheetId="26">#REF!</definedName>
    <definedName name="ACTRANSP">#REF!</definedName>
    <definedName name="ACwvu.Características." localSheetId="3">#REF!</definedName>
    <definedName name="ACwvu.Características." localSheetId="13">#REF!</definedName>
    <definedName name="ACwvu.Características." localSheetId="0">#REF!</definedName>
    <definedName name="ACwvu.Características.">#REF!</definedName>
    <definedName name="ACwvu.Ciclos." localSheetId="13">#REF!</definedName>
    <definedName name="ACwvu.Ciclos." localSheetId="0">#REF!</definedName>
    <definedName name="ACwvu.Ciclos.">#REF!</definedName>
    <definedName name="ACwvu.Custos." localSheetId="13">#REF!</definedName>
    <definedName name="ACwvu.Custos." localSheetId="0">#REF!</definedName>
    <definedName name="ACwvu.Custos.">#REF!</definedName>
    <definedName name="ACwvu.PLANILHA2." localSheetId="3">#REF!</definedName>
    <definedName name="ACwvu.PLANILHA2." localSheetId="5">#REF!</definedName>
    <definedName name="ACwvu.PLANILHA2." localSheetId="13">#REF!</definedName>
    <definedName name="ACwvu.PLANILHA2." localSheetId="26">#REF!</definedName>
    <definedName name="ACwvu.PLANILHA2." localSheetId="0">#REF!</definedName>
    <definedName name="ACwvu.PLANILHA2.">#REF!</definedName>
    <definedName name="ACwvu.Recursos." localSheetId="13">#REF!</definedName>
    <definedName name="ACwvu.Recursos.">#REF!</definedName>
    <definedName name="ad" localSheetId="9">{#N/A,#N/A,FALSE,"Plan1";#N/A,#N/A,FALSE,"Plan2"}</definedName>
    <definedName name="ad" localSheetId="6">{#N/A,#N/A,FALSE,"Plan1";#N/A,#N/A,FALSE,"Plan2"}</definedName>
    <definedName name="ad" localSheetId="3">{#N/A,#N/A,FALSE,"Plan1";#N/A,#N/A,FALSE,"Plan2"}</definedName>
    <definedName name="ad" localSheetId="8">{#N/A,#N/A,FALSE,"Plan1";#N/A,#N/A,FALSE,"Plan2"}</definedName>
    <definedName name="ad" localSheetId="5">{#N/A,#N/A,FALSE,"Plan1";#N/A,#N/A,FALSE,"Plan2"}</definedName>
    <definedName name="ad" localSheetId="4">{#N/A,#N/A,FALSE,"Plan1";#N/A,#N/A,FALSE,"Plan2"}</definedName>
    <definedName name="ad" localSheetId="13">{#N/A,#N/A,FALSE,"Plan1";#N/A,#N/A,FALSE,"Plan2"}</definedName>
    <definedName name="ad" localSheetId="17">{#N/A,#N/A,FALSE,"Plan1";#N/A,#N/A,FALSE,"Plan2"}</definedName>
    <definedName name="ad" localSheetId="0">{#N/A,#N/A,FALSE,"Plan1";#N/A,#N/A,FALSE,"Plan2"}</definedName>
    <definedName name="ad" localSheetId="19">{#N/A,#N/A,FALSE,"Plan1";#N/A,#N/A,FALSE,"Plan2"}</definedName>
    <definedName name="ad" localSheetId="16">{#N/A,#N/A,FALSE,"Plan1";#N/A,#N/A,FALSE,"Plan2"}</definedName>
    <definedName name="ad" localSheetId="18">{#N/A,#N/A,FALSE,"Plan1";#N/A,#N/A,FALSE,"Plan2"}</definedName>
    <definedName name="ad" localSheetId="10">{#N/A,#N/A,FALSE,"Plan1";#N/A,#N/A,FALSE,"Plan2"}</definedName>
    <definedName name="ad">{#N/A,#N/A,FALSE,"Plan1";#N/A,#N/A,FALSE,"Plan2"}</definedName>
    <definedName name="adads" localSheetId="9">{#N/A,#N/A,FALSE,"Plan1";#N/A,#N/A,FALSE,"Plan2"}</definedName>
    <definedName name="adads" localSheetId="6">{#N/A,#N/A,FALSE,"Plan1";#N/A,#N/A,FALSE,"Plan2"}</definedName>
    <definedName name="adads" localSheetId="3">{#N/A,#N/A,FALSE,"Plan1";#N/A,#N/A,FALSE,"Plan2"}</definedName>
    <definedName name="adads" localSheetId="8">{#N/A,#N/A,FALSE,"Plan1";#N/A,#N/A,FALSE,"Plan2"}</definedName>
    <definedName name="adads" localSheetId="5">{#N/A,#N/A,FALSE,"Plan1";#N/A,#N/A,FALSE,"Plan2"}</definedName>
    <definedName name="adads" localSheetId="4">{#N/A,#N/A,FALSE,"Plan1";#N/A,#N/A,FALSE,"Plan2"}</definedName>
    <definedName name="adads" localSheetId="13">{#N/A,#N/A,FALSE,"Plan1";#N/A,#N/A,FALSE,"Plan2"}</definedName>
    <definedName name="adads" localSheetId="17">{#N/A,#N/A,FALSE,"Plan1";#N/A,#N/A,FALSE,"Plan2"}</definedName>
    <definedName name="adads" localSheetId="0">{#N/A,#N/A,FALSE,"Plan1";#N/A,#N/A,FALSE,"Plan2"}</definedName>
    <definedName name="adads" localSheetId="19">{#N/A,#N/A,FALSE,"Plan1";#N/A,#N/A,FALSE,"Plan2"}</definedName>
    <definedName name="adads" localSheetId="16">{#N/A,#N/A,FALSE,"Plan1";#N/A,#N/A,FALSE,"Plan2"}</definedName>
    <definedName name="adads" localSheetId="18">{#N/A,#N/A,FALSE,"Plan1";#N/A,#N/A,FALSE,"Plan2"}</definedName>
    <definedName name="adads" localSheetId="10">{#N/A,#N/A,FALSE,"Plan1";#N/A,#N/A,FALSE,"Plan2"}</definedName>
    <definedName name="adads">{#N/A,#N/A,FALSE,"Plan1";#N/A,#N/A,FALSE,"Plan2"}</definedName>
    <definedName name="adads2" localSheetId="9">{#N/A,#N/A,FALSE,"Plan1";#N/A,#N/A,FALSE,"Plan2"}</definedName>
    <definedName name="adads2" localSheetId="6">{#N/A,#N/A,FALSE,"Plan1";#N/A,#N/A,FALSE,"Plan2"}</definedName>
    <definedName name="adads2" localSheetId="3">{#N/A,#N/A,FALSE,"Plan1";#N/A,#N/A,FALSE,"Plan2"}</definedName>
    <definedName name="adads2" localSheetId="8">{#N/A,#N/A,FALSE,"Plan1";#N/A,#N/A,FALSE,"Plan2"}</definedName>
    <definedName name="adads2" localSheetId="5">{#N/A,#N/A,FALSE,"Plan1";#N/A,#N/A,FALSE,"Plan2"}</definedName>
    <definedName name="adads2" localSheetId="4">{#N/A,#N/A,FALSE,"Plan1";#N/A,#N/A,FALSE,"Plan2"}</definedName>
    <definedName name="adads2" localSheetId="13">{#N/A,#N/A,FALSE,"Plan1";#N/A,#N/A,FALSE,"Plan2"}</definedName>
    <definedName name="adads2" localSheetId="17">{#N/A,#N/A,FALSE,"Plan1";#N/A,#N/A,FALSE,"Plan2"}</definedName>
    <definedName name="adads2" localSheetId="0">{#N/A,#N/A,FALSE,"Plan1";#N/A,#N/A,FALSE,"Plan2"}</definedName>
    <definedName name="adads2" localSheetId="19">{#N/A,#N/A,FALSE,"Plan1";#N/A,#N/A,FALSE,"Plan2"}</definedName>
    <definedName name="adads2" localSheetId="16">{#N/A,#N/A,FALSE,"Plan1";#N/A,#N/A,FALSE,"Plan2"}</definedName>
    <definedName name="adads2" localSheetId="18">{#N/A,#N/A,FALSE,"Plan1";#N/A,#N/A,FALSE,"Plan2"}</definedName>
    <definedName name="adads2" localSheetId="10">{#N/A,#N/A,FALSE,"Plan1";#N/A,#N/A,FALSE,"Plan2"}</definedName>
    <definedName name="adads2">{#N/A,#N/A,FALSE,"Plan1";#N/A,#N/A,FALSE,"Plan2"}</definedName>
    <definedName name="adced" localSheetId="9">{#N/A,#N/A,FALSE,"Plan1";#N/A,#N/A,FALSE,"Plan2"}</definedName>
    <definedName name="adced" localSheetId="6">{#N/A,#N/A,FALSE,"Plan1";#N/A,#N/A,FALSE,"Plan2"}</definedName>
    <definedName name="adced" localSheetId="3">{#N/A,#N/A,FALSE,"Plan1";#N/A,#N/A,FALSE,"Plan2"}</definedName>
    <definedName name="adced" localSheetId="8">{#N/A,#N/A,FALSE,"Plan1";#N/A,#N/A,FALSE,"Plan2"}</definedName>
    <definedName name="adced" localSheetId="5">{#N/A,#N/A,FALSE,"Plan1";#N/A,#N/A,FALSE,"Plan2"}</definedName>
    <definedName name="adced" localSheetId="4">{#N/A,#N/A,FALSE,"Plan1";#N/A,#N/A,FALSE,"Plan2"}</definedName>
    <definedName name="adced" localSheetId="13">{#N/A,#N/A,FALSE,"Plan1";#N/A,#N/A,FALSE,"Plan2"}</definedName>
    <definedName name="adced" localSheetId="17">{#N/A,#N/A,FALSE,"Plan1";#N/A,#N/A,FALSE,"Plan2"}</definedName>
    <definedName name="adced" localSheetId="0">{#N/A,#N/A,FALSE,"Plan1";#N/A,#N/A,FALSE,"Plan2"}</definedName>
    <definedName name="adced" localSheetId="19">{#N/A,#N/A,FALSE,"Plan1";#N/A,#N/A,FALSE,"Plan2"}</definedName>
    <definedName name="adced" localSheetId="16">{#N/A,#N/A,FALSE,"Plan1";#N/A,#N/A,FALSE,"Plan2"}</definedName>
    <definedName name="adced" localSheetId="18">{#N/A,#N/A,FALSE,"Plan1";#N/A,#N/A,FALSE,"Plan2"}</definedName>
    <definedName name="adced" localSheetId="10">{#N/A,#N/A,FALSE,"Plan1";#N/A,#N/A,FALSE,"Plan2"}</definedName>
    <definedName name="adced">{#N/A,#N/A,FALSE,"Plan1";#N/A,#N/A,FALSE,"Plan2"}</definedName>
    <definedName name="adced2" localSheetId="9">{#N/A,#N/A,FALSE,"Plan1";#N/A,#N/A,FALSE,"Plan2"}</definedName>
    <definedName name="adced2" localSheetId="6">{#N/A,#N/A,FALSE,"Plan1";#N/A,#N/A,FALSE,"Plan2"}</definedName>
    <definedName name="adced2" localSheetId="3">{#N/A,#N/A,FALSE,"Plan1";#N/A,#N/A,FALSE,"Plan2"}</definedName>
    <definedName name="adced2" localSheetId="8">{#N/A,#N/A,FALSE,"Plan1";#N/A,#N/A,FALSE,"Plan2"}</definedName>
    <definedName name="adced2" localSheetId="5">{#N/A,#N/A,FALSE,"Plan1";#N/A,#N/A,FALSE,"Plan2"}</definedName>
    <definedName name="adced2" localSheetId="4">{#N/A,#N/A,FALSE,"Plan1";#N/A,#N/A,FALSE,"Plan2"}</definedName>
    <definedName name="adced2" localSheetId="13">{#N/A,#N/A,FALSE,"Plan1";#N/A,#N/A,FALSE,"Plan2"}</definedName>
    <definedName name="adced2" localSheetId="17">{#N/A,#N/A,FALSE,"Plan1";#N/A,#N/A,FALSE,"Plan2"}</definedName>
    <definedName name="adced2" localSheetId="0">{#N/A,#N/A,FALSE,"Plan1";#N/A,#N/A,FALSE,"Plan2"}</definedName>
    <definedName name="adced2" localSheetId="19">{#N/A,#N/A,FALSE,"Plan1";#N/A,#N/A,FALSE,"Plan2"}</definedName>
    <definedName name="adced2" localSheetId="16">{#N/A,#N/A,FALSE,"Plan1";#N/A,#N/A,FALSE,"Plan2"}</definedName>
    <definedName name="adced2" localSheetId="18">{#N/A,#N/A,FALSE,"Plan1";#N/A,#N/A,FALSE,"Plan2"}</definedName>
    <definedName name="adced2" localSheetId="10">{#N/A,#N/A,FALSE,"Plan1";#N/A,#N/A,FALSE,"Plan2"}</definedName>
    <definedName name="adced2">{#N/A,#N/A,FALSE,"Plan1";#N/A,#N/A,FALSE,"Plan2"}</definedName>
    <definedName name="ader" localSheetId="9">{#N/A,#N/A,FALSE,"Plan1";#N/A,#N/A,FALSE,"Plan2"}</definedName>
    <definedName name="ader" localSheetId="6">{#N/A,#N/A,FALSE,"Plan1";#N/A,#N/A,FALSE,"Plan2"}</definedName>
    <definedName name="ader" localSheetId="3">{#N/A,#N/A,FALSE,"Plan1";#N/A,#N/A,FALSE,"Plan2"}</definedName>
    <definedName name="ader" localSheetId="8">{#N/A,#N/A,FALSE,"Plan1";#N/A,#N/A,FALSE,"Plan2"}</definedName>
    <definedName name="ader" localSheetId="5">{#N/A,#N/A,FALSE,"Plan1";#N/A,#N/A,FALSE,"Plan2"}</definedName>
    <definedName name="ader" localSheetId="4">{#N/A,#N/A,FALSE,"Plan1";#N/A,#N/A,FALSE,"Plan2"}</definedName>
    <definedName name="ader" localSheetId="13">{#N/A,#N/A,FALSE,"Plan1";#N/A,#N/A,FALSE,"Plan2"}</definedName>
    <definedName name="ader" localSheetId="17">{#N/A,#N/A,FALSE,"Plan1";#N/A,#N/A,FALSE,"Plan2"}</definedName>
    <definedName name="ader" localSheetId="0">{#N/A,#N/A,FALSE,"Plan1";#N/A,#N/A,FALSE,"Plan2"}</definedName>
    <definedName name="ader" localSheetId="19">{#N/A,#N/A,FALSE,"Plan1";#N/A,#N/A,FALSE,"Plan2"}</definedName>
    <definedName name="ader" localSheetId="16">{#N/A,#N/A,FALSE,"Plan1";#N/A,#N/A,FALSE,"Plan2"}</definedName>
    <definedName name="ader" localSheetId="18">{#N/A,#N/A,FALSE,"Plan1";#N/A,#N/A,FALSE,"Plan2"}</definedName>
    <definedName name="ader" localSheetId="10">{#N/A,#N/A,FALSE,"Plan1";#N/A,#N/A,FALSE,"Plan2"}</definedName>
    <definedName name="ader">{#N/A,#N/A,FALSE,"Plan1";#N/A,#N/A,FALSE,"Plan2"}</definedName>
    <definedName name="ader2" localSheetId="9">{#N/A,#N/A,FALSE,"Plan1";#N/A,#N/A,FALSE,"Plan2"}</definedName>
    <definedName name="ader2" localSheetId="6">{#N/A,#N/A,FALSE,"Plan1";#N/A,#N/A,FALSE,"Plan2"}</definedName>
    <definedName name="ader2" localSheetId="3">{#N/A,#N/A,FALSE,"Plan1";#N/A,#N/A,FALSE,"Plan2"}</definedName>
    <definedName name="ader2" localSheetId="8">{#N/A,#N/A,FALSE,"Plan1";#N/A,#N/A,FALSE,"Plan2"}</definedName>
    <definedName name="ader2" localSheetId="5">{#N/A,#N/A,FALSE,"Plan1";#N/A,#N/A,FALSE,"Plan2"}</definedName>
    <definedName name="ader2" localSheetId="4">{#N/A,#N/A,FALSE,"Plan1";#N/A,#N/A,FALSE,"Plan2"}</definedName>
    <definedName name="ader2" localSheetId="13">{#N/A,#N/A,FALSE,"Plan1";#N/A,#N/A,FALSE,"Plan2"}</definedName>
    <definedName name="ader2" localSheetId="17">{#N/A,#N/A,FALSE,"Plan1";#N/A,#N/A,FALSE,"Plan2"}</definedName>
    <definedName name="ader2" localSheetId="0">{#N/A,#N/A,FALSE,"Plan1";#N/A,#N/A,FALSE,"Plan2"}</definedName>
    <definedName name="ader2" localSheetId="19">{#N/A,#N/A,FALSE,"Plan1";#N/A,#N/A,FALSE,"Plan2"}</definedName>
    <definedName name="ader2" localSheetId="16">{#N/A,#N/A,FALSE,"Plan1";#N/A,#N/A,FALSE,"Plan2"}</definedName>
    <definedName name="ader2" localSheetId="18">{#N/A,#N/A,FALSE,"Plan1";#N/A,#N/A,FALSE,"Plan2"}</definedName>
    <definedName name="ader2" localSheetId="10">{#N/A,#N/A,FALSE,"Plan1";#N/A,#N/A,FALSE,"Plan2"}</definedName>
    <definedName name="ader2">{#N/A,#N/A,FALSE,"Plan1";#N/A,#N/A,FALSE,"Plan2"}</definedName>
    <definedName name="adesr" localSheetId="9">{#N/A,#N/A,FALSE,"Plan1";#N/A,#N/A,FALSE,"Plan2"}</definedName>
    <definedName name="adesr" localSheetId="6">{#N/A,#N/A,FALSE,"Plan1";#N/A,#N/A,FALSE,"Plan2"}</definedName>
    <definedName name="adesr" localSheetId="3">{#N/A,#N/A,FALSE,"Plan1";#N/A,#N/A,FALSE,"Plan2"}</definedName>
    <definedName name="adesr" localSheetId="8">{#N/A,#N/A,FALSE,"Plan1";#N/A,#N/A,FALSE,"Plan2"}</definedName>
    <definedName name="adesr" localSheetId="5">{#N/A,#N/A,FALSE,"Plan1";#N/A,#N/A,FALSE,"Plan2"}</definedName>
    <definedName name="adesr" localSheetId="4">{#N/A,#N/A,FALSE,"Plan1";#N/A,#N/A,FALSE,"Plan2"}</definedName>
    <definedName name="adesr" localSheetId="13">{#N/A,#N/A,FALSE,"Plan1";#N/A,#N/A,FALSE,"Plan2"}</definedName>
    <definedName name="adesr" localSheetId="17">{#N/A,#N/A,FALSE,"Plan1";#N/A,#N/A,FALSE,"Plan2"}</definedName>
    <definedName name="adesr" localSheetId="0">{#N/A,#N/A,FALSE,"Plan1";#N/A,#N/A,FALSE,"Plan2"}</definedName>
    <definedName name="adesr" localSheetId="19">{#N/A,#N/A,FALSE,"Plan1";#N/A,#N/A,FALSE,"Plan2"}</definedName>
    <definedName name="adesr" localSheetId="16">{#N/A,#N/A,FALSE,"Plan1";#N/A,#N/A,FALSE,"Plan2"}</definedName>
    <definedName name="adesr" localSheetId="18">{#N/A,#N/A,FALSE,"Plan1";#N/A,#N/A,FALSE,"Plan2"}</definedName>
    <definedName name="adesr" localSheetId="10">{#N/A,#N/A,FALSE,"Plan1";#N/A,#N/A,FALSE,"Plan2"}</definedName>
    <definedName name="adesr">{#N/A,#N/A,FALSE,"Plan1";#N/A,#N/A,FALSE,"Plan2"}</definedName>
    <definedName name="adew">"3ORZTPXRHBU97C8AJ5UM8CAVA"</definedName>
    <definedName name="adewr" localSheetId="9">{#N/A,#N/A,FALSE,"Plan1";#N/A,#N/A,FALSE,"Plan2"}</definedName>
    <definedName name="adewr" localSheetId="6">{#N/A,#N/A,FALSE,"Plan1";#N/A,#N/A,FALSE,"Plan2"}</definedName>
    <definedName name="adewr" localSheetId="3">{#N/A,#N/A,FALSE,"Plan1";#N/A,#N/A,FALSE,"Plan2"}</definedName>
    <definedName name="adewr" localSheetId="8">{#N/A,#N/A,FALSE,"Plan1";#N/A,#N/A,FALSE,"Plan2"}</definedName>
    <definedName name="adewr" localSheetId="5">{#N/A,#N/A,FALSE,"Plan1";#N/A,#N/A,FALSE,"Plan2"}</definedName>
    <definedName name="adewr" localSheetId="4">{#N/A,#N/A,FALSE,"Plan1";#N/A,#N/A,FALSE,"Plan2"}</definedName>
    <definedName name="adewr" localSheetId="13">{#N/A,#N/A,FALSE,"Plan1";#N/A,#N/A,FALSE,"Plan2"}</definedName>
    <definedName name="adewr" localSheetId="17">{#N/A,#N/A,FALSE,"Plan1";#N/A,#N/A,FALSE,"Plan2"}</definedName>
    <definedName name="adewr" localSheetId="0">{#N/A,#N/A,FALSE,"Plan1";#N/A,#N/A,FALSE,"Plan2"}</definedName>
    <definedName name="adewr" localSheetId="19">{#N/A,#N/A,FALSE,"Plan1";#N/A,#N/A,FALSE,"Plan2"}</definedName>
    <definedName name="adewr" localSheetId="16">{#N/A,#N/A,FALSE,"Plan1";#N/A,#N/A,FALSE,"Plan2"}</definedName>
    <definedName name="adewr" localSheetId="18">{#N/A,#N/A,FALSE,"Plan1";#N/A,#N/A,FALSE,"Plan2"}</definedName>
    <definedName name="adewr" localSheetId="10">{#N/A,#N/A,FALSE,"Plan1";#N/A,#N/A,FALSE,"Plan2"}</definedName>
    <definedName name="adewr">{#N/A,#N/A,FALSE,"Plan1";#N/A,#N/A,FALSE,"Plan2"}</definedName>
    <definedName name="adf" localSheetId="9">{#N/A,#N/A,FALSE,"Plan1";#N/A,#N/A,FALSE,"Plan2"}</definedName>
    <definedName name="adf" localSheetId="6">{#N/A,#N/A,FALSE,"Plan1";#N/A,#N/A,FALSE,"Plan2"}</definedName>
    <definedName name="adf" localSheetId="3">{#N/A,#N/A,FALSE,"Plan1";#N/A,#N/A,FALSE,"Plan2"}</definedName>
    <definedName name="adf" localSheetId="8">{#N/A,#N/A,FALSE,"Plan1";#N/A,#N/A,FALSE,"Plan2"}</definedName>
    <definedName name="adf" localSheetId="5">{#N/A,#N/A,FALSE,"Plan1";#N/A,#N/A,FALSE,"Plan2"}</definedName>
    <definedName name="adf" localSheetId="4">{#N/A,#N/A,FALSE,"Plan1";#N/A,#N/A,FALSE,"Plan2"}</definedName>
    <definedName name="adf" localSheetId="13">{#N/A,#N/A,FALSE,"Plan1";#N/A,#N/A,FALSE,"Plan2"}</definedName>
    <definedName name="adf" localSheetId="17">{#N/A,#N/A,FALSE,"Plan1";#N/A,#N/A,FALSE,"Plan2"}</definedName>
    <definedName name="adf" localSheetId="0">{#N/A,#N/A,FALSE,"Plan1";#N/A,#N/A,FALSE,"Plan2"}</definedName>
    <definedName name="adf" localSheetId="19">{#N/A,#N/A,FALSE,"Plan1";#N/A,#N/A,FALSE,"Plan2"}</definedName>
    <definedName name="adf" localSheetId="16">{#N/A,#N/A,FALSE,"Plan1";#N/A,#N/A,FALSE,"Plan2"}</definedName>
    <definedName name="adf" localSheetId="18">{#N/A,#N/A,FALSE,"Plan1";#N/A,#N/A,FALSE,"Plan2"}</definedName>
    <definedName name="adf" localSheetId="10">{#N/A,#N/A,FALSE,"Plan1";#N/A,#N/A,FALSE,"Plan2"}</definedName>
    <definedName name="adf">{#N/A,#N/A,FALSE,"Plan1";#N/A,#N/A,FALSE,"Plan2"}</definedName>
    <definedName name="ADITIVO_BRUTO" localSheetId="3">#REF!</definedName>
    <definedName name="ADITIVO_BRUTO" localSheetId="5">#REF!</definedName>
    <definedName name="ADITIVO_BRUTO" localSheetId="26">#REF!</definedName>
    <definedName name="ADITIVO_BRUTO">#REF!</definedName>
    <definedName name="ADITIVO_LIQUIDO" localSheetId="3">#REF!</definedName>
    <definedName name="ADITIVO_LIQUIDO" localSheetId="5">#REF!</definedName>
    <definedName name="ADITIVO_LIQUIDO" localSheetId="26">#REF!</definedName>
    <definedName name="ADITIVO_LIQUIDO">#REF!</definedName>
    <definedName name="ADM.EXTERNA" localSheetId="3">#REF!</definedName>
    <definedName name="ADM.EXTERNA" localSheetId="5">#REF!</definedName>
    <definedName name="ADM.EXTERNA" localSheetId="26">#REF!</definedName>
    <definedName name="ADM.EXTERNA">#REF!</definedName>
    <definedName name="adsfr" localSheetId="9">{#N/A,#N/A,FALSE,"Plan1";#N/A,#N/A,FALSE,"Plan2"}</definedName>
    <definedName name="adsfr" localSheetId="6">{#N/A,#N/A,FALSE,"Plan1";#N/A,#N/A,FALSE,"Plan2"}</definedName>
    <definedName name="adsfr" localSheetId="3">{#N/A,#N/A,FALSE,"Plan1";#N/A,#N/A,FALSE,"Plan2"}</definedName>
    <definedName name="adsfr" localSheetId="8">{#N/A,#N/A,FALSE,"Plan1";#N/A,#N/A,FALSE,"Plan2"}</definedName>
    <definedName name="adsfr" localSheetId="5">{#N/A,#N/A,FALSE,"Plan1";#N/A,#N/A,FALSE,"Plan2"}</definedName>
    <definedName name="adsfr" localSheetId="4">{#N/A,#N/A,FALSE,"Plan1";#N/A,#N/A,FALSE,"Plan2"}</definedName>
    <definedName name="adsfr" localSheetId="13">{#N/A,#N/A,FALSE,"Plan1";#N/A,#N/A,FALSE,"Plan2"}</definedName>
    <definedName name="adsfr" localSheetId="17">{#N/A,#N/A,FALSE,"Plan1";#N/A,#N/A,FALSE,"Plan2"}</definedName>
    <definedName name="adsfr" localSheetId="0">{#N/A,#N/A,FALSE,"Plan1";#N/A,#N/A,FALSE,"Plan2"}</definedName>
    <definedName name="adsfr" localSheetId="19">{#N/A,#N/A,FALSE,"Plan1";#N/A,#N/A,FALSE,"Plan2"}</definedName>
    <definedName name="adsfr" localSheetId="16">{#N/A,#N/A,FALSE,"Plan1";#N/A,#N/A,FALSE,"Plan2"}</definedName>
    <definedName name="adsfr" localSheetId="18">{#N/A,#N/A,FALSE,"Plan1";#N/A,#N/A,FALSE,"Plan2"}</definedName>
    <definedName name="adsfr" localSheetId="10">{#N/A,#N/A,FALSE,"Plan1";#N/A,#N/A,FALSE,"Plan2"}</definedName>
    <definedName name="adsfr">{#N/A,#N/A,FALSE,"Plan1";#N/A,#N/A,FALSE,"Plan2"}</definedName>
    <definedName name="adssrgtg" localSheetId="9">{#N/A,#N/A,FALSE,"Plan1";#N/A,#N/A,FALSE,"Plan2"}</definedName>
    <definedName name="adssrgtg" localSheetId="6">{#N/A,#N/A,FALSE,"Plan1";#N/A,#N/A,FALSE,"Plan2"}</definedName>
    <definedName name="adssrgtg" localSheetId="3">{#N/A,#N/A,FALSE,"Plan1";#N/A,#N/A,FALSE,"Plan2"}</definedName>
    <definedName name="adssrgtg" localSheetId="8">{#N/A,#N/A,FALSE,"Plan1";#N/A,#N/A,FALSE,"Plan2"}</definedName>
    <definedName name="adssrgtg" localSheetId="5">{#N/A,#N/A,FALSE,"Plan1";#N/A,#N/A,FALSE,"Plan2"}</definedName>
    <definedName name="adssrgtg" localSheetId="4">{#N/A,#N/A,FALSE,"Plan1";#N/A,#N/A,FALSE,"Plan2"}</definedName>
    <definedName name="adssrgtg" localSheetId="13">{#N/A,#N/A,FALSE,"Plan1";#N/A,#N/A,FALSE,"Plan2"}</definedName>
    <definedName name="adssrgtg" localSheetId="17">{#N/A,#N/A,FALSE,"Plan1";#N/A,#N/A,FALSE,"Plan2"}</definedName>
    <definedName name="adssrgtg" localSheetId="0">{#N/A,#N/A,FALSE,"Plan1";#N/A,#N/A,FALSE,"Plan2"}</definedName>
    <definedName name="adssrgtg" localSheetId="19">{#N/A,#N/A,FALSE,"Plan1";#N/A,#N/A,FALSE,"Plan2"}</definedName>
    <definedName name="adssrgtg" localSheetId="16">{#N/A,#N/A,FALSE,"Plan1";#N/A,#N/A,FALSE,"Plan2"}</definedName>
    <definedName name="adssrgtg" localSheetId="18">{#N/A,#N/A,FALSE,"Plan1";#N/A,#N/A,FALSE,"Plan2"}</definedName>
    <definedName name="adssrgtg" localSheetId="10">{#N/A,#N/A,FALSE,"Plan1";#N/A,#N/A,FALSE,"Plan2"}</definedName>
    <definedName name="adssrgtg">{#N/A,#N/A,FALSE,"Plan1";#N/A,#N/A,FALSE,"Plan2"}</definedName>
    <definedName name="adtsetrr6t" localSheetId="9">{#N/A,#N/A,FALSE,"Plan1";#N/A,#N/A,FALSE,"Plan2"}</definedName>
    <definedName name="adtsetrr6t" localSheetId="6">{#N/A,#N/A,FALSE,"Plan1";#N/A,#N/A,FALSE,"Plan2"}</definedName>
    <definedName name="adtsetrr6t" localSheetId="3">{#N/A,#N/A,FALSE,"Plan1";#N/A,#N/A,FALSE,"Plan2"}</definedName>
    <definedName name="adtsetrr6t" localSheetId="8">{#N/A,#N/A,FALSE,"Plan1";#N/A,#N/A,FALSE,"Plan2"}</definedName>
    <definedName name="adtsetrr6t" localSheetId="5">{#N/A,#N/A,FALSE,"Plan1";#N/A,#N/A,FALSE,"Plan2"}</definedName>
    <definedName name="adtsetrr6t" localSheetId="4">{#N/A,#N/A,FALSE,"Plan1";#N/A,#N/A,FALSE,"Plan2"}</definedName>
    <definedName name="adtsetrr6t" localSheetId="13">{#N/A,#N/A,FALSE,"Plan1";#N/A,#N/A,FALSE,"Plan2"}</definedName>
    <definedName name="adtsetrr6t" localSheetId="17">{#N/A,#N/A,FALSE,"Plan1";#N/A,#N/A,FALSE,"Plan2"}</definedName>
    <definedName name="adtsetrr6t" localSheetId="0">{#N/A,#N/A,FALSE,"Plan1";#N/A,#N/A,FALSE,"Plan2"}</definedName>
    <definedName name="adtsetrr6t" localSheetId="19">{#N/A,#N/A,FALSE,"Plan1";#N/A,#N/A,FALSE,"Plan2"}</definedName>
    <definedName name="adtsetrr6t" localSheetId="16">{#N/A,#N/A,FALSE,"Plan1";#N/A,#N/A,FALSE,"Plan2"}</definedName>
    <definedName name="adtsetrr6t" localSheetId="18">{#N/A,#N/A,FALSE,"Plan1";#N/A,#N/A,FALSE,"Plan2"}</definedName>
    <definedName name="adtsetrr6t" localSheetId="10">{#N/A,#N/A,FALSE,"Plan1";#N/A,#N/A,FALSE,"Plan2"}</definedName>
    <definedName name="adtsetrr6t">{#N/A,#N/A,FALSE,"Plan1";#N/A,#N/A,FALSE,"Plan2"}</definedName>
    <definedName name="ADUCQT" localSheetId="3">#REF!</definedName>
    <definedName name="ADUCQT" localSheetId="5">#REF!</definedName>
    <definedName name="ADUCQT" localSheetId="26">#REF!</definedName>
    <definedName name="ADUCQT">#REF!</definedName>
    <definedName name="adwr" localSheetId="9">{#N/A,#N/A,FALSE,"Plan1";#N/A,#N/A,FALSE,"Plan2"}</definedName>
    <definedName name="adwr" localSheetId="6">{#N/A,#N/A,FALSE,"Plan1";#N/A,#N/A,FALSE,"Plan2"}</definedName>
    <definedName name="adwr" localSheetId="3">{#N/A,#N/A,FALSE,"Plan1";#N/A,#N/A,FALSE,"Plan2"}</definedName>
    <definedName name="adwr" localSheetId="8">{#N/A,#N/A,FALSE,"Plan1";#N/A,#N/A,FALSE,"Plan2"}</definedName>
    <definedName name="adwr" localSheetId="5">{#N/A,#N/A,FALSE,"Plan1";#N/A,#N/A,FALSE,"Plan2"}</definedName>
    <definedName name="adwr" localSheetId="4">{#N/A,#N/A,FALSE,"Plan1";#N/A,#N/A,FALSE,"Plan2"}</definedName>
    <definedName name="adwr" localSheetId="13">{#N/A,#N/A,FALSE,"Plan1";#N/A,#N/A,FALSE,"Plan2"}</definedName>
    <definedName name="adwr" localSheetId="17">{#N/A,#N/A,FALSE,"Plan1";#N/A,#N/A,FALSE,"Plan2"}</definedName>
    <definedName name="adwr" localSheetId="0">{#N/A,#N/A,FALSE,"Plan1";#N/A,#N/A,FALSE,"Plan2"}</definedName>
    <definedName name="adwr" localSheetId="19">{#N/A,#N/A,FALSE,"Plan1";#N/A,#N/A,FALSE,"Plan2"}</definedName>
    <definedName name="adwr" localSheetId="16">{#N/A,#N/A,FALSE,"Plan1";#N/A,#N/A,FALSE,"Plan2"}</definedName>
    <definedName name="adwr" localSheetId="18">{#N/A,#N/A,FALSE,"Plan1";#N/A,#N/A,FALSE,"Plan2"}</definedName>
    <definedName name="adwr" localSheetId="10">{#N/A,#N/A,FALSE,"Plan1";#N/A,#N/A,FALSE,"Plan2"}</definedName>
    <definedName name="adwr">{#N/A,#N/A,FALSE,"Plan1";#N/A,#N/A,FALSE,"Plan2"}</definedName>
    <definedName name="aeiresft" localSheetId="9">{#N/A,#N/A,FALSE,"Plan1";#N/A,#N/A,FALSE,"Plan2"}</definedName>
    <definedName name="aeiresft" localSheetId="6">{#N/A,#N/A,FALSE,"Plan1";#N/A,#N/A,FALSE,"Plan2"}</definedName>
    <definedName name="aeiresft" localSheetId="3">{#N/A,#N/A,FALSE,"Plan1";#N/A,#N/A,FALSE,"Plan2"}</definedName>
    <definedName name="aeiresft" localSheetId="8">{#N/A,#N/A,FALSE,"Plan1";#N/A,#N/A,FALSE,"Plan2"}</definedName>
    <definedName name="aeiresft" localSheetId="5">{#N/A,#N/A,FALSE,"Plan1";#N/A,#N/A,FALSE,"Plan2"}</definedName>
    <definedName name="aeiresft" localSheetId="4">{#N/A,#N/A,FALSE,"Plan1";#N/A,#N/A,FALSE,"Plan2"}</definedName>
    <definedName name="aeiresft" localSheetId="13">{#N/A,#N/A,FALSE,"Plan1";#N/A,#N/A,FALSE,"Plan2"}</definedName>
    <definedName name="aeiresft" localSheetId="17">{#N/A,#N/A,FALSE,"Plan1";#N/A,#N/A,FALSE,"Plan2"}</definedName>
    <definedName name="aeiresft" localSheetId="0">{#N/A,#N/A,FALSE,"Plan1";#N/A,#N/A,FALSE,"Plan2"}</definedName>
    <definedName name="aeiresft" localSheetId="19">{#N/A,#N/A,FALSE,"Plan1";#N/A,#N/A,FALSE,"Plan2"}</definedName>
    <definedName name="aeiresft" localSheetId="16">{#N/A,#N/A,FALSE,"Plan1";#N/A,#N/A,FALSE,"Plan2"}</definedName>
    <definedName name="aeiresft" localSheetId="18">{#N/A,#N/A,FALSE,"Plan1";#N/A,#N/A,FALSE,"Plan2"}</definedName>
    <definedName name="aeiresft" localSheetId="10">{#N/A,#N/A,FALSE,"Plan1";#N/A,#N/A,FALSE,"Plan2"}</definedName>
    <definedName name="aeiresft">{#N/A,#N/A,FALSE,"Plan1";#N/A,#N/A,FALSE,"Plan2"}</definedName>
    <definedName name="aEL3QE" localSheetId="9">{#N/A,#N/A,FALSE,"Plan1";#N/A,#N/A,FALSE,"Plan2"}</definedName>
    <definedName name="aEL3QE" localSheetId="6">{#N/A,#N/A,FALSE,"Plan1";#N/A,#N/A,FALSE,"Plan2"}</definedName>
    <definedName name="aEL3QE" localSheetId="3">{#N/A,#N/A,FALSE,"Plan1";#N/A,#N/A,FALSE,"Plan2"}</definedName>
    <definedName name="aEL3QE" localSheetId="8">{#N/A,#N/A,FALSE,"Plan1";#N/A,#N/A,FALSE,"Plan2"}</definedName>
    <definedName name="aEL3QE" localSheetId="5">{#N/A,#N/A,FALSE,"Plan1";#N/A,#N/A,FALSE,"Plan2"}</definedName>
    <definedName name="aEL3QE" localSheetId="4">{#N/A,#N/A,FALSE,"Plan1";#N/A,#N/A,FALSE,"Plan2"}</definedName>
    <definedName name="aEL3QE" localSheetId="13">{#N/A,#N/A,FALSE,"Plan1";#N/A,#N/A,FALSE,"Plan2"}</definedName>
    <definedName name="aEL3QE" localSheetId="17">{#N/A,#N/A,FALSE,"Plan1";#N/A,#N/A,FALSE,"Plan2"}</definedName>
    <definedName name="aEL3QE" localSheetId="0">{#N/A,#N/A,FALSE,"Plan1";#N/A,#N/A,FALSE,"Plan2"}</definedName>
    <definedName name="aEL3QE" localSheetId="19">{#N/A,#N/A,FALSE,"Plan1";#N/A,#N/A,FALSE,"Plan2"}</definedName>
    <definedName name="aEL3QE" localSheetId="16">{#N/A,#N/A,FALSE,"Plan1";#N/A,#N/A,FALSE,"Plan2"}</definedName>
    <definedName name="aEL3QE" localSheetId="18">{#N/A,#N/A,FALSE,"Plan1";#N/A,#N/A,FALSE,"Plan2"}</definedName>
    <definedName name="aEL3QE" localSheetId="10">{#N/A,#N/A,FALSE,"Plan1";#N/A,#N/A,FALSE,"Plan2"}</definedName>
    <definedName name="aEL3QE">{#N/A,#N/A,FALSE,"Plan1";#N/A,#N/A,FALSE,"Plan2"}</definedName>
    <definedName name="afeasfre" localSheetId="9">{#N/A,#N/A,FALSE,"Plan1";#N/A,#N/A,FALSE,"Plan2"}</definedName>
    <definedName name="afeasfre" localSheetId="6">{#N/A,#N/A,FALSE,"Plan1";#N/A,#N/A,FALSE,"Plan2"}</definedName>
    <definedName name="afeasfre" localSheetId="3">{#N/A,#N/A,FALSE,"Plan1";#N/A,#N/A,FALSE,"Plan2"}</definedName>
    <definedName name="afeasfre" localSheetId="8">{#N/A,#N/A,FALSE,"Plan1";#N/A,#N/A,FALSE,"Plan2"}</definedName>
    <definedName name="afeasfre" localSheetId="5">{#N/A,#N/A,FALSE,"Plan1";#N/A,#N/A,FALSE,"Plan2"}</definedName>
    <definedName name="afeasfre" localSheetId="4">{#N/A,#N/A,FALSE,"Plan1";#N/A,#N/A,FALSE,"Plan2"}</definedName>
    <definedName name="afeasfre" localSheetId="13">{#N/A,#N/A,FALSE,"Plan1";#N/A,#N/A,FALSE,"Plan2"}</definedName>
    <definedName name="afeasfre" localSheetId="17">{#N/A,#N/A,FALSE,"Plan1";#N/A,#N/A,FALSE,"Plan2"}</definedName>
    <definedName name="afeasfre" localSheetId="0">{#N/A,#N/A,FALSE,"Plan1";#N/A,#N/A,FALSE,"Plan2"}</definedName>
    <definedName name="afeasfre" localSheetId="19">{#N/A,#N/A,FALSE,"Plan1";#N/A,#N/A,FALSE,"Plan2"}</definedName>
    <definedName name="afeasfre" localSheetId="16">{#N/A,#N/A,FALSE,"Plan1";#N/A,#N/A,FALSE,"Plan2"}</definedName>
    <definedName name="afeasfre" localSheetId="18">{#N/A,#N/A,FALSE,"Plan1";#N/A,#N/A,FALSE,"Plan2"}</definedName>
    <definedName name="afeasfre" localSheetId="10">{#N/A,#N/A,FALSE,"Plan1";#N/A,#N/A,FALSE,"Plan2"}</definedName>
    <definedName name="afeasfre">{#N/A,#N/A,FALSE,"Plan1";#N/A,#N/A,FALSE,"Plan2"}</definedName>
    <definedName name="agdsf" localSheetId="3">#REF!</definedName>
    <definedName name="agdsf" localSheetId="5">#REF!</definedName>
    <definedName name="agdsf" localSheetId="26">#REF!</definedName>
    <definedName name="agdsf" localSheetId="0">#REF!</definedName>
    <definedName name="agdsf">#REF!</definedName>
    <definedName name="ago17RJ" localSheetId="3">#REF!</definedName>
    <definedName name="ago17RJ" localSheetId="5">#REF!</definedName>
    <definedName name="ago17RJ" localSheetId="26">#REF!</definedName>
    <definedName name="ago17RJ">#REF!</definedName>
    <definedName name="AGOSTO" localSheetId="3">#REF!</definedName>
    <definedName name="AGOSTO" localSheetId="5">#REF!</definedName>
    <definedName name="AGOSTO" localSheetId="26">#REF!</definedName>
    <definedName name="AGOSTO">#REF!</definedName>
    <definedName name="agu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9">{#N/A,#N/A,FALSE,"CCTV"}</definedName>
    <definedName name="AH" localSheetId="6">{#N/A,#N/A,FALSE,"CCTV"}</definedName>
    <definedName name="AH" localSheetId="3">{#N/A,#N/A,FALSE,"CCTV"}</definedName>
    <definedName name="AH" localSheetId="8">{#N/A,#N/A,FALSE,"CCTV"}</definedName>
    <definedName name="AH" localSheetId="5">{#N/A,#N/A,FALSE,"CCTV"}</definedName>
    <definedName name="AH" localSheetId="4">{#N/A,#N/A,FALSE,"CCTV"}</definedName>
    <definedName name="AH" localSheetId="13">{#N/A,#N/A,FALSE,"CCTV"}</definedName>
    <definedName name="AH" localSheetId="17">{#N/A,#N/A,FALSE,"CCTV"}</definedName>
    <definedName name="AH" localSheetId="0">{#N/A,#N/A,FALSE,"CCTV"}</definedName>
    <definedName name="AH" localSheetId="19">{#N/A,#N/A,FALSE,"CCTV"}</definedName>
    <definedName name="AH" localSheetId="16">{#N/A,#N/A,FALSE,"CCTV"}</definedName>
    <definedName name="AH" localSheetId="18">{#N/A,#N/A,FALSE,"CCTV"}</definedName>
    <definedName name="AH" localSheetId="10">{#N/A,#N/A,FALSE,"CCTV"}</definedName>
    <definedName name="AH">{#N/A,#N/A,FALSE,"CCTV"}</definedName>
    <definedName name="AITEM" localSheetId="3">#REF!</definedName>
    <definedName name="AITEM" localSheetId="5">#REF!</definedName>
    <definedName name="AITEM" localSheetId="26">#REF!</definedName>
    <definedName name="AITEM">#REF!</definedName>
    <definedName name="Ajudante_Geral" localSheetId="3">#REF!</definedName>
    <definedName name="Ajudante_Geral" localSheetId="5">#REF!</definedName>
    <definedName name="Ajudante_Geral" localSheetId="26">#REF!</definedName>
    <definedName name="Ajudante_Geral">#REF!</definedName>
    <definedName name="ajudante_mes" localSheetId="3">#REF!</definedName>
    <definedName name="ajudante_mes" localSheetId="5">#REF!</definedName>
    <definedName name="ajudante_mes" localSheetId="26">#REF!</definedName>
    <definedName name="ajudante_mes">#REF!</definedName>
    <definedName name="AL" localSheetId="3">#REF!</definedName>
    <definedName name="AL" localSheetId="5">#REF!</definedName>
    <definedName name="AL" localSheetId="26">#REF!</definedName>
    <definedName name="AL">#REF!</definedName>
    <definedName name="ALTADUC" localSheetId="3">#REF!</definedName>
    <definedName name="ALTADUC" localSheetId="5">#REF!</definedName>
    <definedName name="ALTADUC" localSheetId="26">#REF!</definedName>
    <definedName name="ALTADUC">#REF!</definedName>
    <definedName name="ALTBOMB" localSheetId="3">#REF!</definedName>
    <definedName name="ALTBOMB" localSheetId="5">#REF!</definedName>
    <definedName name="ALTBOMB" localSheetId="26">#REF!</definedName>
    <definedName name="ALTBOMB">#REF!</definedName>
    <definedName name="ALTCAP" localSheetId="3">#REF!</definedName>
    <definedName name="ALTCAP" localSheetId="5">#REF!</definedName>
    <definedName name="ALTCAP" localSheetId="26">#REF!</definedName>
    <definedName name="ALTCAP">#REF!</definedName>
    <definedName name="ALTDER" localSheetId="3">#REF!</definedName>
    <definedName name="ALTDER" localSheetId="5">#REF!</definedName>
    <definedName name="ALTDER" localSheetId="26">#REF!</definedName>
    <definedName name="ALTDER">#REF!</definedName>
    <definedName name="ALTEQUIP" localSheetId="3">#REF!</definedName>
    <definedName name="ALTEQUIP" localSheetId="5">#REF!</definedName>
    <definedName name="ALTEQUIP" localSheetId="26">#REF!</definedName>
    <definedName name="ALTEQUIP">#REF!</definedName>
    <definedName name="ALTIEQP" localSheetId="3">#REF!</definedName>
    <definedName name="ALTIEQP" localSheetId="5">#REF!</definedName>
    <definedName name="ALTIEQP" localSheetId="26">#REF!</definedName>
    <definedName name="ALTIEQP">#REF!</definedName>
    <definedName name="ALTMUR" localSheetId="3">#REF!</definedName>
    <definedName name="ALTMUR" localSheetId="5">#REF!</definedName>
    <definedName name="ALTMUR" localSheetId="26">#REF!</definedName>
    <definedName name="ALTMUR">#REF!</definedName>
    <definedName name="ALTRES10" localSheetId="3">#REF!</definedName>
    <definedName name="ALTRES10" localSheetId="5">#REF!</definedName>
    <definedName name="ALTRES10" localSheetId="26">#REF!</definedName>
    <definedName name="ALTRES10">#REF!</definedName>
    <definedName name="ALTRES15" localSheetId="3">#REF!</definedName>
    <definedName name="ALTRES15" localSheetId="5">#REF!</definedName>
    <definedName name="ALTRES15" localSheetId="26">#REF!</definedName>
    <definedName name="ALTRES15">#REF!</definedName>
    <definedName name="ALTRES20" localSheetId="3">#REF!</definedName>
    <definedName name="ALTRES20" localSheetId="5">#REF!</definedName>
    <definedName name="ALTRES20" localSheetId="26">#REF!</definedName>
    <definedName name="ALTRES20">#REF!</definedName>
    <definedName name="ALTTRANS" localSheetId="3">#REF!</definedName>
    <definedName name="ALTTRANS" localSheetId="5">#REF!</definedName>
    <definedName name="ALTTRANS" localSheetId="26">#REF!</definedName>
    <definedName name="ALTTRANS">#REF!</definedName>
    <definedName name="ALUMÍNIO_2" localSheetId="3">#REF!</definedName>
    <definedName name="ALUMÍNIO_2" localSheetId="5">#REF!</definedName>
    <definedName name="ALUMÍNIO_2" localSheetId="26">#REF!</definedName>
    <definedName name="ALUMÍNIO_2">#REF!</definedName>
    <definedName name="angelo" localSheetId="3">#REF!</definedName>
    <definedName name="angelo" localSheetId="1">#REF!</definedName>
    <definedName name="angelo" localSheetId="5">#REF!</definedName>
    <definedName name="angelo" localSheetId="21">#REF!</definedName>
    <definedName name="angelo" localSheetId="22">#REF!</definedName>
    <definedName name="angelo" localSheetId="13">#REF!</definedName>
    <definedName name="angelo" localSheetId="17">#REF!</definedName>
    <definedName name="angelo" localSheetId="26">#REF!</definedName>
    <definedName name="angelo" localSheetId="0">#REF!</definedName>
    <definedName name="angelo" localSheetId="16">#REF!</definedName>
    <definedName name="angelo" localSheetId="18">#REF!</definedName>
    <definedName name="angelo">#REF!</definedName>
    <definedName name="anscount" localSheetId="6">1</definedName>
    <definedName name="anscount" localSheetId="8">1</definedName>
    <definedName name="anscount" localSheetId="5">1</definedName>
    <definedName name="anscount" localSheetId="4">3</definedName>
    <definedName name="anscount" localSheetId="0">3</definedName>
    <definedName name="anscount" localSheetId="19">1</definedName>
    <definedName name="anscount">3</definedName>
    <definedName name="AQE" localSheetId="9">{"'장비'!$A$3:$M$12"}</definedName>
    <definedName name="AQE" localSheetId="6">{"'장비'!$A$3:$M$12"}</definedName>
    <definedName name="AQE" localSheetId="3">{"'장비'!$A$3:$M$12"}</definedName>
    <definedName name="AQE" localSheetId="8">{"'장비'!$A$3:$M$12"}</definedName>
    <definedName name="AQE" localSheetId="5">{"'장비'!$A$3:$M$12"}</definedName>
    <definedName name="AQE" localSheetId="4">{"'장비'!$A$3:$M$12"}</definedName>
    <definedName name="AQE" localSheetId="13">{"'장비'!$A$3:$M$12"}</definedName>
    <definedName name="AQE" localSheetId="17">{"'장비'!$A$3:$M$12"}</definedName>
    <definedName name="AQE" localSheetId="0">{"'장비'!$A$3:$M$12"}</definedName>
    <definedName name="AQE" localSheetId="19">{"'장비'!$A$3:$M$12"}</definedName>
    <definedName name="AQE" localSheetId="16">{"'장비'!$A$3:$M$12"}</definedName>
    <definedName name="AQE" localSheetId="18">{"'장비'!$A$3:$M$12"}</definedName>
    <definedName name="AQE" localSheetId="10">{"'장비'!$A$3:$M$12"}</definedName>
    <definedName name="AQE">{"'장비'!$A$3:$M$12"}</definedName>
    <definedName name="AQTEMP1" localSheetId="3">#REF!</definedName>
    <definedName name="AQTEMP1" localSheetId="5">#REF!</definedName>
    <definedName name="AQTEMP1" localSheetId="26">#REF!</definedName>
    <definedName name="AQTEMP1">#REF!</definedName>
    <definedName name="AQTEMP2" localSheetId="3">#REF!</definedName>
    <definedName name="AQTEMP2" localSheetId="5">#REF!</definedName>
    <definedName name="AQTEMP2" localSheetId="26">#REF!</definedName>
    <definedName name="AQTEMP2">#REF!</definedName>
    <definedName name="ArComprimido" localSheetId="9">{"'Estimativa de Lançamento-JAN'!$A$1:$AI$85"}</definedName>
    <definedName name="ArComprimido" localSheetId="6">{"'Estimativa de Lançamento-JAN'!$A$1:$AI$85"}</definedName>
    <definedName name="ArComprimido" localSheetId="3">{"'Estimativa de Lançamento-JAN'!$A$1:$AI$85"}</definedName>
    <definedName name="ArComprimido" localSheetId="8">{"'Estimativa de Lançamento-JAN'!$A$1:$AI$85"}</definedName>
    <definedName name="ArComprimido" localSheetId="5">{"'Estimativa de Lançamento-JAN'!$A$1:$AI$85"}</definedName>
    <definedName name="ArComprimido" localSheetId="4">{"'Estimativa de Lançamento-JAN'!$A$1:$AI$85"}</definedName>
    <definedName name="ArComprimido" localSheetId="13">{"'Estimativa de Lançamento-JAN'!$A$1:$AI$85"}</definedName>
    <definedName name="ArComprimido" localSheetId="17">{"'Estimativa de Lançamento-JAN'!$A$1:$AI$85"}</definedName>
    <definedName name="ArComprimido" localSheetId="0">{"'Estimativa de Lançamento-JAN'!$A$1:$AI$85"}</definedName>
    <definedName name="ArComprimido" localSheetId="19">{"'Estimativa de Lançamento-JAN'!$A$1:$AI$85"}</definedName>
    <definedName name="ArComprimido" localSheetId="16">{"'Estimativa de Lançamento-JAN'!$A$1:$AI$85"}</definedName>
    <definedName name="ArComprimido" localSheetId="18">{"'Estimativa de Lançamento-JAN'!$A$1:$AI$85"}</definedName>
    <definedName name="ArComprimido" localSheetId="10">{"'Estimativa de Lançamento-JAN'!$A$1:$AI$85"}</definedName>
    <definedName name="ArComprimido">{"'Estimativa de Lançamento-JAN'!$A$1:$AI$85"}</definedName>
    <definedName name="area" localSheetId="9">{#N/A,#N/A,FALSE,"Plan1";#N/A,#N/A,FALSE,"Plan2"}</definedName>
    <definedName name="area" localSheetId="6">#REF!</definedName>
    <definedName name="area" localSheetId="3">{#N/A,#N/A,FALSE,"Plan1";#N/A,#N/A,FALSE,"Plan2"}</definedName>
    <definedName name="area" localSheetId="8">#REF!</definedName>
    <definedName name="area" localSheetId="4">{#N/A,#N/A,FALSE,"Plan1";#N/A,#N/A,FALSE,"Plan2"}</definedName>
    <definedName name="area" localSheetId="21">#REF!</definedName>
    <definedName name="area" localSheetId="13">#REF!</definedName>
    <definedName name="area" localSheetId="17">{#N/A,#N/A,FALSE,"Plan1";#N/A,#N/A,FALSE,"Plan2"}</definedName>
    <definedName name="area" localSheetId="26">#REF!</definedName>
    <definedName name="area" localSheetId="0">{#N/A,#N/A,FALSE,"Plan1";#N/A,#N/A,FALSE,"Plan2"}</definedName>
    <definedName name="area" localSheetId="16">{#N/A,#N/A,FALSE,"Plan1";#N/A,#N/A,FALSE,"Plan2"}</definedName>
    <definedName name="area" localSheetId="18">{#N/A,#N/A,FALSE,"Plan1";#N/A,#N/A,FALSE,"Plan2"}</definedName>
    <definedName name="area" localSheetId="10">{#N/A,#N/A,FALSE,"Plan1";#N/A,#N/A,FALSE,"Plan2"}</definedName>
    <definedName name="area">{#N/A,#N/A,FALSE,"Plan1";#N/A,#N/A,FALSE,"Plan2"}</definedName>
    <definedName name="área" localSheetId="3">#REF!</definedName>
    <definedName name="área" localSheetId="8">#REF!</definedName>
    <definedName name="área" localSheetId="5">#REF!</definedName>
    <definedName name="área" localSheetId="26">#REF!</definedName>
    <definedName name="área">#REF!</definedName>
    <definedName name="Área_Construída" localSheetId="3">#REF!</definedName>
    <definedName name="Área_Construída" localSheetId="5">#REF!</definedName>
    <definedName name="Área_Construída" localSheetId="26">#REF!</definedName>
    <definedName name="Área_Construída" localSheetId="0">#REF!</definedName>
    <definedName name="Área_Construída">#REF!</definedName>
    <definedName name="Área_impressão_IM" localSheetId="3">#REF!</definedName>
    <definedName name="Área_impressão_IM" localSheetId="5">#REF!</definedName>
    <definedName name="Área_impressão_IM" localSheetId="26">#REF!</definedName>
    <definedName name="Área_impressão_IM">#REF!</definedName>
    <definedName name="Área_Privativa" localSheetId="3">#REF!</definedName>
    <definedName name="Área_Privativa" localSheetId="5">#REF!</definedName>
    <definedName name="Área_Privativa" localSheetId="26">#REF!</definedName>
    <definedName name="Área_Privativa" localSheetId="0">#REF!</definedName>
    <definedName name="Área_Privativa">#REF!</definedName>
    <definedName name="Área_Terreno" localSheetId="3">#REF!</definedName>
    <definedName name="Área_Terreno" localSheetId="5">#REF!</definedName>
    <definedName name="Área_Terreno" localSheetId="26">#REF!</definedName>
    <definedName name="Área_Terreno" localSheetId="0">#REF!</definedName>
    <definedName name="Área_Terreno">#REF!</definedName>
    <definedName name="area1" localSheetId="3">#REF!</definedName>
    <definedName name="area1" localSheetId="5">#REF!</definedName>
    <definedName name="area1" localSheetId="26">#REF!</definedName>
    <definedName name="area1">#REF!</definedName>
    <definedName name="Areaimpresso" localSheetId="3">#REF!</definedName>
    <definedName name="Areaimpresso" localSheetId="5">#REF!</definedName>
    <definedName name="Areaimpresso" localSheetId="21">#REF!</definedName>
    <definedName name="Areaimpresso" localSheetId="22">#REF!</definedName>
    <definedName name="Areaimpresso" localSheetId="13">#REF!</definedName>
    <definedName name="Areaimpresso" localSheetId="26">#REF!</definedName>
    <definedName name="Areaimpresso" localSheetId="0">#REF!</definedName>
    <definedName name="Areaimpresso">#REF!</definedName>
    <definedName name="ARM" localSheetId="3">#REF!</definedName>
    <definedName name="ARM" localSheetId="5">#REF!</definedName>
    <definedName name="ARM" localSheetId="26">#REF!</definedName>
    <definedName name="ARM">#REF!</definedName>
    <definedName name="ARMABLOCOS" localSheetId="3">#REF!</definedName>
    <definedName name="ARMABLOCOS" localSheetId="5">#REF!</definedName>
    <definedName name="ARMABLOCOS" localSheetId="26">#REF!</definedName>
    <definedName name="ARMABLOCOS">#REF!</definedName>
    <definedName name="ARMAÇÃO" localSheetId="3">#REF!</definedName>
    <definedName name="ARMAÇÃO" localSheetId="5">#REF!</definedName>
    <definedName name="ARMAÇÃO" localSheetId="26">#REF!</definedName>
    <definedName name="ARMAÇÃO">#REF!</definedName>
    <definedName name="ARQ" localSheetId="3">#REF!</definedName>
    <definedName name="ARQ" localSheetId="5">#REF!</definedName>
    <definedName name="ARQ" localSheetId="26">#REF!</definedName>
    <definedName name="ARQ">#REF!</definedName>
    <definedName name="ARQERR" localSheetId="3">#REF!</definedName>
    <definedName name="ARQERR" localSheetId="5">#REF!</definedName>
    <definedName name="ARQERR" localSheetId="26">#REF!</definedName>
    <definedName name="ARQERR">#REF!</definedName>
    <definedName name="ARQPLAN" localSheetId="3">#REF!</definedName>
    <definedName name="ARQPLAN" localSheetId="5">#REF!</definedName>
    <definedName name="ARQPLAN" localSheetId="26">#REF!</definedName>
    <definedName name="ARQPLAN">#REF!</definedName>
    <definedName name="ARQT" localSheetId="3">#REF!</definedName>
    <definedName name="ARQT" localSheetId="5">#REF!</definedName>
    <definedName name="ARQT" localSheetId="26">#REF!</definedName>
    <definedName name="ARQT">#REF!</definedName>
    <definedName name="ARQTEMP" localSheetId="3">#REF!</definedName>
    <definedName name="ARQTEMP" localSheetId="5">#REF!</definedName>
    <definedName name="ARQTEMP" localSheetId="26">#REF!</definedName>
    <definedName name="ARQTEMP">#REF!</definedName>
    <definedName name="ARQTXT" localSheetId="3">#REF!</definedName>
    <definedName name="ARQTXT" localSheetId="5">#REF!</definedName>
    <definedName name="ARQTXT" localSheetId="26">#REF!</definedName>
    <definedName name="ARQTXT">#REF!</definedName>
    <definedName name="ARTEMP" localSheetId="3">#REF!</definedName>
    <definedName name="ARTEMP" localSheetId="5">#REF!</definedName>
    <definedName name="ARTEMP" localSheetId="26">#REF!</definedName>
    <definedName name="ARTEMP">#REF!</definedName>
    <definedName name="AS" localSheetId="3">#REF!</definedName>
    <definedName name="AS" localSheetId="5">#REF!</definedName>
    <definedName name="AS" localSheetId="26">#REF!</definedName>
    <definedName name="AS">#REF!</definedName>
    <definedName name="AS2DocOpenMode">"AS2DocumentBrowse"</definedName>
    <definedName name="asawe3" localSheetId="9">{#N/A,#N/A,FALSE,"Plan1";#N/A,#N/A,FALSE,"Plan2"}</definedName>
    <definedName name="asawe3" localSheetId="6">{#N/A,#N/A,FALSE,"Plan1";#N/A,#N/A,FALSE,"Plan2"}</definedName>
    <definedName name="asawe3" localSheetId="3">{#N/A,#N/A,FALSE,"Plan1";#N/A,#N/A,FALSE,"Plan2"}</definedName>
    <definedName name="asawe3" localSheetId="8">{#N/A,#N/A,FALSE,"Plan1";#N/A,#N/A,FALSE,"Plan2"}</definedName>
    <definedName name="asawe3" localSheetId="5">{#N/A,#N/A,FALSE,"Plan1";#N/A,#N/A,FALSE,"Plan2"}</definedName>
    <definedName name="asawe3" localSheetId="4">{#N/A,#N/A,FALSE,"Plan1";#N/A,#N/A,FALSE,"Plan2"}</definedName>
    <definedName name="asawe3" localSheetId="13">{#N/A,#N/A,FALSE,"Plan1";#N/A,#N/A,FALSE,"Plan2"}</definedName>
    <definedName name="asawe3" localSheetId="17">{#N/A,#N/A,FALSE,"Plan1";#N/A,#N/A,FALSE,"Plan2"}</definedName>
    <definedName name="asawe3" localSheetId="0">{#N/A,#N/A,FALSE,"Plan1";#N/A,#N/A,FALSE,"Plan2"}</definedName>
    <definedName name="asawe3" localSheetId="19">{#N/A,#N/A,FALSE,"Plan1";#N/A,#N/A,FALSE,"Plan2"}</definedName>
    <definedName name="asawe3" localSheetId="16">{#N/A,#N/A,FALSE,"Plan1";#N/A,#N/A,FALSE,"Plan2"}</definedName>
    <definedName name="asawe3" localSheetId="18">{#N/A,#N/A,FALSE,"Plan1";#N/A,#N/A,FALSE,"Plan2"}</definedName>
    <definedName name="asawe3" localSheetId="10">{#N/A,#N/A,FALSE,"Plan1";#N/A,#N/A,FALSE,"Plan2"}</definedName>
    <definedName name="asawe3">{#N/A,#N/A,FALSE,"Plan1";#N/A,#N/A,FALSE,"Plan2"}</definedName>
    <definedName name="as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4">17</definedName>
    <definedName name="ASD" localSheetId="0">17</definedName>
    <definedName name="asd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>17</definedName>
    <definedName name="ASDA" localSheetId="9">{#N/A,#N/A,FALSE,"Plan1";#N/A,#N/A,FALSE,"Plan2"}</definedName>
    <definedName name="ASDA" localSheetId="6">{#N/A,#N/A,FALSE,"Plan1";#N/A,#N/A,FALSE,"Plan2"}</definedName>
    <definedName name="ASDA" localSheetId="3">{#N/A,#N/A,FALSE,"Plan1";#N/A,#N/A,FALSE,"Plan2"}</definedName>
    <definedName name="ASDA" localSheetId="8">{#N/A,#N/A,FALSE,"Plan1";#N/A,#N/A,FALSE,"Plan2"}</definedName>
    <definedName name="ASDA" localSheetId="5">{#N/A,#N/A,FALSE,"Plan1";#N/A,#N/A,FALSE,"Plan2"}</definedName>
    <definedName name="ASDA" localSheetId="4">{#N/A,#N/A,FALSE,"Plan1";#N/A,#N/A,FALSE,"Plan2"}</definedName>
    <definedName name="ASDA" localSheetId="13">{#N/A,#N/A,FALSE,"Plan1";#N/A,#N/A,FALSE,"Plan2"}</definedName>
    <definedName name="ASDA" localSheetId="17">{#N/A,#N/A,FALSE,"Plan1";#N/A,#N/A,FALSE,"Plan2"}</definedName>
    <definedName name="ASDA" localSheetId="0">{#N/A,#N/A,FALSE,"Plan1";#N/A,#N/A,FALSE,"Plan2"}</definedName>
    <definedName name="ASDA" localSheetId="19">{#N/A,#N/A,FALSE,"Plan1";#N/A,#N/A,FALSE,"Plan2"}</definedName>
    <definedName name="ASDA" localSheetId="16">{#N/A,#N/A,FALSE,"Plan1";#N/A,#N/A,FALSE,"Plan2"}</definedName>
    <definedName name="ASDA" localSheetId="18">{#N/A,#N/A,FALSE,"Plan1";#N/A,#N/A,FALSE,"Plan2"}</definedName>
    <definedName name="ASDA" localSheetId="10">{#N/A,#N/A,FALSE,"Plan1";#N/A,#N/A,FALSE,"Plan2"}</definedName>
    <definedName name="ASDA">{#N/A,#N/A,FALSE,"Plan1";#N/A,#N/A,FALSE,"Plan2"}</definedName>
    <definedName name="asdade" localSheetId="9">{#N/A,#N/A,FALSE,"Plan1";#N/A,#N/A,FALSE,"Plan2"}</definedName>
    <definedName name="asdade" localSheetId="6">{#N/A,#N/A,FALSE,"Plan1";#N/A,#N/A,FALSE,"Plan2"}</definedName>
    <definedName name="asdade" localSheetId="3">{#N/A,#N/A,FALSE,"Plan1";#N/A,#N/A,FALSE,"Plan2"}</definedName>
    <definedName name="asdade" localSheetId="8">{#N/A,#N/A,FALSE,"Plan1";#N/A,#N/A,FALSE,"Plan2"}</definedName>
    <definedName name="asdade" localSheetId="5">{#N/A,#N/A,FALSE,"Plan1";#N/A,#N/A,FALSE,"Plan2"}</definedName>
    <definedName name="asdade" localSheetId="4">{#N/A,#N/A,FALSE,"Plan1";#N/A,#N/A,FALSE,"Plan2"}</definedName>
    <definedName name="asdade" localSheetId="13">{#N/A,#N/A,FALSE,"Plan1";#N/A,#N/A,FALSE,"Plan2"}</definedName>
    <definedName name="asdade" localSheetId="17">{#N/A,#N/A,FALSE,"Plan1";#N/A,#N/A,FALSE,"Plan2"}</definedName>
    <definedName name="asdade" localSheetId="0">{#N/A,#N/A,FALSE,"Plan1";#N/A,#N/A,FALSE,"Plan2"}</definedName>
    <definedName name="asdade" localSheetId="19">{#N/A,#N/A,FALSE,"Plan1";#N/A,#N/A,FALSE,"Plan2"}</definedName>
    <definedName name="asdade" localSheetId="16">{#N/A,#N/A,FALSE,"Plan1";#N/A,#N/A,FALSE,"Plan2"}</definedName>
    <definedName name="asdade" localSheetId="18">{#N/A,#N/A,FALSE,"Plan1";#N/A,#N/A,FALSE,"Plan2"}</definedName>
    <definedName name="asdade" localSheetId="10">{#N/A,#N/A,FALSE,"Plan1";#N/A,#N/A,FALSE,"Plan2"}</definedName>
    <definedName name="asdade">{#N/A,#N/A,FALSE,"Plan1";#N/A,#N/A,FALSE,"Plan2"}</definedName>
    <definedName name="asdas" localSheetId="9">{#N/A,#N/A,FALSE,"Plan1";#N/A,#N/A,FALSE,"Plan2"}</definedName>
    <definedName name="asdas" localSheetId="6">{#N/A,#N/A,FALSE,"Plan1";#N/A,#N/A,FALSE,"Plan2"}</definedName>
    <definedName name="asdas" localSheetId="3">{#N/A,#N/A,FALSE,"Plan1";#N/A,#N/A,FALSE,"Plan2"}</definedName>
    <definedName name="asdas" localSheetId="8">{#N/A,#N/A,FALSE,"Plan1";#N/A,#N/A,FALSE,"Plan2"}</definedName>
    <definedName name="asdas" localSheetId="5">{#N/A,#N/A,FALSE,"Plan1";#N/A,#N/A,FALSE,"Plan2"}</definedName>
    <definedName name="asdas" localSheetId="4">{#N/A,#N/A,FALSE,"Plan1";#N/A,#N/A,FALSE,"Plan2"}</definedName>
    <definedName name="asdas" localSheetId="13">{#N/A,#N/A,FALSE,"Plan1";#N/A,#N/A,FALSE,"Plan2"}</definedName>
    <definedName name="asdas" localSheetId="17">{#N/A,#N/A,FALSE,"Plan1";#N/A,#N/A,FALSE,"Plan2"}</definedName>
    <definedName name="asdas" localSheetId="0">{#N/A,#N/A,FALSE,"Plan1";#N/A,#N/A,FALSE,"Plan2"}</definedName>
    <definedName name="asdas" localSheetId="19">{#N/A,#N/A,FALSE,"Plan1";#N/A,#N/A,FALSE,"Plan2"}</definedName>
    <definedName name="asdas" localSheetId="16">{#N/A,#N/A,FALSE,"Plan1";#N/A,#N/A,FALSE,"Plan2"}</definedName>
    <definedName name="asdas" localSheetId="18">{#N/A,#N/A,FALSE,"Plan1";#N/A,#N/A,FALSE,"Plan2"}</definedName>
    <definedName name="asdas" localSheetId="10">{#N/A,#N/A,FALSE,"Plan1";#N/A,#N/A,FALSE,"Plan2"}</definedName>
    <definedName name="asdas">{#N/A,#N/A,FALSE,"Plan1";#N/A,#N/A,FALSE,"Plan2"}</definedName>
    <definedName name="asdawed" localSheetId="9">{#N/A,#N/A,FALSE,"Plan1";#N/A,#N/A,FALSE,"Plan2"}</definedName>
    <definedName name="asdawed" localSheetId="6">{#N/A,#N/A,FALSE,"Plan1";#N/A,#N/A,FALSE,"Plan2"}</definedName>
    <definedName name="asdawed" localSheetId="3">{#N/A,#N/A,FALSE,"Plan1";#N/A,#N/A,FALSE,"Plan2"}</definedName>
    <definedName name="asdawed" localSheetId="8">{#N/A,#N/A,FALSE,"Plan1";#N/A,#N/A,FALSE,"Plan2"}</definedName>
    <definedName name="asdawed" localSheetId="5">{#N/A,#N/A,FALSE,"Plan1";#N/A,#N/A,FALSE,"Plan2"}</definedName>
    <definedName name="asdawed" localSheetId="4">{#N/A,#N/A,FALSE,"Plan1";#N/A,#N/A,FALSE,"Plan2"}</definedName>
    <definedName name="asdawed" localSheetId="13">{#N/A,#N/A,FALSE,"Plan1";#N/A,#N/A,FALSE,"Plan2"}</definedName>
    <definedName name="asdawed" localSheetId="17">{#N/A,#N/A,FALSE,"Plan1";#N/A,#N/A,FALSE,"Plan2"}</definedName>
    <definedName name="asdawed" localSheetId="0">{#N/A,#N/A,FALSE,"Plan1";#N/A,#N/A,FALSE,"Plan2"}</definedName>
    <definedName name="asdawed" localSheetId="19">{#N/A,#N/A,FALSE,"Plan1";#N/A,#N/A,FALSE,"Plan2"}</definedName>
    <definedName name="asdawed" localSheetId="16">{#N/A,#N/A,FALSE,"Plan1";#N/A,#N/A,FALSE,"Plan2"}</definedName>
    <definedName name="asdawed" localSheetId="18">{#N/A,#N/A,FALSE,"Plan1";#N/A,#N/A,FALSE,"Plan2"}</definedName>
    <definedName name="asdawed" localSheetId="10">{#N/A,#N/A,FALSE,"Plan1";#N/A,#N/A,FALSE,"Plan2"}</definedName>
    <definedName name="asdawed">{#N/A,#N/A,FALSE,"Plan1";#N/A,#N/A,FALSE,"Plan2"}</definedName>
    <definedName name="ASDER" localSheetId="9">{#N/A,#N/A,FALSE,"Plan1";#N/A,#N/A,FALSE,"Plan2"}</definedName>
    <definedName name="ASDER" localSheetId="6">{#N/A,#N/A,FALSE,"Plan1";#N/A,#N/A,FALSE,"Plan2"}</definedName>
    <definedName name="ASDER" localSheetId="3">{#N/A,#N/A,FALSE,"Plan1";#N/A,#N/A,FALSE,"Plan2"}</definedName>
    <definedName name="ASDER" localSheetId="8">{#N/A,#N/A,FALSE,"Plan1";#N/A,#N/A,FALSE,"Plan2"}</definedName>
    <definedName name="ASDER" localSheetId="5">{#N/A,#N/A,FALSE,"Plan1";#N/A,#N/A,FALSE,"Plan2"}</definedName>
    <definedName name="ASDER" localSheetId="4">{#N/A,#N/A,FALSE,"Plan1";#N/A,#N/A,FALSE,"Plan2"}</definedName>
    <definedName name="ASDER" localSheetId="13">{#N/A,#N/A,FALSE,"Plan1";#N/A,#N/A,FALSE,"Plan2"}</definedName>
    <definedName name="ASDER" localSheetId="17">{#N/A,#N/A,FALSE,"Plan1";#N/A,#N/A,FALSE,"Plan2"}</definedName>
    <definedName name="ASDER" localSheetId="0">{#N/A,#N/A,FALSE,"Plan1";#N/A,#N/A,FALSE,"Plan2"}</definedName>
    <definedName name="ASDER" localSheetId="19">{#N/A,#N/A,FALSE,"Plan1";#N/A,#N/A,FALSE,"Plan2"}</definedName>
    <definedName name="ASDER" localSheetId="16">{#N/A,#N/A,FALSE,"Plan1";#N/A,#N/A,FALSE,"Plan2"}</definedName>
    <definedName name="ASDER" localSheetId="18">{#N/A,#N/A,FALSE,"Plan1";#N/A,#N/A,FALSE,"Plan2"}</definedName>
    <definedName name="ASDER" localSheetId="10">{#N/A,#N/A,FALSE,"Plan1";#N/A,#N/A,FALSE,"Plan2"}</definedName>
    <definedName name="ASDER">{#N/A,#N/A,FALSE,"Plan1";#N/A,#N/A,FALSE,"Plan2"}</definedName>
    <definedName name="asderr" localSheetId="9">{#N/A,#N/A,FALSE,"Plan1";#N/A,#N/A,FALSE,"Plan2"}</definedName>
    <definedName name="asderr" localSheetId="6">{#N/A,#N/A,FALSE,"Plan1";#N/A,#N/A,FALSE,"Plan2"}</definedName>
    <definedName name="asderr" localSheetId="3">{#N/A,#N/A,FALSE,"Plan1";#N/A,#N/A,FALSE,"Plan2"}</definedName>
    <definedName name="asderr" localSheetId="8">{#N/A,#N/A,FALSE,"Plan1";#N/A,#N/A,FALSE,"Plan2"}</definedName>
    <definedName name="asderr" localSheetId="5">{#N/A,#N/A,FALSE,"Plan1";#N/A,#N/A,FALSE,"Plan2"}</definedName>
    <definedName name="asderr" localSheetId="4">{#N/A,#N/A,FALSE,"Plan1";#N/A,#N/A,FALSE,"Plan2"}</definedName>
    <definedName name="asderr" localSheetId="13">{#N/A,#N/A,FALSE,"Plan1";#N/A,#N/A,FALSE,"Plan2"}</definedName>
    <definedName name="asderr" localSheetId="17">{#N/A,#N/A,FALSE,"Plan1";#N/A,#N/A,FALSE,"Plan2"}</definedName>
    <definedName name="asderr" localSheetId="0">{#N/A,#N/A,FALSE,"Plan1";#N/A,#N/A,FALSE,"Plan2"}</definedName>
    <definedName name="asderr" localSheetId="19">{#N/A,#N/A,FALSE,"Plan1";#N/A,#N/A,FALSE,"Plan2"}</definedName>
    <definedName name="asderr" localSheetId="16">{#N/A,#N/A,FALSE,"Plan1";#N/A,#N/A,FALSE,"Plan2"}</definedName>
    <definedName name="asderr" localSheetId="18">{#N/A,#N/A,FALSE,"Plan1";#N/A,#N/A,FALSE,"Plan2"}</definedName>
    <definedName name="asderr" localSheetId="10">{#N/A,#N/A,FALSE,"Plan1";#N/A,#N/A,FALSE,"Plan2"}</definedName>
    <definedName name="asderr">{#N/A,#N/A,FALSE,"Plan1";#N/A,#N/A,FALSE,"Plan2"}</definedName>
    <definedName name="asdesre" localSheetId="9">{#N/A,#N/A,FALSE,"Plan1";#N/A,#N/A,FALSE,"Plan2"}</definedName>
    <definedName name="asdesre" localSheetId="6">{#N/A,#N/A,FALSE,"Plan1";#N/A,#N/A,FALSE,"Plan2"}</definedName>
    <definedName name="asdesre" localSheetId="3">{#N/A,#N/A,FALSE,"Plan1";#N/A,#N/A,FALSE,"Plan2"}</definedName>
    <definedName name="asdesre" localSheetId="8">{#N/A,#N/A,FALSE,"Plan1";#N/A,#N/A,FALSE,"Plan2"}</definedName>
    <definedName name="asdesre" localSheetId="5">{#N/A,#N/A,FALSE,"Plan1";#N/A,#N/A,FALSE,"Plan2"}</definedName>
    <definedName name="asdesre" localSheetId="4">{#N/A,#N/A,FALSE,"Plan1";#N/A,#N/A,FALSE,"Plan2"}</definedName>
    <definedName name="asdesre" localSheetId="13">{#N/A,#N/A,FALSE,"Plan1";#N/A,#N/A,FALSE,"Plan2"}</definedName>
    <definedName name="asdesre" localSheetId="17">{#N/A,#N/A,FALSE,"Plan1";#N/A,#N/A,FALSE,"Plan2"}</definedName>
    <definedName name="asdesre" localSheetId="0">{#N/A,#N/A,FALSE,"Plan1";#N/A,#N/A,FALSE,"Plan2"}</definedName>
    <definedName name="asdesre" localSheetId="19">{#N/A,#N/A,FALSE,"Plan1";#N/A,#N/A,FALSE,"Plan2"}</definedName>
    <definedName name="asdesre" localSheetId="16">{#N/A,#N/A,FALSE,"Plan1";#N/A,#N/A,FALSE,"Plan2"}</definedName>
    <definedName name="asdesre" localSheetId="18">{#N/A,#N/A,FALSE,"Plan1";#N/A,#N/A,FALSE,"Plan2"}</definedName>
    <definedName name="asdesre" localSheetId="10">{#N/A,#N/A,FALSE,"Plan1";#N/A,#N/A,FALSE,"Plan2"}</definedName>
    <definedName name="asdesre">{#N/A,#N/A,FALSE,"Plan1";#N/A,#N/A,FALSE,"Plan2"}</definedName>
    <definedName name="asdewr" localSheetId="9">{#N/A,#N/A,FALSE,"Plan1";#N/A,#N/A,FALSE,"Plan2"}</definedName>
    <definedName name="asdewr" localSheetId="6">{#N/A,#N/A,FALSE,"Plan1";#N/A,#N/A,FALSE,"Plan2"}</definedName>
    <definedName name="asdewr" localSheetId="3">{#N/A,#N/A,FALSE,"Plan1";#N/A,#N/A,FALSE,"Plan2"}</definedName>
    <definedName name="asdewr" localSheetId="8">{#N/A,#N/A,FALSE,"Plan1";#N/A,#N/A,FALSE,"Plan2"}</definedName>
    <definedName name="asdewr" localSheetId="5">{#N/A,#N/A,FALSE,"Plan1";#N/A,#N/A,FALSE,"Plan2"}</definedName>
    <definedName name="asdewr" localSheetId="4">{#N/A,#N/A,FALSE,"Plan1";#N/A,#N/A,FALSE,"Plan2"}</definedName>
    <definedName name="asdewr" localSheetId="13">{#N/A,#N/A,FALSE,"Plan1";#N/A,#N/A,FALSE,"Plan2"}</definedName>
    <definedName name="asdewr" localSheetId="17">{#N/A,#N/A,FALSE,"Plan1";#N/A,#N/A,FALSE,"Plan2"}</definedName>
    <definedName name="asdewr" localSheetId="0">{#N/A,#N/A,FALSE,"Plan1";#N/A,#N/A,FALSE,"Plan2"}</definedName>
    <definedName name="asdewr" localSheetId="19">{#N/A,#N/A,FALSE,"Plan1";#N/A,#N/A,FALSE,"Plan2"}</definedName>
    <definedName name="asdewr" localSheetId="16">{#N/A,#N/A,FALSE,"Plan1";#N/A,#N/A,FALSE,"Plan2"}</definedName>
    <definedName name="asdewr" localSheetId="18">{#N/A,#N/A,FALSE,"Plan1";#N/A,#N/A,FALSE,"Plan2"}</definedName>
    <definedName name="asdewr" localSheetId="10">{#N/A,#N/A,FALSE,"Plan1";#N/A,#N/A,FALSE,"Plan2"}</definedName>
    <definedName name="asdewr">{#N/A,#N/A,FALSE,"Plan1";#N/A,#N/A,FALSE,"Plan2"}</definedName>
    <definedName name="ASDFASDFA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9">{#N/A,#N/A,FALSE,"Plan1";#N/A,#N/A,FALSE,"Plan2"}</definedName>
    <definedName name="asdfs" localSheetId="6">{#N/A,#N/A,FALSE,"Plan1";#N/A,#N/A,FALSE,"Plan2"}</definedName>
    <definedName name="asdfs" localSheetId="3">{#N/A,#N/A,FALSE,"Plan1";#N/A,#N/A,FALSE,"Plan2"}</definedName>
    <definedName name="asdfs" localSheetId="8">{#N/A,#N/A,FALSE,"Plan1";#N/A,#N/A,FALSE,"Plan2"}</definedName>
    <definedName name="asdfs" localSheetId="5">{#N/A,#N/A,FALSE,"Plan1";#N/A,#N/A,FALSE,"Plan2"}</definedName>
    <definedName name="asdfs" localSheetId="4">{#N/A,#N/A,FALSE,"Plan1";#N/A,#N/A,FALSE,"Plan2"}</definedName>
    <definedName name="asdfs" localSheetId="13">{#N/A,#N/A,FALSE,"Plan1";#N/A,#N/A,FALSE,"Plan2"}</definedName>
    <definedName name="asdfs" localSheetId="17">{#N/A,#N/A,FALSE,"Plan1";#N/A,#N/A,FALSE,"Plan2"}</definedName>
    <definedName name="asdfs" localSheetId="0">{#N/A,#N/A,FALSE,"Plan1";#N/A,#N/A,FALSE,"Plan2"}</definedName>
    <definedName name="asdfs" localSheetId="19">{#N/A,#N/A,FALSE,"Plan1";#N/A,#N/A,FALSE,"Plan2"}</definedName>
    <definedName name="asdfs" localSheetId="16">{#N/A,#N/A,FALSE,"Plan1";#N/A,#N/A,FALSE,"Plan2"}</definedName>
    <definedName name="asdfs" localSheetId="18">{#N/A,#N/A,FALSE,"Plan1";#N/A,#N/A,FALSE,"Plan2"}</definedName>
    <definedName name="asdfs" localSheetId="10">{#N/A,#N/A,FALSE,"Plan1";#N/A,#N/A,FALSE,"Plan2"}</definedName>
    <definedName name="asdfs">{#N/A,#N/A,FALSE,"Plan1";#N/A,#N/A,FALSE,"Plan2"}</definedName>
    <definedName name="asdg" localSheetId="9">{#N/A,#N/A,FALSE,"Plan1";#N/A,#N/A,FALSE,"Plan2"}</definedName>
    <definedName name="asdg" localSheetId="6">{#N/A,#N/A,FALSE,"Plan1";#N/A,#N/A,FALSE,"Plan2"}</definedName>
    <definedName name="asdg" localSheetId="3">{#N/A,#N/A,FALSE,"Plan1";#N/A,#N/A,FALSE,"Plan2"}</definedName>
    <definedName name="asdg" localSheetId="8">{#N/A,#N/A,FALSE,"Plan1";#N/A,#N/A,FALSE,"Plan2"}</definedName>
    <definedName name="asdg" localSheetId="5">{#N/A,#N/A,FALSE,"Plan1";#N/A,#N/A,FALSE,"Plan2"}</definedName>
    <definedName name="asdg" localSheetId="4">{#N/A,#N/A,FALSE,"Plan1";#N/A,#N/A,FALSE,"Plan2"}</definedName>
    <definedName name="asdg" localSheetId="13">{#N/A,#N/A,FALSE,"Plan1";#N/A,#N/A,FALSE,"Plan2"}</definedName>
    <definedName name="asdg" localSheetId="17">{#N/A,#N/A,FALSE,"Plan1";#N/A,#N/A,FALSE,"Plan2"}</definedName>
    <definedName name="asdg" localSheetId="0">{#N/A,#N/A,FALSE,"Plan1";#N/A,#N/A,FALSE,"Plan2"}</definedName>
    <definedName name="asdg" localSheetId="19">{#N/A,#N/A,FALSE,"Plan1";#N/A,#N/A,FALSE,"Plan2"}</definedName>
    <definedName name="asdg" localSheetId="16">{#N/A,#N/A,FALSE,"Plan1";#N/A,#N/A,FALSE,"Plan2"}</definedName>
    <definedName name="asdg" localSheetId="18">{#N/A,#N/A,FALSE,"Plan1";#N/A,#N/A,FALSE,"Plan2"}</definedName>
    <definedName name="asdg" localSheetId="10">{#N/A,#N/A,FALSE,"Plan1";#N/A,#N/A,FALSE,"Plan2"}</definedName>
    <definedName name="asdg">{#N/A,#N/A,FALSE,"Plan1";#N/A,#N/A,FALSE,"Plan2"}</definedName>
    <definedName name="asdjksej" localSheetId="3">#REF!</definedName>
    <definedName name="asdjksej" localSheetId="5">#REF!</definedName>
    <definedName name="asdjksej" localSheetId="26">#REF!</definedName>
    <definedName name="asdjksej" localSheetId="0">#REF!</definedName>
    <definedName name="asdjksej">#REF!</definedName>
    <definedName name="asdk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9">{#N/A,#N/A,FALSE,"Plan1";#N/A,#N/A,FALSE,"Plan2"}</definedName>
    <definedName name="asdlas" localSheetId="6">{#N/A,#N/A,FALSE,"Plan1";#N/A,#N/A,FALSE,"Plan2"}</definedName>
    <definedName name="asdlas" localSheetId="3">{#N/A,#N/A,FALSE,"Plan1";#N/A,#N/A,FALSE,"Plan2"}</definedName>
    <definedName name="asdlas" localSheetId="8">{#N/A,#N/A,FALSE,"Plan1";#N/A,#N/A,FALSE,"Plan2"}</definedName>
    <definedName name="asdlas" localSheetId="5">{#N/A,#N/A,FALSE,"Plan1";#N/A,#N/A,FALSE,"Plan2"}</definedName>
    <definedName name="asdlas" localSheetId="4">{#N/A,#N/A,FALSE,"Plan1";#N/A,#N/A,FALSE,"Plan2"}</definedName>
    <definedName name="asdlas" localSheetId="13">{#N/A,#N/A,FALSE,"Plan1";#N/A,#N/A,FALSE,"Plan2"}</definedName>
    <definedName name="asdlas" localSheetId="17">{#N/A,#N/A,FALSE,"Plan1";#N/A,#N/A,FALSE,"Plan2"}</definedName>
    <definedName name="asdlas" localSheetId="0">{#N/A,#N/A,FALSE,"Plan1";#N/A,#N/A,FALSE,"Plan2"}</definedName>
    <definedName name="asdlas" localSheetId="19">{#N/A,#N/A,FALSE,"Plan1";#N/A,#N/A,FALSE,"Plan2"}</definedName>
    <definedName name="asdlas" localSheetId="16">{#N/A,#N/A,FALSE,"Plan1";#N/A,#N/A,FALSE,"Plan2"}</definedName>
    <definedName name="asdlas" localSheetId="18">{#N/A,#N/A,FALSE,"Plan1";#N/A,#N/A,FALSE,"Plan2"}</definedName>
    <definedName name="asdlas" localSheetId="10">{#N/A,#N/A,FALSE,"Plan1";#N/A,#N/A,FALSE,"Plan2"}</definedName>
    <definedName name="asdlas">{#N/A,#N/A,FALSE,"Plan1";#N/A,#N/A,FALSE,"Plan2"}</definedName>
    <definedName name="asdqwe" localSheetId="9">{#N/A,#N/A,FALSE,"Plan1";#N/A,#N/A,FALSE,"Plan2"}</definedName>
    <definedName name="asdqwe" localSheetId="6">{#N/A,#N/A,FALSE,"Plan1";#N/A,#N/A,FALSE,"Plan2"}</definedName>
    <definedName name="asdqwe" localSheetId="3">{#N/A,#N/A,FALSE,"Plan1";#N/A,#N/A,FALSE,"Plan2"}</definedName>
    <definedName name="asdqwe" localSheetId="8">{#N/A,#N/A,FALSE,"Plan1";#N/A,#N/A,FALSE,"Plan2"}</definedName>
    <definedName name="asdqwe" localSheetId="5">{#N/A,#N/A,FALSE,"Plan1";#N/A,#N/A,FALSE,"Plan2"}</definedName>
    <definedName name="asdqwe" localSheetId="4">{#N/A,#N/A,FALSE,"Plan1";#N/A,#N/A,FALSE,"Plan2"}</definedName>
    <definedName name="asdqwe" localSheetId="13">{#N/A,#N/A,FALSE,"Plan1";#N/A,#N/A,FALSE,"Plan2"}</definedName>
    <definedName name="asdqwe" localSheetId="17">{#N/A,#N/A,FALSE,"Plan1";#N/A,#N/A,FALSE,"Plan2"}</definedName>
    <definedName name="asdqwe" localSheetId="0">{#N/A,#N/A,FALSE,"Plan1";#N/A,#N/A,FALSE,"Plan2"}</definedName>
    <definedName name="asdqwe" localSheetId="19">{#N/A,#N/A,FALSE,"Plan1";#N/A,#N/A,FALSE,"Plan2"}</definedName>
    <definedName name="asdqwe" localSheetId="16">{#N/A,#N/A,FALSE,"Plan1";#N/A,#N/A,FALSE,"Plan2"}</definedName>
    <definedName name="asdqwe" localSheetId="18">{#N/A,#N/A,FALSE,"Plan1";#N/A,#N/A,FALSE,"Plan2"}</definedName>
    <definedName name="asdqwe" localSheetId="10">{#N/A,#N/A,FALSE,"Plan1";#N/A,#N/A,FALSE,"Plan2"}</definedName>
    <definedName name="asdqwe">{#N/A,#N/A,FALSE,"Plan1";#N/A,#N/A,FALSE,"Plan2"}</definedName>
    <definedName name="asdsa" localSheetId="9">{#N/A,#N/A,FALSE,"Plan1";#N/A,#N/A,FALSE,"Plan2"}</definedName>
    <definedName name="asdsa" localSheetId="6">{#N/A,#N/A,FALSE,"Plan1";#N/A,#N/A,FALSE,"Plan2"}</definedName>
    <definedName name="asdsa" localSheetId="3">{#N/A,#N/A,FALSE,"Plan1";#N/A,#N/A,FALSE,"Plan2"}</definedName>
    <definedName name="asdsa" localSheetId="8">{#N/A,#N/A,FALSE,"Plan1";#N/A,#N/A,FALSE,"Plan2"}</definedName>
    <definedName name="asdsa" localSheetId="5">{#N/A,#N/A,FALSE,"Plan1";#N/A,#N/A,FALSE,"Plan2"}</definedName>
    <definedName name="asdsa" localSheetId="4">{#N/A,#N/A,FALSE,"Plan1";#N/A,#N/A,FALSE,"Plan2"}</definedName>
    <definedName name="asdsa" localSheetId="13">{#N/A,#N/A,FALSE,"Plan1";#N/A,#N/A,FALSE,"Plan2"}</definedName>
    <definedName name="asdsa" localSheetId="17">{#N/A,#N/A,FALSE,"Plan1";#N/A,#N/A,FALSE,"Plan2"}</definedName>
    <definedName name="asdsa" localSheetId="0">{#N/A,#N/A,FALSE,"Plan1";#N/A,#N/A,FALSE,"Plan2"}</definedName>
    <definedName name="asdsa" localSheetId="19">{#N/A,#N/A,FALSE,"Plan1";#N/A,#N/A,FALSE,"Plan2"}</definedName>
    <definedName name="asdsa" localSheetId="16">{#N/A,#N/A,FALSE,"Plan1";#N/A,#N/A,FALSE,"Plan2"}</definedName>
    <definedName name="asdsa" localSheetId="18">{#N/A,#N/A,FALSE,"Plan1";#N/A,#N/A,FALSE,"Plan2"}</definedName>
    <definedName name="asdsa" localSheetId="10">{#N/A,#N/A,FALSE,"Plan1";#N/A,#N/A,FALSE,"Plan2"}</definedName>
    <definedName name="asdsa">{#N/A,#N/A,FALSE,"Plan1";#N/A,#N/A,FALSE,"Plan2"}</definedName>
    <definedName name="asdser" localSheetId="9">{#N/A,#N/A,FALSE,"Plan1";#N/A,#N/A,FALSE,"Plan2"}</definedName>
    <definedName name="asdser" localSheetId="6">{#N/A,#N/A,FALSE,"Plan1";#N/A,#N/A,FALSE,"Plan2"}</definedName>
    <definedName name="asdser" localSheetId="3">{#N/A,#N/A,FALSE,"Plan1";#N/A,#N/A,FALSE,"Plan2"}</definedName>
    <definedName name="asdser" localSheetId="8">{#N/A,#N/A,FALSE,"Plan1";#N/A,#N/A,FALSE,"Plan2"}</definedName>
    <definedName name="asdser" localSheetId="5">{#N/A,#N/A,FALSE,"Plan1";#N/A,#N/A,FALSE,"Plan2"}</definedName>
    <definedName name="asdser" localSheetId="4">{#N/A,#N/A,FALSE,"Plan1";#N/A,#N/A,FALSE,"Plan2"}</definedName>
    <definedName name="asdser" localSheetId="13">{#N/A,#N/A,FALSE,"Plan1";#N/A,#N/A,FALSE,"Plan2"}</definedName>
    <definedName name="asdser" localSheetId="17">{#N/A,#N/A,FALSE,"Plan1";#N/A,#N/A,FALSE,"Plan2"}</definedName>
    <definedName name="asdser" localSheetId="0">{#N/A,#N/A,FALSE,"Plan1";#N/A,#N/A,FALSE,"Plan2"}</definedName>
    <definedName name="asdser" localSheetId="19">{#N/A,#N/A,FALSE,"Plan1";#N/A,#N/A,FALSE,"Plan2"}</definedName>
    <definedName name="asdser" localSheetId="16">{#N/A,#N/A,FALSE,"Plan1";#N/A,#N/A,FALSE,"Plan2"}</definedName>
    <definedName name="asdser" localSheetId="18">{#N/A,#N/A,FALSE,"Plan1";#N/A,#N/A,FALSE,"Plan2"}</definedName>
    <definedName name="asdser" localSheetId="10">{#N/A,#N/A,FALSE,"Plan1";#N/A,#N/A,FALSE,"Plan2"}</definedName>
    <definedName name="asdser">{#N/A,#N/A,FALSE,"Plan1";#N/A,#N/A,FALSE,"Plan2"}</definedName>
    <definedName name="asdwef" localSheetId="9">{#N/A,#N/A,FALSE,"Plan1";#N/A,#N/A,FALSE,"Plan2"}</definedName>
    <definedName name="asdwef" localSheetId="6">{#N/A,#N/A,FALSE,"Plan1";#N/A,#N/A,FALSE,"Plan2"}</definedName>
    <definedName name="asdwef" localSheetId="3">{#N/A,#N/A,FALSE,"Plan1";#N/A,#N/A,FALSE,"Plan2"}</definedName>
    <definedName name="asdwef" localSheetId="8">{#N/A,#N/A,FALSE,"Plan1";#N/A,#N/A,FALSE,"Plan2"}</definedName>
    <definedName name="asdwef" localSheetId="5">{#N/A,#N/A,FALSE,"Plan1";#N/A,#N/A,FALSE,"Plan2"}</definedName>
    <definedName name="asdwef" localSheetId="4">{#N/A,#N/A,FALSE,"Plan1";#N/A,#N/A,FALSE,"Plan2"}</definedName>
    <definedName name="asdwef" localSheetId="13">{#N/A,#N/A,FALSE,"Plan1";#N/A,#N/A,FALSE,"Plan2"}</definedName>
    <definedName name="asdwef" localSheetId="17">{#N/A,#N/A,FALSE,"Plan1";#N/A,#N/A,FALSE,"Plan2"}</definedName>
    <definedName name="asdwef" localSheetId="0">{#N/A,#N/A,FALSE,"Plan1";#N/A,#N/A,FALSE,"Plan2"}</definedName>
    <definedName name="asdwef" localSheetId="19">{#N/A,#N/A,FALSE,"Plan1";#N/A,#N/A,FALSE,"Plan2"}</definedName>
    <definedName name="asdwef" localSheetId="16">{#N/A,#N/A,FALSE,"Plan1";#N/A,#N/A,FALSE,"Plan2"}</definedName>
    <definedName name="asdwef" localSheetId="18">{#N/A,#N/A,FALSE,"Plan1";#N/A,#N/A,FALSE,"Plan2"}</definedName>
    <definedName name="asdwef" localSheetId="10">{#N/A,#N/A,FALSE,"Plan1";#N/A,#N/A,FALSE,"Plan2"}</definedName>
    <definedName name="asdwef">{#N/A,#N/A,FALSE,"Plan1";#N/A,#N/A,FALSE,"Plan2"}</definedName>
    <definedName name="aseiuw" localSheetId="3">#REF!</definedName>
    <definedName name="aseiuw" localSheetId="5">#REF!</definedName>
    <definedName name="aseiuw" localSheetId="26">#REF!</definedName>
    <definedName name="aseiuw" localSheetId="0">#REF!</definedName>
    <definedName name="aseiuw">#REF!</definedName>
    <definedName name="ASET" localSheetId="9">{#N/A,#N/A,FALSE,"Plan1";#N/A,#N/A,FALSE,"Plan2"}</definedName>
    <definedName name="ASET" localSheetId="6">{#N/A,#N/A,FALSE,"Plan1";#N/A,#N/A,FALSE,"Plan2"}</definedName>
    <definedName name="ASET" localSheetId="3">{#N/A,#N/A,FALSE,"Plan1";#N/A,#N/A,FALSE,"Plan2"}</definedName>
    <definedName name="ASET" localSheetId="8">{#N/A,#N/A,FALSE,"Plan1";#N/A,#N/A,FALSE,"Plan2"}</definedName>
    <definedName name="ASET" localSheetId="5">{#N/A,#N/A,FALSE,"Plan1";#N/A,#N/A,FALSE,"Plan2"}</definedName>
    <definedName name="ASET" localSheetId="4">{#N/A,#N/A,FALSE,"Plan1";#N/A,#N/A,FALSE,"Plan2"}</definedName>
    <definedName name="ASET" localSheetId="13">{#N/A,#N/A,FALSE,"Plan1";#N/A,#N/A,FALSE,"Plan2"}</definedName>
    <definedName name="ASET" localSheetId="17">{#N/A,#N/A,FALSE,"Plan1";#N/A,#N/A,FALSE,"Plan2"}</definedName>
    <definedName name="ASET" localSheetId="0">{#N/A,#N/A,FALSE,"Plan1";#N/A,#N/A,FALSE,"Plan2"}</definedName>
    <definedName name="ASET" localSheetId="19">{#N/A,#N/A,FALSE,"Plan1";#N/A,#N/A,FALSE,"Plan2"}</definedName>
    <definedName name="ASET" localSheetId="16">{#N/A,#N/A,FALSE,"Plan1";#N/A,#N/A,FALSE,"Plan2"}</definedName>
    <definedName name="ASET" localSheetId="18">{#N/A,#N/A,FALSE,"Plan1";#N/A,#N/A,FALSE,"Plan2"}</definedName>
    <definedName name="ASET" localSheetId="10">{#N/A,#N/A,FALSE,"Plan1";#N/A,#N/A,FALSE,"Plan2"}</definedName>
    <definedName name="ASET">{#N/A,#N/A,FALSE,"Plan1";#N/A,#N/A,FALSE,"Plan2"}</definedName>
    <definedName name="asfDSF" localSheetId="9">{#N/A,#N/A,FALSE,"Plan1";#N/A,#N/A,FALSE,"Plan2"}</definedName>
    <definedName name="asfDSF" localSheetId="6">{#N/A,#N/A,FALSE,"Plan1";#N/A,#N/A,FALSE,"Plan2"}</definedName>
    <definedName name="asfDSF" localSheetId="3">{#N/A,#N/A,FALSE,"Plan1";#N/A,#N/A,FALSE,"Plan2"}</definedName>
    <definedName name="asfDSF" localSheetId="8">{#N/A,#N/A,FALSE,"Plan1";#N/A,#N/A,FALSE,"Plan2"}</definedName>
    <definedName name="asfDSF" localSheetId="5">{#N/A,#N/A,FALSE,"Plan1";#N/A,#N/A,FALSE,"Plan2"}</definedName>
    <definedName name="asfDSF" localSheetId="4">{#N/A,#N/A,FALSE,"Plan1";#N/A,#N/A,FALSE,"Plan2"}</definedName>
    <definedName name="asfDSF" localSheetId="13">{#N/A,#N/A,FALSE,"Plan1";#N/A,#N/A,FALSE,"Plan2"}</definedName>
    <definedName name="asfDSF" localSheetId="17">{#N/A,#N/A,FALSE,"Plan1";#N/A,#N/A,FALSE,"Plan2"}</definedName>
    <definedName name="asfDSF" localSheetId="0">{#N/A,#N/A,FALSE,"Plan1";#N/A,#N/A,FALSE,"Plan2"}</definedName>
    <definedName name="asfDSF" localSheetId="19">{#N/A,#N/A,FALSE,"Plan1";#N/A,#N/A,FALSE,"Plan2"}</definedName>
    <definedName name="asfDSF" localSheetId="16">{#N/A,#N/A,FALSE,"Plan1";#N/A,#N/A,FALSE,"Plan2"}</definedName>
    <definedName name="asfDSF" localSheetId="18">{#N/A,#N/A,FALSE,"Plan1";#N/A,#N/A,FALSE,"Plan2"}</definedName>
    <definedName name="asfDSF" localSheetId="10">{#N/A,#N/A,FALSE,"Plan1";#N/A,#N/A,FALSE,"Plan2"}</definedName>
    <definedName name="asfDSF">{#N/A,#N/A,FALSE,"Plan1";#N/A,#N/A,FALSE,"Plan2"}</definedName>
    <definedName name="ASFERTE" localSheetId="9">{#N/A,#N/A,FALSE,"Plan1";#N/A,#N/A,FALSE,"Plan2"}</definedName>
    <definedName name="ASFERTE" localSheetId="6">{#N/A,#N/A,FALSE,"Plan1";#N/A,#N/A,FALSE,"Plan2"}</definedName>
    <definedName name="ASFERTE" localSheetId="3">{#N/A,#N/A,FALSE,"Plan1";#N/A,#N/A,FALSE,"Plan2"}</definedName>
    <definedName name="ASFERTE" localSheetId="8">{#N/A,#N/A,FALSE,"Plan1";#N/A,#N/A,FALSE,"Plan2"}</definedName>
    <definedName name="ASFERTE" localSheetId="5">{#N/A,#N/A,FALSE,"Plan1";#N/A,#N/A,FALSE,"Plan2"}</definedName>
    <definedName name="ASFERTE" localSheetId="4">{#N/A,#N/A,FALSE,"Plan1";#N/A,#N/A,FALSE,"Plan2"}</definedName>
    <definedName name="ASFERTE" localSheetId="13">{#N/A,#N/A,FALSE,"Plan1";#N/A,#N/A,FALSE,"Plan2"}</definedName>
    <definedName name="ASFERTE" localSheetId="17">{#N/A,#N/A,FALSE,"Plan1";#N/A,#N/A,FALSE,"Plan2"}</definedName>
    <definedName name="ASFERTE" localSheetId="0">{#N/A,#N/A,FALSE,"Plan1";#N/A,#N/A,FALSE,"Plan2"}</definedName>
    <definedName name="ASFERTE" localSheetId="19">{#N/A,#N/A,FALSE,"Plan1";#N/A,#N/A,FALSE,"Plan2"}</definedName>
    <definedName name="ASFERTE" localSheetId="16">{#N/A,#N/A,FALSE,"Plan1";#N/A,#N/A,FALSE,"Plan2"}</definedName>
    <definedName name="ASFERTE" localSheetId="18">{#N/A,#N/A,FALSE,"Plan1";#N/A,#N/A,FALSE,"Plan2"}</definedName>
    <definedName name="ASFERTE" localSheetId="10">{#N/A,#N/A,FALSE,"Plan1";#N/A,#N/A,FALSE,"Plan2"}</definedName>
    <definedName name="ASFERTE">{#N/A,#N/A,FALSE,"Plan1";#N/A,#N/A,FALSE,"Plan2"}</definedName>
    <definedName name="asfl" localSheetId="9">{#N/A,#N/A,FALSE,"Plan1";#N/A,#N/A,FALSE,"Plan2"}</definedName>
    <definedName name="asfl" localSheetId="6">{#N/A,#N/A,FALSE,"Plan1";#N/A,#N/A,FALSE,"Plan2"}</definedName>
    <definedName name="asfl" localSheetId="3">{#N/A,#N/A,FALSE,"Plan1";#N/A,#N/A,FALSE,"Plan2"}</definedName>
    <definedName name="asfl" localSheetId="8">{#N/A,#N/A,FALSE,"Plan1";#N/A,#N/A,FALSE,"Plan2"}</definedName>
    <definedName name="asfl" localSheetId="5">{#N/A,#N/A,FALSE,"Plan1";#N/A,#N/A,FALSE,"Plan2"}</definedName>
    <definedName name="asfl" localSheetId="4">{#N/A,#N/A,FALSE,"Plan1";#N/A,#N/A,FALSE,"Plan2"}</definedName>
    <definedName name="asfl" localSheetId="13">{#N/A,#N/A,FALSE,"Plan1";#N/A,#N/A,FALSE,"Plan2"}</definedName>
    <definedName name="asfl" localSheetId="17">{#N/A,#N/A,FALSE,"Plan1";#N/A,#N/A,FALSE,"Plan2"}</definedName>
    <definedName name="asfl" localSheetId="0">{#N/A,#N/A,FALSE,"Plan1";#N/A,#N/A,FALSE,"Plan2"}</definedName>
    <definedName name="asfl" localSheetId="19">{#N/A,#N/A,FALSE,"Plan1";#N/A,#N/A,FALSE,"Plan2"}</definedName>
    <definedName name="asfl" localSheetId="16">{#N/A,#N/A,FALSE,"Plan1";#N/A,#N/A,FALSE,"Plan2"}</definedName>
    <definedName name="asfl" localSheetId="18">{#N/A,#N/A,FALSE,"Plan1";#N/A,#N/A,FALSE,"Plan2"}</definedName>
    <definedName name="asfl" localSheetId="10">{#N/A,#N/A,FALSE,"Plan1";#N/A,#N/A,FALSE,"Plan2"}</definedName>
    <definedName name="asfl">{#N/A,#N/A,FALSE,"Plan1";#N/A,#N/A,FALSE,"Plan2"}</definedName>
    <definedName name="asfsz" localSheetId="9">{#N/A,#N/A,FALSE,"Plan1";#N/A,#N/A,FALSE,"Plan2"}</definedName>
    <definedName name="asfsz" localSheetId="6">{#N/A,#N/A,FALSE,"Plan1";#N/A,#N/A,FALSE,"Plan2"}</definedName>
    <definedName name="asfsz" localSheetId="3">{#N/A,#N/A,FALSE,"Plan1";#N/A,#N/A,FALSE,"Plan2"}</definedName>
    <definedName name="asfsz" localSheetId="8">{#N/A,#N/A,FALSE,"Plan1";#N/A,#N/A,FALSE,"Plan2"}</definedName>
    <definedName name="asfsz" localSheetId="5">{#N/A,#N/A,FALSE,"Plan1";#N/A,#N/A,FALSE,"Plan2"}</definedName>
    <definedName name="asfsz" localSheetId="4">{#N/A,#N/A,FALSE,"Plan1";#N/A,#N/A,FALSE,"Plan2"}</definedName>
    <definedName name="asfsz" localSheetId="13">{#N/A,#N/A,FALSE,"Plan1";#N/A,#N/A,FALSE,"Plan2"}</definedName>
    <definedName name="asfsz" localSheetId="17">{#N/A,#N/A,FALSE,"Plan1";#N/A,#N/A,FALSE,"Plan2"}</definedName>
    <definedName name="asfsz" localSheetId="0">{#N/A,#N/A,FALSE,"Plan1";#N/A,#N/A,FALSE,"Plan2"}</definedName>
    <definedName name="asfsz" localSheetId="19">{#N/A,#N/A,FALSE,"Plan1";#N/A,#N/A,FALSE,"Plan2"}</definedName>
    <definedName name="asfsz" localSheetId="16">{#N/A,#N/A,FALSE,"Plan1";#N/A,#N/A,FALSE,"Plan2"}</definedName>
    <definedName name="asfsz" localSheetId="18">{#N/A,#N/A,FALSE,"Plan1";#N/A,#N/A,FALSE,"Plan2"}</definedName>
    <definedName name="asfsz" localSheetId="10">{#N/A,#N/A,FALSE,"Plan1";#N/A,#N/A,FALSE,"Plan2"}</definedName>
    <definedName name="asfsz">{#N/A,#N/A,FALSE,"Plan1";#N/A,#N/A,FALSE,"Plan2"}</definedName>
    <definedName name="askserf" localSheetId="9">{#N/A,#N/A,FALSE,"Plan1";#N/A,#N/A,FALSE,"Plan2"}</definedName>
    <definedName name="askserf" localSheetId="6">{#N/A,#N/A,FALSE,"Plan1";#N/A,#N/A,FALSE,"Plan2"}</definedName>
    <definedName name="askserf" localSheetId="3">{#N/A,#N/A,FALSE,"Plan1";#N/A,#N/A,FALSE,"Plan2"}</definedName>
    <definedName name="askserf" localSheetId="8">{#N/A,#N/A,FALSE,"Plan1";#N/A,#N/A,FALSE,"Plan2"}</definedName>
    <definedName name="askserf" localSheetId="5">{#N/A,#N/A,FALSE,"Plan1";#N/A,#N/A,FALSE,"Plan2"}</definedName>
    <definedName name="askserf" localSheetId="4">{#N/A,#N/A,FALSE,"Plan1";#N/A,#N/A,FALSE,"Plan2"}</definedName>
    <definedName name="askserf" localSheetId="13">{#N/A,#N/A,FALSE,"Plan1";#N/A,#N/A,FALSE,"Plan2"}</definedName>
    <definedName name="askserf" localSheetId="17">{#N/A,#N/A,FALSE,"Plan1";#N/A,#N/A,FALSE,"Plan2"}</definedName>
    <definedName name="askserf" localSheetId="0">{#N/A,#N/A,FALSE,"Plan1";#N/A,#N/A,FALSE,"Plan2"}</definedName>
    <definedName name="askserf" localSheetId="19">{#N/A,#N/A,FALSE,"Plan1";#N/A,#N/A,FALSE,"Plan2"}</definedName>
    <definedName name="askserf" localSheetId="16">{#N/A,#N/A,FALSE,"Plan1";#N/A,#N/A,FALSE,"Plan2"}</definedName>
    <definedName name="askserf" localSheetId="18">{#N/A,#N/A,FALSE,"Plan1";#N/A,#N/A,FALSE,"Plan2"}</definedName>
    <definedName name="askserf" localSheetId="10">{#N/A,#N/A,FALSE,"Plan1";#N/A,#N/A,FALSE,"Plan2"}</definedName>
    <definedName name="askserf">{#N/A,#N/A,FALSE,"Plan1";#N/A,#N/A,FALSE,"Plan2"}</definedName>
    <definedName name="ASSFSDF" localSheetId="9">{#N/A,#N/A,FALSE,"Plan1";#N/A,#N/A,FALSE,"Plan2"}</definedName>
    <definedName name="ASSFSDF" localSheetId="6">{#N/A,#N/A,FALSE,"Plan1";#N/A,#N/A,FALSE,"Plan2"}</definedName>
    <definedName name="ASSFSDF" localSheetId="3">{#N/A,#N/A,FALSE,"Plan1";#N/A,#N/A,FALSE,"Plan2"}</definedName>
    <definedName name="ASSFSDF" localSheetId="8">{#N/A,#N/A,FALSE,"Plan1";#N/A,#N/A,FALSE,"Plan2"}</definedName>
    <definedName name="ASSFSDF" localSheetId="5">{#N/A,#N/A,FALSE,"Plan1";#N/A,#N/A,FALSE,"Plan2"}</definedName>
    <definedName name="ASSFSDF" localSheetId="4">{#N/A,#N/A,FALSE,"Plan1";#N/A,#N/A,FALSE,"Plan2"}</definedName>
    <definedName name="ASSFSDF" localSheetId="13">{#N/A,#N/A,FALSE,"Plan1";#N/A,#N/A,FALSE,"Plan2"}</definedName>
    <definedName name="ASSFSDF" localSheetId="17">{#N/A,#N/A,FALSE,"Plan1";#N/A,#N/A,FALSE,"Plan2"}</definedName>
    <definedName name="ASSFSDF" localSheetId="0">{#N/A,#N/A,FALSE,"Plan1";#N/A,#N/A,FALSE,"Plan2"}</definedName>
    <definedName name="ASSFSDF" localSheetId="19">{#N/A,#N/A,FALSE,"Plan1";#N/A,#N/A,FALSE,"Plan2"}</definedName>
    <definedName name="ASSFSDF" localSheetId="16">{#N/A,#N/A,FALSE,"Plan1";#N/A,#N/A,FALSE,"Plan2"}</definedName>
    <definedName name="ASSFSDF" localSheetId="18">{#N/A,#N/A,FALSE,"Plan1";#N/A,#N/A,FALSE,"Plan2"}</definedName>
    <definedName name="ASSFSDF" localSheetId="10">{#N/A,#N/A,FALSE,"Plan1";#N/A,#N/A,FALSE,"Plan2"}</definedName>
    <definedName name="ASSFSDF">{#N/A,#N/A,FALSE,"Plan1";#N/A,#N/A,FALSE,"Plan2"}</definedName>
    <definedName name="asw" localSheetId="9">{#N/A,#N/A,FALSE,"Plan1";#N/A,#N/A,FALSE,"Plan2"}</definedName>
    <definedName name="asw" localSheetId="6">{#N/A,#N/A,FALSE,"Plan1";#N/A,#N/A,FALSE,"Plan2"}</definedName>
    <definedName name="asw" localSheetId="3">{#N/A,#N/A,FALSE,"Plan1";#N/A,#N/A,FALSE,"Plan2"}</definedName>
    <definedName name="asw" localSheetId="8">{#N/A,#N/A,FALSE,"Plan1";#N/A,#N/A,FALSE,"Plan2"}</definedName>
    <definedName name="asw" localSheetId="5">{#N/A,#N/A,FALSE,"Plan1";#N/A,#N/A,FALSE,"Plan2"}</definedName>
    <definedName name="asw" localSheetId="4">{#N/A,#N/A,FALSE,"Plan1";#N/A,#N/A,FALSE,"Plan2"}</definedName>
    <definedName name="asw" localSheetId="13">{#N/A,#N/A,FALSE,"Plan1";#N/A,#N/A,FALSE,"Plan2"}</definedName>
    <definedName name="asw" localSheetId="17">{#N/A,#N/A,FALSE,"Plan1";#N/A,#N/A,FALSE,"Plan2"}</definedName>
    <definedName name="asw" localSheetId="0">{#N/A,#N/A,FALSE,"Plan1";#N/A,#N/A,FALSE,"Plan2"}</definedName>
    <definedName name="asw" localSheetId="19">{#N/A,#N/A,FALSE,"Plan1";#N/A,#N/A,FALSE,"Plan2"}</definedName>
    <definedName name="asw" localSheetId="16">{#N/A,#N/A,FALSE,"Plan1";#N/A,#N/A,FALSE,"Plan2"}</definedName>
    <definedName name="asw" localSheetId="18">{#N/A,#N/A,FALSE,"Plan1";#N/A,#N/A,FALSE,"Plan2"}</definedName>
    <definedName name="asw" localSheetId="10">{#N/A,#N/A,FALSE,"Plan1";#N/A,#N/A,FALSE,"Plan2"}</definedName>
    <definedName name="asw">{#N/A,#N/A,FALSE,"Plan1";#N/A,#N/A,FALSE,"Plan2"}</definedName>
    <definedName name="Até_Chaves" localSheetId="3">#REF!</definedName>
    <definedName name="Até_Chaves" localSheetId="5">#REF!</definedName>
    <definedName name="Até_Chaves" localSheetId="26">#REF!</definedName>
    <definedName name="Até_Chaves">#REF!</definedName>
    <definedName name="ATIVOS" localSheetId="9">{#N/A,#N/A,FALSE,"F-01"}</definedName>
    <definedName name="ATIVOS" localSheetId="6">{#N/A,#N/A,FALSE,"F-01"}</definedName>
    <definedName name="ATIVOS" localSheetId="3">{#N/A,#N/A,FALSE,"F-01"}</definedName>
    <definedName name="ATIVOS" localSheetId="8">{#N/A,#N/A,FALSE,"F-01"}</definedName>
    <definedName name="ATIVOS" localSheetId="5">{#N/A,#N/A,FALSE,"F-01"}</definedName>
    <definedName name="ATIVOS" localSheetId="4">{#N/A,#N/A,FALSE,"F-01"}</definedName>
    <definedName name="ATIVOS" localSheetId="13">{#N/A,#N/A,FALSE,"F-01"}</definedName>
    <definedName name="ATIVOS" localSheetId="17">{#N/A,#N/A,FALSE,"F-01"}</definedName>
    <definedName name="ATIVOS" localSheetId="0">{#N/A,#N/A,FALSE,"F-01"}</definedName>
    <definedName name="ATIVOS" localSheetId="19">{#N/A,#N/A,FALSE,"F-01"}</definedName>
    <definedName name="ATIVOS" localSheetId="16">{#N/A,#N/A,FALSE,"F-01"}</definedName>
    <definedName name="ATIVOS" localSheetId="18">{#N/A,#N/A,FALSE,"F-01"}</definedName>
    <definedName name="ATIVOS" localSheetId="10">{#N/A,#N/A,FALSE,"F-01"}</definedName>
    <definedName name="ATIVOS">{#N/A,#N/A,FALSE,"F-01"}</definedName>
    <definedName name="Ato" localSheetId="3">#REF!</definedName>
    <definedName name="Ato" localSheetId="5">#REF!</definedName>
    <definedName name="Ato" localSheetId="26">#REF!</definedName>
    <definedName name="Ato">#REF!</definedName>
    <definedName name="ATUAL" localSheetId="3">#REF!</definedName>
    <definedName name="ATUAL" localSheetId="5">#REF!</definedName>
    <definedName name="ATUAL" localSheetId="26">#REF!</definedName>
    <definedName name="ATUAL">#REF!</definedName>
    <definedName name="aux" localSheetId="3">#REF!</definedName>
    <definedName name="aux" localSheetId="1">#REF!</definedName>
    <definedName name="aux" localSheetId="5">#REF!</definedName>
    <definedName name="aux" localSheetId="21">#REF!</definedName>
    <definedName name="aux" localSheetId="22">#REF!</definedName>
    <definedName name="aux" localSheetId="13">#REF!</definedName>
    <definedName name="aux" localSheetId="26">#REF!</definedName>
    <definedName name="aux" localSheetId="0">#REF!</definedName>
    <definedName name="aux">#REF!</definedName>
    <definedName name="AUXILIO" localSheetId="3">#REF!</definedName>
    <definedName name="AUXILIO" localSheetId="5">#REF!</definedName>
    <definedName name="AUXILIO" localSheetId="26">#REF!</definedName>
    <definedName name="AUXILIO">#REF!</definedName>
    <definedName name="avulsos" localSheetId="3">#REF!</definedName>
    <definedName name="avulsos" localSheetId="5">#REF!</definedName>
    <definedName name="avulsos" localSheetId="26">#REF!</definedName>
    <definedName name="avulsos">#REF!</definedName>
    <definedName name="awdjw" localSheetId="9">{#N/A,#N/A,FALSE,"Plan1";#N/A,#N/A,FALSE,"Plan2"}</definedName>
    <definedName name="awdjw" localSheetId="6">{#N/A,#N/A,FALSE,"Plan1";#N/A,#N/A,FALSE,"Plan2"}</definedName>
    <definedName name="awdjw" localSheetId="3">{#N/A,#N/A,FALSE,"Plan1";#N/A,#N/A,FALSE,"Plan2"}</definedName>
    <definedName name="awdjw" localSheetId="8">{#N/A,#N/A,FALSE,"Plan1";#N/A,#N/A,FALSE,"Plan2"}</definedName>
    <definedName name="awdjw" localSheetId="5">{#N/A,#N/A,FALSE,"Plan1";#N/A,#N/A,FALSE,"Plan2"}</definedName>
    <definedName name="awdjw" localSheetId="4">{#N/A,#N/A,FALSE,"Plan1";#N/A,#N/A,FALSE,"Plan2"}</definedName>
    <definedName name="awdjw" localSheetId="13">{#N/A,#N/A,FALSE,"Plan1";#N/A,#N/A,FALSE,"Plan2"}</definedName>
    <definedName name="awdjw" localSheetId="17">{#N/A,#N/A,FALSE,"Plan1";#N/A,#N/A,FALSE,"Plan2"}</definedName>
    <definedName name="awdjw" localSheetId="0">{#N/A,#N/A,FALSE,"Plan1";#N/A,#N/A,FALSE,"Plan2"}</definedName>
    <definedName name="awdjw" localSheetId="19">{#N/A,#N/A,FALSE,"Plan1";#N/A,#N/A,FALSE,"Plan2"}</definedName>
    <definedName name="awdjw" localSheetId="16">{#N/A,#N/A,FALSE,"Plan1";#N/A,#N/A,FALSE,"Plan2"}</definedName>
    <definedName name="awdjw" localSheetId="18">{#N/A,#N/A,FALSE,"Plan1";#N/A,#N/A,FALSE,"Plan2"}</definedName>
    <definedName name="awdjw" localSheetId="10">{#N/A,#N/A,FALSE,"Plan1";#N/A,#N/A,FALSE,"Plan2"}</definedName>
    <definedName name="awdjw">{#N/A,#N/A,FALSE,"Plan1";#N/A,#N/A,FALSE,"Plan2"}</definedName>
    <definedName name="aweqw4" localSheetId="9">{#N/A,#N/A,FALSE,"Plan1";#N/A,#N/A,FALSE,"Plan2"}</definedName>
    <definedName name="aweqw4" localSheetId="6">{#N/A,#N/A,FALSE,"Plan1";#N/A,#N/A,FALSE,"Plan2"}</definedName>
    <definedName name="aweqw4" localSheetId="3">{#N/A,#N/A,FALSE,"Plan1";#N/A,#N/A,FALSE,"Plan2"}</definedName>
    <definedName name="aweqw4" localSheetId="8">{#N/A,#N/A,FALSE,"Plan1";#N/A,#N/A,FALSE,"Plan2"}</definedName>
    <definedName name="aweqw4" localSheetId="5">{#N/A,#N/A,FALSE,"Plan1";#N/A,#N/A,FALSE,"Plan2"}</definedName>
    <definedName name="aweqw4" localSheetId="4">{#N/A,#N/A,FALSE,"Plan1";#N/A,#N/A,FALSE,"Plan2"}</definedName>
    <definedName name="aweqw4" localSheetId="13">{#N/A,#N/A,FALSE,"Plan1";#N/A,#N/A,FALSE,"Plan2"}</definedName>
    <definedName name="aweqw4" localSheetId="17">{#N/A,#N/A,FALSE,"Plan1";#N/A,#N/A,FALSE,"Plan2"}</definedName>
    <definedName name="aweqw4" localSheetId="0">{#N/A,#N/A,FALSE,"Plan1";#N/A,#N/A,FALSE,"Plan2"}</definedName>
    <definedName name="aweqw4" localSheetId="19">{#N/A,#N/A,FALSE,"Plan1";#N/A,#N/A,FALSE,"Plan2"}</definedName>
    <definedName name="aweqw4" localSheetId="16">{#N/A,#N/A,FALSE,"Plan1";#N/A,#N/A,FALSE,"Plan2"}</definedName>
    <definedName name="aweqw4" localSheetId="18">{#N/A,#N/A,FALSE,"Plan1";#N/A,#N/A,FALSE,"Plan2"}</definedName>
    <definedName name="aweqw4" localSheetId="10">{#N/A,#N/A,FALSE,"Plan1";#N/A,#N/A,FALSE,"Plan2"}</definedName>
    <definedName name="aweqw4">{#N/A,#N/A,FALSE,"Plan1";#N/A,#N/A,FALSE,"Plan2"}</definedName>
    <definedName name="awssdwaer" localSheetId="9">{#N/A,#N/A,FALSE,"Plan1";#N/A,#N/A,FALSE,"Plan2"}</definedName>
    <definedName name="awssdwaer" localSheetId="6">{#N/A,#N/A,FALSE,"Plan1";#N/A,#N/A,FALSE,"Plan2"}</definedName>
    <definedName name="awssdwaer" localSheetId="3">{#N/A,#N/A,FALSE,"Plan1";#N/A,#N/A,FALSE,"Plan2"}</definedName>
    <definedName name="awssdwaer" localSheetId="8">{#N/A,#N/A,FALSE,"Plan1";#N/A,#N/A,FALSE,"Plan2"}</definedName>
    <definedName name="awssdwaer" localSheetId="5">{#N/A,#N/A,FALSE,"Plan1";#N/A,#N/A,FALSE,"Plan2"}</definedName>
    <definedName name="awssdwaer" localSheetId="4">{#N/A,#N/A,FALSE,"Plan1";#N/A,#N/A,FALSE,"Plan2"}</definedName>
    <definedName name="awssdwaer" localSheetId="13">{#N/A,#N/A,FALSE,"Plan1";#N/A,#N/A,FALSE,"Plan2"}</definedName>
    <definedName name="awssdwaer" localSheetId="17">{#N/A,#N/A,FALSE,"Plan1";#N/A,#N/A,FALSE,"Plan2"}</definedName>
    <definedName name="awssdwaer" localSheetId="0">{#N/A,#N/A,FALSE,"Plan1";#N/A,#N/A,FALSE,"Plan2"}</definedName>
    <definedName name="awssdwaer" localSheetId="19">{#N/A,#N/A,FALSE,"Plan1";#N/A,#N/A,FALSE,"Plan2"}</definedName>
    <definedName name="awssdwaer" localSheetId="16">{#N/A,#N/A,FALSE,"Plan1";#N/A,#N/A,FALSE,"Plan2"}</definedName>
    <definedName name="awssdwaer" localSheetId="18">{#N/A,#N/A,FALSE,"Plan1";#N/A,#N/A,FALSE,"Plan2"}</definedName>
    <definedName name="awssdwaer" localSheetId="10">{#N/A,#N/A,FALSE,"Plan1";#N/A,#N/A,FALSE,"Plan2"}</definedName>
    <definedName name="awssdwaer">{#N/A,#N/A,FALSE,"Plan1";#N/A,#N/A,FALSE,"Plan2"}</definedName>
    <definedName name="AZ" localSheetId="3">#REF!</definedName>
    <definedName name="AZ" localSheetId="5">#REF!</definedName>
    <definedName name="AZ" localSheetId="26">#REF!</definedName>
    <definedName name="AZ" localSheetId="0">#REF!</definedName>
    <definedName name="AZ">#REF!</definedName>
    <definedName name="b" localSheetId="6">{#N/A,#N/A,FALSE,"Plan1";#N/A,#N/A,FALSE,"Plan2"}</definedName>
    <definedName name="b" localSheetId="8">{#N/A,#N/A,FALSE,"Plan1";#N/A,#N/A,FALSE,"Plan2"}</definedName>
    <definedName name="B" localSheetId="5">#REF!</definedName>
    <definedName name="B" localSheetId="17">#REF!</definedName>
    <definedName name="b" localSheetId="0">{#N/A,#N/A,FALSE,"Plan1";#N/A,#N/A,FALSE,"Plan2"}</definedName>
    <definedName name="b" localSheetId="19">{#N/A,#N/A,FALSE,"Plan1";#N/A,#N/A,FALSE,"Plan2"}</definedName>
    <definedName name="B">#REF!</definedName>
    <definedName name="BA" localSheetId="3">#REF!</definedName>
    <definedName name="BA" localSheetId="8">#REF!</definedName>
    <definedName name="BA" localSheetId="5">#REF!</definedName>
    <definedName name="BA" localSheetId="26">#REF!</definedName>
    <definedName name="BA">#REF!</definedName>
    <definedName name="balão1">"AutoForma 17"</definedName>
    <definedName name="BANCO" localSheetId="3">#REF!</definedName>
    <definedName name="BANCO" localSheetId="5">#REF!</definedName>
    <definedName name="BANCO" localSheetId="26">#REF!</definedName>
    <definedName name="BANCO">#REF!</definedName>
    <definedName name="Banco_dados_IM" localSheetId="3">#REF!</definedName>
    <definedName name="Banco_dados_IM" localSheetId="5">#REF!</definedName>
    <definedName name="Banco_dados_IM" localSheetId="26">#REF!</definedName>
    <definedName name="Banco_dados_IM">#REF!</definedName>
    <definedName name="BANCO1" localSheetId="3">#REF!</definedName>
    <definedName name="BANCO1" localSheetId="5">#REF!</definedName>
    <definedName name="BANCO1" localSheetId="13">#REF!</definedName>
    <definedName name="BANCO1" localSheetId="26">#REF!</definedName>
    <definedName name="BANCO1">#REF!</definedName>
    <definedName name="BANCO2" localSheetId="3">#REF!</definedName>
    <definedName name="BANCO2" localSheetId="5">#REF!</definedName>
    <definedName name="BANCO2" localSheetId="13">#REF!</definedName>
    <definedName name="BANCO2" localSheetId="26">#REF!</definedName>
    <definedName name="BANCO2">#REF!</definedName>
    <definedName name="BANCO3" localSheetId="3">#REF!</definedName>
    <definedName name="BANCO3" localSheetId="5">#REF!</definedName>
    <definedName name="BANCO3" localSheetId="13">#REF!</definedName>
    <definedName name="BANCO3" localSheetId="26">#REF!</definedName>
    <definedName name="BANCO3">#REF!</definedName>
    <definedName name="BANCO4" localSheetId="3">#REF!</definedName>
    <definedName name="BANCO4" localSheetId="5">#REF!</definedName>
    <definedName name="BANCO4" localSheetId="13">#REF!</definedName>
    <definedName name="BANCO4" localSheetId="26">#REF!</definedName>
    <definedName name="BANCO4">#REF!</definedName>
    <definedName name="BASE" localSheetId="6">OFFSET(#REF!,0,0,COUNTA(#REF!)+1,5)</definedName>
    <definedName name="BASE" localSheetId="4">OFFSET(#REF!,0,0,COUNTA(#REF!)+1,5)</definedName>
    <definedName name="BASE" localSheetId="13">OFFSET(#REF!,0,0,COUNTA(#REF!)+1,5)</definedName>
    <definedName name="BASE" localSheetId="19">OFFSET(#REF!,0,0,COUNTA(#REF!)+1,5)</definedName>
    <definedName name="BASE">OFFSET(#REF!,0,0,COUNTA(#REF!)+1,5)</definedName>
    <definedName name="BASE_DE_DADOS_FLUXO_DE_CAIXA" localSheetId="6">OFFSET(#REF!,0,0,COUNTA(#REF!),COUNTA(#REF!))</definedName>
    <definedName name="BASE_DE_DADOS_FLUXO_DE_CAIXA" localSheetId="4">OFFSET(#REF!,0,0,COUNTA(#REF!),COUNTA(#REF!))</definedName>
    <definedName name="BASE_DE_DADOS_FLUXO_DE_CAIXA" localSheetId="13">OFFSET(#REF!,0,0,COUNTA(#REF!),COUNTA(#REF!))</definedName>
    <definedName name="BASE_DE_DADOS_FLUXO_DE_CAIXA" localSheetId="19">OFFSET(#REF!,0,0,COUNTA(#REF!),COUNTA(#REF!))</definedName>
    <definedName name="BASE_DE_DADOS_FLUXO_DE_CAIXA">OFFSET(#REF!,0,0,COUNTA(#REF!),COUNTA(#REF!))</definedName>
    <definedName name="BASE_FL_CX_3S" localSheetId="6">OFFSET(#REF!,0,0,COUNTA(#REF!),COUNTA(#REF!))</definedName>
    <definedName name="BASE_FL_CX_3S" localSheetId="4">OFFSET(#REF!,0,0,COUNTA(#REF!),COUNTA(#REF!))</definedName>
    <definedName name="BASE_FL_CX_3S" localSheetId="13">OFFSET(#REF!,0,0,COUNTA(#REF!),COUNTA(#REF!))</definedName>
    <definedName name="BASE_FL_CX_3S" localSheetId="19">OFFSET(#REF!,0,0,COUNTA(#REF!),COUNTA(#REF!))</definedName>
    <definedName name="BASE_FL_CX_3S">OFFSET(#REF!,0,0,COUNTA(#REF!),COUNTA(#REF!))</definedName>
    <definedName name="BASE_FLUXO_CAIXA_2017" localSheetId="6">OFFSET(#REF!,0,0,COUNTA(#REF!),COUNTA(#REF!))</definedName>
    <definedName name="BASE_FLUXO_CAIXA_2017" localSheetId="4">OFFSET(#REF!,0,0,COUNTA(#REF!),COUNTA(#REF!))</definedName>
    <definedName name="BASE_FLUXO_CAIXA_2017" localSheetId="13">OFFSET(#REF!,0,0,COUNTA(#REF!),COUNTA(#REF!))</definedName>
    <definedName name="BASE_FLUXO_CAIXA_2017" localSheetId="19">OFFSET(#REF!,0,0,COUNTA(#REF!),COUNTA(#REF!))</definedName>
    <definedName name="BASE_FLUXO_CAIXA_2017">OFFSET(#REF!,0,0,COUNTA(#REF!),COUNTA(#REF!))</definedName>
    <definedName name="bb" localSheetId="3">#REF!</definedName>
    <definedName name="bb" localSheetId="5">#REF!</definedName>
    <definedName name="bb" localSheetId="13">#REF!</definedName>
    <definedName name="bb" localSheetId="26">#REF!</definedName>
    <definedName name="bb">#REF!</definedName>
    <definedName name="bbb" localSheetId="3">#REF!</definedName>
    <definedName name="bbb" localSheetId="5">#REF!</definedName>
    <definedName name="bbb" localSheetId="13">#REF!</definedName>
    <definedName name="bbb" localSheetId="26">#REF!</definedName>
    <definedName name="bbb">#REF!</definedName>
    <definedName name="bbbbbbbbbbbbbbb" localSheetId="9">{"'Edit'!$A$1:$V$2277"}</definedName>
    <definedName name="bbbbbbbbbbbbbbb" localSheetId="6">{"'Edit'!$A$1:$V$2277"}</definedName>
    <definedName name="bbbbbbbbbbbbbbb" localSheetId="3">{"'Edit'!$A$1:$V$2277"}</definedName>
    <definedName name="bbbbbbbbbbbbbbb" localSheetId="8">{"'Edit'!$A$1:$V$2277"}</definedName>
    <definedName name="bbbbbbbbbbbbbbb" localSheetId="5">{"'Edit'!$A$1:$V$2277"}</definedName>
    <definedName name="bbbbbbbbbbbbbbb" localSheetId="4">{"'Edit'!$A$1:$V$2277"}</definedName>
    <definedName name="bbbbbbbbbbbbbbb" localSheetId="13">{"'Edit'!$A$1:$V$2277"}</definedName>
    <definedName name="bbbbbbbbbbbbbbb" localSheetId="17">{"'Edit'!$A$1:$V$2277"}</definedName>
    <definedName name="bbbbbbbbbbbbbbb" localSheetId="0">{"'Edit'!$A$1:$V$2277"}</definedName>
    <definedName name="bbbbbbbbbbbbbbb" localSheetId="19">{"'Edit'!$A$1:$V$2277"}</definedName>
    <definedName name="bbbbbbbbbbbbbbb" localSheetId="16">{"'Edit'!$A$1:$V$2277"}</definedName>
    <definedName name="bbbbbbbbbbbbbbb" localSheetId="18">{"'Edit'!$A$1:$V$2277"}</definedName>
    <definedName name="bbbbbbbbbbbbbbb" localSheetId="10">{"'Edit'!$A$1:$V$2277"}</definedName>
    <definedName name="bbbbbbbbbbbbbbb">{"'Edit'!$A$1:$V$2277"}</definedName>
    <definedName name="bchar10" localSheetId="13">#REF!</definedName>
    <definedName name="bchar10">#REF!</definedName>
    <definedName name="bchart1" localSheetId="13">#REF!</definedName>
    <definedName name="bchart1">#REF!</definedName>
    <definedName name="bchart11" localSheetId="13">#REF!</definedName>
    <definedName name="bchart11">#REF!</definedName>
    <definedName name="bchart12" localSheetId="13">#REF!</definedName>
    <definedName name="bchart12">#REF!</definedName>
    <definedName name="bchart13" localSheetId="13">#REF!</definedName>
    <definedName name="bchart13">#REF!</definedName>
    <definedName name="bchart14" localSheetId="13">#REF!</definedName>
    <definedName name="bchart14">#REF!</definedName>
    <definedName name="bchart15" localSheetId="13">#REF!</definedName>
    <definedName name="bchart15">#REF!</definedName>
    <definedName name="bchart16" localSheetId="13">#REF!</definedName>
    <definedName name="bchart16">#REF!</definedName>
    <definedName name="bchart17" localSheetId="13">#REF!</definedName>
    <definedName name="bchart17">#REF!</definedName>
    <definedName name="bchart18" localSheetId="13">#REF!</definedName>
    <definedName name="bchart18">#REF!</definedName>
    <definedName name="bchart19" localSheetId="13">#REF!</definedName>
    <definedName name="bchart19">#REF!</definedName>
    <definedName name="bchart2" localSheetId="13">#REF!</definedName>
    <definedName name="bchart2">#REF!</definedName>
    <definedName name="bchart20" localSheetId="13">#REF!</definedName>
    <definedName name="bchart20">#REF!</definedName>
    <definedName name="bchart21" localSheetId="13">#REF!</definedName>
    <definedName name="bchart21">#REF!</definedName>
    <definedName name="bchart22" localSheetId="13">#REF!</definedName>
    <definedName name="bchart22">#REF!</definedName>
    <definedName name="bchart23" localSheetId="13">#REF!</definedName>
    <definedName name="bchart23">#REF!</definedName>
    <definedName name="bchart24" localSheetId="13">#REF!</definedName>
    <definedName name="bchart24">#REF!</definedName>
    <definedName name="bchart25" localSheetId="13">#REF!</definedName>
    <definedName name="bchart25">#REF!</definedName>
    <definedName name="bchart26" localSheetId="13">#REF!</definedName>
    <definedName name="bchart26">#REF!</definedName>
    <definedName name="bchart27" localSheetId="13">#REF!</definedName>
    <definedName name="bchart27">#REF!</definedName>
    <definedName name="bchart28" localSheetId="13">#REF!</definedName>
    <definedName name="bchart28">#REF!</definedName>
    <definedName name="bchart29" localSheetId="13">#REF!</definedName>
    <definedName name="bchart29">#REF!</definedName>
    <definedName name="bchart3" localSheetId="13">#REF!</definedName>
    <definedName name="bchart3">#REF!</definedName>
    <definedName name="bchart30" localSheetId="13">#REF!</definedName>
    <definedName name="bchart30">#REF!</definedName>
    <definedName name="bchart31" localSheetId="13">#REF!</definedName>
    <definedName name="bchart31">#REF!</definedName>
    <definedName name="bchart32" localSheetId="13">#REF!</definedName>
    <definedName name="bchart32">#REF!</definedName>
    <definedName name="bchart4" localSheetId="13">#REF!</definedName>
    <definedName name="bchart4">#REF!</definedName>
    <definedName name="bchart5" localSheetId="13">#REF!</definedName>
    <definedName name="bchart5">#REF!</definedName>
    <definedName name="bchart6" localSheetId="13">#REF!</definedName>
    <definedName name="bchart6">#REF!</definedName>
    <definedName name="bchart7">#REF!</definedName>
    <definedName name="bchart8">#REF!</definedName>
    <definedName name="bchart9">#REF!</definedName>
    <definedName name="BD" localSheetId="3">#REF!</definedName>
    <definedName name="BD" localSheetId="5">#REF!</definedName>
    <definedName name="BD" localSheetId="26">#REF!</definedName>
    <definedName name="BD">#REF!</definedName>
    <definedName name="BDA" localSheetId="3">#REF!</definedName>
    <definedName name="BDA" localSheetId="1">#REF!</definedName>
    <definedName name="BDA" localSheetId="5">#REF!</definedName>
    <definedName name="BDA" localSheetId="21">#REF!</definedName>
    <definedName name="BDA" localSheetId="22">#REF!</definedName>
    <definedName name="BDA" localSheetId="13">#REF!</definedName>
    <definedName name="BDA" localSheetId="26">#REF!</definedName>
    <definedName name="BDA" localSheetId="0">#REF!</definedName>
    <definedName name="BDA">#REF!</definedName>
    <definedName name="bdfjghf" localSheetId="9">{#N/A,#N/A,FALSE,"Plan1";#N/A,#N/A,FALSE,"Plan2"}</definedName>
    <definedName name="bdfjghf" localSheetId="6">{#N/A,#N/A,FALSE,"Plan1";#N/A,#N/A,FALSE,"Plan2"}</definedName>
    <definedName name="bdfjghf" localSheetId="3">{#N/A,#N/A,FALSE,"Plan1";#N/A,#N/A,FALSE,"Plan2"}</definedName>
    <definedName name="bdfjghf" localSheetId="8">{#N/A,#N/A,FALSE,"Plan1";#N/A,#N/A,FALSE,"Plan2"}</definedName>
    <definedName name="bdfjghf" localSheetId="5">{#N/A,#N/A,FALSE,"Plan1";#N/A,#N/A,FALSE,"Plan2"}</definedName>
    <definedName name="bdfjghf" localSheetId="4">{#N/A,#N/A,FALSE,"Plan1";#N/A,#N/A,FALSE,"Plan2"}</definedName>
    <definedName name="bdfjghf" localSheetId="13">{#N/A,#N/A,FALSE,"Plan1";#N/A,#N/A,FALSE,"Plan2"}</definedName>
    <definedName name="bdfjghf" localSheetId="17">{#N/A,#N/A,FALSE,"Plan1";#N/A,#N/A,FALSE,"Plan2"}</definedName>
    <definedName name="bdfjghf" localSheetId="0">{#N/A,#N/A,FALSE,"Plan1";#N/A,#N/A,FALSE,"Plan2"}</definedName>
    <definedName name="bdfjghf" localSheetId="19">{#N/A,#N/A,FALSE,"Plan1";#N/A,#N/A,FALSE,"Plan2"}</definedName>
    <definedName name="bdfjghf" localSheetId="16">{#N/A,#N/A,FALSE,"Plan1";#N/A,#N/A,FALSE,"Plan2"}</definedName>
    <definedName name="bdfjghf" localSheetId="18">{#N/A,#N/A,FALSE,"Plan1";#N/A,#N/A,FALSE,"Plan2"}</definedName>
    <definedName name="bdfjghf" localSheetId="10">{#N/A,#N/A,FALSE,"Plan1";#N/A,#N/A,FALSE,"Plan2"}</definedName>
    <definedName name="bdfjghf">{#N/A,#N/A,FALSE,"Plan1";#N/A,#N/A,FALSE,"Plan2"}</definedName>
    <definedName name="BDI" localSheetId="3">#REF!</definedName>
    <definedName name="BDI" localSheetId="1">#REF!</definedName>
    <definedName name="BDI" localSheetId="5">#REF!</definedName>
    <definedName name="BDI" localSheetId="21">#REF!</definedName>
    <definedName name="BDI" localSheetId="22">#REF!</definedName>
    <definedName name="BDI" localSheetId="13">#REF!</definedName>
    <definedName name="BDI" localSheetId="26">#REF!</definedName>
    <definedName name="BDI" localSheetId="0">#REF!</definedName>
    <definedName name="BDI">#REF!</definedName>
    <definedName name="bdzbfbdr" localSheetId="9">{#N/A,#N/A,FALSE,"Plan1";#N/A,#N/A,FALSE,"Plan2"}</definedName>
    <definedName name="bdzbfbdr" localSheetId="6">{#N/A,#N/A,FALSE,"Plan1";#N/A,#N/A,FALSE,"Plan2"}</definedName>
    <definedName name="bdzbfbdr" localSheetId="3">{#N/A,#N/A,FALSE,"Plan1";#N/A,#N/A,FALSE,"Plan2"}</definedName>
    <definedName name="bdzbfbdr" localSheetId="8">{#N/A,#N/A,FALSE,"Plan1";#N/A,#N/A,FALSE,"Plan2"}</definedName>
    <definedName name="bdzbfbdr" localSheetId="5">{#N/A,#N/A,FALSE,"Plan1";#N/A,#N/A,FALSE,"Plan2"}</definedName>
    <definedName name="bdzbfbdr" localSheetId="4">{#N/A,#N/A,FALSE,"Plan1";#N/A,#N/A,FALSE,"Plan2"}</definedName>
    <definedName name="bdzbfbdr" localSheetId="13">{#N/A,#N/A,FALSE,"Plan1";#N/A,#N/A,FALSE,"Plan2"}</definedName>
    <definedName name="bdzbfbdr" localSheetId="17">{#N/A,#N/A,FALSE,"Plan1";#N/A,#N/A,FALSE,"Plan2"}</definedName>
    <definedName name="bdzbfbdr" localSheetId="0">{#N/A,#N/A,FALSE,"Plan1";#N/A,#N/A,FALSE,"Plan2"}</definedName>
    <definedName name="bdzbfbdr" localSheetId="19">{#N/A,#N/A,FALSE,"Plan1";#N/A,#N/A,FALSE,"Plan2"}</definedName>
    <definedName name="bdzbfbdr" localSheetId="16">{#N/A,#N/A,FALSE,"Plan1";#N/A,#N/A,FALSE,"Plan2"}</definedName>
    <definedName name="bdzbfbdr" localSheetId="18">{#N/A,#N/A,FALSE,"Plan1";#N/A,#N/A,FALSE,"Plan2"}</definedName>
    <definedName name="bdzbfbdr" localSheetId="10">{#N/A,#N/A,FALSE,"Plan1";#N/A,#N/A,FALSE,"Plan2"}</definedName>
    <definedName name="bdzbfbdr">{#N/A,#N/A,FALSE,"Plan1";#N/A,#N/A,FALSE,"Plan2"}</definedName>
    <definedName name="be" localSheetId="3">#REF!</definedName>
    <definedName name="be" localSheetId="5">#REF!</definedName>
    <definedName name="be" localSheetId="26">#REF!</definedName>
    <definedName name="be">#REF!</definedName>
    <definedName name="bebqt" localSheetId="3">#REF!</definedName>
    <definedName name="bebqt" localSheetId="5">#REF!</definedName>
    <definedName name="bebqt" localSheetId="26">#REF!</definedName>
    <definedName name="bebqt">#REF!</definedName>
    <definedName name="bela_cdi" localSheetId="3">#REF!</definedName>
    <definedName name="bela_cdi" localSheetId="5">#REF!</definedName>
    <definedName name="bela_cdi" localSheetId="26">#REF!</definedName>
    <definedName name="bela_cdi">#REF!</definedName>
    <definedName name="bela_hist" localSheetId="3">#REF!</definedName>
    <definedName name="bela_hist" localSheetId="5">#REF!</definedName>
    <definedName name="bela_hist" localSheetId="26">#REF!</definedName>
    <definedName name="bela_hist">#REF!</definedName>
    <definedName name="bela_uss" localSheetId="3">#REF!</definedName>
    <definedName name="bela_uss" localSheetId="5">#REF!</definedName>
    <definedName name="bela_uss" localSheetId="26">#REF!</definedName>
    <definedName name="bela_uss">#REF!</definedName>
    <definedName name="bg" localSheetId="3">#REF!</definedName>
    <definedName name="bg" localSheetId="0">#REF!</definedName>
    <definedName name="bg">#REF!</definedName>
    <definedName name="BGG" localSheetId="9">{#N/A,#N/A,FALSE,"Plan1";#N/A,#N/A,FALSE,"Plan2"}</definedName>
    <definedName name="BGG" localSheetId="6">{#N/A,#N/A,FALSE,"Plan1";#N/A,#N/A,FALSE,"Plan2"}</definedName>
    <definedName name="BGG" localSheetId="3">{#N/A,#N/A,FALSE,"Plan1";#N/A,#N/A,FALSE,"Plan2"}</definedName>
    <definedName name="BGG" localSheetId="8">{#N/A,#N/A,FALSE,"Plan1";#N/A,#N/A,FALSE,"Plan2"}</definedName>
    <definedName name="BGG" localSheetId="5">{#N/A,#N/A,FALSE,"Plan1";#N/A,#N/A,FALSE,"Plan2"}</definedName>
    <definedName name="BGG" localSheetId="4">{#N/A,#N/A,FALSE,"Plan1";#N/A,#N/A,FALSE,"Plan2"}</definedName>
    <definedName name="BGG" localSheetId="13">{#N/A,#N/A,FALSE,"Plan1";#N/A,#N/A,FALSE,"Plan2"}</definedName>
    <definedName name="BGG" localSheetId="17">{#N/A,#N/A,FALSE,"Plan1";#N/A,#N/A,FALSE,"Plan2"}</definedName>
    <definedName name="BGG" localSheetId="0">{#N/A,#N/A,FALSE,"Plan1";#N/A,#N/A,FALSE,"Plan2"}</definedName>
    <definedName name="BGG" localSheetId="19">{#N/A,#N/A,FALSE,"Plan1";#N/A,#N/A,FALSE,"Plan2"}</definedName>
    <definedName name="BGG" localSheetId="16">{#N/A,#N/A,FALSE,"Plan1";#N/A,#N/A,FALSE,"Plan2"}</definedName>
    <definedName name="BGG" localSheetId="18">{#N/A,#N/A,FALSE,"Plan1";#N/A,#N/A,FALSE,"Plan2"}</definedName>
    <definedName name="BGG" localSheetId="10">{#N/A,#N/A,FALSE,"Plan1";#N/A,#N/A,FALSE,"Plan2"}</definedName>
    <definedName name="BGG">{#N/A,#N/A,FALSE,"Plan1";#N/A,#N/A,FALSE,"Plan2"}</definedName>
    <definedName name="bhjgfhfh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9">{#N/A,#N/A,FALSE,"Plan1";#N/A,#N/A,FALSE,"Plan2"}</definedName>
    <definedName name="BJSDKHFE" localSheetId="6">{#N/A,#N/A,FALSE,"Plan1";#N/A,#N/A,FALSE,"Plan2"}</definedName>
    <definedName name="BJSDKHFE" localSheetId="3">{#N/A,#N/A,FALSE,"Plan1";#N/A,#N/A,FALSE,"Plan2"}</definedName>
    <definedName name="BJSDKHFE" localSheetId="8">{#N/A,#N/A,FALSE,"Plan1";#N/A,#N/A,FALSE,"Plan2"}</definedName>
    <definedName name="BJSDKHFE" localSheetId="5">{#N/A,#N/A,FALSE,"Plan1";#N/A,#N/A,FALSE,"Plan2"}</definedName>
    <definedName name="BJSDKHFE" localSheetId="4">{#N/A,#N/A,FALSE,"Plan1";#N/A,#N/A,FALSE,"Plan2"}</definedName>
    <definedName name="BJSDKHFE" localSheetId="13">{#N/A,#N/A,FALSE,"Plan1";#N/A,#N/A,FALSE,"Plan2"}</definedName>
    <definedName name="BJSDKHFE" localSheetId="17">{#N/A,#N/A,FALSE,"Plan1";#N/A,#N/A,FALSE,"Plan2"}</definedName>
    <definedName name="BJSDKHFE" localSheetId="0">{#N/A,#N/A,FALSE,"Plan1";#N/A,#N/A,FALSE,"Plan2"}</definedName>
    <definedName name="BJSDKHFE" localSheetId="19">{#N/A,#N/A,FALSE,"Plan1";#N/A,#N/A,FALSE,"Plan2"}</definedName>
    <definedName name="BJSDKHFE" localSheetId="16">{#N/A,#N/A,FALSE,"Plan1";#N/A,#N/A,FALSE,"Plan2"}</definedName>
    <definedName name="BJSDKHFE" localSheetId="18">{#N/A,#N/A,FALSE,"Plan1";#N/A,#N/A,FALSE,"Plan2"}</definedName>
    <definedName name="BJSDKHFE" localSheetId="10">{#N/A,#N/A,FALSE,"Plan1";#N/A,#N/A,FALSE,"Plan2"}</definedName>
    <definedName name="BJSDKHFE">{#N/A,#N/A,FALSE,"Plan1";#N/A,#N/A,FALSE,"Plan2"}</definedName>
    <definedName name="bloco" localSheetId="3">#REF!</definedName>
    <definedName name="bloco" localSheetId="5">#REF!</definedName>
    <definedName name="bloco" localSheetId="26">#REF!</definedName>
    <definedName name="bloco">#REF!</definedName>
    <definedName name="BLPH1" localSheetId="3">#REF!</definedName>
    <definedName name="BLPH1" localSheetId="5">#REF!</definedName>
    <definedName name="BLPH1" localSheetId="26">#REF!</definedName>
    <definedName name="BLPH1" localSheetId="0">#REF!</definedName>
    <definedName name="BLPH1">#REF!</definedName>
    <definedName name="BLPH100" localSheetId="3">#REF!</definedName>
    <definedName name="BLPH100" localSheetId="5">#REF!</definedName>
    <definedName name="BLPH100" localSheetId="26">#REF!</definedName>
    <definedName name="BLPH100" localSheetId="0">#REF!</definedName>
    <definedName name="BLPH100">#REF!</definedName>
    <definedName name="BLPH101" localSheetId="3">#REF!</definedName>
    <definedName name="BLPH101" localSheetId="5">#REF!</definedName>
    <definedName name="BLPH101" localSheetId="26">#REF!</definedName>
    <definedName name="BLPH101" localSheetId="0">#REF!</definedName>
    <definedName name="BLPH101">#REF!</definedName>
    <definedName name="BLPH102" localSheetId="3">#REF!</definedName>
    <definedName name="BLPH102" localSheetId="5">#REF!</definedName>
    <definedName name="BLPH102" localSheetId="26">#REF!</definedName>
    <definedName name="BLPH102" localSheetId="0">#REF!</definedName>
    <definedName name="BLPH102">#REF!</definedName>
    <definedName name="BLPH103" localSheetId="3">#REF!</definedName>
    <definedName name="BLPH103" localSheetId="5">#REF!</definedName>
    <definedName name="BLPH103" localSheetId="26">#REF!</definedName>
    <definedName name="BLPH103" localSheetId="0">#REF!</definedName>
    <definedName name="BLPH103">#REF!</definedName>
    <definedName name="BLPH104" localSheetId="3">#REF!</definedName>
    <definedName name="BLPH104" localSheetId="5">#REF!</definedName>
    <definedName name="BLPH104" localSheetId="26">#REF!</definedName>
    <definedName name="BLPH104" localSheetId="0">#REF!</definedName>
    <definedName name="BLPH104">#REF!</definedName>
    <definedName name="BLPH107">#REF!</definedName>
    <definedName name="BLPH2" localSheetId="3">#REF!</definedName>
    <definedName name="BLPH2">#REF!</definedName>
    <definedName name="BLPH3">#REF!</definedName>
    <definedName name="BLPH4">#REF!</definedName>
    <definedName name="BLPH5">#REF!</definedName>
    <definedName name="BLPH6">#REF!</definedName>
    <definedName name="BLPH7">#REF!</definedName>
    <definedName name="BLPH8">#REF!</definedName>
    <definedName name="BLPH96" localSheetId="3">#REF!</definedName>
    <definedName name="BLPH96" localSheetId="5">#REF!</definedName>
    <definedName name="BLPH96" localSheetId="26">#REF!</definedName>
    <definedName name="BLPH96" localSheetId="0">#REF!</definedName>
    <definedName name="BLPH96">#REF!</definedName>
    <definedName name="BLPH97" localSheetId="3">#REF!</definedName>
    <definedName name="BLPH97" localSheetId="5">#REF!</definedName>
    <definedName name="BLPH97" localSheetId="26">#REF!</definedName>
    <definedName name="BLPH97" localSheetId="0">#REF!</definedName>
    <definedName name="BLPH97">#REF!</definedName>
    <definedName name="BLPH98" localSheetId="3">#REF!</definedName>
    <definedName name="BLPH98" localSheetId="5">#REF!</definedName>
    <definedName name="BLPH98" localSheetId="26">#REF!</definedName>
    <definedName name="BLPH98" localSheetId="0">#REF!</definedName>
    <definedName name="BLPH98">#REF!</definedName>
    <definedName name="BLPH99" localSheetId="3">#REF!</definedName>
    <definedName name="BLPH99" localSheetId="5">#REF!</definedName>
    <definedName name="BLPH99" localSheetId="26">#REF!</definedName>
    <definedName name="BLPH99" localSheetId="0">#REF!</definedName>
    <definedName name="BLPH99">#REF!</definedName>
    <definedName name="bmdgghrtfde" localSheetId="9">{#N/A,#N/A,FALSE,"Plan1";#N/A,#N/A,FALSE,"Plan2"}</definedName>
    <definedName name="bmdgghrtfde" localSheetId="6">{#N/A,#N/A,FALSE,"Plan1";#N/A,#N/A,FALSE,"Plan2"}</definedName>
    <definedName name="bmdgghrtfde" localSheetId="3">{#N/A,#N/A,FALSE,"Plan1";#N/A,#N/A,FALSE,"Plan2"}</definedName>
    <definedName name="bmdgghrtfde" localSheetId="8">{#N/A,#N/A,FALSE,"Plan1";#N/A,#N/A,FALSE,"Plan2"}</definedName>
    <definedName name="bmdgghrtfde" localSheetId="5">{#N/A,#N/A,FALSE,"Plan1";#N/A,#N/A,FALSE,"Plan2"}</definedName>
    <definedName name="bmdgghrtfde" localSheetId="4">{#N/A,#N/A,FALSE,"Plan1";#N/A,#N/A,FALSE,"Plan2"}</definedName>
    <definedName name="bmdgghrtfde" localSheetId="13">{#N/A,#N/A,FALSE,"Plan1";#N/A,#N/A,FALSE,"Plan2"}</definedName>
    <definedName name="bmdgghrtfde" localSheetId="17">{#N/A,#N/A,FALSE,"Plan1";#N/A,#N/A,FALSE,"Plan2"}</definedName>
    <definedName name="bmdgghrtfde" localSheetId="0">{#N/A,#N/A,FALSE,"Plan1";#N/A,#N/A,FALSE,"Plan2"}</definedName>
    <definedName name="bmdgghrtfde" localSheetId="19">{#N/A,#N/A,FALSE,"Plan1";#N/A,#N/A,FALSE,"Plan2"}</definedName>
    <definedName name="bmdgghrtfde" localSheetId="16">{#N/A,#N/A,FALSE,"Plan1";#N/A,#N/A,FALSE,"Plan2"}</definedName>
    <definedName name="bmdgghrtfde" localSheetId="18">{#N/A,#N/A,FALSE,"Plan1";#N/A,#N/A,FALSE,"Plan2"}</definedName>
    <definedName name="bmdgghrtfde" localSheetId="10">{#N/A,#N/A,FALSE,"Plan1";#N/A,#N/A,FALSE,"Plan2"}</definedName>
    <definedName name="bmdgghrtfde">{#N/A,#N/A,FALSE,"Plan1";#N/A,#N/A,FALSE,"Plan2"}</definedName>
    <definedName name="bnkjhjhdfxgt" localSheetId="9">{#N/A,#N/A,FALSE,"Plan1";#N/A,#N/A,FALSE,"Plan2"}</definedName>
    <definedName name="bnkjhjhdfxgt" localSheetId="6">{#N/A,#N/A,FALSE,"Plan1";#N/A,#N/A,FALSE,"Plan2"}</definedName>
    <definedName name="bnkjhjhdfxgt" localSheetId="3">{#N/A,#N/A,FALSE,"Plan1";#N/A,#N/A,FALSE,"Plan2"}</definedName>
    <definedName name="bnkjhjhdfxgt" localSheetId="8">{#N/A,#N/A,FALSE,"Plan1";#N/A,#N/A,FALSE,"Plan2"}</definedName>
    <definedName name="bnkjhjhdfxgt" localSheetId="5">{#N/A,#N/A,FALSE,"Plan1";#N/A,#N/A,FALSE,"Plan2"}</definedName>
    <definedName name="bnkjhjhdfxgt" localSheetId="4">{#N/A,#N/A,FALSE,"Plan1";#N/A,#N/A,FALSE,"Plan2"}</definedName>
    <definedName name="bnkjhjhdfxgt" localSheetId="13">{#N/A,#N/A,FALSE,"Plan1";#N/A,#N/A,FALSE,"Plan2"}</definedName>
    <definedName name="bnkjhjhdfxgt" localSheetId="17">{#N/A,#N/A,FALSE,"Plan1";#N/A,#N/A,FALSE,"Plan2"}</definedName>
    <definedName name="bnkjhjhdfxgt" localSheetId="0">{#N/A,#N/A,FALSE,"Plan1";#N/A,#N/A,FALSE,"Plan2"}</definedName>
    <definedName name="bnkjhjhdfxgt" localSheetId="19">{#N/A,#N/A,FALSE,"Plan1";#N/A,#N/A,FALSE,"Plan2"}</definedName>
    <definedName name="bnkjhjhdfxgt" localSheetId="16">{#N/A,#N/A,FALSE,"Plan1";#N/A,#N/A,FALSE,"Plan2"}</definedName>
    <definedName name="bnkjhjhdfxgt" localSheetId="18">{#N/A,#N/A,FALSE,"Plan1";#N/A,#N/A,FALSE,"Plan2"}</definedName>
    <definedName name="bnkjhjhdfxgt" localSheetId="10">{#N/A,#N/A,FALSE,"Plan1";#N/A,#N/A,FALSE,"Plan2"}</definedName>
    <definedName name="bnkjhjhdfxgt">{#N/A,#N/A,FALSE,"Plan1";#N/A,#N/A,FALSE,"Plan2"}</definedName>
    <definedName name="BORBA2" localSheetId="3">#REF!</definedName>
    <definedName name="BORBA2" localSheetId="5">#REF!</definedName>
    <definedName name="BORBA2" localSheetId="26">#REF!</definedName>
    <definedName name="BORBA2">#REF!</definedName>
    <definedName name="BORDA1">#REF!</definedName>
    <definedName name="BuiltIn_Print_Area" localSheetId="3">#REF!</definedName>
    <definedName name="BuiltIn_Print_Area" localSheetId="5">#REF!</definedName>
    <definedName name="BuiltIn_Print_Area" localSheetId="26">#REF!</definedName>
    <definedName name="BuiltIn_Print_Area">#REF!</definedName>
    <definedName name="BuiltIn_Print_Area___0" localSheetId="3">#REF!</definedName>
    <definedName name="BuiltIn_Print_Area___0" localSheetId="5">#REF!</definedName>
    <definedName name="BuiltIn_Print_Area___0" localSheetId="26">#REF!</definedName>
    <definedName name="BuiltIn_Print_Area___0">#REF!</definedName>
    <definedName name="BuiltIn_Print_Titles" localSheetId="3">#REF!</definedName>
    <definedName name="BuiltIn_Print_Titles" localSheetId="5">#REF!</definedName>
    <definedName name="BuiltIn_Print_Titles" localSheetId="26">#REF!</definedName>
    <definedName name="BuiltIn_Print_Titles">#REF!</definedName>
    <definedName name="BuiltIn_Print_Titles___0" localSheetId="3">#REF!</definedName>
    <definedName name="BuiltIn_Print_Titles___0" localSheetId="5">#REF!</definedName>
    <definedName name="BuiltIn_Print_Titles___0" localSheetId="26">#REF!</definedName>
    <definedName name="BuiltIn_Print_Titles___0">#REF!</definedName>
    <definedName name="BV" localSheetId="3">#REF!</definedName>
    <definedName name="BV" localSheetId="0">#REF!</definedName>
    <definedName name="BV">#REF!</definedName>
    <definedName name="bxnzfmkzxbhdf" localSheetId="9">{#N/A,#N/A,FALSE,"Plan1";#N/A,#N/A,FALSE,"Plan2"}</definedName>
    <definedName name="bxnzfmkzxbhdf" localSheetId="6">{#N/A,#N/A,FALSE,"Plan1";#N/A,#N/A,FALSE,"Plan2"}</definedName>
    <definedName name="bxnzfmkzxbhdf" localSheetId="3">{#N/A,#N/A,FALSE,"Plan1";#N/A,#N/A,FALSE,"Plan2"}</definedName>
    <definedName name="bxnzfmkzxbhdf" localSheetId="8">{#N/A,#N/A,FALSE,"Plan1";#N/A,#N/A,FALSE,"Plan2"}</definedName>
    <definedName name="bxnzfmkzxbhdf" localSheetId="5">{#N/A,#N/A,FALSE,"Plan1";#N/A,#N/A,FALSE,"Plan2"}</definedName>
    <definedName name="bxnzfmkzxbhdf" localSheetId="4">{#N/A,#N/A,FALSE,"Plan1";#N/A,#N/A,FALSE,"Plan2"}</definedName>
    <definedName name="bxnzfmkzxbhdf" localSheetId="13">{#N/A,#N/A,FALSE,"Plan1";#N/A,#N/A,FALSE,"Plan2"}</definedName>
    <definedName name="bxnzfmkzxbhdf" localSheetId="17">{#N/A,#N/A,FALSE,"Plan1";#N/A,#N/A,FALSE,"Plan2"}</definedName>
    <definedName name="bxnzfmkzxbhdf" localSheetId="0">{#N/A,#N/A,FALSE,"Plan1";#N/A,#N/A,FALSE,"Plan2"}</definedName>
    <definedName name="bxnzfmkzxbhdf" localSheetId="19">{#N/A,#N/A,FALSE,"Plan1";#N/A,#N/A,FALSE,"Plan2"}</definedName>
    <definedName name="bxnzfmkzxbhdf" localSheetId="16">{#N/A,#N/A,FALSE,"Plan1";#N/A,#N/A,FALSE,"Plan2"}</definedName>
    <definedName name="bxnzfmkzxbhdf" localSheetId="18">{#N/A,#N/A,FALSE,"Plan1";#N/A,#N/A,FALSE,"Plan2"}</definedName>
    <definedName name="bxnzfmkzxbhdf" localSheetId="10">{#N/A,#N/A,FALSE,"Plan1";#N/A,#N/A,FALSE,"Plan2"}</definedName>
    <definedName name="bxnzfmkzxbhdf">{#N/A,#N/A,FALSE,"Plan1";#N/A,#N/A,FALSE,"Plan2"}</definedName>
    <definedName name="ca" localSheetId="3">#REF!</definedName>
    <definedName name="ca" localSheetId="1">#REF!</definedName>
    <definedName name="ca" localSheetId="5">#REF!</definedName>
    <definedName name="ca" localSheetId="21">#REF!</definedName>
    <definedName name="ca" localSheetId="22">#REF!</definedName>
    <definedName name="ca" localSheetId="13">#REF!</definedName>
    <definedName name="ca" localSheetId="26">#REF!</definedName>
    <definedName name="ca" localSheetId="0">#REF!</definedName>
    <definedName name="ca">#REF!</definedName>
    <definedName name="CAB">#REF!</definedName>
    <definedName name="CAFS">"Carlos Antonio Fernandes da Silva"</definedName>
    <definedName name="CAGR" localSheetId="3">#REF!</definedName>
    <definedName name="CAGR" localSheetId="5">#REF!</definedName>
    <definedName name="CAGR" localSheetId="26">#REF!</definedName>
    <definedName name="CAGR">#REF!</definedName>
    <definedName name="caixa" localSheetId="3">#REF!</definedName>
    <definedName name="caixa" localSheetId="5">#REF!</definedName>
    <definedName name="caixa" localSheetId="26">#REF!</definedName>
    <definedName name="caixa">#REF!</definedName>
    <definedName name="caix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3">#REF!</definedName>
    <definedName name="Cambio" localSheetId="5">#REF!</definedName>
    <definedName name="Cambio" localSheetId="26">#REF!</definedName>
    <definedName name="Cambio">#REF!</definedName>
    <definedName name="CAMP" localSheetId="3">#REF!</definedName>
    <definedName name="CAMP" localSheetId="5">#REF!</definedName>
    <definedName name="CAMP" localSheetId="26">#REF!</definedName>
    <definedName name="CAMP">#REF!</definedName>
    <definedName name="CAMPOS" localSheetId="3">#REF!</definedName>
    <definedName name="CAMPOS" localSheetId="5">#REF!</definedName>
    <definedName name="CAMPOS" localSheetId="26">#REF!</definedName>
    <definedName name="CAMPOS">#REF!</definedName>
    <definedName name="Capa" localSheetId="3">#REF!</definedName>
    <definedName name="Capa" localSheetId="1">#REF!</definedName>
    <definedName name="Capa" localSheetId="5">#REF!</definedName>
    <definedName name="Capa" localSheetId="21">#REF!</definedName>
    <definedName name="Capa" localSheetId="22">#REF!</definedName>
    <definedName name="Capa" localSheetId="13">#REF!</definedName>
    <definedName name="Capa" localSheetId="26">#REF!</definedName>
    <definedName name="Capa" localSheetId="0">#REF!</definedName>
    <definedName name="Capa">#REF!</definedName>
    <definedName name="CAPA2" localSheetId="3">#REF!</definedName>
    <definedName name="CAPA2" localSheetId="5">#REF!</definedName>
    <definedName name="CAPA2" localSheetId="26">#REF!</definedName>
    <definedName name="CAPA2">#REF!</definedName>
    <definedName name="CAPA55" localSheetId="3">#REF!</definedName>
    <definedName name="CAPA55" localSheetId="5">#REF!</definedName>
    <definedName name="CAPA55" localSheetId="26">#REF!</definedName>
    <definedName name="CAPA55">#REF!</definedName>
    <definedName name="CAPA55A" localSheetId="3">#REF!</definedName>
    <definedName name="CAPA55A" localSheetId="5">#REF!</definedName>
    <definedName name="CAPA55A" localSheetId="26">#REF!</definedName>
    <definedName name="CAPA55A">#REF!</definedName>
    <definedName name="CAPELA" localSheetId="3">#REF!</definedName>
    <definedName name="CAPELA" localSheetId="5">#REF!</definedName>
    <definedName name="CAPELA" localSheetId="26">#REF!</definedName>
    <definedName name="CAPELA">#REF!</definedName>
    <definedName name="CARLA" localSheetId="3">#REF!</definedName>
    <definedName name="CARLA">#REF!</definedName>
    <definedName name="CARLOS1" localSheetId="3">#REF!</definedName>
    <definedName name="CARLOS1" localSheetId="5">#REF!</definedName>
    <definedName name="CARLOS1" localSheetId="26">#REF!</definedName>
    <definedName name="CARLOS1">#REF!</definedName>
    <definedName name="CARTÃO4" localSheetId="3">#REF!</definedName>
    <definedName name="CARTÃO4" localSheetId="5">#REF!</definedName>
    <definedName name="CARTÃO4" localSheetId="26">#REF!</definedName>
    <definedName name="CARTÃO4">#REF!</definedName>
    <definedName name="CAT6_IP" localSheetId="9">{#N/A,#N/A,FALSE,"F-01"}</definedName>
    <definedName name="CAT6_IP" localSheetId="6">{#N/A,#N/A,FALSE,"F-01"}</definedName>
    <definedName name="CAT6_IP" localSheetId="3">{#N/A,#N/A,FALSE,"F-01"}</definedName>
    <definedName name="CAT6_IP" localSheetId="8">{#N/A,#N/A,FALSE,"F-01"}</definedName>
    <definedName name="CAT6_IP" localSheetId="5">{#N/A,#N/A,FALSE,"F-01"}</definedName>
    <definedName name="CAT6_IP" localSheetId="4">{#N/A,#N/A,FALSE,"F-01"}</definedName>
    <definedName name="CAT6_IP" localSheetId="13">{#N/A,#N/A,FALSE,"F-01"}</definedName>
    <definedName name="CAT6_IP" localSheetId="17">{#N/A,#N/A,FALSE,"F-01"}</definedName>
    <definedName name="CAT6_IP" localSheetId="0">{#N/A,#N/A,FALSE,"F-01"}</definedName>
    <definedName name="CAT6_IP" localSheetId="19">{#N/A,#N/A,FALSE,"F-01"}</definedName>
    <definedName name="CAT6_IP" localSheetId="16">{#N/A,#N/A,FALSE,"F-01"}</definedName>
    <definedName name="CAT6_IP" localSheetId="18">{#N/A,#N/A,FALSE,"F-01"}</definedName>
    <definedName name="CAT6_IP" localSheetId="10">{#N/A,#N/A,FALSE,"F-01"}</definedName>
    <definedName name="CAT6_IP">{#N/A,#N/A,FALSE,"F-01"}</definedName>
    <definedName name="categori45" localSheetId="3">#REF!</definedName>
    <definedName name="categori45" localSheetId="5">#REF!</definedName>
    <definedName name="categori45" localSheetId="26">#REF!</definedName>
    <definedName name="categori45">#REF!</definedName>
    <definedName name="CATEGORIA1" localSheetId="3">#REF!</definedName>
    <definedName name="CATEGORIA1" localSheetId="5">#REF!</definedName>
    <definedName name="CATEGORIA1" localSheetId="26">#REF!</definedName>
    <definedName name="CATEGORIA1">#REF!</definedName>
    <definedName name="CATEGORIA10" localSheetId="3">#REF!</definedName>
    <definedName name="CATEGORIA10" localSheetId="5">#REF!</definedName>
    <definedName name="CATEGORIA10" localSheetId="26">#REF!</definedName>
    <definedName name="CATEGORIA10">#REF!</definedName>
    <definedName name="CATEGORIA11" localSheetId="3">#REF!</definedName>
    <definedName name="CATEGORIA11" localSheetId="5">#REF!</definedName>
    <definedName name="CATEGORIA11" localSheetId="26">#REF!</definedName>
    <definedName name="CATEGORIA11">#REF!</definedName>
    <definedName name="CATEGORIA12" localSheetId="3">#REF!</definedName>
    <definedName name="CATEGORIA12" localSheetId="5">#REF!</definedName>
    <definedName name="CATEGORIA12" localSheetId="26">#REF!</definedName>
    <definedName name="CATEGORIA12">#REF!</definedName>
    <definedName name="CATEGORIA13" localSheetId="3">#REF!</definedName>
    <definedName name="CATEGORIA13" localSheetId="5">#REF!</definedName>
    <definedName name="CATEGORIA13" localSheetId="26">#REF!</definedName>
    <definedName name="CATEGORIA13">#REF!</definedName>
    <definedName name="CATEGORIA14" localSheetId="3">#REF!</definedName>
    <definedName name="CATEGORIA14" localSheetId="5">#REF!</definedName>
    <definedName name="CATEGORIA14" localSheetId="26">#REF!</definedName>
    <definedName name="CATEGORIA14">#REF!</definedName>
    <definedName name="CATEGORIA15" localSheetId="3">#REF!</definedName>
    <definedName name="CATEGORIA15" localSheetId="5">#REF!</definedName>
    <definedName name="CATEGORIA15" localSheetId="26">#REF!</definedName>
    <definedName name="CATEGORIA15">#REF!</definedName>
    <definedName name="CATEGORIA16" localSheetId="3">#REF!</definedName>
    <definedName name="CATEGORIA16" localSheetId="5">#REF!</definedName>
    <definedName name="CATEGORIA16" localSheetId="26">#REF!</definedName>
    <definedName name="CATEGORIA16">#REF!</definedName>
    <definedName name="CATEGORIA17" localSheetId="3">#REF!</definedName>
    <definedName name="CATEGORIA17" localSheetId="5">#REF!</definedName>
    <definedName name="CATEGORIA17" localSheetId="26">#REF!</definedName>
    <definedName name="CATEGORIA17">#REF!</definedName>
    <definedName name="CATEGORIA18" localSheetId="3">#REF!</definedName>
    <definedName name="CATEGORIA18" localSheetId="5">#REF!</definedName>
    <definedName name="CATEGORIA18" localSheetId="26">#REF!</definedName>
    <definedName name="CATEGORIA18">#REF!</definedName>
    <definedName name="CATEGORIA19" localSheetId="3">#REF!</definedName>
    <definedName name="CATEGORIA19" localSheetId="5">#REF!</definedName>
    <definedName name="CATEGORIA19" localSheetId="26">#REF!</definedName>
    <definedName name="CATEGORIA19">#REF!</definedName>
    <definedName name="CATEGORIA2" localSheetId="3">#REF!</definedName>
    <definedName name="CATEGORIA2" localSheetId="5">#REF!</definedName>
    <definedName name="CATEGORIA2" localSheetId="26">#REF!</definedName>
    <definedName name="CATEGORIA2">#REF!</definedName>
    <definedName name="CATEGORIA20" localSheetId="3">#REF!</definedName>
    <definedName name="CATEGORIA20" localSheetId="5">#REF!</definedName>
    <definedName name="CATEGORIA20" localSheetId="26">#REF!</definedName>
    <definedName name="CATEGORIA20">#REF!</definedName>
    <definedName name="CATEGORIA21" localSheetId="3">#REF!</definedName>
    <definedName name="CATEGORIA21" localSheetId="5">#REF!</definedName>
    <definedName name="CATEGORIA21" localSheetId="26">#REF!</definedName>
    <definedName name="CATEGORIA21">#REF!</definedName>
    <definedName name="CATEGORIA22" localSheetId="3">#REF!</definedName>
    <definedName name="CATEGORIA22" localSheetId="5">#REF!</definedName>
    <definedName name="CATEGORIA22" localSheetId="26">#REF!</definedName>
    <definedName name="CATEGORIA22">#REF!</definedName>
    <definedName name="CATEGORIA3" localSheetId="3">#REF!</definedName>
    <definedName name="CATEGORIA3" localSheetId="5">#REF!</definedName>
    <definedName name="CATEGORIA3" localSheetId="26">#REF!</definedName>
    <definedName name="CATEGORIA3">#REF!</definedName>
    <definedName name="CATEGORIA4" localSheetId="3">#REF!</definedName>
    <definedName name="CATEGORIA4" localSheetId="5">#REF!</definedName>
    <definedName name="CATEGORIA4" localSheetId="26">#REF!</definedName>
    <definedName name="CATEGORIA4">#REF!</definedName>
    <definedName name="CATEGORIA5" localSheetId="3">#REF!</definedName>
    <definedName name="CATEGORIA5" localSheetId="5">#REF!</definedName>
    <definedName name="CATEGORIA5" localSheetId="26">#REF!</definedName>
    <definedName name="CATEGORIA5">#REF!</definedName>
    <definedName name="CATEGORIA6" localSheetId="3">#REF!</definedName>
    <definedName name="CATEGORIA6" localSheetId="5">#REF!</definedName>
    <definedName name="CATEGORIA6" localSheetId="26">#REF!</definedName>
    <definedName name="CATEGORIA6">#REF!</definedName>
    <definedName name="CATEGORIA7" localSheetId="3">#REF!</definedName>
    <definedName name="CATEGORIA7" localSheetId="5">#REF!</definedName>
    <definedName name="CATEGORIA7" localSheetId="26">#REF!</definedName>
    <definedName name="CATEGORIA7">#REF!</definedName>
    <definedName name="CATEGORIA8" localSheetId="3">#REF!</definedName>
    <definedName name="CATEGORIA8" localSheetId="5">#REF!</definedName>
    <definedName name="CATEGORIA8" localSheetId="26">#REF!</definedName>
    <definedName name="CATEGORIA8">#REF!</definedName>
    <definedName name="CATEGORIA9" localSheetId="3">#REF!</definedName>
    <definedName name="CATEGORIA9" localSheetId="5">#REF!</definedName>
    <definedName name="CATEGORIA9" localSheetId="26">#REF!</definedName>
    <definedName name="CATEGORIA9">#REF!</definedName>
    <definedName name="CATORZE" localSheetId="3">#REF!</definedName>
    <definedName name="CATORZE" localSheetId="5">#REF!</definedName>
    <definedName name="CATORZE" localSheetId="26">#REF!</definedName>
    <definedName name="CATORZE">#REF!</definedName>
    <definedName name="CAUX2" localSheetId="6">OFFSET(#REF!,0,0,COUNTA(#REF!)+1,1)</definedName>
    <definedName name="CAUX2" localSheetId="4">OFFSET(#REF!,0,0,COUNTA(#REF!)+1,1)</definedName>
    <definedName name="CAUX2" localSheetId="19">OFFSET(#REF!,0,0,COUNTA(#REF!)+1,1)</definedName>
    <definedName name="CAUX2">OFFSET(#REF!,0,0,COUNTA(#REF!)+1,1)</definedName>
    <definedName name="CAUX3" localSheetId="6">OFFSET(#REF!,0,0,COUNTA(#REF!)+1,1)</definedName>
    <definedName name="CAUX3" localSheetId="4">OFFSET(#REF!,0,0,COUNTA(#REF!)+1,1)</definedName>
    <definedName name="CAUX3" localSheetId="19">OFFSET(#REF!,0,0,COUNTA(#REF!)+1,1)</definedName>
    <definedName name="CAUX3">OFFSET(#REF!,0,0,COUNTA(#REF!)+1,1)</definedName>
    <definedName name="CCC" localSheetId="3">#REF!</definedName>
    <definedName name="CCC" localSheetId="5">#REF!</definedName>
    <definedName name="CCC" localSheetId="26">#REF!</definedName>
    <definedName name="CCC">#REF!</definedName>
    <definedName name="ççç" localSheetId="9">{#N/A,#N/A,FALSE,"Plan1";#N/A,#N/A,FALSE,"Plan2"}</definedName>
    <definedName name="ççç" localSheetId="6">{#N/A,#N/A,FALSE,"Plan1";#N/A,#N/A,FALSE,"Plan2"}</definedName>
    <definedName name="ççç" localSheetId="3">{#N/A,#N/A,FALSE,"Plan1";#N/A,#N/A,FALSE,"Plan2"}</definedName>
    <definedName name="ççç" localSheetId="8">{#N/A,#N/A,FALSE,"Plan1";#N/A,#N/A,FALSE,"Plan2"}</definedName>
    <definedName name="ççç" localSheetId="5">{#N/A,#N/A,FALSE,"Plan1";#N/A,#N/A,FALSE,"Plan2"}</definedName>
    <definedName name="ççç" localSheetId="4">{#N/A,#N/A,FALSE,"Plan1";#N/A,#N/A,FALSE,"Plan2"}</definedName>
    <definedName name="ççç" localSheetId="13">{#N/A,#N/A,FALSE,"Plan1";#N/A,#N/A,FALSE,"Plan2"}</definedName>
    <definedName name="ççç" localSheetId="17">{#N/A,#N/A,FALSE,"Plan1";#N/A,#N/A,FALSE,"Plan2"}</definedName>
    <definedName name="ççç" localSheetId="0">{#N/A,#N/A,FALSE,"Plan1";#N/A,#N/A,FALSE,"Plan2"}</definedName>
    <definedName name="ççç" localSheetId="19">{#N/A,#N/A,FALSE,"Plan1";#N/A,#N/A,FALSE,"Plan2"}</definedName>
    <definedName name="ççç" localSheetId="16">{#N/A,#N/A,FALSE,"Plan1";#N/A,#N/A,FALSE,"Plan2"}</definedName>
    <definedName name="ççç" localSheetId="18">{#N/A,#N/A,FALSE,"Plan1";#N/A,#N/A,FALSE,"Plan2"}</definedName>
    <definedName name="ççç" localSheetId="10">{#N/A,#N/A,FALSE,"Plan1";#N/A,#N/A,FALSE,"Plan2"}</definedName>
    <definedName name="ççç">{#N/A,#N/A,FALSE,"Plan1";#N/A,#N/A,FALSE,"Plan2"}</definedName>
    <definedName name="cccc" localSheetId="9">{#N/A,#N/A,FALSE,"Plan1";#N/A,#N/A,FALSE,"Plan2"}</definedName>
    <definedName name="cccc" localSheetId="6">{#N/A,#N/A,FALSE,"Plan1";#N/A,#N/A,FALSE,"Plan2"}</definedName>
    <definedName name="cccc" localSheetId="3">{#N/A,#N/A,FALSE,"Plan1";#N/A,#N/A,FALSE,"Plan2"}</definedName>
    <definedName name="cccc" localSheetId="8">{#N/A,#N/A,FALSE,"Plan1";#N/A,#N/A,FALSE,"Plan2"}</definedName>
    <definedName name="cccc" localSheetId="5">{#N/A,#N/A,FALSE,"Plan1";#N/A,#N/A,FALSE,"Plan2"}</definedName>
    <definedName name="cccc" localSheetId="4">{#N/A,#N/A,FALSE,"Plan1";#N/A,#N/A,FALSE,"Plan2"}</definedName>
    <definedName name="cccc" localSheetId="13">{#N/A,#N/A,FALSE,"Plan1";#N/A,#N/A,FALSE,"Plan2"}</definedName>
    <definedName name="cccc" localSheetId="17">{#N/A,#N/A,FALSE,"Plan1";#N/A,#N/A,FALSE,"Plan2"}</definedName>
    <definedName name="cccc" localSheetId="0">{#N/A,#N/A,FALSE,"Plan1";#N/A,#N/A,FALSE,"Plan2"}</definedName>
    <definedName name="cccc" localSheetId="19">{#N/A,#N/A,FALSE,"Plan1";#N/A,#N/A,FALSE,"Plan2"}</definedName>
    <definedName name="cccc" localSheetId="16">{#N/A,#N/A,FALSE,"Plan1";#N/A,#N/A,FALSE,"Plan2"}</definedName>
    <definedName name="cccc" localSheetId="18">{#N/A,#N/A,FALSE,"Plan1";#N/A,#N/A,FALSE,"Plan2"}</definedName>
    <definedName name="cccc" localSheetId="10">{#N/A,#N/A,FALSE,"Plan1";#N/A,#N/A,FALSE,"Plan2"}</definedName>
    <definedName name="cccc">{#N/A,#N/A,FALSE,"Plan1";#N/A,#N/A,FALSE,"Plan2"}</definedName>
    <definedName name="ççççççç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9">{"HW",#N/A,FALSE,"1998"}</definedName>
    <definedName name="cccccccccccccccc" localSheetId="6">{"HW",#N/A,FALSE,"1998"}</definedName>
    <definedName name="cccccccccccccccc" localSheetId="3">{"HW",#N/A,FALSE,"1998"}</definedName>
    <definedName name="cccccccccccccccc" localSheetId="8">{"HW",#N/A,FALSE,"1998"}</definedName>
    <definedName name="cccccccccccccccc" localSheetId="5">{"HW",#N/A,FALSE,"1998"}</definedName>
    <definedName name="cccccccccccccccc" localSheetId="4">{"HW",#N/A,FALSE,"1998"}</definedName>
    <definedName name="cccccccccccccccc" localSheetId="13">{"HW",#N/A,FALSE,"1998"}</definedName>
    <definedName name="cccccccccccccccc" localSheetId="17">{"HW",#N/A,FALSE,"1998"}</definedName>
    <definedName name="cccccccccccccccc" localSheetId="0">{"HW",#N/A,FALSE,"1998"}</definedName>
    <definedName name="cccccccccccccccc" localSheetId="19">{"HW",#N/A,FALSE,"1998"}</definedName>
    <definedName name="cccccccccccccccc" localSheetId="16">{"HW",#N/A,FALSE,"1998"}</definedName>
    <definedName name="cccccccccccccccc" localSheetId="18">{"HW",#N/A,FALSE,"1998"}</definedName>
    <definedName name="cccccccccccccccc" localSheetId="10">{"HW",#N/A,FALSE,"1998"}</definedName>
    <definedName name="cccccccccccccccc">{"HW",#N/A,FALSE,"1998"}</definedName>
    <definedName name="cchart1" localSheetId="3">#REF!</definedName>
    <definedName name="cchart1" localSheetId="5">#REF!</definedName>
    <definedName name="cchart1" localSheetId="26">#REF!</definedName>
    <definedName name="cchart1" localSheetId="0">#REF!</definedName>
    <definedName name="cchart1">#REF!</definedName>
    <definedName name="cchart10" localSheetId="3">#REF!</definedName>
    <definedName name="cchart10" localSheetId="5">#REF!</definedName>
    <definedName name="cchart10" localSheetId="26">#REF!</definedName>
    <definedName name="cchart10" localSheetId="0">#REF!</definedName>
    <definedName name="cchart10">#REF!</definedName>
    <definedName name="cchart11" localSheetId="3">#REF!</definedName>
    <definedName name="cchart11" localSheetId="5">#REF!</definedName>
    <definedName name="cchart11" localSheetId="26">#REF!</definedName>
    <definedName name="cchart11" localSheetId="0">#REF!</definedName>
    <definedName name="cchart11">#REF!</definedName>
    <definedName name="cchart12">#REF!</definedName>
    <definedName name="cchart13">#REF!</definedName>
    <definedName name="cchart14">#REF!</definedName>
    <definedName name="cchart15">#REF!</definedName>
    <definedName name="cchart16">#REF!</definedName>
    <definedName name="cchart17">#REF!</definedName>
    <definedName name="cchart18">#REF!</definedName>
    <definedName name="cchart19">#REF!</definedName>
    <definedName name="cchart2">#REF!</definedName>
    <definedName name="cchart20">#REF!</definedName>
    <definedName name="cchart21">#REF!</definedName>
    <definedName name="cchart22">#REF!</definedName>
    <definedName name="cchart23">#REF!</definedName>
    <definedName name="cchart24">#REF!</definedName>
    <definedName name="cchart25">#REF!</definedName>
    <definedName name="cchart26">#REF!</definedName>
    <definedName name="cchart27">#REF!</definedName>
    <definedName name="cchart28">#REF!</definedName>
    <definedName name="cchart29">#REF!</definedName>
    <definedName name="cchart3">#REF!</definedName>
    <definedName name="cchart31">#REF!</definedName>
    <definedName name="cchart32">#REF!</definedName>
    <definedName name="cchart4">#REF!</definedName>
    <definedName name="cchart5">#REF!</definedName>
    <definedName name="cchart6">#REF!</definedName>
    <definedName name="cchart7">#REF!</definedName>
    <definedName name="cchart8">#REF!</definedName>
    <definedName name="cchart9">#REF!</definedName>
    <definedName name="çcklfj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3">#REF!</definedName>
    <definedName name="CD" localSheetId="5">#REF!</definedName>
    <definedName name="CD" localSheetId="26">#REF!</definedName>
    <definedName name="CD">#REF!</definedName>
    <definedName name="çdfmerf" localSheetId="9">{#N/A,#N/A,FALSE,"Plan1";#N/A,#N/A,FALSE,"Plan2"}</definedName>
    <definedName name="çdfmerf" localSheetId="6">{#N/A,#N/A,FALSE,"Plan1";#N/A,#N/A,FALSE,"Plan2"}</definedName>
    <definedName name="çdfmerf" localSheetId="3">{#N/A,#N/A,FALSE,"Plan1";#N/A,#N/A,FALSE,"Plan2"}</definedName>
    <definedName name="çdfmerf" localSheetId="8">{#N/A,#N/A,FALSE,"Plan1";#N/A,#N/A,FALSE,"Plan2"}</definedName>
    <definedName name="çdfmerf" localSheetId="5">{#N/A,#N/A,FALSE,"Plan1";#N/A,#N/A,FALSE,"Plan2"}</definedName>
    <definedName name="çdfmerf" localSheetId="4">{#N/A,#N/A,FALSE,"Plan1";#N/A,#N/A,FALSE,"Plan2"}</definedName>
    <definedName name="çdfmerf" localSheetId="13">{#N/A,#N/A,FALSE,"Plan1";#N/A,#N/A,FALSE,"Plan2"}</definedName>
    <definedName name="çdfmerf" localSheetId="17">{#N/A,#N/A,FALSE,"Plan1";#N/A,#N/A,FALSE,"Plan2"}</definedName>
    <definedName name="çdfmerf" localSheetId="0">{#N/A,#N/A,FALSE,"Plan1";#N/A,#N/A,FALSE,"Plan2"}</definedName>
    <definedName name="çdfmerf" localSheetId="19">{#N/A,#N/A,FALSE,"Plan1";#N/A,#N/A,FALSE,"Plan2"}</definedName>
    <definedName name="çdfmerf" localSheetId="16">{#N/A,#N/A,FALSE,"Plan1";#N/A,#N/A,FALSE,"Plan2"}</definedName>
    <definedName name="çdfmerf" localSheetId="18">{#N/A,#N/A,FALSE,"Plan1";#N/A,#N/A,FALSE,"Plan2"}</definedName>
    <definedName name="çdfmerf" localSheetId="10">{#N/A,#N/A,FALSE,"Plan1";#N/A,#N/A,FALSE,"Plan2"}</definedName>
    <definedName name="çdfmerf">{#N/A,#N/A,FALSE,"Plan1";#N/A,#N/A,FALSE,"Plan2"}</definedName>
    <definedName name="CDSGHE" localSheetId="9">{#N/A,#N/A,FALSE,"Plan1";#N/A,#N/A,FALSE,"Plan2"}</definedName>
    <definedName name="CDSGHE" localSheetId="6">{#N/A,#N/A,FALSE,"Plan1";#N/A,#N/A,FALSE,"Plan2"}</definedName>
    <definedName name="CDSGHE" localSheetId="3">{#N/A,#N/A,FALSE,"Plan1";#N/A,#N/A,FALSE,"Plan2"}</definedName>
    <definedName name="CDSGHE" localSheetId="8">{#N/A,#N/A,FALSE,"Plan1";#N/A,#N/A,FALSE,"Plan2"}</definedName>
    <definedName name="CDSGHE" localSheetId="5">{#N/A,#N/A,FALSE,"Plan1";#N/A,#N/A,FALSE,"Plan2"}</definedName>
    <definedName name="CDSGHE" localSheetId="4">{#N/A,#N/A,FALSE,"Plan1";#N/A,#N/A,FALSE,"Plan2"}</definedName>
    <definedName name="CDSGHE" localSheetId="13">{#N/A,#N/A,FALSE,"Plan1";#N/A,#N/A,FALSE,"Plan2"}</definedName>
    <definedName name="CDSGHE" localSheetId="17">{#N/A,#N/A,FALSE,"Plan1";#N/A,#N/A,FALSE,"Plan2"}</definedName>
    <definedName name="CDSGHE" localSheetId="0">{#N/A,#N/A,FALSE,"Plan1";#N/A,#N/A,FALSE,"Plan2"}</definedName>
    <definedName name="CDSGHE" localSheetId="19">{#N/A,#N/A,FALSE,"Plan1";#N/A,#N/A,FALSE,"Plan2"}</definedName>
    <definedName name="CDSGHE" localSheetId="16">{#N/A,#N/A,FALSE,"Plan1";#N/A,#N/A,FALSE,"Plan2"}</definedName>
    <definedName name="CDSGHE" localSheetId="18">{#N/A,#N/A,FALSE,"Plan1";#N/A,#N/A,FALSE,"Plan2"}</definedName>
    <definedName name="CDSGHE" localSheetId="10">{#N/A,#N/A,FALSE,"Plan1";#N/A,#N/A,FALSE,"Plan2"}</definedName>
    <definedName name="CDSGHE">{#N/A,#N/A,FALSE,"Plan1";#N/A,#N/A,FALSE,"Plan2"}</definedName>
    <definedName name="cdvthd" localSheetId="3">#REF!</definedName>
    <definedName name="cdvthd" localSheetId="5">#REF!</definedName>
    <definedName name="cdvthd" localSheetId="26">#REF!</definedName>
    <definedName name="cdvthd">#REF!</definedName>
    <definedName name="Cel_Constr" localSheetId="3">#REF!</definedName>
    <definedName name="Cel_Constr" localSheetId="5">#REF!</definedName>
    <definedName name="Cel_Constr" localSheetId="26">#REF!</definedName>
    <definedName name="Cel_Constr">#REF!</definedName>
    <definedName name="CestaExcel" localSheetId="3">#REF!</definedName>
    <definedName name="CestaExcel" localSheetId="5">#REF!</definedName>
    <definedName name="CestaExcel" localSheetId="26">#REF!</definedName>
    <definedName name="CestaExcel">#REF!</definedName>
    <definedName name="CevaG" localSheetId="3">#REF!</definedName>
    <definedName name="CevaG" localSheetId="5">#REF!</definedName>
    <definedName name="CevaG" localSheetId="26">#REF!</definedName>
    <definedName name="CevaG">#REF!</definedName>
    <definedName name="CevaGS" localSheetId="3">#REF!</definedName>
    <definedName name="CevaGS" localSheetId="5">#REF!</definedName>
    <definedName name="CevaGS" localSheetId="26">#REF!</definedName>
    <definedName name="CevaGS">#REF!</definedName>
    <definedName name="çfhjglkjhkljy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9">{#N/A,#N/A,FALSE,"Plan1";#N/A,#N/A,FALSE,"Plan2"}</definedName>
    <definedName name="çflçf" localSheetId="6">{#N/A,#N/A,FALSE,"Plan1";#N/A,#N/A,FALSE,"Plan2"}</definedName>
    <definedName name="çflçf" localSheetId="3">{#N/A,#N/A,FALSE,"Plan1";#N/A,#N/A,FALSE,"Plan2"}</definedName>
    <definedName name="çflçf" localSheetId="8">{#N/A,#N/A,FALSE,"Plan1";#N/A,#N/A,FALSE,"Plan2"}</definedName>
    <definedName name="çflçf" localSheetId="5">{#N/A,#N/A,FALSE,"Plan1";#N/A,#N/A,FALSE,"Plan2"}</definedName>
    <definedName name="çflçf" localSheetId="4">{#N/A,#N/A,FALSE,"Plan1";#N/A,#N/A,FALSE,"Plan2"}</definedName>
    <definedName name="çflçf" localSheetId="13">{#N/A,#N/A,FALSE,"Plan1";#N/A,#N/A,FALSE,"Plan2"}</definedName>
    <definedName name="çflçf" localSheetId="17">{#N/A,#N/A,FALSE,"Plan1";#N/A,#N/A,FALSE,"Plan2"}</definedName>
    <definedName name="çflçf" localSheetId="0">{#N/A,#N/A,FALSE,"Plan1";#N/A,#N/A,FALSE,"Plan2"}</definedName>
    <definedName name="çflçf" localSheetId="19">{#N/A,#N/A,FALSE,"Plan1";#N/A,#N/A,FALSE,"Plan2"}</definedName>
    <definedName name="çflçf" localSheetId="16">{#N/A,#N/A,FALSE,"Plan1";#N/A,#N/A,FALSE,"Plan2"}</definedName>
    <definedName name="çflçf" localSheetId="18">{#N/A,#N/A,FALSE,"Plan1";#N/A,#N/A,FALSE,"Plan2"}</definedName>
    <definedName name="çflçf" localSheetId="10">{#N/A,#N/A,FALSE,"Plan1";#N/A,#N/A,FALSE,"Plan2"}</definedName>
    <definedName name="çflçf">{#N/A,#N/A,FALSE,"Plan1";#N/A,#N/A,FALSE,"Plan2"}</definedName>
    <definedName name="CHAFQT" localSheetId="3">#REF!</definedName>
    <definedName name="CHAFQT" localSheetId="5">#REF!</definedName>
    <definedName name="CHAFQT" localSheetId="26">#REF!</definedName>
    <definedName name="CHAFQT">#REF!</definedName>
    <definedName name="Chaves" localSheetId="3">#REF!</definedName>
    <definedName name="Chaves" localSheetId="5">#REF!</definedName>
    <definedName name="Chaves" localSheetId="26">#REF!</definedName>
    <definedName name="Chaves">#REF!</definedName>
    <definedName name="chfch" localSheetId="9">{#N/A,#N/A,FALSE,"Plan1";#N/A,#N/A,FALSE,"Plan2"}</definedName>
    <definedName name="chfch" localSheetId="6">{#N/A,#N/A,FALSE,"Plan1";#N/A,#N/A,FALSE,"Plan2"}</definedName>
    <definedName name="chfch" localSheetId="3">{#N/A,#N/A,FALSE,"Plan1";#N/A,#N/A,FALSE,"Plan2"}</definedName>
    <definedName name="chfch" localSheetId="8">{#N/A,#N/A,FALSE,"Plan1";#N/A,#N/A,FALSE,"Plan2"}</definedName>
    <definedName name="chfch" localSheetId="5">{#N/A,#N/A,FALSE,"Plan1";#N/A,#N/A,FALSE,"Plan2"}</definedName>
    <definedName name="chfch" localSheetId="4">{#N/A,#N/A,FALSE,"Plan1";#N/A,#N/A,FALSE,"Plan2"}</definedName>
    <definedName name="chfch" localSheetId="13">{#N/A,#N/A,FALSE,"Plan1";#N/A,#N/A,FALSE,"Plan2"}</definedName>
    <definedName name="chfch" localSheetId="17">{#N/A,#N/A,FALSE,"Plan1";#N/A,#N/A,FALSE,"Plan2"}</definedName>
    <definedName name="chfch" localSheetId="0">{#N/A,#N/A,FALSE,"Plan1";#N/A,#N/A,FALSE,"Plan2"}</definedName>
    <definedName name="chfch" localSheetId="19">{#N/A,#N/A,FALSE,"Plan1";#N/A,#N/A,FALSE,"Plan2"}</definedName>
    <definedName name="chfch" localSheetId="16">{#N/A,#N/A,FALSE,"Plan1";#N/A,#N/A,FALSE,"Plan2"}</definedName>
    <definedName name="chfch" localSheetId="18">{#N/A,#N/A,FALSE,"Plan1";#N/A,#N/A,FALSE,"Plan2"}</definedName>
    <definedName name="chfch" localSheetId="10">{#N/A,#N/A,FALSE,"Plan1";#N/A,#N/A,FALSE,"Plan2"}</definedName>
    <definedName name="chfch">{#N/A,#N/A,FALSE,"Plan1";#N/A,#N/A,FALSE,"Plan2"}</definedName>
    <definedName name="CI" localSheetId="3">#REF!</definedName>
    <definedName name="CI" localSheetId="5">#REF!</definedName>
    <definedName name="CI" localSheetId="26">#REF!</definedName>
    <definedName name="CI">#REF!</definedName>
    <definedName name="cidades" localSheetId="3">#REF!</definedName>
    <definedName name="cidades" localSheetId="5">#REF!</definedName>
    <definedName name="cidades" localSheetId="26">#REF!</definedName>
    <definedName name="cidades">#REF!</definedName>
    <definedName name="CIFIXA" localSheetId="3">#REF!</definedName>
    <definedName name="CIFIXA" localSheetId="5">#REF!</definedName>
    <definedName name="CIFIXA" localSheetId="26">#REF!</definedName>
    <definedName name="CIFIXA">#REF!</definedName>
    <definedName name="CINCO" localSheetId="3">#REF!</definedName>
    <definedName name="CINCO" localSheetId="5">#REF!</definedName>
    <definedName name="CINCO" localSheetId="26">#REF!</definedName>
    <definedName name="CINCO">#REF!</definedName>
    <definedName name="CITOTAL" localSheetId="3">#REF!</definedName>
    <definedName name="CITOTAL" localSheetId="5">#REF!</definedName>
    <definedName name="CITOTAL" localSheetId="26">#REF!</definedName>
    <definedName name="CITOTAL">#REF!</definedName>
    <definedName name="CIVAR" localSheetId="3">#REF!</definedName>
    <definedName name="CIVAR" localSheetId="5">#REF!</definedName>
    <definedName name="CIVAR" localSheetId="26">#REF!</definedName>
    <definedName name="CIVAR">#REF!</definedName>
    <definedName name="ÇJKRÇLFS" localSheetId="9">{"Econ Consolidado",#N/A,FALSE,"Econ Consol";"Fluxo de Caixa",#N/A,FALSE,"Fluxo Caixa";"Investimentos",#N/A,FALSE,"Investimentos"}</definedName>
    <definedName name="ÇJKRÇLFS" localSheetId="6">{"Econ Consolidado",#N/A,FALSE,"Econ Consol";"Fluxo de Caixa",#N/A,FALSE,"Fluxo Caixa";"Investimentos",#N/A,FALSE,"Investimentos"}</definedName>
    <definedName name="ÇJKRÇLFS" localSheetId="3">{"Econ Consolidado",#N/A,FALSE,"Econ Consol";"Fluxo de Caixa",#N/A,FALSE,"Fluxo Caixa";"Investimentos",#N/A,FALSE,"Investimentos"}</definedName>
    <definedName name="ÇJKRÇLFS" localSheetId="8">{"Econ Consolidado",#N/A,FALSE,"Econ Consol";"Fluxo de Caixa",#N/A,FALSE,"Fluxo Caixa";"Investimentos",#N/A,FALSE,"Investimentos"}</definedName>
    <definedName name="ÇJKRÇLFS" localSheetId="5">{"Econ Consolidado",#N/A,FALSE,"Econ Consol";"Fluxo de Caixa",#N/A,FALSE,"Fluxo Caixa";"Investimentos",#N/A,FALSE,"Investimentos"}</definedName>
    <definedName name="ÇJKRÇLFS" localSheetId="4">{"Econ Consolidado",#N/A,FALSE,"Econ Consol";"Fluxo de Caixa",#N/A,FALSE,"Fluxo Caixa";"Investimentos",#N/A,FALSE,"Investimentos"}</definedName>
    <definedName name="ÇJKRÇLFS" localSheetId="13">{"Econ Consolidado",#N/A,FALSE,"Econ Consol";"Fluxo de Caixa",#N/A,FALSE,"Fluxo Caixa";"Investimentos",#N/A,FALSE,"Investimentos"}</definedName>
    <definedName name="ÇJKRÇLFS" localSheetId="17">{"Econ Consolidado",#N/A,FALSE,"Econ Consol";"Fluxo de Caixa",#N/A,FALSE,"Fluxo Caixa";"Investimentos",#N/A,FALSE,"Investimentos"}</definedName>
    <definedName name="ÇJKRÇLFS" localSheetId="0">{"Econ Consolidado",#N/A,FALSE,"Econ Consol";"Fluxo de Caixa",#N/A,FALSE,"Fluxo Caixa";"Investimentos",#N/A,FALSE,"Investimentos"}</definedName>
    <definedName name="ÇJKRÇLFS" localSheetId="19">{"Econ Consolidado",#N/A,FALSE,"Econ Consol";"Fluxo de Caixa",#N/A,FALSE,"Fluxo Caixa";"Investimentos",#N/A,FALSE,"Investimentos"}</definedName>
    <definedName name="ÇJKRÇLFS" localSheetId="16">{"Econ Consolidado",#N/A,FALSE,"Econ Consol";"Fluxo de Caixa",#N/A,FALSE,"Fluxo Caixa";"Investimentos",#N/A,FALSE,"Investimentos"}</definedName>
    <definedName name="ÇJKRÇLFS" localSheetId="18">{"Econ Consolidado",#N/A,FALSE,"Econ Consol";"Fluxo de Caixa",#N/A,FALSE,"Fluxo Caixa";"Investimentos",#N/A,FALSE,"Investimentos"}</definedName>
    <definedName name="ÇJKRÇLFS" localSheetId="10">{"Econ Consolidado",#N/A,FALSE,"Econ Consol";"Fluxo de Caixa",#N/A,FALSE,"Fluxo Caixa";"Investimentos",#N/A,FALSE,"Investimentos"}</definedName>
    <definedName name="ÇJKRÇLFS">{"Econ Consolidado",#N/A,FALSE,"Econ Consol";"Fluxo de Caixa",#N/A,FALSE,"Fluxo Caixa";"Investimentos",#N/A,FALSE,"Investimentos"}</definedName>
    <definedName name="ÇJsrejtçe" localSheetId="9">{#N/A,#N/A,FALSE,"Plan1";#N/A,#N/A,FALSE,"Plan2"}</definedName>
    <definedName name="ÇJsrejtçe" localSheetId="6">{#N/A,#N/A,FALSE,"Plan1";#N/A,#N/A,FALSE,"Plan2"}</definedName>
    <definedName name="ÇJsrejtçe" localSheetId="3">{#N/A,#N/A,FALSE,"Plan1";#N/A,#N/A,FALSE,"Plan2"}</definedName>
    <definedName name="ÇJsrejtçe" localSheetId="8">{#N/A,#N/A,FALSE,"Plan1";#N/A,#N/A,FALSE,"Plan2"}</definedName>
    <definedName name="ÇJsrejtçe" localSheetId="5">{#N/A,#N/A,FALSE,"Plan1";#N/A,#N/A,FALSE,"Plan2"}</definedName>
    <definedName name="ÇJsrejtçe" localSheetId="4">{#N/A,#N/A,FALSE,"Plan1";#N/A,#N/A,FALSE,"Plan2"}</definedName>
    <definedName name="ÇJsrejtçe" localSheetId="13">{#N/A,#N/A,FALSE,"Plan1";#N/A,#N/A,FALSE,"Plan2"}</definedName>
    <definedName name="ÇJsrejtçe" localSheetId="17">{#N/A,#N/A,FALSE,"Plan1";#N/A,#N/A,FALSE,"Plan2"}</definedName>
    <definedName name="ÇJsrejtçe" localSheetId="0">{#N/A,#N/A,FALSE,"Plan1";#N/A,#N/A,FALSE,"Plan2"}</definedName>
    <definedName name="ÇJsrejtçe" localSheetId="19">{#N/A,#N/A,FALSE,"Plan1";#N/A,#N/A,FALSE,"Plan2"}</definedName>
    <definedName name="ÇJsrejtçe" localSheetId="16">{#N/A,#N/A,FALSE,"Plan1";#N/A,#N/A,FALSE,"Plan2"}</definedName>
    <definedName name="ÇJsrejtçe" localSheetId="18">{#N/A,#N/A,FALSE,"Plan1";#N/A,#N/A,FALSE,"Plan2"}</definedName>
    <definedName name="ÇJsrejtçe" localSheetId="10">{#N/A,#N/A,FALSE,"Plan1";#N/A,#N/A,FALSE,"Plan2"}</definedName>
    <definedName name="ÇJsrejtçe">{#N/A,#N/A,FALSE,"Plan1";#N/A,#N/A,FALSE,"Plan2"}</definedName>
    <definedName name="çkaçekow" localSheetId="9">{#N/A,#N/A,FALSE,"Plan1";#N/A,#N/A,FALSE,"Plan2"}</definedName>
    <definedName name="çkaçekow" localSheetId="6">{#N/A,#N/A,FALSE,"Plan1";#N/A,#N/A,FALSE,"Plan2"}</definedName>
    <definedName name="çkaçekow" localSheetId="3">{#N/A,#N/A,FALSE,"Plan1";#N/A,#N/A,FALSE,"Plan2"}</definedName>
    <definedName name="çkaçekow" localSheetId="8">{#N/A,#N/A,FALSE,"Plan1";#N/A,#N/A,FALSE,"Plan2"}</definedName>
    <definedName name="çkaçekow" localSheetId="5">{#N/A,#N/A,FALSE,"Plan1";#N/A,#N/A,FALSE,"Plan2"}</definedName>
    <definedName name="çkaçekow" localSheetId="4">{#N/A,#N/A,FALSE,"Plan1";#N/A,#N/A,FALSE,"Plan2"}</definedName>
    <definedName name="çkaçekow" localSheetId="13">{#N/A,#N/A,FALSE,"Plan1";#N/A,#N/A,FALSE,"Plan2"}</definedName>
    <definedName name="çkaçekow" localSheetId="17">{#N/A,#N/A,FALSE,"Plan1";#N/A,#N/A,FALSE,"Plan2"}</definedName>
    <definedName name="çkaçekow" localSheetId="0">{#N/A,#N/A,FALSE,"Plan1";#N/A,#N/A,FALSE,"Plan2"}</definedName>
    <definedName name="çkaçekow" localSheetId="19">{#N/A,#N/A,FALSE,"Plan1";#N/A,#N/A,FALSE,"Plan2"}</definedName>
    <definedName name="çkaçekow" localSheetId="16">{#N/A,#N/A,FALSE,"Plan1";#N/A,#N/A,FALSE,"Plan2"}</definedName>
    <definedName name="çkaçekow" localSheetId="18">{#N/A,#N/A,FALSE,"Plan1";#N/A,#N/A,FALSE,"Plan2"}</definedName>
    <definedName name="çkaçekow" localSheetId="10">{#N/A,#N/A,FALSE,"Plan1";#N/A,#N/A,FALSE,"Plan2"}</definedName>
    <definedName name="çkaçekow">{#N/A,#N/A,FALSE,"Plan1";#N/A,#N/A,FALSE,"Plan2"}</definedName>
    <definedName name="ÇKSDOEKR" localSheetId="9">{#N/A,#N/A,FALSE,"Plan1";#N/A,#N/A,FALSE,"Plan2"}</definedName>
    <definedName name="ÇKSDOEKR" localSheetId="6">{#N/A,#N/A,FALSE,"Plan1";#N/A,#N/A,FALSE,"Plan2"}</definedName>
    <definedName name="ÇKSDOEKR" localSheetId="3">{#N/A,#N/A,FALSE,"Plan1";#N/A,#N/A,FALSE,"Plan2"}</definedName>
    <definedName name="ÇKSDOEKR" localSheetId="8">{#N/A,#N/A,FALSE,"Plan1";#N/A,#N/A,FALSE,"Plan2"}</definedName>
    <definedName name="ÇKSDOEKR" localSheetId="5">{#N/A,#N/A,FALSE,"Plan1";#N/A,#N/A,FALSE,"Plan2"}</definedName>
    <definedName name="ÇKSDOEKR" localSheetId="4">{#N/A,#N/A,FALSE,"Plan1";#N/A,#N/A,FALSE,"Plan2"}</definedName>
    <definedName name="ÇKSDOEKR" localSheetId="13">{#N/A,#N/A,FALSE,"Plan1";#N/A,#N/A,FALSE,"Plan2"}</definedName>
    <definedName name="ÇKSDOEKR" localSheetId="17">{#N/A,#N/A,FALSE,"Plan1";#N/A,#N/A,FALSE,"Plan2"}</definedName>
    <definedName name="ÇKSDOEKR" localSheetId="0">{#N/A,#N/A,FALSE,"Plan1";#N/A,#N/A,FALSE,"Plan2"}</definedName>
    <definedName name="ÇKSDOEKR" localSheetId="19">{#N/A,#N/A,FALSE,"Plan1";#N/A,#N/A,FALSE,"Plan2"}</definedName>
    <definedName name="ÇKSDOEKR" localSheetId="16">{#N/A,#N/A,FALSE,"Plan1";#N/A,#N/A,FALSE,"Plan2"}</definedName>
    <definedName name="ÇKSDOEKR" localSheetId="18">{#N/A,#N/A,FALSE,"Plan1";#N/A,#N/A,FALSE,"Plan2"}</definedName>
    <definedName name="ÇKSDOEKR" localSheetId="10">{#N/A,#N/A,FALSE,"Plan1";#N/A,#N/A,FALSE,"Plan2"}</definedName>
    <definedName name="ÇKSDOEKR">{#N/A,#N/A,FALSE,"Plan1";#N/A,#N/A,FALSE,"Plan2"}</definedName>
    <definedName name="çl" localSheetId="9">{#N/A,#N/A,FALSE,"Plan1";#N/A,#N/A,FALSE,"Plan2"}</definedName>
    <definedName name="çl" localSheetId="6">{#N/A,#N/A,FALSE,"Plan1";#N/A,#N/A,FALSE,"Plan2"}</definedName>
    <definedName name="çl" localSheetId="3">{#N/A,#N/A,FALSE,"Plan1";#N/A,#N/A,FALSE,"Plan2"}</definedName>
    <definedName name="çl" localSheetId="8">{#N/A,#N/A,FALSE,"Plan1";#N/A,#N/A,FALSE,"Plan2"}</definedName>
    <definedName name="çl" localSheetId="5">{#N/A,#N/A,FALSE,"Plan1";#N/A,#N/A,FALSE,"Plan2"}</definedName>
    <definedName name="çl" localSheetId="4">{#N/A,#N/A,FALSE,"Plan1";#N/A,#N/A,FALSE,"Plan2"}</definedName>
    <definedName name="çl" localSheetId="13">{#N/A,#N/A,FALSE,"Plan1";#N/A,#N/A,FALSE,"Plan2"}</definedName>
    <definedName name="çl" localSheetId="17">{#N/A,#N/A,FALSE,"Plan1";#N/A,#N/A,FALSE,"Plan2"}</definedName>
    <definedName name="çl" localSheetId="0">{#N/A,#N/A,FALSE,"Plan1";#N/A,#N/A,FALSE,"Plan2"}</definedName>
    <definedName name="çl" localSheetId="19">{#N/A,#N/A,FALSE,"Plan1";#N/A,#N/A,FALSE,"Plan2"}</definedName>
    <definedName name="çl" localSheetId="16">{#N/A,#N/A,FALSE,"Plan1";#N/A,#N/A,FALSE,"Plan2"}</definedName>
    <definedName name="çl" localSheetId="18">{#N/A,#N/A,FALSE,"Plan1";#N/A,#N/A,FALSE,"Plan2"}</definedName>
    <definedName name="çl" localSheetId="10">{#N/A,#N/A,FALSE,"Plan1";#N/A,#N/A,FALSE,"Plan2"}</definedName>
    <definedName name="çl">{#N/A,#N/A,FALSE,"Plan1";#N/A,#N/A,FALSE,"Plan2"}</definedName>
    <definedName name="çlassde" localSheetId="9">{#N/A,#N/A,FALSE,"Plan1";#N/A,#N/A,FALSE,"Plan2"}</definedName>
    <definedName name="çlassde" localSheetId="6">{#N/A,#N/A,FALSE,"Plan1";#N/A,#N/A,FALSE,"Plan2"}</definedName>
    <definedName name="çlassde" localSheetId="3">{#N/A,#N/A,FALSE,"Plan1";#N/A,#N/A,FALSE,"Plan2"}</definedName>
    <definedName name="çlassde" localSheetId="8">{#N/A,#N/A,FALSE,"Plan1";#N/A,#N/A,FALSE,"Plan2"}</definedName>
    <definedName name="çlassde" localSheetId="5">{#N/A,#N/A,FALSE,"Plan1";#N/A,#N/A,FALSE,"Plan2"}</definedName>
    <definedName name="çlassde" localSheetId="4">{#N/A,#N/A,FALSE,"Plan1";#N/A,#N/A,FALSE,"Plan2"}</definedName>
    <definedName name="çlassde" localSheetId="13">{#N/A,#N/A,FALSE,"Plan1";#N/A,#N/A,FALSE,"Plan2"}</definedName>
    <definedName name="çlassde" localSheetId="17">{#N/A,#N/A,FALSE,"Plan1";#N/A,#N/A,FALSE,"Plan2"}</definedName>
    <definedName name="çlassde" localSheetId="0">{#N/A,#N/A,FALSE,"Plan1";#N/A,#N/A,FALSE,"Plan2"}</definedName>
    <definedName name="çlassde" localSheetId="19">{#N/A,#N/A,FALSE,"Plan1";#N/A,#N/A,FALSE,"Plan2"}</definedName>
    <definedName name="çlassde" localSheetId="16">{#N/A,#N/A,FALSE,"Plan1";#N/A,#N/A,FALSE,"Plan2"}</definedName>
    <definedName name="çlassde" localSheetId="18">{#N/A,#N/A,FALSE,"Plan1";#N/A,#N/A,FALSE,"Plan2"}</definedName>
    <definedName name="çlassde" localSheetId="10">{#N/A,#N/A,FALSE,"Plan1";#N/A,#N/A,FALSE,"Plan2"}</definedName>
    <definedName name="çlassde">{#N/A,#N/A,FALSE,"Plan1";#N/A,#N/A,FALSE,"Plan2"}</definedName>
    <definedName name="Classificação" localSheetId="3">#REF!</definedName>
    <definedName name="Classificação" localSheetId="5">#REF!</definedName>
    <definedName name="Classificação" localSheetId="26">#REF!</definedName>
    <definedName name="Classificação">#REF!</definedName>
    <definedName name="çlçlç" localSheetId="9">{#N/A,#N/A,FALSE,"Plan1";#N/A,#N/A,FALSE,"Plan2"}</definedName>
    <definedName name="çlçlç" localSheetId="6">{#N/A,#N/A,FALSE,"Plan1";#N/A,#N/A,FALSE,"Plan2"}</definedName>
    <definedName name="çlçlç" localSheetId="3">{#N/A,#N/A,FALSE,"Plan1";#N/A,#N/A,FALSE,"Plan2"}</definedName>
    <definedName name="çlçlç" localSheetId="8">{#N/A,#N/A,FALSE,"Plan1";#N/A,#N/A,FALSE,"Plan2"}</definedName>
    <definedName name="çlçlç" localSheetId="5">{#N/A,#N/A,FALSE,"Plan1";#N/A,#N/A,FALSE,"Plan2"}</definedName>
    <definedName name="çlçlç" localSheetId="4">{#N/A,#N/A,FALSE,"Plan1";#N/A,#N/A,FALSE,"Plan2"}</definedName>
    <definedName name="çlçlç" localSheetId="13">{#N/A,#N/A,FALSE,"Plan1";#N/A,#N/A,FALSE,"Plan2"}</definedName>
    <definedName name="çlçlç" localSheetId="17">{#N/A,#N/A,FALSE,"Plan1";#N/A,#N/A,FALSE,"Plan2"}</definedName>
    <definedName name="çlçlç" localSheetId="0">{#N/A,#N/A,FALSE,"Plan1";#N/A,#N/A,FALSE,"Plan2"}</definedName>
    <definedName name="çlçlç" localSheetId="19">{#N/A,#N/A,FALSE,"Plan1";#N/A,#N/A,FALSE,"Plan2"}</definedName>
    <definedName name="çlçlç" localSheetId="16">{#N/A,#N/A,FALSE,"Plan1";#N/A,#N/A,FALSE,"Plan2"}</definedName>
    <definedName name="çlçlç" localSheetId="18">{#N/A,#N/A,FALSE,"Plan1";#N/A,#N/A,FALSE,"Plan2"}</definedName>
    <definedName name="çlçlç" localSheetId="10">{#N/A,#N/A,FALSE,"Plan1";#N/A,#N/A,FALSE,"Plan2"}</definedName>
    <definedName name="çlçlç">{#N/A,#N/A,FALSE,"Plan1";#N/A,#N/A,FALSE,"Plan2"}</definedName>
    <definedName name="çld" localSheetId="9">{#N/A,#N/A,FALSE,"Plan1";#N/A,#N/A,FALSE,"Plan2"}</definedName>
    <definedName name="çld" localSheetId="6">{#N/A,#N/A,FALSE,"Plan1";#N/A,#N/A,FALSE,"Plan2"}</definedName>
    <definedName name="çld" localSheetId="3">{#N/A,#N/A,FALSE,"Plan1";#N/A,#N/A,FALSE,"Plan2"}</definedName>
    <definedName name="çld" localSheetId="8">{#N/A,#N/A,FALSE,"Plan1";#N/A,#N/A,FALSE,"Plan2"}</definedName>
    <definedName name="çld" localSheetId="5">{#N/A,#N/A,FALSE,"Plan1";#N/A,#N/A,FALSE,"Plan2"}</definedName>
    <definedName name="çld" localSheetId="4">{#N/A,#N/A,FALSE,"Plan1";#N/A,#N/A,FALSE,"Plan2"}</definedName>
    <definedName name="çld" localSheetId="13">{#N/A,#N/A,FALSE,"Plan1";#N/A,#N/A,FALSE,"Plan2"}</definedName>
    <definedName name="çld" localSheetId="17">{#N/A,#N/A,FALSE,"Plan1";#N/A,#N/A,FALSE,"Plan2"}</definedName>
    <definedName name="çld" localSheetId="0">{#N/A,#N/A,FALSE,"Plan1";#N/A,#N/A,FALSE,"Plan2"}</definedName>
    <definedName name="çld" localSheetId="19">{#N/A,#N/A,FALSE,"Plan1";#N/A,#N/A,FALSE,"Plan2"}</definedName>
    <definedName name="çld" localSheetId="16">{#N/A,#N/A,FALSE,"Plan1";#N/A,#N/A,FALSE,"Plan2"}</definedName>
    <definedName name="çld" localSheetId="18">{#N/A,#N/A,FALSE,"Plan1";#N/A,#N/A,FALSE,"Plan2"}</definedName>
    <definedName name="çld" localSheetId="10">{#N/A,#N/A,FALSE,"Plan1";#N/A,#N/A,FALSE,"Plan2"}</definedName>
    <definedName name="çld">{#N/A,#N/A,FALSE,"Plan1";#N/A,#N/A,FALSE,"Plan2"}</definedName>
    <definedName name="çlererr" localSheetId="9">{#N/A,#N/A,FALSE,"Plan1";#N/A,#N/A,FALSE,"Plan2"}</definedName>
    <definedName name="çlererr" localSheetId="6">{#N/A,#N/A,FALSE,"Plan1";#N/A,#N/A,FALSE,"Plan2"}</definedName>
    <definedName name="çlererr" localSheetId="3">{#N/A,#N/A,FALSE,"Plan1";#N/A,#N/A,FALSE,"Plan2"}</definedName>
    <definedName name="çlererr" localSheetId="8">{#N/A,#N/A,FALSE,"Plan1";#N/A,#N/A,FALSE,"Plan2"}</definedName>
    <definedName name="çlererr" localSheetId="5">{#N/A,#N/A,FALSE,"Plan1";#N/A,#N/A,FALSE,"Plan2"}</definedName>
    <definedName name="çlererr" localSheetId="4">{#N/A,#N/A,FALSE,"Plan1";#N/A,#N/A,FALSE,"Plan2"}</definedName>
    <definedName name="çlererr" localSheetId="13">{#N/A,#N/A,FALSE,"Plan1";#N/A,#N/A,FALSE,"Plan2"}</definedName>
    <definedName name="çlererr" localSheetId="17">{#N/A,#N/A,FALSE,"Plan1";#N/A,#N/A,FALSE,"Plan2"}</definedName>
    <definedName name="çlererr" localSheetId="0">{#N/A,#N/A,FALSE,"Plan1";#N/A,#N/A,FALSE,"Plan2"}</definedName>
    <definedName name="çlererr" localSheetId="19">{#N/A,#N/A,FALSE,"Plan1";#N/A,#N/A,FALSE,"Plan2"}</definedName>
    <definedName name="çlererr" localSheetId="16">{#N/A,#N/A,FALSE,"Plan1";#N/A,#N/A,FALSE,"Plan2"}</definedName>
    <definedName name="çlererr" localSheetId="18">{#N/A,#N/A,FALSE,"Plan1";#N/A,#N/A,FALSE,"Plan2"}</definedName>
    <definedName name="çlererr" localSheetId="10">{#N/A,#N/A,FALSE,"Plan1";#N/A,#N/A,FALSE,"Plan2"}</definedName>
    <definedName name="çlererr">{#N/A,#N/A,FALSE,"Plan1";#N/A,#N/A,FALSE,"Plan2"}</definedName>
    <definedName name="çlertert" localSheetId="9">{#N/A,#N/A,FALSE,"Plan1";#N/A,#N/A,FALSE,"Plan2"}</definedName>
    <definedName name="çlertert" localSheetId="6">{#N/A,#N/A,FALSE,"Plan1";#N/A,#N/A,FALSE,"Plan2"}</definedName>
    <definedName name="çlertert" localSheetId="3">{#N/A,#N/A,FALSE,"Plan1";#N/A,#N/A,FALSE,"Plan2"}</definedName>
    <definedName name="çlertert" localSheetId="8">{#N/A,#N/A,FALSE,"Plan1";#N/A,#N/A,FALSE,"Plan2"}</definedName>
    <definedName name="çlertert" localSheetId="5">{#N/A,#N/A,FALSE,"Plan1";#N/A,#N/A,FALSE,"Plan2"}</definedName>
    <definedName name="çlertert" localSheetId="4">{#N/A,#N/A,FALSE,"Plan1";#N/A,#N/A,FALSE,"Plan2"}</definedName>
    <definedName name="çlertert" localSheetId="13">{#N/A,#N/A,FALSE,"Plan1";#N/A,#N/A,FALSE,"Plan2"}</definedName>
    <definedName name="çlertert" localSheetId="17">{#N/A,#N/A,FALSE,"Plan1";#N/A,#N/A,FALSE,"Plan2"}</definedName>
    <definedName name="çlertert" localSheetId="0">{#N/A,#N/A,FALSE,"Plan1";#N/A,#N/A,FALSE,"Plan2"}</definedName>
    <definedName name="çlertert" localSheetId="19">{#N/A,#N/A,FALSE,"Plan1";#N/A,#N/A,FALSE,"Plan2"}</definedName>
    <definedName name="çlertert" localSheetId="16">{#N/A,#N/A,FALSE,"Plan1";#N/A,#N/A,FALSE,"Plan2"}</definedName>
    <definedName name="çlertert" localSheetId="18">{#N/A,#N/A,FALSE,"Plan1";#N/A,#N/A,FALSE,"Plan2"}</definedName>
    <definedName name="çlertert" localSheetId="10">{#N/A,#N/A,FALSE,"Plan1";#N/A,#N/A,FALSE,"Plan2"}</definedName>
    <definedName name="çlertert">{#N/A,#N/A,FALSE,"Plan1";#N/A,#N/A,FALSE,"Plan2"}</definedName>
    <definedName name="çlkdflçkrlr" localSheetId="3">#REF!</definedName>
    <definedName name="çlkdflçkrlr" localSheetId="5">#REF!</definedName>
    <definedName name="çlkdflçkrlr" localSheetId="26">#REF!</definedName>
    <definedName name="çlkdflçkrlr" localSheetId="0">#REF!</definedName>
    <definedName name="çlkdflçkrlr">#REF!</definedName>
    <definedName name="çll" localSheetId="9">{#N/A,#N/A,FALSE,"Plan1";#N/A,#N/A,FALSE,"Plan2"}</definedName>
    <definedName name="çll" localSheetId="6">{#N/A,#N/A,FALSE,"Plan1";#N/A,#N/A,FALSE,"Plan2"}</definedName>
    <definedName name="çll" localSheetId="3">{#N/A,#N/A,FALSE,"Plan1";#N/A,#N/A,FALSE,"Plan2"}</definedName>
    <definedName name="çll" localSheetId="8">{#N/A,#N/A,FALSE,"Plan1";#N/A,#N/A,FALSE,"Plan2"}</definedName>
    <definedName name="çll" localSheetId="5">{#N/A,#N/A,FALSE,"Plan1";#N/A,#N/A,FALSE,"Plan2"}</definedName>
    <definedName name="çll" localSheetId="4">{#N/A,#N/A,FALSE,"Plan1";#N/A,#N/A,FALSE,"Plan2"}</definedName>
    <definedName name="çll" localSheetId="13">{#N/A,#N/A,FALSE,"Plan1";#N/A,#N/A,FALSE,"Plan2"}</definedName>
    <definedName name="çll" localSheetId="17">{#N/A,#N/A,FALSE,"Plan1";#N/A,#N/A,FALSE,"Plan2"}</definedName>
    <definedName name="çll" localSheetId="0">{#N/A,#N/A,FALSE,"Plan1";#N/A,#N/A,FALSE,"Plan2"}</definedName>
    <definedName name="çll" localSheetId="19">{#N/A,#N/A,FALSE,"Plan1";#N/A,#N/A,FALSE,"Plan2"}</definedName>
    <definedName name="çll" localSheetId="16">{#N/A,#N/A,FALSE,"Plan1";#N/A,#N/A,FALSE,"Plan2"}</definedName>
    <definedName name="çll" localSheetId="18">{#N/A,#N/A,FALSE,"Plan1";#N/A,#N/A,FALSE,"Plan2"}</definedName>
    <definedName name="çll" localSheetId="10">{#N/A,#N/A,FALSE,"Plan1";#N/A,#N/A,FALSE,"Plan2"}</definedName>
    <definedName name="çll">{#N/A,#N/A,FALSE,"Plan1";#N/A,#N/A,FALSE,"Plan2"}</definedName>
    <definedName name="CMC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3">#REF!</definedName>
    <definedName name="COBRANÇA" localSheetId="5">#REF!</definedName>
    <definedName name="COBRANÇA" localSheetId="26">#REF!</definedName>
    <definedName name="COBRANÇA">#REF!</definedName>
    <definedName name="Cod_Esquadrias" localSheetId="3">#REF!</definedName>
    <definedName name="Cod_Esquadrias" localSheetId="5">#REF!</definedName>
    <definedName name="Cod_Esquadrias" localSheetId="26">#REF!</definedName>
    <definedName name="Cod_Esquadrias">#REF!</definedName>
    <definedName name="CÓDG" localSheetId="6">OFFSET(#REF!,0,0,COUNTA(#REF!),1)</definedName>
    <definedName name="CÓDG" localSheetId="4">OFFSET(#REF!,0,0,COUNTA(#REF!),1)</definedName>
    <definedName name="CÓDG" localSheetId="19">OFFSET(#REF!,0,0,COUNTA(#REF!),1)</definedName>
    <definedName name="CÓDG">OFFSET(#REF!,0,0,COUNTA(#REF!),1)</definedName>
    <definedName name="codigo2" localSheetId="3">#REF!</definedName>
    <definedName name="codigo2" localSheetId="5">#REF!</definedName>
    <definedName name="codigo2" localSheetId="26">#REF!</definedName>
    <definedName name="codigo2">#REF!</definedName>
    <definedName name="codigo3" localSheetId="3">#REF!</definedName>
    <definedName name="codigo3" localSheetId="5">#REF!</definedName>
    <definedName name="codigo3" localSheetId="26">#REF!</definedName>
    <definedName name="codigo3">#REF!</definedName>
    <definedName name="CÓDT" localSheetId="6">OFFSET(#REF!,0,0,COUNTA(#REF!)+1,1)</definedName>
    <definedName name="CÓDT" localSheetId="4">OFFSET(#REF!,0,0,COUNTA(#REF!)+1,1)</definedName>
    <definedName name="CÓDT" localSheetId="19">OFFSET(#REF!,0,0,COUNTA(#REF!)+1,1)</definedName>
    <definedName name="CÓDT">OFFSET(#REF!,0,0,COUNTA(#REF!)+1,1)</definedName>
    <definedName name="COFINS" localSheetId="3">#REF!</definedName>
    <definedName name="COFINS" localSheetId="5">#REF!</definedName>
    <definedName name="COFINS" localSheetId="26">#REF!</definedName>
    <definedName name="COFINS">#REF!</definedName>
    <definedName name="cofins2" localSheetId="3">#REF!</definedName>
    <definedName name="cofins2" localSheetId="5">#REF!</definedName>
    <definedName name="cofins2" localSheetId="26">#REF!</definedName>
    <definedName name="cofins2">#REF!</definedName>
    <definedName name="COGS" localSheetId="3">#REF!</definedName>
    <definedName name="COGS" localSheetId="5">#REF!</definedName>
    <definedName name="COGS" localSheetId="26">#REF!</definedName>
    <definedName name="COGS">#REF!</definedName>
    <definedName name="COLSUB" localSheetId="3">#REF!</definedName>
    <definedName name="COLSUB" localSheetId="5">#REF!</definedName>
    <definedName name="COLSUB" localSheetId="26">#REF!</definedName>
    <definedName name="COLSUB">#REF!</definedName>
    <definedName name="COMISSOES" localSheetId="3">#REF!</definedName>
    <definedName name="COMISSOES" localSheetId="5">#REF!</definedName>
    <definedName name="COMISSOES" localSheetId="26">#REF!</definedName>
    <definedName name="COMISSOES">#REF!</definedName>
    <definedName name="COMPOSICAO" localSheetId="3">#REF!</definedName>
    <definedName name="COMPOSICAO" localSheetId="5">#REF!</definedName>
    <definedName name="COMPOSICAO" localSheetId="26">#REF!</definedName>
    <definedName name="COMPOSICAO">#REF!</definedName>
    <definedName name="composição" localSheetId="3">#REF!</definedName>
    <definedName name="composição" localSheetId="5">#REF!</definedName>
    <definedName name="composição" localSheetId="26">#REF!</definedName>
    <definedName name="composição">#REF!</definedName>
    <definedName name="COMPR" localSheetId="3">#REF!</definedName>
    <definedName name="COMPR" localSheetId="5">#REF!</definedName>
    <definedName name="COMPR" localSheetId="26">#REF!</definedName>
    <definedName name="COMPR">#REF!</definedName>
    <definedName name="COMPRIMENTO" localSheetId="3">#REF!</definedName>
    <definedName name="COMPRIMENTO" localSheetId="5">#REF!</definedName>
    <definedName name="COMPRIMENTO" localSheetId="26">#REF!</definedName>
    <definedName name="COMPRIMENTO">#REF!</definedName>
    <definedName name="COMPROMETIDO" localSheetId="3">#REF!</definedName>
    <definedName name="COMPROMETIDO" localSheetId="5">#REF!</definedName>
    <definedName name="COMPROMETIDO" localSheetId="26">#REF!</definedName>
    <definedName name="COMPROMETIDO">#REF!</definedName>
    <definedName name="CONFIRMAR" localSheetId="9">{#N/A,#N/A,TRUE,"Quinzena 01 à 15-04-98 "}</definedName>
    <definedName name="CONFIRMAR" localSheetId="6">{#N/A,#N/A,TRUE,"Quinzena 01 à 15-04-98 "}</definedName>
    <definedName name="CONFIRMAR" localSheetId="3">{#N/A,#N/A,TRUE,"Quinzena 01 à 15-04-98 "}</definedName>
    <definedName name="CONFIRMAR" localSheetId="8">{#N/A,#N/A,TRUE,"Quinzena 01 à 15-04-98 "}</definedName>
    <definedName name="CONFIRMAR" localSheetId="5">{#N/A,#N/A,TRUE,"Quinzena 01 à 15-04-98 "}</definedName>
    <definedName name="CONFIRMAR" localSheetId="4">{#N/A,#N/A,TRUE,"Quinzena 01 à 15-04-98 "}</definedName>
    <definedName name="CONFIRMAR" localSheetId="13">{#N/A,#N/A,TRUE,"Quinzena 01 à 15-04-98 "}</definedName>
    <definedName name="CONFIRMAR" localSheetId="17">{#N/A,#N/A,TRUE,"Quinzena 01 à 15-04-98 "}</definedName>
    <definedName name="CONFIRMAR" localSheetId="0">{#N/A,#N/A,TRUE,"Quinzena 01 à 15-04-98 "}</definedName>
    <definedName name="CONFIRMAR" localSheetId="19">{#N/A,#N/A,TRUE,"Quinzena 01 à 15-04-98 "}</definedName>
    <definedName name="CONFIRMAR" localSheetId="16">{#N/A,#N/A,TRUE,"Quinzena 01 à 15-04-98 "}</definedName>
    <definedName name="CONFIRMAR" localSheetId="18">{#N/A,#N/A,TRUE,"Quinzena 01 à 15-04-98 "}</definedName>
    <definedName name="CONFIRMAR" localSheetId="10">{#N/A,#N/A,TRUE,"Quinzena 01 à 15-04-98 "}</definedName>
    <definedName name="CONFIRMAR">{#N/A,#N/A,TRUE,"Quinzena 01 à 15-04-98 "}</definedName>
    <definedName name="cont" localSheetId="9">{#N/A,#N/A,FALSE,"Plan1";#N/A,#N/A,FALSE,"Plan2"}</definedName>
    <definedName name="cont" localSheetId="6">{#N/A,#N/A,FALSE,"Plan1";#N/A,#N/A,FALSE,"Plan2"}</definedName>
    <definedName name="cont" localSheetId="3">{#N/A,#N/A,FALSE,"Plan1";#N/A,#N/A,FALSE,"Plan2"}</definedName>
    <definedName name="cont" localSheetId="8">{#N/A,#N/A,FALSE,"Plan1";#N/A,#N/A,FALSE,"Plan2"}</definedName>
    <definedName name="cont" localSheetId="5">{#N/A,#N/A,FALSE,"Plan1";#N/A,#N/A,FALSE,"Plan2"}</definedName>
    <definedName name="cont" localSheetId="4">{#N/A,#N/A,FALSE,"Plan1";#N/A,#N/A,FALSE,"Plan2"}</definedName>
    <definedName name="cont" localSheetId="13">{#N/A,#N/A,FALSE,"Plan1";#N/A,#N/A,FALSE,"Plan2"}</definedName>
    <definedName name="cont" localSheetId="17">{#N/A,#N/A,FALSE,"Plan1";#N/A,#N/A,FALSE,"Plan2"}</definedName>
    <definedName name="cont" localSheetId="0">{#N/A,#N/A,FALSE,"Plan1";#N/A,#N/A,FALSE,"Plan2"}</definedName>
    <definedName name="cont" localSheetId="19">{#N/A,#N/A,FALSE,"Plan1";#N/A,#N/A,FALSE,"Plan2"}</definedName>
    <definedName name="cont" localSheetId="16">{#N/A,#N/A,FALSE,"Plan1";#N/A,#N/A,FALSE,"Plan2"}</definedName>
    <definedName name="cont" localSheetId="18">{#N/A,#N/A,FALSE,"Plan1";#N/A,#N/A,FALSE,"Plan2"}</definedName>
    <definedName name="cont" localSheetId="10">{#N/A,#N/A,FALSE,"Plan1";#N/A,#N/A,FALSE,"Plan2"}</definedName>
    <definedName name="cont">{#N/A,#N/A,FALSE,"Plan1";#N/A,#N/A,FALSE,"Plan2"}</definedName>
    <definedName name="CONT1" localSheetId="3">#REF!</definedName>
    <definedName name="CONT1" localSheetId="5">#REF!</definedName>
    <definedName name="CONT1" localSheetId="26">#REF!</definedName>
    <definedName name="CONT1">#REF!</definedName>
    <definedName name="CONT2" localSheetId="3">#REF!</definedName>
    <definedName name="CONT2" localSheetId="5">#REF!</definedName>
    <definedName name="CONT2" localSheetId="26">#REF!</definedName>
    <definedName name="CONT2">#REF!</definedName>
    <definedName name="CONT3" localSheetId="3">#REF!</definedName>
    <definedName name="CONT3" localSheetId="5">#REF!</definedName>
    <definedName name="CONT3" localSheetId="26">#REF!</definedName>
    <definedName name="CONT3">#REF!</definedName>
    <definedName name="CONTAIT" localSheetId="3">#REF!</definedName>
    <definedName name="CONTAIT" localSheetId="5">#REF!</definedName>
    <definedName name="CONTAIT" localSheetId="26">#REF!</definedName>
    <definedName name="CONTAIT">#REF!</definedName>
    <definedName name="CONTREC" localSheetId="3">#REF!</definedName>
    <definedName name="CONTREC" localSheetId="5">#REF!</definedName>
    <definedName name="CONTREC" localSheetId="26">#REF!</definedName>
    <definedName name="CONTREC">#REF!</definedName>
    <definedName name="CONTRES" localSheetId="3">#REF!</definedName>
    <definedName name="CONTRES" localSheetId="5">#REF!</definedName>
    <definedName name="CONTRES" localSheetId="26">#REF!</definedName>
    <definedName name="CONTRES">#REF!</definedName>
    <definedName name="CONTROLE" localSheetId="3">#REF!</definedName>
    <definedName name="CONTROLE" localSheetId="5">#REF!</definedName>
    <definedName name="CONTROLE" localSheetId="26">#REF!</definedName>
    <definedName name="CONTROLE">#REF!</definedName>
    <definedName name="Controle_Tecnologico" localSheetId="9">{#N/A,#N/A,FALSE,"Plan1";#N/A,#N/A,FALSE,"Plan2"}</definedName>
    <definedName name="Controle_Tecnologico" localSheetId="10">{#N/A,#N/A,FALSE,"Plan1";#N/A,#N/A,FALSE,"Plan2"}</definedName>
    <definedName name="Controle_Tecnologico">{#N/A,#N/A,FALSE,"Plan1";#N/A,#N/A,FALSE,"Plan2"}</definedName>
    <definedName name="Controle_tecnologico1">#REF!</definedName>
    <definedName name="CONVERSÃO" localSheetId="3">#REF!</definedName>
    <definedName name="CONVERSÃO" localSheetId="5">#REF!</definedName>
    <definedName name="CONVERSÃO" localSheetId="26">#REF!</definedName>
    <definedName name="CONVERSÃO">#REF!</definedName>
    <definedName name="cpmf" localSheetId="3">#REF!</definedName>
    <definedName name="cpmf" localSheetId="5">#REF!</definedName>
    <definedName name="cpmf" localSheetId="26">#REF!</definedName>
    <definedName name="cpmf">#REF!</definedName>
    <definedName name="Credor_Rel_Sienge" localSheetId="3">#REF!</definedName>
    <definedName name="Credor_Rel_Sienge" localSheetId="5">#REF!</definedName>
    <definedName name="Credor_Rel_Sienge" localSheetId="26">#REF!</definedName>
    <definedName name="Credor_Rel_Sienge">#REF!</definedName>
    <definedName name="CRONG" localSheetId="3">#REF!</definedName>
    <definedName name="CRONG" localSheetId="5">#REF!</definedName>
    <definedName name="CRONG" localSheetId="26">#REF!</definedName>
    <definedName name="CRONG">#REF!</definedName>
    <definedName name="cronograma" localSheetId="3">#REF!</definedName>
    <definedName name="cronograma" localSheetId="1">#REF!</definedName>
    <definedName name="cronograma" localSheetId="5">#REF!</definedName>
    <definedName name="cronograma" localSheetId="21">#REF!</definedName>
    <definedName name="cronograma" localSheetId="22">#REF!</definedName>
    <definedName name="cronograma" localSheetId="13">#REF!</definedName>
    <definedName name="cronograma" localSheetId="26">#REF!</definedName>
    <definedName name="cronograma" localSheetId="0">#REF!</definedName>
    <definedName name="cronograma">#REF!</definedName>
    <definedName name="CRONOGRAMA_FÍSICO_FINANCEIRO" localSheetId="3">#REF!</definedName>
    <definedName name="CRONOGRAMA_FÍSICO_FINANCEIRO" localSheetId="5">#REF!</definedName>
    <definedName name="CRONOGRAMA_FÍSICO_FINANCEIRO" localSheetId="26">#REF!</definedName>
    <definedName name="CRONOGRAMA_FÍSICO_FINANCEIRO">#REF!</definedName>
    <definedName name="CS" localSheetId="3">#REF!</definedName>
    <definedName name="CS" localSheetId="5">#REF!</definedName>
    <definedName name="CS" localSheetId="26">#REF!</definedName>
    <definedName name="CS">#REF!</definedName>
    <definedName name="cs_diferida" localSheetId="3">#REF!</definedName>
    <definedName name="cs_diferida" localSheetId="5">#REF!</definedName>
    <definedName name="cs_diferida" localSheetId="26">#REF!</definedName>
    <definedName name="cs_diferida">#REF!</definedName>
    <definedName name="ÇSAÇDFW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3">#REF!</definedName>
    <definedName name="çsdkfçdrkt" localSheetId="5">#REF!</definedName>
    <definedName name="çsdkfçdrkt" localSheetId="26">#REF!</definedName>
    <definedName name="çsdkfçdrkt" localSheetId="0">#REF!</definedName>
    <definedName name="çsdkfçdrkt">#REF!</definedName>
    <definedName name="CS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9">{#N/A,#N/A,FALSE,"Plan1";#N/A,#N/A,FALSE,"Plan2"}</definedName>
    <definedName name="ÇSLÇDLFKD" localSheetId="6">{#N/A,#N/A,FALSE,"Plan1";#N/A,#N/A,FALSE,"Plan2"}</definedName>
    <definedName name="ÇSLÇDLFKD" localSheetId="3">{#N/A,#N/A,FALSE,"Plan1";#N/A,#N/A,FALSE,"Plan2"}</definedName>
    <definedName name="ÇSLÇDLFKD" localSheetId="8">{#N/A,#N/A,FALSE,"Plan1";#N/A,#N/A,FALSE,"Plan2"}</definedName>
    <definedName name="ÇSLÇDLFKD" localSheetId="5">{#N/A,#N/A,FALSE,"Plan1";#N/A,#N/A,FALSE,"Plan2"}</definedName>
    <definedName name="ÇSLÇDLFKD" localSheetId="4">{#N/A,#N/A,FALSE,"Plan1";#N/A,#N/A,FALSE,"Plan2"}</definedName>
    <definedName name="ÇSLÇDLFKD" localSheetId="13">{#N/A,#N/A,FALSE,"Plan1";#N/A,#N/A,FALSE,"Plan2"}</definedName>
    <definedName name="ÇSLÇDLFKD" localSheetId="17">{#N/A,#N/A,FALSE,"Plan1";#N/A,#N/A,FALSE,"Plan2"}</definedName>
    <definedName name="ÇSLÇDLFKD" localSheetId="0">{#N/A,#N/A,FALSE,"Plan1";#N/A,#N/A,FALSE,"Plan2"}</definedName>
    <definedName name="ÇSLÇDLFKD" localSheetId="19">{#N/A,#N/A,FALSE,"Plan1";#N/A,#N/A,FALSE,"Plan2"}</definedName>
    <definedName name="ÇSLÇDLFKD" localSheetId="16">{#N/A,#N/A,FALSE,"Plan1";#N/A,#N/A,FALSE,"Plan2"}</definedName>
    <definedName name="ÇSLÇDLFKD" localSheetId="18">{#N/A,#N/A,FALSE,"Plan1";#N/A,#N/A,FALSE,"Plan2"}</definedName>
    <definedName name="ÇSLÇDLFKD" localSheetId="10">{#N/A,#N/A,FALSE,"Plan1";#N/A,#N/A,FALSE,"Plan2"}</definedName>
    <definedName name="ÇSLÇDLFKD">{#N/A,#N/A,FALSE,"Plan1";#N/A,#N/A,FALSE,"Plan2"}</definedName>
    <definedName name="CT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3">#REF!</definedName>
    <definedName name="CUST_DIR_IND" localSheetId="5">#REF!</definedName>
    <definedName name="CUST_DIR_IND" localSheetId="26">#REF!</definedName>
    <definedName name="CUST_DIR_IND">#REF!</definedName>
    <definedName name="CUSTINDIRETO" localSheetId="3">#REF!</definedName>
    <definedName name="CUSTINDIRETO" localSheetId="5">#REF!</definedName>
    <definedName name="CUSTINDIRETO" localSheetId="26">#REF!</definedName>
    <definedName name="CUSTINDIRETO">#REF!</definedName>
    <definedName name="CUSTO_DIR_IND" localSheetId="3">#REF!</definedName>
    <definedName name="CUSTO_DIR_IND" localSheetId="5">#REF!</definedName>
    <definedName name="CUSTO_DIR_IND" localSheetId="26">#REF!</definedName>
    <definedName name="CUSTO_DIR_IND">#REF!</definedName>
    <definedName name="Custo_Direto_de_Obras_Civis_e_Instalações_..........................................." localSheetId="3">#REF!</definedName>
    <definedName name="Custo_Direto_de_Obras_Civis_e_Instalações_..........................................." localSheetId="5">#REF!</definedName>
    <definedName name="Custo_Direto_de_Obras_Civis_e_Instalações_..........................................." localSheetId="26">#REF!</definedName>
    <definedName name="Custo_Direto_de_Obras_Civis_e_Instalações_...........................................">#REF!</definedName>
    <definedName name="Custo_Direto_em_geral" localSheetId="3">#REF!</definedName>
    <definedName name="Custo_Direto_em_geral" localSheetId="5">#REF!</definedName>
    <definedName name="Custo_Direto_em_geral" localSheetId="26">#REF!</definedName>
    <definedName name="Custo_Direto_em_geral">#REF!</definedName>
    <definedName name="custo_financing" localSheetId="3">#REF!</definedName>
    <definedName name="custo_financing" localSheetId="5">#REF!</definedName>
    <definedName name="custo_financing" localSheetId="26">#REF!</definedName>
    <definedName name="custo_financing">#REF!</definedName>
    <definedName name="CUSTO_OUTROS" localSheetId="3">#REF!</definedName>
    <definedName name="CUSTO_OUTROS" localSheetId="5">#REF!</definedName>
    <definedName name="CUSTO_OUTROS" localSheetId="26">#REF!</definedName>
    <definedName name="CUSTO_OUTROS">#REF!</definedName>
    <definedName name="Custo_Outros1" localSheetId="3">#REF!</definedName>
    <definedName name="Custo_Outros1" localSheetId="5">#REF!</definedName>
    <definedName name="Custo_Outros1" localSheetId="26">#REF!</definedName>
    <definedName name="Custo_Outros1">#REF!</definedName>
    <definedName name="CUSTODIRETO" localSheetId="3">#REF!</definedName>
    <definedName name="CUSTODIRETO" localSheetId="5">#REF!</definedName>
    <definedName name="CUSTODIRETO" localSheetId="26">#REF!</definedName>
    <definedName name="CUSTODIRETO">#REF!</definedName>
    <definedName name="CUSTODIRETO_R" localSheetId="3">#REF!</definedName>
    <definedName name="CUSTODIRETO_R" localSheetId="5">#REF!</definedName>
    <definedName name="CUSTODIRETO_R" localSheetId="26">#REF!</definedName>
    <definedName name="CUSTODIRETO_R">#REF!</definedName>
    <definedName name="CUSTODIRETO_U" localSheetId="3">#REF!</definedName>
    <definedName name="CUSTODIRETO_U" localSheetId="5">#REF!</definedName>
    <definedName name="CUSTODIRETO_U" localSheetId="26">#REF!</definedName>
    <definedName name="CUSTODIRETO_U">#REF!</definedName>
    <definedName name="CUSTODIRETO1" localSheetId="3">#REF!</definedName>
    <definedName name="CUSTODIRETO1" localSheetId="5">#REF!</definedName>
    <definedName name="CUSTODIRETO1" localSheetId="26">#REF!</definedName>
    <definedName name="CUSTODIRETO1">#REF!</definedName>
    <definedName name="CUSTOFIN" localSheetId="3">#REF!</definedName>
    <definedName name="CUSTOFIN" localSheetId="5">#REF!</definedName>
    <definedName name="CUSTOFIN" localSheetId="26">#REF!</definedName>
    <definedName name="CUSTOFIN">#REF!</definedName>
    <definedName name="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1">#REF!</definedName>
    <definedName name="D" localSheetId="8">#REF!</definedName>
    <definedName name="D" localSheetId="5">#REF!</definedName>
    <definedName name="D" localSheetId="21">#REF!</definedName>
    <definedName name="D" localSheetId="22">#REF!</definedName>
    <definedName name="D" localSheetId="13">#REF!</definedName>
    <definedName name="D" localSheetId="26">#REF!</definedName>
    <definedName name="D" localSheetId="0">#REF!</definedName>
    <definedName name="D">#REF!</definedName>
    <definedName name="da" localSheetId="3">#REF!</definedName>
    <definedName name="da" localSheetId="5">#REF!</definedName>
    <definedName name="da" localSheetId="26">#REF!</definedName>
    <definedName name="da">#REF!</definedName>
    <definedName name="dalm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9">{#N/A,#N/A,FALSE,"Plan1";#N/A,#N/A,FALSE,"Plan2"}</definedName>
    <definedName name="dasfrt" localSheetId="6">{#N/A,#N/A,FALSE,"Plan1";#N/A,#N/A,FALSE,"Plan2"}</definedName>
    <definedName name="dasfrt" localSheetId="3">{#N/A,#N/A,FALSE,"Plan1";#N/A,#N/A,FALSE,"Plan2"}</definedName>
    <definedName name="dasfrt" localSheetId="8">{#N/A,#N/A,FALSE,"Plan1";#N/A,#N/A,FALSE,"Plan2"}</definedName>
    <definedName name="dasfrt" localSheetId="5">{#N/A,#N/A,FALSE,"Plan1";#N/A,#N/A,FALSE,"Plan2"}</definedName>
    <definedName name="dasfrt" localSheetId="4">{#N/A,#N/A,FALSE,"Plan1";#N/A,#N/A,FALSE,"Plan2"}</definedName>
    <definedName name="dasfrt" localSheetId="13">{#N/A,#N/A,FALSE,"Plan1";#N/A,#N/A,FALSE,"Plan2"}</definedName>
    <definedName name="dasfrt" localSheetId="17">{#N/A,#N/A,FALSE,"Plan1";#N/A,#N/A,FALSE,"Plan2"}</definedName>
    <definedName name="dasfrt" localSheetId="0">{#N/A,#N/A,FALSE,"Plan1";#N/A,#N/A,FALSE,"Plan2"}</definedName>
    <definedName name="dasfrt" localSheetId="19">{#N/A,#N/A,FALSE,"Plan1";#N/A,#N/A,FALSE,"Plan2"}</definedName>
    <definedName name="dasfrt" localSheetId="16">{#N/A,#N/A,FALSE,"Plan1";#N/A,#N/A,FALSE,"Plan2"}</definedName>
    <definedName name="dasfrt" localSheetId="18">{#N/A,#N/A,FALSE,"Plan1";#N/A,#N/A,FALSE,"Plan2"}</definedName>
    <definedName name="dasfrt" localSheetId="10">{#N/A,#N/A,FALSE,"Plan1";#N/A,#N/A,FALSE,"Plan2"}</definedName>
    <definedName name="dasfrt">{#N/A,#N/A,FALSE,"Plan1";#N/A,#N/A,FALSE,"Plan2"}</definedName>
    <definedName name="DATA" localSheetId="3">#REF!</definedName>
    <definedName name="DATA" localSheetId="5">#REF!</definedName>
    <definedName name="DATA" localSheetId="26">#REF!</definedName>
    <definedName name="DATA">#REF!</definedName>
    <definedName name="Data_base" localSheetId="3">#REF!</definedName>
    <definedName name="Data_base" localSheetId="5">#REF!</definedName>
    <definedName name="Data_base" localSheetId="26">#REF!</definedName>
    <definedName name="Data_base">#REF!</definedName>
    <definedName name="data_base_VL" localSheetId="3">#REF!</definedName>
    <definedName name="data_base_VL" localSheetId="5">#REF!</definedName>
    <definedName name="data_base_VL" localSheetId="26">#REF!</definedName>
    <definedName name="data_base_VL">#REF!</definedName>
    <definedName name="DATA_COTAÇÃO" localSheetId="3">#REF!</definedName>
    <definedName name="DATA_COTAÇÃO" localSheetId="5">#REF!</definedName>
    <definedName name="DATA_COTAÇÃO" localSheetId="26">#REF!</definedName>
    <definedName name="DATA_COTAÇÃO">#REF!</definedName>
    <definedName name="DATA_ENTREGA" localSheetId="3">#REF!</definedName>
    <definedName name="DATA_ENTREGA" localSheetId="5">#REF!</definedName>
    <definedName name="DATA_ENTREGA" localSheetId="26">#REF!</definedName>
    <definedName name="DATA_ENTREGA">#REF!</definedName>
    <definedName name="DATA_FECHA" localSheetId="3">#REF!</definedName>
    <definedName name="DATA_FECHA" localSheetId="5">#REF!</definedName>
    <definedName name="DATA_FECHA" localSheetId="26">#REF!</definedName>
    <definedName name="DATA_FECHA">#REF!</definedName>
    <definedName name="Data_Inicio" localSheetId="3">#REF!</definedName>
    <definedName name="Data_Inicio" localSheetId="5">#REF!</definedName>
    <definedName name="Data_Inicio" localSheetId="26">#REF!</definedName>
    <definedName name="Data_Inicio">#REF!</definedName>
    <definedName name="Data_Lançado_Sienge" localSheetId="3">#REF!</definedName>
    <definedName name="Data_Lançado_Sienge" localSheetId="5">#REF!</definedName>
    <definedName name="Data_Lançado_Sienge" localSheetId="26">#REF!</definedName>
    <definedName name="Data_Lançado_Sienge">#REF!</definedName>
    <definedName name="Data_Pagamento_Sienge" localSheetId="3">#REF!</definedName>
    <definedName name="Data_Pagamento_Sienge" localSheetId="5">#REF!</definedName>
    <definedName name="Data_Pagamento_Sienge" localSheetId="26">#REF!</definedName>
    <definedName name="Data_Pagamento_Sienge">#REF!</definedName>
    <definedName name="Data_Previsão_Medição_Fin_Medição" localSheetId="3">#REF!</definedName>
    <definedName name="Data_Previsão_Medição_Fin_Medição" localSheetId="5">#REF!</definedName>
    <definedName name="Data_Previsão_Medição_Fin_Medição" localSheetId="26">#REF!</definedName>
    <definedName name="Data_Previsão_Medição_Fin_Medição">#REF!</definedName>
    <definedName name="Data_Tendência_Recebimento_Fin_Medições" localSheetId="3">#REF!</definedName>
    <definedName name="Data_Tendência_Recebimento_Fin_Medições" localSheetId="5">#REF!</definedName>
    <definedName name="Data_Tendência_Recebimento_Fin_Medições" localSheetId="26">#REF!</definedName>
    <definedName name="Data_Tendência_Recebimento_Fin_Medições">#REF!</definedName>
    <definedName name="DATA1" localSheetId="3">#REF!</definedName>
    <definedName name="DATA1" localSheetId="5">#REF!</definedName>
    <definedName name="DATA1" localSheetId="26">#REF!</definedName>
    <definedName name="DATA1">#REF!</definedName>
    <definedName name="DATA3" localSheetId="3">#REF!</definedName>
    <definedName name="DATA3" localSheetId="5">#REF!</definedName>
    <definedName name="DATA3" localSheetId="26">#REF!</definedName>
    <definedName name="DATA3">#REF!</definedName>
    <definedName name="DATA4" localSheetId="3">#REF!</definedName>
    <definedName name="DATA4" localSheetId="5">#REF!</definedName>
    <definedName name="DATA4" localSheetId="26">#REF!</definedName>
    <definedName name="DATA4">#REF!</definedName>
    <definedName name="DATA6" localSheetId="3">#REF!</definedName>
    <definedName name="DATA6" localSheetId="5">#REF!</definedName>
    <definedName name="DATA6" localSheetId="26">#REF!</definedName>
    <definedName name="DATA6">#REF!</definedName>
    <definedName name="Database">#REF!</definedName>
    <definedName name="DataChaves_MAP" localSheetId="3">#REF!</definedName>
    <definedName name="DataChaves_MAP" localSheetId="5">#REF!</definedName>
    <definedName name="DataChaves_MAP" localSheetId="26">#REF!</definedName>
    <definedName name="DataChaves_MAP">#REF!</definedName>
    <definedName name="DatasOut13AteDez20" localSheetId="3">#REF!</definedName>
    <definedName name="DatasOut13AteDez20" localSheetId="5">#REF!</definedName>
    <definedName name="DatasOut13AteDez20" localSheetId="26">#REF!</definedName>
    <definedName name="DatasOut13AteDez20">#REF!</definedName>
    <definedName name="DÇDL" localSheetId="9">{#N/A,#N/A,FALSE,"Plan1";#N/A,#N/A,FALSE,"Plan2"}</definedName>
    <definedName name="DÇDL" localSheetId="6">{#N/A,#N/A,FALSE,"Plan1";#N/A,#N/A,FALSE,"Plan2"}</definedName>
    <definedName name="DÇDL" localSheetId="3">{#N/A,#N/A,FALSE,"Plan1";#N/A,#N/A,FALSE,"Plan2"}</definedName>
    <definedName name="DÇDL" localSheetId="8">{#N/A,#N/A,FALSE,"Plan1";#N/A,#N/A,FALSE,"Plan2"}</definedName>
    <definedName name="DÇDL" localSheetId="5">{#N/A,#N/A,FALSE,"Plan1";#N/A,#N/A,FALSE,"Plan2"}</definedName>
    <definedName name="DÇDL" localSheetId="4">{#N/A,#N/A,FALSE,"Plan1";#N/A,#N/A,FALSE,"Plan2"}</definedName>
    <definedName name="DÇDL" localSheetId="13">{#N/A,#N/A,FALSE,"Plan1";#N/A,#N/A,FALSE,"Plan2"}</definedName>
    <definedName name="DÇDL" localSheetId="17">{#N/A,#N/A,FALSE,"Plan1";#N/A,#N/A,FALSE,"Plan2"}</definedName>
    <definedName name="DÇDL" localSheetId="0">{#N/A,#N/A,FALSE,"Plan1";#N/A,#N/A,FALSE,"Plan2"}</definedName>
    <definedName name="DÇDL" localSheetId="19">{#N/A,#N/A,FALSE,"Plan1";#N/A,#N/A,FALSE,"Plan2"}</definedName>
    <definedName name="DÇDL" localSheetId="16">{#N/A,#N/A,FALSE,"Plan1";#N/A,#N/A,FALSE,"Plan2"}</definedName>
    <definedName name="DÇDL" localSheetId="18">{#N/A,#N/A,FALSE,"Plan1";#N/A,#N/A,FALSE,"Plan2"}</definedName>
    <definedName name="DÇDL" localSheetId="10">{#N/A,#N/A,FALSE,"Plan1";#N/A,#N/A,FALSE,"Plan2"}</definedName>
    <definedName name="DÇDL">{#N/A,#N/A,FALSE,"Plan1";#N/A,#N/A,FALSE,"Plan2"}</definedName>
    <definedName name="dchart26" localSheetId="3">#REF!</definedName>
    <definedName name="dchart26" localSheetId="5">#REF!</definedName>
    <definedName name="dchart26" localSheetId="26">#REF!</definedName>
    <definedName name="dchart26" localSheetId="0">#REF!</definedName>
    <definedName name="dchart26">#REF!</definedName>
    <definedName name="dchart31" localSheetId="3">#REF!</definedName>
    <definedName name="dchart31" localSheetId="5">#REF!</definedName>
    <definedName name="dchart31" localSheetId="26">#REF!</definedName>
    <definedName name="dchart31" localSheetId="0">#REF!</definedName>
    <definedName name="dchart31">#REF!</definedName>
    <definedName name="dcnsfgdjkgb" localSheetId="9">{#N/A,#N/A,FALSE,"Plan1";#N/A,#N/A,FALSE,"Plan2"}</definedName>
    <definedName name="dcnsfgdjkgb" localSheetId="6">{#N/A,#N/A,FALSE,"Plan1";#N/A,#N/A,FALSE,"Plan2"}</definedName>
    <definedName name="dcnsfgdjkgb" localSheetId="3">{#N/A,#N/A,FALSE,"Plan1";#N/A,#N/A,FALSE,"Plan2"}</definedName>
    <definedName name="dcnsfgdjkgb" localSheetId="8">{#N/A,#N/A,FALSE,"Plan1";#N/A,#N/A,FALSE,"Plan2"}</definedName>
    <definedName name="dcnsfgdjkgb" localSheetId="5">{#N/A,#N/A,FALSE,"Plan1";#N/A,#N/A,FALSE,"Plan2"}</definedName>
    <definedName name="dcnsfgdjkgb" localSheetId="4">{#N/A,#N/A,FALSE,"Plan1";#N/A,#N/A,FALSE,"Plan2"}</definedName>
    <definedName name="dcnsfgdjkgb" localSheetId="13">{#N/A,#N/A,FALSE,"Plan1";#N/A,#N/A,FALSE,"Plan2"}</definedName>
    <definedName name="dcnsfgdjkgb" localSheetId="17">{#N/A,#N/A,FALSE,"Plan1";#N/A,#N/A,FALSE,"Plan2"}</definedName>
    <definedName name="dcnsfgdjkgb" localSheetId="0">{#N/A,#N/A,FALSE,"Plan1";#N/A,#N/A,FALSE,"Plan2"}</definedName>
    <definedName name="dcnsfgdjkgb" localSheetId="19">{#N/A,#N/A,FALSE,"Plan1";#N/A,#N/A,FALSE,"Plan2"}</definedName>
    <definedName name="dcnsfgdjkgb" localSheetId="16">{#N/A,#N/A,FALSE,"Plan1";#N/A,#N/A,FALSE,"Plan2"}</definedName>
    <definedName name="dcnsfgdjkgb" localSheetId="18">{#N/A,#N/A,FALSE,"Plan1";#N/A,#N/A,FALSE,"Plan2"}</definedName>
    <definedName name="dcnsfgdjkgb" localSheetId="10">{#N/A,#N/A,FALSE,"Plan1";#N/A,#N/A,FALSE,"Plan2"}</definedName>
    <definedName name="dcnsfgdjkgb">{#N/A,#N/A,FALSE,"Plan1";#N/A,#N/A,FALSE,"Plan2"}</definedName>
    <definedName name="DÇWK" localSheetId="9">{#N/A,#N/A,FALSE,"Plan1";#N/A,#N/A,FALSE,"Plan2"}</definedName>
    <definedName name="DÇWK" localSheetId="6">{#N/A,#N/A,FALSE,"Plan1";#N/A,#N/A,FALSE,"Plan2"}</definedName>
    <definedName name="DÇWK" localSheetId="3">{#N/A,#N/A,FALSE,"Plan1";#N/A,#N/A,FALSE,"Plan2"}</definedName>
    <definedName name="DÇWK" localSheetId="8">{#N/A,#N/A,FALSE,"Plan1";#N/A,#N/A,FALSE,"Plan2"}</definedName>
    <definedName name="DÇWK" localSheetId="5">{#N/A,#N/A,FALSE,"Plan1";#N/A,#N/A,FALSE,"Plan2"}</definedName>
    <definedName name="DÇWK" localSheetId="4">{#N/A,#N/A,FALSE,"Plan1";#N/A,#N/A,FALSE,"Plan2"}</definedName>
    <definedName name="DÇWK" localSheetId="13">{#N/A,#N/A,FALSE,"Plan1";#N/A,#N/A,FALSE,"Plan2"}</definedName>
    <definedName name="DÇWK" localSheetId="17">{#N/A,#N/A,FALSE,"Plan1";#N/A,#N/A,FALSE,"Plan2"}</definedName>
    <definedName name="DÇWK" localSheetId="0">{#N/A,#N/A,FALSE,"Plan1";#N/A,#N/A,FALSE,"Plan2"}</definedName>
    <definedName name="DÇWK" localSheetId="19">{#N/A,#N/A,FALSE,"Plan1";#N/A,#N/A,FALSE,"Plan2"}</definedName>
    <definedName name="DÇWK" localSheetId="16">{#N/A,#N/A,FALSE,"Plan1";#N/A,#N/A,FALSE,"Plan2"}</definedName>
    <definedName name="DÇWK" localSheetId="18">{#N/A,#N/A,FALSE,"Plan1";#N/A,#N/A,FALSE,"Plan2"}</definedName>
    <definedName name="DÇWK" localSheetId="10">{#N/A,#N/A,FALSE,"Plan1";#N/A,#N/A,FALSE,"Plan2"}</definedName>
    <definedName name="DÇWK">{#N/A,#N/A,FALSE,"Plan1";#N/A,#N/A,FALSE,"Plan2"}</definedName>
    <definedName name="DD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6">{"'장비'!$A$3:$M$12"}</definedName>
    <definedName name="ddd" localSheetId="8">{"'장비'!$A$3:$M$12"}</definedName>
    <definedName name="DDD" localSheetId="5">#REF!</definedName>
    <definedName name="ddd" localSheetId="0">{"'장비'!$A$3:$M$12"}</definedName>
    <definedName name="ddd" localSheetId="19">{"'장비'!$A$3:$M$12"}</definedName>
    <definedName name="DDD">#REF!</definedName>
    <definedName name="ddddd" localSheetId="9">{#N/A,#N/A,FALSE,"Plan1";#N/A,#N/A,FALSE,"Plan2"}</definedName>
    <definedName name="ddddd" localSheetId="6">{#N/A,#N/A,FALSE,"Plan1";#N/A,#N/A,FALSE,"Plan2"}</definedName>
    <definedName name="ddddd" localSheetId="3">{#N/A,#N/A,FALSE,"Plan1";#N/A,#N/A,FALSE,"Plan2"}</definedName>
    <definedName name="ddddd" localSheetId="8">{#N/A,#N/A,FALSE,"Plan1";#N/A,#N/A,FALSE,"Plan2"}</definedName>
    <definedName name="ddddd" localSheetId="5">{#N/A,#N/A,FALSE,"Plan1";#N/A,#N/A,FALSE,"Plan2"}</definedName>
    <definedName name="ddddd" localSheetId="4">{#N/A,#N/A,FALSE,"Plan1";#N/A,#N/A,FALSE,"Plan2"}</definedName>
    <definedName name="ddddd" localSheetId="13">{#N/A,#N/A,FALSE,"Plan1";#N/A,#N/A,FALSE,"Plan2"}</definedName>
    <definedName name="ddddd" localSheetId="17">{#N/A,#N/A,FALSE,"Plan1";#N/A,#N/A,FALSE,"Plan2"}</definedName>
    <definedName name="ddddd" localSheetId="0">{#N/A,#N/A,FALSE,"Plan1";#N/A,#N/A,FALSE,"Plan2"}</definedName>
    <definedName name="ddddd" localSheetId="19">{#N/A,#N/A,FALSE,"Plan1";#N/A,#N/A,FALSE,"Plan2"}</definedName>
    <definedName name="ddddd" localSheetId="16">{#N/A,#N/A,FALSE,"Plan1";#N/A,#N/A,FALSE,"Plan2"}</definedName>
    <definedName name="ddddd" localSheetId="18">{#N/A,#N/A,FALSE,"Plan1";#N/A,#N/A,FALSE,"Plan2"}</definedName>
    <definedName name="ddddd" localSheetId="10">{#N/A,#N/A,FALSE,"Plan1";#N/A,#N/A,FALSE,"Plan2"}</definedName>
    <definedName name="ddddd">{#N/A,#N/A,FALSE,"Plan1";#N/A,#N/A,FALSE,"Plan2"}</definedName>
    <definedName name="ddddddddddd" localSheetId="3">#REF!</definedName>
    <definedName name="ddddddddddd" localSheetId="8">#REF!</definedName>
    <definedName name="ddddddddddd" localSheetId="5">#REF!</definedName>
    <definedName name="ddddddddddd" localSheetId="26">#REF!</definedName>
    <definedName name="ddddddddddd">#REF!</definedName>
    <definedName name="dddddddddddddddddddddddddd" localSheetId="3">#REF!</definedName>
    <definedName name="dddddddddddddddddddddddddd" localSheetId="5">#REF!</definedName>
    <definedName name="dddddddddddddddddddddddddd" localSheetId="26">#REF!</definedName>
    <definedName name="dddddddddddddddddddddddddd">#REF!</definedName>
    <definedName name="dddddddddddddppppppppp" localSheetId="3">#REF!</definedName>
    <definedName name="dddddddddddddppppppppp" localSheetId="5">#REF!</definedName>
    <definedName name="dddddddddddddppppppppp" localSheetId="26">#REF!</definedName>
    <definedName name="dddddddddddddppppppppp">#REF!</definedName>
    <definedName name="dde" localSheetId="9">{#N/A,#N/A,FALSE,"Plan1";#N/A,#N/A,FALSE,"Plan2"}</definedName>
    <definedName name="dde" localSheetId="6">{#N/A,#N/A,FALSE,"Plan1";#N/A,#N/A,FALSE,"Plan2"}</definedName>
    <definedName name="dde" localSheetId="3">{#N/A,#N/A,FALSE,"Plan1";#N/A,#N/A,FALSE,"Plan2"}</definedName>
    <definedName name="dde" localSheetId="8">{#N/A,#N/A,FALSE,"Plan1";#N/A,#N/A,FALSE,"Plan2"}</definedName>
    <definedName name="dde" localSheetId="5">{#N/A,#N/A,FALSE,"Plan1";#N/A,#N/A,FALSE,"Plan2"}</definedName>
    <definedName name="dde" localSheetId="4">{#N/A,#N/A,FALSE,"Plan1";#N/A,#N/A,FALSE,"Plan2"}</definedName>
    <definedName name="dde" localSheetId="13">{#N/A,#N/A,FALSE,"Plan1";#N/A,#N/A,FALSE,"Plan2"}</definedName>
    <definedName name="dde" localSheetId="17">{#N/A,#N/A,FALSE,"Plan1";#N/A,#N/A,FALSE,"Plan2"}</definedName>
    <definedName name="dde" localSheetId="0">{#N/A,#N/A,FALSE,"Plan1";#N/A,#N/A,FALSE,"Plan2"}</definedName>
    <definedName name="dde" localSheetId="19">{#N/A,#N/A,FALSE,"Plan1";#N/A,#N/A,FALSE,"Plan2"}</definedName>
    <definedName name="dde" localSheetId="16">{#N/A,#N/A,FALSE,"Plan1";#N/A,#N/A,FALSE,"Plan2"}</definedName>
    <definedName name="dde" localSheetId="18">{#N/A,#N/A,FALSE,"Plan1";#N/A,#N/A,FALSE,"Plan2"}</definedName>
    <definedName name="dde" localSheetId="10">{#N/A,#N/A,FALSE,"Plan1";#N/A,#N/A,FALSE,"Plan2"}</definedName>
    <definedName name="dde">{#N/A,#N/A,FALSE,"Plan1";#N/A,#N/A,FALSE,"Plan2"}</definedName>
    <definedName name="ddfs" localSheetId="3">#REF!</definedName>
    <definedName name="ddfs" localSheetId="5">#REF!</definedName>
    <definedName name="ddfs" localSheetId="26">#REF!</definedName>
    <definedName name="ddfs" localSheetId="0">#REF!</definedName>
    <definedName name="ddfs">#REF!</definedName>
    <definedName name="ddgfdvgd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9">{#N/A,#N/A,FALSE,"Plan1";#N/A,#N/A,FALSE,"Plan2"}</definedName>
    <definedName name="DDGSFG" localSheetId="6">{#N/A,#N/A,FALSE,"Plan1";#N/A,#N/A,FALSE,"Plan2"}</definedName>
    <definedName name="DDGSFG" localSheetId="3">{#N/A,#N/A,FALSE,"Plan1";#N/A,#N/A,FALSE,"Plan2"}</definedName>
    <definedName name="DDGSFG" localSheetId="8">{#N/A,#N/A,FALSE,"Plan1";#N/A,#N/A,FALSE,"Plan2"}</definedName>
    <definedName name="DDGSFG" localSheetId="5">{#N/A,#N/A,FALSE,"Plan1";#N/A,#N/A,FALSE,"Plan2"}</definedName>
    <definedName name="DDGSFG" localSheetId="4">{#N/A,#N/A,FALSE,"Plan1";#N/A,#N/A,FALSE,"Plan2"}</definedName>
    <definedName name="DDGSFG" localSheetId="13">{#N/A,#N/A,FALSE,"Plan1";#N/A,#N/A,FALSE,"Plan2"}</definedName>
    <definedName name="DDGSFG" localSheetId="17">{#N/A,#N/A,FALSE,"Plan1";#N/A,#N/A,FALSE,"Plan2"}</definedName>
    <definedName name="DDGSFG" localSheetId="0">{#N/A,#N/A,FALSE,"Plan1";#N/A,#N/A,FALSE,"Plan2"}</definedName>
    <definedName name="DDGSFG" localSheetId="19">{#N/A,#N/A,FALSE,"Plan1";#N/A,#N/A,FALSE,"Plan2"}</definedName>
    <definedName name="DDGSFG" localSheetId="16">{#N/A,#N/A,FALSE,"Plan1";#N/A,#N/A,FALSE,"Plan2"}</definedName>
    <definedName name="DDGSFG" localSheetId="18">{#N/A,#N/A,FALSE,"Plan1";#N/A,#N/A,FALSE,"Plan2"}</definedName>
    <definedName name="DDGSFG" localSheetId="10">{#N/A,#N/A,FALSE,"Plan1";#N/A,#N/A,FALSE,"Plan2"}</definedName>
    <definedName name="DDGSFG">{#N/A,#N/A,FALSE,"Plan1";#N/A,#N/A,FALSE,"Plan2"}</definedName>
    <definedName name="dede" localSheetId="9">{#N/A,#N/A,FALSE,"Plan1";#N/A,#N/A,FALSE,"Plan2"}</definedName>
    <definedName name="dede" localSheetId="6">{#N/A,#N/A,FALSE,"Plan1";#N/A,#N/A,FALSE,"Plan2"}</definedName>
    <definedName name="dede" localSheetId="3">{#N/A,#N/A,FALSE,"Plan1";#N/A,#N/A,FALSE,"Plan2"}</definedName>
    <definedName name="dede" localSheetId="8">{#N/A,#N/A,FALSE,"Plan1";#N/A,#N/A,FALSE,"Plan2"}</definedName>
    <definedName name="dede" localSheetId="5">{#N/A,#N/A,FALSE,"Plan1";#N/A,#N/A,FALSE,"Plan2"}</definedName>
    <definedName name="dede" localSheetId="4">{#N/A,#N/A,FALSE,"Plan1";#N/A,#N/A,FALSE,"Plan2"}</definedName>
    <definedName name="dede" localSheetId="13">{#N/A,#N/A,FALSE,"Plan1";#N/A,#N/A,FALSE,"Plan2"}</definedName>
    <definedName name="dede" localSheetId="17">{#N/A,#N/A,FALSE,"Plan1";#N/A,#N/A,FALSE,"Plan2"}</definedName>
    <definedName name="dede" localSheetId="0">{#N/A,#N/A,FALSE,"Plan1";#N/A,#N/A,FALSE,"Plan2"}</definedName>
    <definedName name="dede" localSheetId="19">{#N/A,#N/A,FALSE,"Plan1";#N/A,#N/A,FALSE,"Plan2"}</definedName>
    <definedName name="dede" localSheetId="16">{#N/A,#N/A,FALSE,"Plan1";#N/A,#N/A,FALSE,"Plan2"}</definedName>
    <definedName name="dede" localSheetId="18">{#N/A,#N/A,FALSE,"Plan1";#N/A,#N/A,FALSE,"Plan2"}</definedName>
    <definedName name="dede" localSheetId="10">{#N/A,#N/A,FALSE,"Plan1";#N/A,#N/A,FALSE,"Plan2"}</definedName>
    <definedName name="dede">{#N/A,#N/A,FALSE,"Plan1";#N/A,#N/A,FALSE,"Plan2"}</definedName>
    <definedName name="defasagem" localSheetId="6">OFFSET(INDEX(#REF!,MATCH(#REF!,#REF!,0)),1,0,COUNTA(#REF!)-1)</definedName>
    <definedName name="defasagem" localSheetId="4">OFFSET(INDEX(#REF!,MATCH(#REF!,#REF!,0)),1,0,COUNTA(#REF!)-1)</definedName>
    <definedName name="defasagem" localSheetId="13">OFFSET(INDEX(#REF!,MATCH(#REF!,#REF!,0)),1,0,COUNTA(#REF!)-1)</definedName>
    <definedName name="defasagem" localSheetId="19">OFFSET(INDEX(#REF!,MATCH(#REF!,#REF!,0)),1,0,COUNTA(#REF!)-1)</definedName>
    <definedName name="defasagem">OFFSET(INDEX(#REF!,MATCH(#REF!,#REF!,0)),1,0,COUNTA(#REF!)-1)</definedName>
    <definedName name="depara" localSheetId="3">#REF!</definedName>
    <definedName name="depara" localSheetId="5">#REF!</definedName>
    <definedName name="depara" localSheetId="26">#REF!</definedName>
    <definedName name="depara">#REF!</definedName>
    <definedName name="DERIVQT" localSheetId="3">#REF!</definedName>
    <definedName name="DERIVQT" localSheetId="5">#REF!</definedName>
    <definedName name="DERIVQT" localSheetId="26">#REF!</definedName>
    <definedName name="DERIVQT">#REF!</definedName>
    <definedName name="des" localSheetId="9">{#N/A,#N/A,FALSE,"Plan1";#N/A,#N/A,FALSE,"Plan2"}</definedName>
    <definedName name="des" localSheetId="6">{#N/A,#N/A,FALSE,"Plan1";#N/A,#N/A,FALSE,"Plan2"}</definedName>
    <definedName name="des" localSheetId="3">{#N/A,#N/A,FALSE,"Plan1";#N/A,#N/A,FALSE,"Plan2"}</definedName>
    <definedName name="des" localSheetId="8">{#N/A,#N/A,FALSE,"Plan1";#N/A,#N/A,FALSE,"Plan2"}</definedName>
    <definedName name="des" localSheetId="5">{#N/A,#N/A,FALSE,"Plan1";#N/A,#N/A,FALSE,"Plan2"}</definedName>
    <definedName name="des" localSheetId="4">{#N/A,#N/A,FALSE,"Plan1";#N/A,#N/A,FALSE,"Plan2"}</definedName>
    <definedName name="des" localSheetId="13">{#N/A,#N/A,FALSE,"Plan1";#N/A,#N/A,FALSE,"Plan2"}</definedName>
    <definedName name="des" localSheetId="17">{#N/A,#N/A,FALSE,"Plan1";#N/A,#N/A,FALSE,"Plan2"}</definedName>
    <definedName name="des" localSheetId="0">{#N/A,#N/A,FALSE,"Plan1";#N/A,#N/A,FALSE,"Plan2"}</definedName>
    <definedName name="des" localSheetId="19">{#N/A,#N/A,FALSE,"Plan1";#N/A,#N/A,FALSE,"Plan2"}</definedName>
    <definedName name="des" localSheetId="16">{#N/A,#N/A,FALSE,"Plan1";#N/A,#N/A,FALSE,"Plan2"}</definedName>
    <definedName name="des" localSheetId="18">{#N/A,#N/A,FALSE,"Plan1";#N/A,#N/A,FALSE,"Plan2"}</definedName>
    <definedName name="des" localSheetId="10">{#N/A,#N/A,FALSE,"Plan1";#N/A,#N/A,FALSE,"Plan2"}</definedName>
    <definedName name="des">{#N/A,#N/A,FALSE,"Plan1";#N/A,#N/A,FALSE,"Plan2"}</definedName>
    <definedName name="desc" localSheetId="9">{#N/A,#N/A,FALSE,"Plan1";#N/A,#N/A,FALSE,"Plan2"}</definedName>
    <definedName name="desc" localSheetId="6">{#N/A,#N/A,FALSE,"Plan1";#N/A,#N/A,FALSE,"Plan2"}</definedName>
    <definedName name="desc" localSheetId="3">{#N/A,#N/A,FALSE,"Plan1";#N/A,#N/A,FALSE,"Plan2"}</definedName>
    <definedName name="desc" localSheetId="8">{#N/A,#N/A,FALSE,"Plan1";#N/A,#N/A,FALSE,"Plan2"}</definedName>
    <definedName name="desc" localSheetId="5">{#N/A,#N/A,FALSE,"Plan1";#N/A,#N/A,FALSE,"Plan2"}</definedName>
    <definedName name="desc" localSheetId="4">{#N/A,#N/A,FALSE,"Plan1";#N/A,#N/A,FALSE,"Plan2"}</definedName>
    <definedName name="desc" localSheetId="13">{#N/A,#N/A,FALSE,"Plan1";#N/A,#N/A,FALSE,"Plan2"}</definedName>
    <definedName name="desc" localSheetId="17">{#N/A,#N/A,FALSE,"Plan1";#N/A,#N/A,FALSE,"Plan2"}</definedName>
    <definedName name="desc" localSheetId="0">{#N/A,#N/A,FALSE,"Plan1";#N/A,#N/A,FALSE,"Plan2"}</definedName>
    <definedName name="desc" localSheetId="19">{#N/A,#N/A,FALSE,"Plan1";#N/A,#N/A,FALSE,"Plan2"}</definedName>
    <definedName name="desc" localSheetId="16">{#N/A,#N/A,FALSE,"Plan1";#N/A,#N/A,FALSE,"Plan2"}</definedName>
    <definedName name="desc" localSheetId="18">{#N/A,#N/A,FALSE,"Plan1";#N/A,#N/A,FALSE,"Plan2"}</definedName>
    <definedName name="desc" localSheetId="10">{#N/A,#N/A,FALSE,"Plan1";#N/A,#N/A,FALSE,"Plan2"}</definedName>
    <definedName name="desc">{#N/A,#N/A,FALSE,"Plan1";#N/A,#N/A,FALSE,"Plan2"}</definedName>
    <definedName name="DESCONTO" localSheetId="3">#REF!</definedName>
    <definedName name="DESCONTO" localSheetId="8">#REF!</definedName>
    <definedName name="DESCONTO" localSheetId="5">#REF!</definedName>
    <definedName name="DESCONTO" localSheetId="26">#REF!</definedName>
    <definedName name="DESCONTO">#REF!</definedName>
    <definedName name="DESCRIÇÃO_OBRA" localSheetId="3">#REF!</definedName>
    <definedName name="DESCRIÇÃO_OBRA" localSheetId="5">#REF!</definedName>
    <definedName name="DESCRIÇÃO_OBRA" localSheetId="26">#REF!</definedName>
    <definedName name="DESCRIÇÃO_OBRA">#REF!</definedName>
    <definedName name="DespFatur" localSheetId="3">#REF!</definedName>
    <definedName name="DespFatur" localSheetId="5">#REF!</definedName>
    <definedName name="DespFatur" localSheetId="26">#REF!</definedName>
    <definedName name="DespFatur">#REF!</definedName>
    <definedName name="DEZ" localSheetId="3">#REF!</definedName>
    <definedName name="DEZ" localSheetId="5">#REF!</definedName>
    <definedName name="DEZ" localSheetId="26">#REF!</definedName>
    <definedName name="DEZ">#REF!</definedName>
    <definedName name="dez17RJ" localSheetId="3">#REF!</definedName>
    <definedName name="dez17RJ" localSheetId="5">#REF!</definedName>
    <definedName name="dez17RJ" localSheetId="26">#REF!</definedName>
    <definedName name="dez17RJ">#REF!</definedName>
    <definedName name="DEZEMBRO" localSheetId="3">#REF!</definedName>
    <definedName name="DEZEMBRO" localSheetId="5">#REF!</definedName>
    <definedName name="DEZEMBRO" localSheetId="26">#REF!</definedName>
    <definedName name="DEZEMBRO">#REF!</definedName>
    <definedName name="DEZENOVE" localSheetId="3">#REF!</definedName>
    <definedName name="DEZENOVE" localSheetId="5">#REF!</definedName>
    <definedName name="DEZENOVE" localSheetId="26">#REF!</definedName>
    <definedName name="DEZENOVE">#REF!</definedName>
    <definedName name="DEZESSEIS" localSheetId="3">#REF!</definedName>
    <definedName name="DEZESSEIS" localSheetId="5">#REF!</definedName>
    <definedName name="DEZESSEIS" localSheetId="26">#REF!</definedName>
    <definedName name="DEZESSEIS">#REF!</definedName>
    <definedName name="DEZESSETE" localSheetId="3">#REF!</definedName>
    <definedName name="DEZESSETE" localSheetId="5">#REF!</definedName>
    <definedName name="DEZESSETE" localSheetId="26">#REF!</definedName>
    <definedName name="DEZESSETE">#REF!</definedName>
    <definedName name="DEZOITO" localSheetId="3">#REF!</definedName>
    <definedName name="DEZOITO" localSheetId="5">#REF!</definedName>
    <definedName name="DEZOITO" localSheetId="26">#REF!</definedName>
    <definedName name="DEZOITO">#REF!</definedName>
    <definedName name="d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9">{#N/A,#N/A,FALSE,"명세표"}</definedName>
    <definedName name="DFD" localSheetId="6">{#N/A,#N/A,FALSE,"명세표"}</definedName>
    <definedName name="DFD" localSheetId="3">{#N/A,#N/A,FALSE,"명세표"}</definedName>
    <definedName name="DFD" localSheetId="8">{#N/A,#N/A,FALSE,"명세표"}</definedName>
    <definedName name="DFD" localSheetId="5">{#N/A,#N/A,FALSE,"명세표"}</definedName>
    <definedName name="DFD" localSheetId="4">{#N/A,#N/A,FALSE,"명세표"}</definedName>
    <definedName name="DFD" localSheetId="13">{#N/A,#N/A,FALSE,"명세표"}</definedName>
    <definedName name="DFD" localSheetId="17">{#N/A,#N/A,FALSE,"명세표"}</definedName>
    <definedName name="DFD" localSheetId="0">{#N/A,#N/A,FALSE,"명세표"}</definedName>
    <definedName name="DFD" localSheetId="19">{#N/A,#N/A,FALSE,"명세표"}</definedName>
    <definedName name="DFD" localSheetId="16">{#N/A,#N/A,FALSE,"명세표"}</definedName>
    <definedName name="DFD" localSheetId="18">{#N/A,#N/A,FALSE,"명세표"}</definedName>
    <definedName name="DFD" localSheetId="10">{#N/A,#N/A,FALSE,"명세표"}</definedName>
    <definedName name="DFD">{#N/A,#N/A,FALSE,"명세표"}</definedName>
    <definedName name="dfdfty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9">{#N/A,#N/A,FALSE,"Plan1";#N/A,#N/A,FALSE,"Plan2"}</definedName>
    <definedName name="dfdjgfdfgdf" localSheetId="6">{#N/A,#N/A,FALSE,"Plan1";#N/A,#N/A,FALSE,"Plan2"}</definedName>
    <definedName name="dfdjgfdfgdf" localSheetId="3">{#N/A,#N/A,FALSE,"Plan1";#N/A,#N/A,FALSE,"Plan2"}</definedName>
    <definedName name="dfdjgfdfgdf" localSheetId="8">{#N/A,#N/A,FALSE,"Plan1";#N/A,#N/A,FALSE,"Plan2"}</definedName>
    <definedName name="dfdjgfdfgdf" localSheetId="5">{#N/A,#N/A,FALSE,"Plan1";#N/A,#N/A,FALSE,"Plan2"}</definedName>
    <definedName name="dfdjgfdfgdf" localSheetId="4">{#N/A,#N/A,FALSE,"Plan1";#N/A,#N/A,FALSE,"Plan2"}</definedName>
    <definedName name="dfdjgfdfgdf" localSheetId="13">{#N/A,#N/A,FALSE,"Plan1";#N/A,#N/A,FALSE,"Plan2"}</definedName>
    <definedName name="dfdjgfdfgdf" localSheetId="17">{#N/A,#N/A,FALSE,"Plan1";#N/A,#N/A,FALSE,"Plan2"}</definedName>
    <definedName name="dfdjgfdfgdf" localSheetId="0">{#N/A,#N/A,FALSE,"Plan1";#N/A,#N/A,FALSE,"Plan2"}</definedName>
    <definedName name="dfdjgfdfgdf" localSheetId="19">{#N/A,#N/A,FALSE,"Plan1";#N/A,#N/A,FALSE,"Plan2"}</definedName>
    <definedName name="dfdjgfdfgdf" localSheetId="16">{#N/A,#N/A,FALSE,"Plan1";#N/A,#N/A,FALSE,"Plan2"}</definedName>
    <definedName name="dfdjgfdfgdf" localSheetId="18">{#N/A,#N/A,FALSE,"Plan1";#N/A,#N/A,FALSE,"Plan2"}</definedName>
    <definedName name="dfdjgfdfgdf" localSheetId="10">{#N/A,#N/A,FALSE,"Plan1";#N/A,#N/A,FALSE,"Plan2"}</definedName>
    <definedName name="dfdjgfdfgdf">{#N/A,#N/A,FALSE,"Plan1";#N/A,#N/A,FALSE,"Plan2"}</definedName>
    <definedName name="dfdrtrr" localSheetId="9">{#N/A,#N/A,FALSE,"Plan1";#N/A,#N/A,FALSE,"Plan2"}</definedName>
    <definedName name="dfdrtrr" localSheetId="6">{#N/A,#N/A,FALSE,"Plan1";#N/A,#N/A,FALSE,"Plan2"}</definedName>
    <definedName name="dfdrtrr" localSheetId="3">{#N/A,#N/A,FALSE,"Plan1";#N/A,#N/A,FALSE,"Plan2"}</definedName>
    <definedName name="dfdrtrr" localSheetId="8">{#N/A,#N/A,FALSE,"Plan1";#N/A,#N/A,FALSE,"Plan2"}</definedName>
    <definedName name="dfdrtrr" localSheetId="5">{#N/A,#N/A,FALSE,"Plan1";#N/A,#N/A,FALSE,"Plan2"}</definedName>
    <definedName name="dfdrtrr" localSheetId="4">{#N/A,#N/A,FALSE,"Plan1";#N/A,#N/A,FALSE,"Plan2"}</definedName>
    <definedName name="dfdrtrr" localSheetId="13">{#N/A,#N/A,FALSE,"Plan1";#N/A,#N/A,FALSE,"Plan2"}</definedName>
    <definedName name="dfdrtrr" localSheetId="17">{#N/A,#N/A,FALSE,"Plan1";#N/A,#N/A,FALSE,"Plan2"}</definedName>
    <definedName name="dfdrtrr" localSheetId="0">{#N/A,#N/A,FALSE,"Plan1";#N/A,#N/A,FALSE,"Plan2"}</definedName>
    <definedName name="dfdrtrr" localSheetId="19">{#N/A,#N/A,FALSE,"Plan1";#N/A,#N/A,FALSE,"Plan2"}</definedName>
    <definedName name="dfdrtrr" localSheetId="16">{#N/A,#N/A,FALSE,"Plan1";#N/A,#N/A,FALSE,"Plan2"}</definedName>
    <definedName name="dfdrtrr" localSheetId="18">{#N/A,#N/A,FALSE,"Plan1";#N/A,#N/A,FALSE,"Plan2"}</definedName>
    <definedName name="dfdrtrr" localSheetId="10">{#N/A,#N/A,FALSE,"Plan1";#N/A,#N/A,FALSE,"Plan2"}</definedName>
    <definedName name="dfdrtrr">{#N/A,#N/A,FALSE,"Plan1";#N/A,#N/A,FALSE,"Plan2"}</definedName>
    <definedName name="DFDSG" localSheetId="9">{#N/A,#N/A,FALSE,"Plan1";#N/A,#N/A,FALSE,"Plan2"}</definedName>
    <definedName name="DFDSG" localSheetId="6">{#N/A,#N/A,FALSE,"Plan1";#N/A,#N/A,FALSE,"Plan2"}</definedName>
    <definedName name="DFDSG" localSheetId="3">{#N/A,#N/A,FALSE,"Plan1";#N/A,#N/A,FALSE,"Plan2"}</definedName>
    <definedName name="DFDSG" localSheetId="8">{#N/A,#N/A,FALSE,"Plan1";#N/A,#N/A,FALSE,"Plan2"}</definedName>
    <definedName name="DFDSG" localSheetId="5">{#N/A,#N/A,FALSE,"Plan1";#N/A,#N/A,FALSE,"Plan2"}</definedName>
    <definedName name="DFDSG" localSheetId="4">{#N/A,#N/A,FALSE,"Plan1";#N/A,#N/A,FALSE,"Plan2"}</definedName>
    <definedName name="DFDSG" localSheetId="13">{#N/A,#N/A,FALSE,"Plan1";#N/A,#N/A,FALSE,"Plan2"}</definedName>
    <definedName name="DFDSG" localSheetId="17">{#N/A,#N/A,FALSE,"Plan1";#N/A,#N/A,FALSE,"Plan2"}</definedName>
    <definedName name="DFDSG" localSheetId="0">{#N/A,#N/A,FALSE,"Plan1";#N/A,#N/A,FALSE,"Plan2"}</definedName>
    <definedName name="DFDSG" localSheetId="19">{#N/A,#N/A,FALSE,"Plan1";#N/A,#N/A,FALSE,"Plan2"}</definedName>
    <definedName name="DFDSG" localSheetId="16">{#N/A,#N/A,FALSE,"Plan1";#N/A,#N/A,FALSE,"Plan2"}</definedName>
    <definedName name="DFDSG" localSheetId="18">{#N/A,#N/A,FALSE,"Plan1";#N/A,#N/A,FALSE,"Plan2"}</definedName>
    <definedName name="DFDSG" localSheetId="10">{#N/A,#N/A,FALSE,"Plan1";#N/A,#N/A,FALSE,"Plan2"}</definedName>
    <definedName name="DFDSG">{#N/A,#N/A,FALSE,"Plan1";#N/A,#N/A,FALSE,"Plan2"}</definedName>
    <definedName name="dfer" localSheetId="9">{#N/A,#N/A,FALSE,"Plan1";#N/A,#N/A,FALSE,"Plan2"}</definedName>
    <definedName name="dfer" localSheetId="6">{#N/A,#N/A,FALSE,"Plan1";#N/A,#N/A,FALSE,"Plan2"}</definedName>
    <definedName name="dfer" localSheetId="3">{#N/A,#N/A,FALSE,"Plan1";#N/A,#N/A,FALSE,"Plan2"}</definedName>
    <definedName name="dfer" localSheetId="8">{#N/A,#N/A,FALSE,"Plan1";#N/A,#N/A,FALSE,"Plan2"}</definedName>
    <definedName name="dfer" localSheetId="5">{#N/A,#N/A,FALSE,"Plan1";#N/A,#N/A,FALSE,"Plan2"}</definedName>
    <definedName name="dfer" localSheetId="4">{#N/A,#N/A,FALSE,"Plan1";#N/A,#N/A,FALSE,"Plan2"}</definedName>
    <definedName name="dfer" localSheetId="13">{#N/A,#N/A,FALSE,"Plan1";#N/A,#N/A,FALSE,"Plan2"}</definedName>
    <definedName name="dfer" localSheetId="17">{#N/A,#N/A,FALSE,"Plan1";#N/A,#N/A,FALSE,"Plan2"}</definedName>
    <definedName name="dfer" localSheetId="0">{#N/A,#N/A,FALSE,"Plan1";#N/A,#N/A,FALSE,"Plan2"}</definedName>
    <definedName name="dfer" localSheetId="19">{#N/A,#N/A,FALSE,"Plan1";#N/A,#N/A,FALSE,"Plan2"}</definedName>
    <definedName name="dfer" localSheetId="16">{#N/A,#N/A,FALSE,"Plan1";#N/A,#N/A,FALSE,"Plan2"}</definedName>
    <definedName name="dfer" localSheetId="18">{#N/A,#N/A,FALSE,"Plan1";#N/A,#N/A,FALSE,"Plan2"}</definedName>
    <definedName name="dfer" localSheetId="10">{#N/A,#N/A,FALSE,"Plan1";#N/A,#N/A,FALSE,"Plan2"}</definedName>
    <definedName name="dfer">{#N/A,#N/A,FALSE,"Plan1";#N/A,#N/A,FALSE,"Plan2"}</definedName>
    <definedName name="dffbty" localSheetId="9">{#N/A,#N/A,FALSE,"Plan1";#N/A,#N/A,FALSE,"Plan2"}</definedName>
    <definedName name="dffbty" localSheetId="6">{#N/A,#N/A,FALSE,"Plan1";#N/A,#N/A,FALSE,"Plan2"}</definedName>
    <definedName name="dffbty" localSheetId="3">{#N/A,#N/A,FALSE,"Plan1";#N/A,#N/A,FALSE,"Plan2"}</definedName>
    <definedName name="dffbty" localSheetId="8">{#N/A,#N/A,FALSE,"Plan1";#N/A,#N/A,FALSE,"Plan2"}</definedName>
    <definedName name="dffbty" localSheetId="5">{#N/A,#N/A,FALSE,"Plan1";#N/A,#N/A,FALSE,"Plan2"}</definedName>
    <definedName name="dffbty" localSheetId="4">{#N/A,#N/A,FALSE,"Plan1";#N/A,#N/A,FALSE,"Plan2"}</definedName>
    <definedName name="dffbty" localSheetId="13">{#N/A,#N/A,FALSE,"Plan1";#N/A,#N/A,FALSE,"Plan2"}</definedName>
    <definedName name="dffbty" localSheetId="17">{#N/A,#N/A,FALSE,"Plan1";#N/A,#N/A,FALSE,"Plan2"}</definedName>
    <definedName name="dffbty" localSheetId="0">{#N/A,#N/A,FALSE,"Plan1";#N/A,#N/A,FALSE,"Plan2"}</definedName>
    <definedName name="dffbty" localSheetId="19">{#N/A,#N/A,FALSE,"Plan1";#N/A,#N/A,FALSE,"Plan2"}</definedName>
    <definedName name="dffbty" localSheetId="16">{#N/A,#N/A,FALSE,"Plan1";#N/A,#N/A,FALSE,"Plan2"}</definedName>
    <definedName name="dffbty" localSheetId="18">{#N/A,#N/A,FALSE,"Plan1";#N/A,#N/A,FALSE,"Plan2"}</definedName>
    <definedName name="dffbty" localSheetId="10">{#N/A,#N/A,FALSE,"Plan1";#N/A,#N/A,FALSE,"Plan2"}</definedName>
    <definedName name="dffbty">{#N/A,#N/A,FALSE,"Plan1";#N/A,#N/A,FALSE,"Plan2"}</definedName>
    <definedName name="dffg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9">{#N/A,#N/A,FALSE,"Plan1";#N/A,#N/A,FALSE,"Plan2"}</definedName>
    <definedName name="dffhg" localSheetId="6">{#N/A,#N/A,FALSE,"Plan1";#N/A,#N/A,FALSE,"Plan2"}</definedName>
    <definedName name="dffhg" localSheetId="3">{#N/A,#N/A,FALSE,"Plan1";#N/A,#N/A,FALSE,"Plan2"}</definedName>
    <definedName name="dffhg" localSheetId="8">{#N/A,#N/A,FALSE,"Plan1";#N/A,#N/A,FALSE,"Plan2"}</definedName>
    <definedName name="dffhg" localSheetId="5">{#N/A,#N/A,FALSE,"Plan1";#N/A,#N/A,FALSE,"Plan2"}</definedName>
    <definedName name="dffhg" localSheetId="4">{#N/A,#N/A,FALSE,"Plan1";#N/A,#N/A,FALSE,"Plan2"}</definedName>
    <definedName name="dffhg" localSheetId="13">{#N/A,#N/A,FALSE,"Plan1";#N/A,#N/A,FALSE,"Plan2"}</definedName>
    <definedName name="dffhg" localSheetId="17">{#N/A,#N/A,FALSE,"Plan1";#N/A,#N/A,FALSE,"Plan2"}</definedName>
    <definedName name="dffhg" localSheetId="0">{#N/A,#N/A,FALSE,"Plan1";#N/A,#N/A,FALSE,"Plan2"}</definedName>
    <definedName name="dffhg" localSheetId="19">{#N/A,#N/A,FALSE,"Plan1";#N/A,#N/A,FALSE,"Plan2"}</definedName>
    <definedName name="dffhg" localSheetId="16">{#N/A,#N/A,FALSE,"Plan1";#N/A,#N/A,FALSE,"Plan2"}</definedName>
    <definedName name="dffhg" localSheetId="18">{#N/A,#N/A,FALSE,"Plan1";#N/A,#N/A,FALSE,"Plan2"}</definedName>
    <definedName name="dffhg" localSheetId="10">{#N/A,#N/A,FALSE,"Plan1";#N/A,#N/A,FALSE,"Plan2"}</definedName>
    <definedName name="dffhg">{#N/A,#N/A,FALSE,"Plan1";#N/A,#N/A,FALSE,"Plan2"}</definedName>
    <definedName name="dfg" localSheetId="9">{#N/A,#N/A,FALSE,"Plan1";#N/A,#N/A,FALSE,"Plan2"}</definedName>
    <definedName name="dfg" localSheetId="6">{#N/A,#N/A,FALSE,"Plan1";#N/A,#N/A,FALSE,"Plan2"}</definedName>
    <definedName name="dfg" localSheetId="3">{#N/A,#N/A,FALSE,"Plan1";#N/A,#N/A,FALSE,"Plan2"}</definedName>
    <definedName name="dfg" localSheetId="8">{#N/A,#N/A,FALSE,"Plan1";#N/A,#N/A,FALSE,"Plan2"}</definedName>
    <definedName name="dfg" localSheetId="5">{#N/A,#N/A,FALSE,"Plan1";#N/A,#N/A,FALSE,"Plan2"}</definedName>
    <definedName name="dfg" localSheetId="4">{#N/A,#N/A,FALSE,"Plan1";#N/A,#N/A,FALSE,"Plan2"}</definedName>
    <definedName name="dfg" localSheetId="13">{#N/A,#N/A,FALSE,"Plan1";#N/A,#N/A,FALSE,"Plan2"}</definedName>
    <definedName name="dfg" localSheetId="17">{#N/A,#N/A,FALSE,"Plan1";#N/A,#N/A,FALSE,"Plan2"}</definedName>
    <definedName name="dfg" localSheetId="0">{#N/A,#N/A,FALSE,"Plan1";#N/A,#N/A,FALSE,"Plan2"}</definedName>
    <definedName name="dfg" localSheetId="19">{#N/A,#N/A,FALSE,"Plan1";#N/A,#N/A,FALSE,"Plan2"}</definedName>
    <definedName name="dfg" localSheetId="16">{#N/A,#N/A,FALSE,"Plan1";#N/A,#N/A,FALSE,"Plan2"}</definedName>
    <definedName name="dfg" localSheetId="18">{#N/A,#N/A,FALSE,"Plan1";#N/A,#N/A,FALSE,"Plan2"}</definedName>
    <definedName name="dfg" localSheetId="10">{#N/A,#N/A,FALSE,"Plan1";#N/A,#N/A,FALSE,"Plan2"}</definedName>
    <definedName name="dfg">{#N/A,#N/A,FALSE,"Plan1";#N/A,#N/A,FALSE,"Plan2"}</definedName>
    <definedName name="dfgdf" localSheetId="9">{#N/A,#N/A,FALSE,"Plan1";#N/A,#N/A,FALSE,"Plan2"}</definedName>
    <definedName name="dfgdf" localSheetId="6">{#N/A,#N/A,FALSE,"Plan1";#N/A,#N/A,FALSE,"Plan2"}</definedName>
    <definedName name="dfgdf" localSheetId="3">{#N/A,#N/A,FALSE,"Plan1";#N/A,#N/A,FALSE,"Plan2"}</definedName>
    <definedName name="dfgdf" localSheetId="8">{#N/A,#N/A,FALSE,"Plan1";#N/A,#N/A,FALSE,"Plan2"}</definedName>
    <definedName name="dfgdf" localSheetId="5">{#N/A,#N/A,FALSE,"Plan1";#N/A,#N/A,FALSE,"Plan2"}</definedName>
    <definedName name="dfgdf" localSheetId="4">{#N/A,#N/A,FALSE,"Plan1";#N/A,#N/A,FALSE,"Plan2"}</definedName>
    <definedName name="dfgdf" localSheetId="13">{#N/A,#N/A,FALSE,"Plan1";#N/A,#N/A,FALSE,"Plan2"}</definedName>
    <definedName name="dfgdf" localSheetId="17">{#N/A,#N/A,FALSE,"Plan1";#N/A,#N/A,FALSE,"Plan2"}</definedName>
    <definedName name="dfgdf" localSheetId="0">{#N/A,#N/A,FALSE,"Plan1";#N/A,#N/A,FALSE,"Plan2"}</definedName>
    <definedName name="dfgdf" localSheetId="19">{#N/A,#N/A,FALSE,"Plan1";#N/A,#N/A,FALSE,"Plan2"}</definedName>
    <definedName name="dfgdf" localSheetId="16">{#N/A,#N/A,FALSE,"Plan1";#N/A,#N/A,FALSE,"Plan2"}</definedName>
    <definedName name="dfgdf" localSheetId="18">{#N/A,#N/A,FALSE,"Plan1";#N/A,#N/A,FALSE,"Plan2"}</definedName>
    <definedName name="dfgdf" localSheetId="10">{#N/A,#N/A,FALSE,"Plan1";#N/A,#N/A,FALSE,"Plan2"}</definedName>
    <definedName name="dfgdf">{#N/A,#N/A,FALSE,"Plan1";#N/A,#N/A,FALSE,"Plan2"}</definedName>
    <definedName name="dfgdytygr" localSheetId="9">{#N/A,#N/A,FALSE,"Plan1";#N/A,#N/A,FALSE,"Plan2"}</definedName>
    <definedName name="dfgdytygr" localSheetId="6">{#N/A,#N/A,FALSE,"Plan1";#N/A,#N/A,FALSE,"Plan2"}</definedName>
    <definedName name="dfgdytygr" localSheetId="3">{#N/A,#N/A,FALSE,"Plan1";#N/A,#N/A,FALSE,"Plan2"}</definedName>
    <definedName name="dfgdytygr" localSheetId="8">{#N/A,#N/A,FALSE,"Plan1";#N/A,#N/A,FALSE,"Plan2"}</definedName>
    <definedName name="dfgdytygr" localSheetId="5">{#N/A,#N/A,FALSE,"Plan1";#N/A,#N/A,FALSE,"Plan2"}</definedName>
    <definedName name="dfgdytygr" localSheetId="4">{#N/A,#N/A,FALSE,"Plan1";#N/A,#N/A,FALSE,"Plan2"}</definedName>
    <definedName name="dfgdytygr" localSheetId="13">{#N/A,#N/A,FALSE,"Plan1";#N/A,#N/A,FALSE,"Plan2"}</definedName>
    <definedName name="dfgdytygr" localSheetId="17">{#N/A,#N/A,FALSE,"Plan1";#N/A,#N/A,FALSE,"Plan2"}</definedName>
    <definedName name="dfgdytygr" localSheetId="0">{#N/A,#N/A,FALSE,"Plan1";#N/A,#N/A,FALSE,"Plan2"}</definedName>
    <definedName name="dfgdytygr" localSheetId="19">{#N/A,#N/A,FALSE,"Plan1";#N/A,#N/A,FALSE,"Plan2"}</definedName>
    <definedName name="dfgdytygr" localSheetId="16">{#N/A,#N/A,FALSE,"Plan1";#N/A,#N/A,FALSE,"Plan2"}</definedName>
    <definedName name="dfgdytygr" localSheetId="18">{#N/A,#N/A,FALSE,"Plan1";#N/A,#N/A,FALSE,"Plan2"}</definedName>
    <definedName name="dfgdytygr" localSheetId="10">{#N/A,#N/A,FALSE,"Plan1";#N/A,#N/A,FALSE,"Plan2"}</definedName>
    <definedName name="dfgdytygr">{#N/A,#N/A,FALSE,"Plan1";#N/A,#N/A,FALSE,"Plan2"}</definedName>
    <definedName name="dfgftrrdt5" localSheetId="9">{#N/A,#N/A,FALSE,"Plan1";#N/A,#N/A,FALSE,"Plan2"}</definedName>
    <definedName name="dfgftrrdt5" localSheetId="6">{#N/A,#N/A,FALSE,"Plan1";#N/A,#N/A,FALSE,"Plan2"}</definedName>
    <definedName name="dfgftrrdt5" localSheetId="3">{#N/A,#N/A,FALSE,"Plan1";#N/A,#N/A,FALSE,"Plan2"}</definedName>
    <definedName name="dfgftrrdt5" localSheetId="8">{#N/A,#N/A,FALSE,"Plan1";#N/A,#N/A,FALSE,"Plan2"}</definedName>
    <definedName name="dfgftrrdt5" localSheetId="5">{#N/A,#N/A,FALSE,"Plan1";#N/A,#N/A,FALSE,"Plan2"}</definedName>
    <definedName name="dfgftrrdt5" localSheetId="4">{#N/A,#N/A,FALSE,"Plan1";#N/A,#N/A,FALSE,"Plan2"}</definedName>
    <definedName name="dfgftrrdt5" localSheetId="13">{#N/A,#N/A,FALSE,"Plan1";#N/A,#N/A,FALSE,"Plan2"}</definedName>
    <definedName name="dfgftrrdt5" localSheetId="17">{#N/A,#N/A,FALSE,"Plan1";#N/A,#N/A,FALSE,"Plan2"}</definedName>
    <definedName name="dfgftrrdt5" localSheetId="0">{#N/A,#N/A,FALSE,"Plan1";#N/A,#N/A,FALSE,"Plan2"}</definedName>
    <definedName name="dfgftrrdt5" localSheetId="19">{#N/A,#N/A,FALSE,"Plan1";#N/A,#N/A,FALSE,"Plan2"}</definedName>
    <definedName name="dfgftrrdt5" localSheetId="16">{#N/A,#N/A,FALSE,"Plan1";#N/A,#N/A,FALSE,"Plan2"}</definedName>
    <definedName name="dfgftrrdt5" localSheetId="18">{#N/A,#N/A,FALSE,"Plan1";#N/A,#N/A,FALSE,"Plan2"}</definedName>
    <definedName name="dfgftrrdt5" localSheetId="10">{#N/A,#N/A,FALSE,"Plan1";#N/A,#N/A,FALSE,"Plan2"}</definedName>
    <definedName name="dfgftrrdt5">{#N/A,#N/A,FALSE,"Plan1";#N/A,#N/A,FALSE,"Plan2"}</definedName>
    <definedName name="dfgh" localSheetId="3">#REF!</definedName>
    <definedName name="dfgh" localSheetId="5">#REF!</definedName>
    <definedName name="dfgh" localSheetId="26">#REF!</definedName>
    <definedName name="dfgh">#REF!</definedName>
    <definedName name="dfghjfhsg" localSheetId="9">{#N/A,#N/A,FALSE,"Plan1";#N/A,#N/A,FALSE,"Plan2"}</definedName>
    <definedName name="dfghjfhsg" localSheetId="6">{#N/A,#N/A,FALSE,"Plan1";#N/A,#N/A,FALSE,"Plan2"}</definedName>
    <definedName name="dfghjfhsg" localSheetId="3">{#N/A,#N/A,FALSE,"Plan1";#N/A,#N/A,FALSE,"Plan2"}</definedName>
    <definedName name="dfghjfhsg" localSheetId="8">{#N/A,#N/A,FALSE,"Plan1";#N/A,#N/A,FALSE,"Plan2"}</definedName>
    <definedName name="dfghjfhsg" localSheetId="5">{#N/A,#N/A,FALSE,"Plan1";#N/A,#N/A,FALSE,"Plan2"}</definedName>
    <definedName name="dfghjfhsg" localSheetId="4">{#N/A,#N/A,FALSE,"Plan1";#N/A,#N/A,FALSE,"Plan2"}</definedName>
    <definedName name="dfghjfhsg" localSheetId="13">{#N/A,#N/A,FALSE,"Plan1";#N/A,#N/A,FALSE,"Plan2"}</definedName>
    <definedName name="dfghjfhsg" localSheetId="17">{#N/A,#N/A,FALSE,"Plan1";#N/A,#N/A,FALSE,"Plan2"}</definedName>
    <definedName name="dfghjfhsg" localSheetId="0">{#N/A,#N/A,FALSE,"Plan1";#N/A,#N/A,FALSE,"Plan2"}</definedName>
    <definedName name="dfghjfhsg" localSheetId="19">{#N/A,#N/A,FALSE,"Plan1";#N/A,#N/A,FALSE,"Plan2"}</definedName>
    <definedName name="dfghjfhsg" localSheetId="16">{#N/A,#N/A,FALSE,"Plan1";#N/A,#N/A,FALSE,"Plan2"}</definedName>
    <definedName name="dfghjfhsg" localSheetId="18">{#N/A,#N/A,FALSE,"Plan1";#N/A,#N/A,FALSE,"Plan2"}</definedName>
    <definedName name="dfghjfhsg" localSheetId="10">{#N/A,#N/A,FALSE,"Plan1";#N/A,#N/A,FALSE,"Plan2"}</definedName>
    <definedName name="dfghjfhsg">{#N/A,#N/A,FALSE,"Plan1";#N/A,#N/A,FALSE,"Plan2"}</definedName>
    <definedName name="dfgj" localSheetId="9">{#N/A,#N/A,FALSE,"Plan1";#N/A,#N/A,FALSE,"Plan2"}</definedName>
    <definedName name="dfgj" localSheetId="6">{#N/A,#N/A,FALSE,"Plan1";#N/A,#N/A,FALSE,"Plan2"}</definedName>
    <definedName name="dfgj" localSheetId="3">{#N/A,#N/A,FALSE,"Plan1";#N/A,#N/A,FALSE,"Plan2"}</definedName>
    <definedName name="dfgj" localSheetId="8">{#N/A,#N/A,FALSE,"Plan1";#N/A,#N/A,FALSE,"Plan2"}</definedName>
    <definedName name="dfgj" localSheetId="5">{#N/A,#N/A,FALSE,"Plan1";#N/A,#N/A,FALSE,"Plan2"}</definedName>
    <definedName name="dfgj" localSheetId="4">{#N/A,#N/A,FALSE,"Plan1";#N/A,#N/A,FALSE,"Plan2"}</definedName>
    <definedName name="dfgj" localSheetId="13">{#N/A,#N/A,FALSE,"Plan1";#N/A,#N/A,FALSE,"Plan2"}</definedName>
    <definedName name="dfgj" localSheetId="17">{#N/A,#N/A,FALSE,"Plan1";#N/A,#N/A,FALSE,"Plan2"}</definedName>
    <definedName name="dfgj" localSheetId="0">{#N/A,#N/A,FALSE,"Plan1";#N/A,#N/A,FALSE,"Plan2"}</definedName>
    <definedName name="dfgj" localSheetId="19">{#N/A,#N/A,FALSE,"Plan1";#N/A,#N/A,FALSE,"Plan2"}</definedName>
    <definedName name="dfgj" localSheetId="16">{#N/A,#N/A,FALSE,"Plan1";#N/A,#N/A,FALSE,"Plan2"}</definedName>
    <definedName name="dfgj" localSheetId="18">{#N/A,#N/A,FALSE,"Plan1";#N/A,#N/A,FALSE,"Plan2"}</definedName>
    <definedName name="dfgj" localSheetId="10">{#N/A,#N/A,FALSE,"Plan1";#N/A,#N/A,FALSE,"Plan2"}</definedName>
    <definedName name="dfgj">{#N/A,#N/A,FALSE,"Plan1";#N/A,#N/A,FALSE,"Plan2"}</definedName>
    <definedName name="dfgjfttyd" localSheetId="9">{#N/A,#N/A,FALSE,"Plan1";#N/A,#N/A,FALSE,"Plan2"}</definedName>
    <definedName name="dfgjfttyd" localSheetId="6">{#N/A,#N/A,FALSE,"Plan1";#N/A,#N/A,FALSE,"Plan2"}</definedName>
    <definedName name="dfgjfttyd" localSheetId="3">{#N/A,#N/A,FALSE,"Plan1";#N/A,#N/A,FALSE,"Plan2"}</definedName>
    <definedName name="dfgjfttyd" localSheetId="8">{#N/A,#N/A,FALSE,"Plan1";#N/A,#N/A,FALSE,"Plan2"}</definedName>
    <definedName name="dfgjfttyd" localSheetId="5">{#N/A,#N/A,FALSE,"Plan1";#N/A,#N/A,FALSE,"Plan2"}</definedName>
    <definedName name="dfgjfttyd" localSheetId="4">{#N/A,#N/A,FALSE,"Plan1";#N/A,#N/A,FALSE,"Plan2"}</definedName>
    <definedName name="dfgjfttyd" localSheetId="13">{#N/A,#N/A,FALSE,"Plan1";#N/A,#N/A,FALSE,"Plan2"}</definedName>
    <definedName name="dfgjfttyd" localSheetId="17">{#N/A,#N/A,FALSE,"Plan1";#N/A,#N/A,FALSE,"Plan2"}</definedName>
    <definedName name="dfgjfttyd" localSheetId="0">{#N/A,#N/A,FALSE,"Plan1";#N/A,#N/A,FALSE,"Plan2"}</definedName>
    <definedName name="dfgjfttyd" localSheetId="19">{#N/A,#N/A,FALSE,"Plan1";#N/A,#N/A,FALSE,"Plan2"}</definedName>
    <definedName name="dfgjfttyd" localSheetId="16">{#N/A,#N/A,FALSE,"Plan1";#N/A,#N/A,FALSE,"Plan2"}</definedName>
    <definedName name="dfgjfttyd" localSheetId="18">{#N/A,#N/A,FALSE,"Plan1";#N/A,#N/A,FALSE,"Plan2"}</definedName>
    <definedName name="dfgjfttyd" localSheetId="10">{#N/A,#N/A,FALSE,"Plan1";#N/A,#N/A,FALSE,"Plan2"}</definedName>
    <definedName name="dfgjfttyd">{#N/A,#N/A,FALSE,"Plan1";#N/A,#N/A,FALSE,"Plan2"}</definedName>
    <definedName name="dfgjjtdrtg" localSheetId="9">{#N/A,#N/A,FALSE,"Plan1";#N/A,#N/A,FALSE,"Plan2"}</definedName>
    <definedName name="dfgjjtdrtg" localSheetId="6">{#N/A,#N/A,FALSE,"Plan1";#N/A,#N/A,FALSE,"Plan2"}</definedName>
    <definedName name="dfgjjtdrtg" localSheetId="3">{#N/A,#N/A,FALSE,"Plan1";#N/A,#N/A,FALSE,"Plan2"}</definedName>
    <definedName name="dfgjjtdrtg" localSheetId="8">{#N/A,#N/A,FALSE,"Plan1";#N/A,#N/A,FALSE,"Plan2"}</definedName>
    <definedName name="dfgjjtdrtg" localSheetId="5">{#N/A,#N/A,FALSE,"Plan1";#N/A,#N/A,FALSE,"Plan2"}</definedName>
    <definedName name="dfgjjtdrtg" localSheetId="4">{#N/A,#N/A,FALSE,"Plan1";#N/A,#N/A,FALSE,"Plan2"}</definedName>
    <definedName name="dfgjjtdrtg" localSheetId="13">{#N/A,#N/A,FALSE,"Plan1";#N/A,#N/A,FALSE,"Plan2"}</definedName>
    <definedName name="dfgjjtdrtg" localSheetId="17">{#N/A,#N/A,FALSE,"Plan1";#N/A,#N/A,FALSE,"Plan2"}</definedName>
    <definedName name="dfgjjtdrtg" localSheetId="0">{#N/A,#N/A,FALSE,"Plan1";#N/A,#N/A,FALSE,"Plan2"}</definedName>
    <definedName name="dfgjjtdrtg" localSheetId="19">{#N/A,#N/A,FALSE,"Plan1";#N/A,#N/A,FALSE,"Plan2"}</definedName>
    <definedName name="dfgjjtdrtg" localSheetId="16">{#N/A,#N/A,FALSE,"Plan1";#N/A,#N/A,FALSE,"Plan2"}</definedName>
    <definedName name="dfgjjtdrtg" localSheetId="18">{#N/A,#N/A,FALSE,"Plan1";#N/A,#N/A,FALSE,"Plan2"}</definedName>
    <definedName name="dfgjjtdrtg" localSheetId="10">{#N/A,#N/A,FALSE,"Plan1";#N/A,#N/A,FALSE,"Plan2"}</definedName>
    <definedName name="dfgjjtdrtg">{#N/A,#N/A,FALSE,"Plan1";#N/A,#N/A,FALSE,"Plan2"}</definedName>
    <definedName name="dfgt" localSheetId="9">{#N/A,#N/A,FALSE,"Plan1";#N/A,#N/A,FALSE,"Plan2"}</definedName>
    <definedName name="dfgt" localSheetId="6">{#N/A,#N/A,FALSE,"Plan1";#N/A,#N/A,FALSE,"Plan2"}</definedName>
    <definedName name="dfgt" localSheetId="3">{#N/A,#N/A,FALSE,"Plan1";#N/A,#N/A,FALSE,"Plan2"}</definedName>
    <definedName name="dfgt" localSheetId="8">{#N/A,#N/A,FALSE,"Plan1";#N/A,#N/A,FALSE,"Plan2"}</definedName>
    <definedName name="dfgt" localSheetId="5">{#N/A,#N/A,FALSE,"Plan1";#N/A,#N/A,FALSE,"Plan2"}</definedName>
    <definedName name="dfgt" localSheetId="4">{#N/A,#N/A,FALSE,"Plan1";#N/A,#N/A,FALSE,"Plan2"}</definedName>
    <definedName name="dfgt" localSheetId="13">{#N/A,#N/A,FALSE,"Plan1";#N/A,#N/A,FALSE,"Plan2"}</definedName>
    <definedName name="dfgt" localSheetId="17">{#N/A,#N/A,FALSE,"Plan1";#N/A,#N/A,FALSE,"Plan2"}</definedName>
    <definedName name="dfgt" localSheetId="0">{#N/A,#N/A,FALSE,"Plan1";#N/A,#N/A,FALSE,"Plan2"}</definedName>
    <definedName name="dfgt" localSheetId="19">{#N/A,#N/A,FALSE,"Plan1";#N/A,#N/A,FALSE,"Plan2"}</definedName>
    <definedName name="dfgt" localSheetId="16">{#N/A,#N/A,FALSE,"Plan1";#N/A,#N/A,FALSE,"Plan2"}</definedName>
    <definedName name="dfgt" localSheetId="18">{#N/A,#N/A,FALSE,"Plan1";#N/A,#N/A,FALSE,"Plan2"}</definedName>
    <definedName name="dfgt" localSheetId="10">{#N/A,#N/A,FALSE,"Plan1";#N/A,#N/A,FALSE,"Plan2"}</definedName>
    <definedName name="dfgt">{#N/A,#N/A,FALSE,"Plan1";#N/A,#N/A,FALSE,"Plan2"}</definedName>
    <definedName name="dfgtrkjhk" localSheetId="9">{#N/A,#N/A,FALSE,"Plan1";#N/A,#N/A,FALSE,"Plan2"}</definedName>
    <definedName name="dfgtrkjhk" localSheetId="6">{#N/A,#N/A,FALSE,"Plan1";#N/A,#N/A,FALSE,"Plan2"}</definedName>
    <definedName name="dfgtrkjhk" localSheetId="3">{#N/A,#N/A,FALSE,"Plan1";#N/A,#N/A,FALSE,"Plan2"}</definedName>
    <definedName name="dfgtrkjhk" localSheetId="8">{#N/A,#N/A,FALSE,"Plan1";#N/A,#N/A,FALSE,"Plan2"}</definedName>
    <definedName name="dfgtrkjhk" localSheetId="5">{#N/A,#N/A,FALSE,"Plan1";#N/A,#N/A,FALSE,"Plan2"}</definedName>
    <definedName name="dfgtrkjhk" localSheetId="4">{#N/A,#N/A,FALSE,"Plan1";#N/A,#N/A,FALSE,"Plan2"}</definedName>
    <definedName name="dfgtrkjhk" localSheetId="13">{#N/A,#N/A,FALSE,"Plan1";#N/A,#N/A,FALSE,"Plan2"}</definedName>
    <definedName name="dfgtrkjhk" localSheetId="17">{#N/A,#N/A,FALSE,"Plan1";#N/A,#N/A,FALSE,"Plan2"}</definedName>
    <definedName name="dfgtrkjhk" localSheetId="0">{#N/A,#N/A,FALSE,"Plan1";#N/A,#N/A,FALSE,"Plan2"}</definedName>
    <definedName name="dfgtrkjhk" localSheetId="19">{#N/A,#N/A,FALSE,"Plan1";#N/A,#N/A,FALSE,"Plan2"}</definedName>
    <definedName name="dfgtrkjhk" localSheetId="16">{#N/A,#N/A,FALSE,"Plan1";#N/A,#N/A,FALSE,"Plan2"}</definedName>
    <definedName name="dfgtrkjhk" localSheetId="18">{#N/A,#N/A,FALSE,"Plan1";#N/A,#N/A,FALSE,"Plan2"}</definedName>
    <definedName name="dfgtrkjhk" localSheetId="10">{#N/A,#N/A,FALSE,"Plan1";#N/A,#N/A,FALSE,"Plan2"}</definedName>
    <definedName name="dfgtrkjhk">{#N/A,#N/A,FALSE,"Plan1";#N/A,#N/A,FALSE,"Plan2"}</definedName>
    <definedName name="dfgty" localSheetId="9">{#N/A,#N/A,FALSE,"Plan1";#N/A,#N/A,FALSE,"Plan2"}</definedName>
    <definedName name="dfgty" localSheetId="6">{#N/A,#N/A,FALSE,"Plan1";#N/A,#N/A,FALSE,"Plan2"}</definedName>
    <definedName name="dfgty" localSheetId="3">{#N/A,#N/A,FALSE,"Plan1";#N/A,#N/A,FALSE,"Plan2"}</definedName>
    <definedName name="dfgty" localSheetId="8">{#N/A,#N/A,FALSE,"Plan1";#N/A,#N/A,FALSE,"Plan2"}</definedName>
    <definedName name="dfgty" localSheetId="5">{#N/A,#N/A,FALSE,"Plan1";#N/A,#N/A,FALSE,"Plan2"}</definedName>
    <definedName name="dfgty" localSheetId="4">{#N/A,#N/A,FALSE,"Plan1";#N/A,#N/A,FALSE,"Plan2"}</definedName>
    <definedName name="dfgty" localSheetId="13">{#N/A,#N/A,FALSE,"Plan1";#N/A,#N/A,FALSE,"Plan2"}</definedName>
    <definedName name="dfgty" localSheetId="17">{#N/A,#N/A,FALSE,"Plan1";#N/A,#N/A,FALSE,"Plan2"}</definedName>
    <definedName name="dfgty" localSheetId="0">{#N/A,#N/A,FALSE,"Plan1";#N/A,#N/A,FALSE,"Plan2"}</definedName>
    <definedName name="dfgty" localSheetId="19">{#N/A,#N/A,FALSE,"Plan1";#N/A,#N/A,FALSE,"Plan2"}</definedName>
    <definedName name="dfgty" localSheetId="16">{#N/A,#N/A,FALSE,"Plan1";#N/A,#N/A,FALSE,"Plan2"}</definedName>
    <definedName name="dfgty" localSheetId="18">{#N/A,#N/A,FALSE,"Plan1";#N/A,#N/A,FALSE,"Plan2"}</definedName>
    <definedName name="dfgty" localSheetId="10">{#N/A,#N/A,FALSE,"Plan1";#N/A,#N/A,FALSE,"Plan2"}</definedName>
    <definedName name="dfgty">{#N/A,#N/A,FALSE,"Plan1";#N/A,#N/A,FALSE,"Plan2"}</definedName>
    <definedName name="dfhdgfdgf" localSheetId="9">{#N/A,#N/A,FALSE,"Plan1";#N/A,#N/A,FALSE,"Plan2"}</definedName>
    <definedName name="dfhdgfdgf" localSheetId="6">{#N/A,#N/A,FALSE,"Plan1";#N/A,#N/A,FALSE,"Plan2"}</definedName>
    <definedName name="dfhdgfdgf" localSheetId="3">{#N/A,#N/A,FALSE,"Plan1";#N/A,#N/A,FALSE,"Plan2"}</definedName>
    <definedName name="dfhdgfdgf" localSheetId="8">{#N/A,#N/A,FALSE,"Plan1";#N/A,#N/A,FALSE,"Plan2"}</definedName>
    <definedName name="dfhdgfdgf" localSheetId="5">{#N/A,#N/A,FALSE,"Plan1";#N/A,#N/A,FALSE,"Plan2"}</definedName>
    <definedName name="dfhdgfdgf" localSheetId="4">{#N/A,#N/A,FALSE,"Plan1";#N/A,#N/A,FALSE,"Plan2"}</definedName>
    <definedName name="dfhdgfdgf" localSheetId="13">{#N/A,#N/A,FALSE,"Plan1";#N/A,#N/A,FALSE,"Plan2"}</definedName>
    <definedName name="dfhdgfdgf" localSheetId="17">{#N/A,#N/A,FALSE,"Plan1";#N/A,#N/A,FALSE,"Plan2"}</definedName>
    <definedName name="dfhdgfdgf" localSheetId="0">{#N/A,#N/A,FALSE,"Plan1";#N/A,#N/A,FALSE,"Plan2"}</definedName>
    <definedName name="dfhdgfdgf" localSheetId="19">{#N/A,#N/A,FALSE,"Plan1";#N/A,#N/A,FALSE,"Plan2"}</definedName>
    <definedName name="dfhdgfdgf" localSheetId="16">{#N/A,#N/A,FALSE,"Plan1";#N/A,#N/A,FALSE,"Plan2"}</definedName>
    <definedName name="dfhdgfdgf" localSheetId="18">{#N/A,#N/A,FALSE,"Plan1";#N/A,#N/A,FALSE,"Plan2"}</definedName>
    <definedName name="dfhdgfdgf" localSheetId="10">{#N/A,#N/A,FALSE,"Plan1";#N/A,#N/A,FALSE,"Plan2"}</definedName>
    <definedName name="dfhdgfdgf">{#N/A,#N/A,FALSE,"Plan1";#N/A,#N/A,FALSE,"Plan2"}</definedName>
    <definedName name="DFHDJGJFHJGF" localSheetId="9">{#N/A,#N/A,FALSE,"Plan1";#N/A,#N/A,FALSE,"Plan2"}</definedName>
    <definedName name="DFHDJGJFHJGF" localSheetId="6">{#N/A,#N/A,FALSE,"Plan1";#N/A,#N/A,FALSE,"Plan2"}</definedName>
    <definedName name="DFHDJGJFHJGF" localSheetId="3">{#N/A,#N/A,FALSE,"Plan1";#N/A,#N/A,FALSE,"Plan2"}</definedName>
    <definedName name="DFHDJGJFHJGF" localSheetId="8">{#N/A,#N/A,FALSE,"Plan1";#N/A,#N/A,FALSE,"Plan2"}</definedName>
    <definedName name="DFHDJGJFHJGF" localSheetId="5">{#N/A,#N/A,FALSE,"Plan1";#N/A,#N/A,FALSE,"Plan2"}</definedName>
    <definedName name="DFHDJGJFHJGF" localSheetId="4">{#N/A,#N/A,FALSE,"Plan1";#N/A,#N/A,FALSE,"Plan2"}</definedName>
    <definedName name="DFHDJGJFHJGF" localSheetId="13">{#N/A,#N/A,FALSE,"Plan1";#N/A,#N/A,FALSE,"Plan2"}</definedName>
    <definedName name="DFHDJGJFHJGF" localSheetId="17">{#N/A,#N/A,FALSE,"Plan1";#N/A,#N/A,FALSE,"Plan2"}</definedName>
    <definedName name="DFHDJGJFHJGF" localSheetId="0">{#N/A,#N/A,FALSE,"Plan1";#N/A,#N/A,FALSE,"Plan2"}</definedName>
    <definedName name="DFHDJGJFHJGF" localSheetId="19">{#N/A,#N/A,FALSE,"Plan1";#N/A,#N/A,FALSE,"Plan2"}</definedName>
    <definedName name="DFHDJGJFHJGF" localSheetId="16">{#N/A,#N/A,FALSE,"Plan1";#N/A,#N/A,FALSE,"Plan2"}</definedName>
    <definedName name="DFHDJGJFHJGF" localSheetId="18">{#N/A,#N/A,FALSE,"Plan1";#N/A,#N/A,FALSE,"Plan2"}</definedName>
    <definedName name="DFHDJGJFHJGF" localSheetId="10">{#N/A,#N/A,FALSE,"Plan1";#N/A,#N/A,FALSE,"Plan2"}</definedName>
    <definedName name="DFHDJGJFHJGF">{#N/A,#N/A,FALSE,"Plan1";#N/A,#N/A,FALSE,"Plan2"}</definedName>
    <definedName name="dfhdyg" localSheetId="9">{#N/A,#N/A,FALSE,"Plan1";#N/A,#N/A,FALSE,"Plan2"}</definedName>
    <definedName name="dfhdyg" localSheetId="6">{#N/A,#N/A,FALSE,"Plan1";#N/A,#N/A,FALSE,"Plan2"}</definedName>
    <definedName name="dfhdyg" localSheetId="3">{#N/A,#N/A,FALSE,"Plan1";#N/A,#N/A,FALSE,"Plan2"}</definedName>
    <definedName name="dfhdyg" localSheetId="8">{#N/A,#N/A,FALSE,"Plan1";#N/A,#N/A,FALSE,"Plan2"}</definedName>
    <definedName name="dfhdyg" localSheetId="5">{#N/A,#N/A,FALSE,"Plan1";#N/A,#N/A,FALSE,"Plan2"}</definedName>
    <definedName name="dfhdyg" localSheetId="4">{#N/A,#N/A,FALSE,"Plan1";#N/A,#N/A,FALSE,"Plan2"}</definedName>
    <definedName name="dfhdyg" localSheetId="13">{#N/A,#N/A,FALSE,"Plan1";#N/A,#N/A,FALSE,"Plan2"}</definedName>
    <definedName name="dfhdyg" localSheetId="17">{#N/A,#N/A,FALSE,"Plan1";#N/A,#N/A,FALSE,"Plan2"}</definedName>
    <definedName name="dfhdyg" localSheetId="0">{#N/A,#N/A,FALSE,"Plan1";#N/A,#N/A,FALSE,"Plan2"}</definedName>
    <definedName name="dfhdyg" localSheetId="19">{#N/A,#N/A,FALSE,"Plan1";#N/A,#N/A,FALSE,"Plan2"}</definedName>
    <definedName name="dfhdyg" localSheetId="16">{#N/A,#N/A,FALSE,"Plan1";#N/A,#N/A,FALSE,"Plan2"}</definedName>
    <definedName name="dfhdyg" localSheetId="18">{#N/A,#N/A,FALSE,"Plan1";#N/A,#N/A,FALSE,"Plan2"}</definedName>
    <definedName name="dfhdyg" localSheetId="10">{#N/A,#N/A,FALSE,"Plan1";#N/A,#N/A,FALSE,"Plan2"}</definedName>
    <definedName name="dfhdyg">{#N/A,#N/A,FALSE,"Plan1";#N/A,#N/A,FALSE,"Plan2"}</definedName>
    <definedName name="DFHGDHUR" localSheetId="9">{#N/A,#N/A,FALSE,"Plan1";#N/A,#N/A,FALSE,"Plan2"}</definedName>
    <definedName name="DFHGDHUR" localSheetId="6">{#N/A,#N/A,FALSE,"Plan1";#N/A,#N/A,FALSE,"Plan2"}</definedName>
    <definedName name="DFHGDHUR" localSheetId="3">{#N/A,#N/A,FALSE,"Plan1";#N/A,#N/A,FALSE,"Plan2"}</definedName>
    <definedName name="DFHGDHUR" localSheetId="8">{#N/A,#N/A,FALSE,"Plan1";#N/A,#N/A,FALSE,"Plan2"}</definedName>
    <definedName name="DFHGDHUR" localSheetId="5">{#N/A,#N/A,FALSE,"Plan1";#N/A,#N/A,FALSE,"Plan2"}</definedName>
    <definedName name="DFHGDHUR" localSheetId="4">{#N/A,#N/A,FALSE,"Plan1";#N/A,#N/A,FALSE,"Plan2"}</definedName>
    <definedName name="DFHGDHUR" localSheetId="13">{#N/A,#N/A,FALSE,"Plan1";#N/A,#N/A,FALSE,"Plan2"}</definedName>
    <definedName name="DFHGDHUR" localSheetId="17">{#N/A,#N/A,FALSE,"Plan1";#N/A,#N/A,FALSE,"Plan2"}</definedName>
    <definedName name="DFHGDHUR" localSheetId="0">{#N/A,#N/A,FALSE,"Plan1";#N/A,#N/A,FALSE,"Plan2"}</definedName>
    <definedName name="DFHGDHUR" localSheetId="19">{#N/A,#N/A,FALSE,"Plan1";#N/A,#N/A,FALSE,"Plan2"}</definedName>
    <definedName name="DFHGDHUR" localSheetId="16">{#N/A,#N/A,FALSE,"Plan1";#N/A,#N/A,FALSE,"Plan2"}</definedName>
    <definedName name="DFHGDHUR" localSheetId="18">{#N/A,#N/A,FALSE,"Plan1";#N/A,#N/A,FALSE,"Plan2"}</definedName>
    <definedName name="DFHGDHUR" localSheetId="10">{#N/A,#N/A,FALSE,"Plan1";#N/A,#N/A,FALSE,"Plan2"}</definedName>
    <definedName name="DFHGDHUR">{#N/A,#N/A,FALSE,"Plan1";#N/A,#N/A,FALSE,"Plan2"}</definedName>
    <definedName name="dfhgjfgdhfjdrf" localSheetId="9">{#N/A,#N/A,FALSE,"Plan1";#N/A,#N/A,FALSE,"Plan2"}</definedName>
    <definedName name="dfhgjfgdhfjdrf" localSheetId="6">{#N/A,#N/A,FALSE,"Plan1";#N/A,#N/A,FALSE,"Plan2"}</definedName>
    <definedName name="dfhgjfgdhfjdrf" localSheetId="3">{#N/A,#N/A,FALSE,"Plan1";#N/A,#N/A,FALSE,"Plan2"}</definedName>
    <definedName name="dfhgjfgdhfjdrf" localSheetId="8">{#N/A,#N/A,FALSE,"Plan1";#N/A,#N/A,FALSE,"Plan2"}</definedName>
    <definedName name="dfhgjfgdhfjdrf" localSheetId="5">{#N/A,#N/A,FALSE,"Plan1";#N/A,#N/A,FALSE,"Plan2"}</definedName>
    <definedName name="dfhgjfgdhfjdrf" localSheetId="4">{#N/A,#N/A,FALSE,"Plan1";#N/A,#N/A,FALSE,"Plan2"}</definedName>
    <definedName name="dfhgjfgdhfjdrf" localSheetId="13">{#N/A,#N/A,FALSE,"Plan1";#N/A,#N/A,FALSE,"Plan2"}</definedName>
    <definedName name="dfhgjfgdhfjdrf" localSheetId="17">{#N/A,#N/A,FALSE,"Plan1";#N/A,#N/A,FALSE,"Plan2"}</definedName>
    <definedName name="dfhgjfgdhfjdrf" localSheetId="0">{#N/A,#N/A,FALSE,"Plan1";#N/A,#N/A,FALSE,"Plan2"}</definedName>
    <definedName name="dfhgjfgdhfjdrf" localSheetId="19">{#N/A,#N/A,FALSE,"Plan1";#N/A,#N/A,FALSE,"Plan2"}</definedName>
    <definedName name="dfhgjfgdhfjdrf" localSheetId="16">{#N/A,#N/A,FALSE,"Plan1";#N/A,#N/A,FALSE,"Plan2"}</definedName>
    <definedName name="dfhgjfgdhfjdrf" localSheetId="18">{#N/A,#N/A,FALSE,"Plan1";#N/A,#N/A,FALSE,"Plan2"}</definedName>
    <definedName name="dfhgjfgdhfjdrf" localSheetId="10">{#N/A,#N/A,FALSE,"Plan1";#N/A,#N/A,FALSE,"Plan2"}</definedName>
    <definedName name="dfhgjfgdhfjdrf">{#N/A,#N/A,FALSE,"Plan1";#N/A,#N/A,FALSE,"Plan2"}</definedName>
    <definedName name="dfhgkhfut" localSheetId="9">{#N/A,#N/A,FALSE,"Plan1";#N/A,#N/A,FALSE,"Plan2"}</definedName>
    <definedName name="dfhgkhfut" localSheetId="6">{#N/A,#N/A,FALSE,"Plan1";#N/A,#N/A,FALSE,"Plan2"}</definedName>
    <definedName name="dfhgkhfut" localSheetId="3">{#N/A,#N/A,FALSE,"Plan1";#N/A,#N/A,FALSE,"Plan2"}</definedName>
    <definedName name="dfhgkhfut" localSheetId="8">{#N/A,#N/A,FALSE,"Plan1";#N/A,#N/A,FALSE,"Plan2"}</definedName>
    <definedName name="dfhgkhfut" localSheetId="5">{#N/A,#N/A,FALSE,"Plan1";#N/A,#N/A,FALSE,"Plan2"}</definedName>
    <definedName name="dfhgkhfut" localSheetId="4">{#N/A,#N/A,FALSE,"Plan1";#N/A,#N/A,FALSE,"Plan2"}</definedName>
    <definedName name="dfhgkhfut" localSheetId="13">{#N/A,#N/A,FALSE,"Plan1";#N/A,#N/A,FALSE,"Plan2"}</definedName>
    <definedName name="dfhgkhfut" localSheetId="17">{#N/A,#N/A,FALSE,"Plan1";#N/A,#N/A,FALSE,"Plan2"}</definedName>
    <definedName name="dfhgkhfut" localSheetId="0">{#N/A,#N/A,FALSE,"Plan1";#N/A,#N/A,FALSE,"Plan2"}</definedName>
    <definedName name="dfhgkhfut" localSheetId="19">{#N/A,#N/A,FALSE,"Plan1";#N/A,#N/A,FALSE,"Plan2"}</definedName>
    <definedName name="dfhgkhfut" localSheetId="16">{#N/A,#N/A,FALSE,"Plan1";#N/A,#N/A,FALSE,"Plan2"}</definedName>
    <definedName name="dfhgkhfut" localSheetId="18">{#N/A,#N/A,FALSE,"Plan1";#N/A,#N/A,FALSE,"Plan2"}</definedName>
    <definedName name="dfhgkhfut" localSheetId="10">{#N/A,#N/A,FALSE,"Plan1";#N/A,#N/A,FALSE,"Plan2"}</definedName>
    <definedName name="dfhgkhfut">{#N/A,#N/A,FALSE,"Plan1";#N/A,#N/A,FALSE,"Plan2"}</definedName>
    <definedName name="dfhgkjdhkjghjd" localSheetId="3">#REF!</definedName>
    <definedName name="dfhgkjdhkjghjd" localSheetId="5">#REF!</definedName>
    <definedName name="dfhgkjdhkjghjd" localSheetId="26">#REF!</definedName>
    <definedName name="dfhgkjdhkjghjd" localSheetId="0">#REF!</definedName>
    <definedName name="dfhgkjdhkjghjd">#REF!</definedName>
    <definedName name="dfhguitrhfg" localSheetId="9">{#N/A,#N/A,FALSE,"Plan1";#N/A,#N/A,FALSE,"Plan2"}</definedName>
    <definedName name="dfhguitrhfg" localSheetId="6">{#N/A,#N/A,FALSE,"Plan1";#N/A,#N/A,FALSE,"Plan2"}</definedName>
    <definedName name="dfhguitrhfg" localSheetId="3">{#N/A,#N/A,FALSE,"Plan1";#N/A,#N/A,FALSE,"Plan2"}</definedName>
    <definedName name="dfhguitrhfg" localSheetId="8">{#N/A,#N/A,FALSE,"Plan1";#N/A,#N/A,FALSE,"Plan2"}</definedName>
    <definedName name="dfhguitrhfg" localSheetId="5">{#N/A,#N/A,FALSE,"Plan1";#N/A,#N/A,FALSE,"Plan2"}</definedName>
    <definedName name="dfhguitrhfg" localSheetId="4">{#N/A,#N/A,FALSE,"Plan1";#N/A,#N/A,FALSE,"Plan2"}</definedName>
    <definedName name="dfhguitrhfg" localSheetId="13">{#N/A,#N/A,FALSE,"Plan1";#N/A,#N/A,FALSE,"Plan2"}</definedName>
    <definedName name="dfhguitrhfg" localSheetId="17">{#N/A,#N/A,FALSE,"Plan1";#N/A,#N/A,FALSE,"Plan2"}</definedName>
    <definedName name="dfhguitrhfg" localSheetId="0">{#N/A,#N/A,FALSE,"Plan1";#N/A,#N/A,FALSE,"Plan2"}</definedName>
    <definedName name="dfhguitrhfg" localSheetId="19">{#N/A,#N/A,FALSE,"Plan1";#N/A,#N/A,FALSE,"Plan2"}</definedName>
    <definedName name="dfhguitrhfg" localSheetId="16">{#N/A,#N/A,FALSE,"Plan1";#N/A,#N/A,FALSE,"Plan2"}</definedName>
    <definedName name="dfhguitrhfg" localSheetId="18">{#N/A,#N/A,FALSE,"Plan1";#N/A,#N/A,FALSE,"Plan2"}</definedName>
    <definedName name="dfhguitrhfg" localSheetId="10">{#N/A,#N/A,FALSE,"Plan1";#N/A,#N/A,FALSE,"Plan2"}</definedName>
    <definedName name="dfhguitrhfg">{#N/A,#N/A,FALSE,"Plan1";#N/A,#N/A,FALSE,"Plan2"}</definedName>
    <definedName name="DFHKHDGKJHDKS" localSheetId="9">{#N/A,#N/A,FALSE,"Plan1";#N/A,#N/A,FALSE,"Plan2"}</definedName>
    <definedName name="DFHKHDGKJHDKS" localSheetId="6">{#N/A,#N/A,FALSE,"Plan1";#N/A,#N/A,FALSE,"Plan2"}</definedName>
    <definedName name="DFHKHDGKJHDKS" localSheetId="3">{#N/A,#N/A,FALSE,"Plan1";#N/A,#N/A,FALSE,"Plan2"}</definedName>
    <definedName name="DFHKHDGKJHDKS" localSheetId="8">{#N/A,#N/A,FALSE,"Plan1";#N/A,#N/A,FALSE,"Plan2"}</definedName>
    <definedName name="DFHKHDGKJHDKS" localSheetId="5">{#N/A,#N/A,FALSE,"Plan1";#N/A,#N/A,FALSE,"Plan2"}</definedName>
    <definedName name="DFHKHDGKJHDKS" localSheetId="4">{#N/A,#N/A,FALSE,"Plan1";#N/A,#N/A,FALSE,"Plan2"}</definedName>
    <definedName name="DFHKHDGKJHDKS" localSheetId="13">{#N/A,#N/A,FALSE,"Plan1";#N/A,#N/A,FALSE,"Plan2"}</definedName>
    <definedName name="DFHKHDGKJHDKS" localSheetId="17">{#N/A,#N/A,FALSE,"Plan1";#N/A,#N/A,FALSE,"Plan2"}</definedName>
    <definedName name="DFHKHDGKJHDKS" localSheetId="0">{#N/A,#N/A,FALSE,"Plan1";#N/A,#N/A,FALSE,"Plan2"}</definedName>
    <definedName name="DFHKHDGKJHDKS" localSheetId="19">{#N/A,#N/A,FALSE,"Plan1";#N/A,#N/A,FALSE,"Plan2"}</definedName>
    <definedName name="DFHKHDGKJHDKS" localSheetId="16">{#N/A,#N/A,FALSE,"Plan1";#N/A,#N/A,FALSE,"Plan2"}</definedName>
    <definedName name="DFHKHDGKJHDKS" localSheetId="18">{#N/A,#N/A,FALSE,"Plan1";#N/A,#N/A,FALSE,"Plan2"}</definedName>
    <definedName name="DFHKHDGKJHDKS" localSheetId="10">{#N/A,#N/A,FALSE,"Plan1";#N/A,#N/A,FALSE,"Plan2"}</definedName>
    <definedName name="DFHKHDGKJHDKS">{#N/A,#N/A,FALSE,"Plan1";#N/A,#N/A,FALSE,"Plan2"}</definedName>
    <definedName name="dfijvnqienvvnjv" localSheetId="3">#REF!</definedName>
    <definedName name="dfijvnqienvvnjv" localSheetId="5">#REF!</definedName>
    <definedName name="dfijvnqienvvnjv" localSheetId="26">#REF!</definedName>
    <definedName name="dfijvnqienvvnjv">#REF!</definedName>
    <definedName name="dfjgjfhykj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9">{#N/A,#N/A,FALSE,"Plan1";#N/A,#N/A,FALSE,"Plan2"}</definedName>
    <definedName name="dfjkgtdftr" localSheetId="6">{#N/A,#N/A,FALSE,"Plan1";#N/A,#N/A,FALSE,"Plan2"}</definedName>
    <definedName name="dfjkgtdftr" localSheetId="3">{#N/A,#N/A,FALSE,"Plan1";#N/A,#N/A,FALSE,"Plan2"}</definedName>
    <definedName name="dfjkgtdftr" localSheetId="8">{#N/A,#N/A,FALSE,"Plan1";#N/A,#N/A,FALSE,"Plan2"}</definedName>
    <definedName name="dfjkgtdftr" localSheetId="5">{#N/A,#N/A,FALSE,"Plan1";#N/A,#N/A,FALSE,"Plan2"}</definedName>
    <definedName name="dfjkgtdftr" localSheetId="4">{#N/A,#N/A,FALSE,"Plan1";#N/A,#N/A,FALSE,"Plan2"}</definedName>
    <definedName name="dfjkgtdftr" localSheetId="13">{#N/A,#N/A,FALSE,"Plan1";#N/A,#N/A,FALSE,"Plan2"}</definedName>
    <definedName name="dfjkgtdftr" localSheetId="17">{#N/A,#N/A,FALSE,"Plan1";#N/A,#N/A,FALSE,"Plan2"}</definedName>
    <definedName name="dfjkgtdftr" localSheetId="0">{#N/A,#N/A,FALSE,"Plan1";#N/A,#N/A,FALSE,"Plan2"}</definedName>
    <definedName name="dfjkgtdftr" localSheetId="19">{#N/A,#N/A,FALSE,"Plan1";#N/A,#N/A,FALSE,"Plan2"}</definedName>
    <definedName name="dfjkgtdftr" localSheetId="16">{#N/A,#N/A,FALSE,"Plan1";#N/A,#N/A,FALSE,"Plan2"}</definedName>
    <definedName name="dfjkgtdftr" localSheetId="18">{#N/A,#N/A,FALSE,"Plan1";#N/A,#N/A,FALSE,"Plan2"}</definedName>
    <definedName name="dfjkgtdftr" localSheetId="10">{#N/A,#N/A,FALSE,"Plan1";#N/A,#N/A,FALSE,"Plan2"}</definedName>
    <definedName name="dfjkgtdftr">{#N/A,#N/A,FALSE,"Plan1";#N/A,#N/A,FALSE,"Plan2"}</definedName>
    <definedName name="dfkhgf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9">{#N/A,#N/A,FALSE,"Plan1";#N/A,#N/A,FALSE,"Plan2"}</definedName>
    <definedName name="dfknfhkdrj" localSheetId="6">{#N/A,#N/A,FALSE,"Plan1";#N/A,#N/A,FALSE,"Plan2"}</definedName>
    <definedName name="dfknfhkdrj" localSheetId="3">{#N/A,#N/A,FALSE,"Plan1";#N/A,#N/A,FALSE,"Plan2"}</definedName>
    <definedName name="dfknfhkdrj" localSheetId="8">{#N/A,#N/A,FALSE,"Plan1";#N/A,#N/A,FALSE,"Plan2"}</definedName>
    <definedName name="dfknfhkdrj" localSheetId="5">{#N/A,#N/A,FALSE,"Plan1";#N/A,#N/A,FALSE,"Plan2"}</definedName>
    <definedName name="dfknfhkdrj" localSheetId="4">{#N/A,#N/A,FALSE,"Plan1";#N/A,#N/A,FALSE,"Plan2"}</definedName>
    <definedName name="dfknfhkdrj" localSheetId="13">{#N/A,#N/A,FALSE,"Plan1";#N/A,#N/A,FALSE,"Plan2"}</definedName>
    <definedName name="dfknfhkdrj" localSheetId="17">{#N/A,#N/A,FALSE,"Plan1";#N/A,#N/A,FALSE,"Plan2"}</definedName>
    <definedName name="dfknfhkdrj" localSheetId="0">{#N/A,#N/A,FALSE,"Plan1";#N/A,#N/A,FALSE,"Plan2"}</definedName>
    <definedName name="dfknfhkdrj" localSheetId="19">{#N/A,#N/A,FALSE,"Plan1";#N/A,#N/A,FALSE,"Plan2"}</definedName>
    <definedName name="dfknfhkdrj" localSheetId="16">{#N/A,#N/A,FALSE,"Plan1";#N/A,#N/A,FALSE,"Plan2"}</definedName>
    <definedName name="dfknfhkdrj" localSheetId="18">{#N/A,#N/A,FALSE,"Plan1";#N/A,#N/A,FALSE,"Plan2"}</definedName>
    <definedName name="dfknfhkdrj" localSheetId="10">{#N/A,#N/A,FALSE,"Plan1";#N/A,#N/A,FALSE,"Plan2"}</definedName>
    <definedName name="dfknfhkdrj">{#N/A,#N/A,FALSE,"Plan1";#N/A,#N/A,FALSE,"Plan2"}</definedName>
    <definedName name="dfnert" localSheetId="9">{#N/A,#N/A,FALSE,"Plan1";#N/A,#N/A,FALSE,"Plan2"}</definedName>
    <definedName name="dfnert" localSheetId="6">{#N/A,#N/A,FALSE,"Plan1";#N/A,#N/A,FALSE,"Plan2"}</definedName>
    <definedName name="dfnert" localSheetId="3">{#N/A,#N/A,FALSE,"Plan1";#N/A,#N/A,FALSE,"Plan2"}</definedName>
    <definedName name="dfnert" localSheetId="8">{#N/A,#N/A,FALSE,"Plan1";#N/A,#N/A,FALSE,"Plan2"}</definedName>
    <definedName name="dfnert" localSheetId="5">{#N/A,#N/A,FALSE,"Plan1";#N/A,#N/A,FALSE,"Plan2"}</definedName>
    <definedName name="dfnert" localSheetId="4">{#N/A,#N/A,FALSE,"Plan1";#N/A,#N/A,FALSE,"Plan2"}</definedName>
    <definedName name="dfnert" localSheetId="13">{#N/A,#N/A,FALSE,"Plan1";#N/A,#N/A,FALSE,"Plan2"}</definedName>
    <definedName name="dfnert" localSheetId="17">{#N/A,#N/A,FALSE,"Plan1";#N/A,#N/A,FALSE,"Plan2"}</definedName>
    <definedName name="dfnert" localSheetId="0">{#N/A,#N/A,FALSE,"Plan1";#N/A,#N/A,FALSE,"Plan2"}</definedName>
    <definedName name="dfnert" localSheetId="19">{#N/A,#N/A,FALSE,"Plan1";#N/A,#N/A,FALSE,"Plan2"}</definedName>
    <definedName name="dfnert" localSheetId="16">{#N/A,#N/A,FALSE,"Plan1";#N/A,#N/A,FALSE,"Plan2"}</definedName>
    <definedName name="dfnert" localSheetId="18">{#N/A,#N/A,FALSE,"Plan1";#N/A,#N/A,FALSE,"Plan2"}</definedName>
    <definedName name="dfnert" localSheetId="10">{#N/A,#N/A,FALSE,"Plan1";#N/A,#N/A,FALSE,"Plan2"}</definedName>
    <definedName name="dfnert">{#N/A,#N/A,FALSE,"Plan1";#N/A,#N/A,FALSE,"Plan2"}</definedName>
    <definedName name="dfrt" localSheetId="9">{#N/A,#N/A,FALSE,"Plan1";#N/A,#N/A,FALSE,"Plan2"}</definedName>
    <definedName name="dfrt" localSheetId="6">{#N/A,#N/A,FALSE,"Plan1";#N/A,#N/A,FALSE,"Plan2"}</definedName>
    <definedName name="dfrt" localSheetId="3">{#N/A,#N/A,FALSE,"Plan1";#N/A,#N/A,FALSE,"Plan2"}</definedName>
    <definedName name="dfrt" localSheetId="8">{#N/A,#N/A,FALSE,"Plan1";#N/A,#N/A,FALSE,"Plan2"}</definedName>
    <definedName name="dfrt" localSheetId="5">{#N/A,#N/A,FALSE,"Plan1";#N/A,#N/A,FALSE,"Plan2"}</definedName>
    <definedName name="dfrt" localSheetId="4">{#N/A,#N/A,FALSE,"Plan1";#N/A,#N/A,FALSE,"Plan2"}</definedName>
    <definedName name="dfrt" localSheetId="13">{#N/A,#N/A,FALSE,"Plan1";#N/A,#N/A,FALSE,"Plan2"}</definedName>
    <definedName name="dfrt" localSheetId="17">{#N/A,#N/A,FALSE,"Plan1";#N/A,#N/A,FALSE,"Plan2"}</definedName>
    <definedName name="dfrt" localSheetId="0">{#N/A,#N/A,FALSE,"Plan1";#N/A,#N/A,FALSE,"Plan2"}</definedName>
    <definedName name="dfrt" localSheetId="19">{#N/A,#N/A,FALSE,"Plan1";#N/A,#N/A,FALSE,"Plan2"}</definedName>
    <definedName name="dfrt" localSheetId="16">{#N/A,#N/A,FALSE,"Plan1";#N/A,#N/A,FALSE,"Plan2"}</definedName>
    <definedName name="dfrt" localSheetId="18">{#N/A,#N/A,FALSE,"Plan1";#N/A,#N/A,FALSE,"Plan2"}</definedName>
    <definedName name="dfrt" localSheetId="10">{#N/A,#N/A,FALSE,"Plan1";#N/A,#N/A,FALSE,"Plan2"}</definedName>
    <definedName name="dfrt">{#N/A,#N/A,FALSE,"Plan1";#N/A,#N/A,FALSE,"Plan2"}</definedName>
    <definedName name="dfsdr5tt" localSheetId="9">{#N/A,#N/A,FALSE,"Plan1";#N/A,#N/A,FALSE,"Plan2"}</definedName>
    <definedName name="dfsdr5tt" localSheetId="6">{#N/A,#N/A,FALSE,"Plan1";#N/A,#N/A,FALSE,"Plan2"}</definedName>
    <definedName name="dfsdr5tt" localSheetId="3">{#N/A,#N/A,FALSE,"Plan1";#N/A,#N/A,FALSE,"Plan2"}</definedName>
    <definedName name="dfsdr5tt" localSheetId="8">{#N/A,#N/A,FALSE,"Plan1";#N/A,#N/A,FALSE,"Plan2"}</definedName>
    <definedName name="dfsdr5tt" localSheetId="5">{#N/A,#N/A,FALSE,"Plan1";#N/A,#N/A,FALSE,"Plan2"}</definedName>
    <definedName name="dfsdr5tt" localSheetId="4">{#N/A,#N/A,FALSE,"Plan1";#N/A,#N/A,FALSE,"Plan2"}</definedName>
    <definedName name="dfsdr5tt" localSheetId="13">{#N/A,#N/A,FALSE,"Plan1";#N/A,#N/A,FALSE,"Plan2"}</definedName>
    <definedName name="dfsdr5tt" localSheetId="17">{#N/A,#N/A,FALSE,"Plan1";#N/A,#N/A,FALSE,"Plan2"}</definedName>
    <definedName name="dfsdr5tt" localSheetId="0">{#N/A,#N/A,FALSE,"Plan1";#N/A,#N/A,FALSE,"Plan2"}</definedName>
    <definedName name="dfsdr5tt" localSheetId="19">{#N/A,#N/A,FALSE,"Plan1";#N/A,#N/A,FALSE,"Plan2"}</definedName>
    <definedName name="dfsdr5tt" localSheetId="16">{#N/A,#N/A,FALSE,"Plan1";#N/A,#N/A,FALSE,"Plan2"}</definedName>
    <definedName name="dfsdr5tt" localSheetId="18">{#N/A,#N/A,FALSE,"Plan1";#N/A,#N/A,FALSE,"Plan2"}</definedName>
    <definedName name="dfsdr5tt" localSheetId="10">{#N/A,#N/A,FALSE,"Plan1";#N/A,#N/A,FALSE,"Plan2"}</definedName>
    <definedName name="dfsdr5tt">{#N/A,#N/A,FALSE,"Plan1";#N/A,#N/A,FALSE,"Plan2"}</definedName>
    <definedName name="dfsds" localSheetId="3">#REF!</definedName>
    <definedName name="dfsds" localSheetId="5">#REF!</definedName>
    <definedName name="dfsds" localSheetId="26">#REF!</definedName>
    <definedName name="dfsds" localSheetId="0">#REF!</definedName>
    <definedName name="dfsds">#REF!</definedName>
    <definedName name="dfsd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9">{#N/A,#N/A,FALSE,"Plan1";#N/A,#N/A,FALSE,"Plan2"}</definedName>
    <definedName name="dfsdtr" localSheetId="6">{#N/A,#N/A,FALSE,"Plan1";#N/A,#N/A,FALSE,"Plan2"}</definedName>
    <definedName name="dfsdtr" localSheetId="3">{#N/A,#N/A,FALSE,"Plan1";#N/A,#N/A,FALSE,"Plan2"}</definedName>
    <definedName name="dfsdtr" localSheetId="8">{#N/A,#N/A,FALSE,"Plan1";#N/A,#N/A,FALSE,"Plan2"}</definedName>
    <definedName name="dfsdtr" localSheetId="5">{#N/A,#N/A,FALSE,"Plan1";#N/A,#N/A,FALSE,"Plan2"}</definedName>
    <definedName name="dfsdtr" localSheetId="4">{#N/A,#N/A,FALSE,"Plan1";#N/A,#N/A,FALSE,"Plan2"}</definedName>
    <definedName name="dfsdtr" localSheetId="13">{#N/A,#N/A,FALSE,"Plan1";#N/A,#N/A,FALSE,"Plan2"}</definedName>
    <definedName name="dfsdtr" localSheetId="17">{#N/A,#N/A,FALSE,"Plan1";#N/A,#N/A,FALSE,"Plan2"}</definedName>
    <definedName name="dfsdtr" localSheetId="0">{#N/A,#N/A,FALSE,"Plan1";#N/A,#N/A,FALSE,"Plan2"}</definedName>
    <definedName name="dfsdtr" localSheetId="19">{#N/A,#N/A,FALSE,"Plan1";#N/A,#N/A,FALSE,"Plan2"}</definedName>
    <definedName name="dfsdtr" localSheetId="16">{#N/A,#N/A,FALSE,"Plan1";#N/A,#N/A,FALSE,"Plan2"}</definedName>
    <definedName name="dfsdtr" localSheetId="18">{#N/A,#N/A,FALSE,"Plan1";#N/A,#N/A,FALSE,"Plan2"}</definedName>
    <definedName name="dfsdtr" localSheetId="10">{#N/A,#N/A,FALSE,"Plan1";#N/A,#N/A,FALSE,"Plan2"}</definedName>
    <definedName name="dfsdtr">{#N/A,#N/A,FALSE,"Plan1";#N/A,#N/A,FALSE,"Plan2"}</definedName>
    <definedName name="dfsf" localSheetId="9">{#N/A,#N/A,FALSE,"Plan1";#N/A,#N/A,FALSE,"Plan2"}</definedName>
    <definedName name="dfsf" localSheetId="6">{#N/A,#N/A,FALSE,"Plan1";#N/A,#N/A,FALSE,"Plan2"}</definedName>
    <definedName name="dfsf" localSheetId="3">{#N/A,#N/A,FALSE,"Plan1";#N/A,#N/A,FALSE,"Plan2"}</definedName>
    <definedName name="dfsf" localSheetId="8">{#N/A,#N/A,FALSE,"Plan1";#N/A,#N/A,FALSE,"Plan2"}</definedName>
    <definedName name="dfsf" localSheetId="5">{#N/A,#N/A,FALSE,"Plan1";#N/A,#N/A,FALSE,"Plan2"}</definedName>
    <definedName name="dfsf" localSheetId="4">{#N/A,#N/A,FALSE,"Plan1";#N/A,#N/A,FALSE,"Plan2"}</definedName>
    <definedName name="dfsf" localSheetId="13">{#N/A,#N/A,FALSE,"Plan1";#N/A,#N/A,FALSE,"Plan2"}</definedName>
    <definedName name="dfsf" localSheetId="17">{#N/A,#N/A,FALSE,"Plan1";#N/A,#N/A,FALSE,"Plan2"}</definedName>
    <definedName name="dfsf" localSheetId="0">{#N/A,#N/A,FALSE,"Plan1";#N/A,#N/A,FALSE,"Plan2"}</definedName>
    <definedName name="dfsf" localSheetId="19">{#N/A,#N/A,FALSE,"Plan1";#N/A,#N/A,FALSE,"Plan2"}</definedName>
    <definedName name="dfsf" localSheetId="16">{#N/A,#N/A,FALSE,"Plan1";#N/A,#N/A,FALSE,"Plan2"}</definedName>
    <definedName name="dfsf" localSheetId="18">{#N/A,#N/A,FALSE,"Plan1";#N/A,#N/A,FALSE,"Plan2"}</definedName>
    <definedName name="dfsf" localSheetId="10">{#N/A,#N/A,FALSE,"Plan1";#N/A,#N/A,FALSE,"Plan2"}</definedName>
    <definedName name="dfsf">{#N/A,#N/A,FALSE,"Plan1";#N/A,#N/A,FALSE,"Plan2"}</definedName>
    <definedName name="DFT" localSheetId="9">{#N/A,#N/A,FALSE,"Plan1";#N/A,#N/A,FALSE,"Plan2"}</definedName>
    <definedName name="DFT" localSheetId="6">{#N/A,#N/A,FALSE,"Plan1";#N/A,#N/A,FALSE,"Plan2"}</definedName>
    <definedName name="DFT" localSheetId="3">{#N/A,#N/A,FALSE,"Plan1";#N/A,#N/A,FALSE,"Plan2"}</definedName>
    <definedName name="DFT" localSheetId="8">{#N/A,#N/A,FALSE,"Plan1";#N/A,#N/A,FALSE,"Plan2"}</definedName>
    <definedName name="DFT" localSheetId="5">{#N/A,#N/A,FALSE,"Plan1";#N/A,#N/A,FALSE,"Plan2"}</definedName>
    <definedName name="DFT" localSheetId="4">{#N/A,#N/A,FALSE,"Plan1";#N/A,#N/A,FALSE,"Plan2"}</definedName>
    <definedName name="DFT" localSheetId="13">{#N/A,#N/A,FALSE,"Plan1";#N/A,#N/A,FALSE,"Plan2"}</definedName>
    <definedName name="DFT" localSheetId="17">{#N/A,#N/A,FALSE,"Plan1";#N/A,#N/A,FALSE,"Plan2"}</definedName>
    <definedName name="DFT" localSheetId="0">{#N/A,#N/A,FALSE,"Plan1";#N/A,#N/A,FALSE,"Plan2"}</definedName>
    <definedName name="DFT" localSheetId="19">{#N/A,#N/A,FALSE,"Plan1";#N/A,#N/A,FALSE,"Plan2"}</definedName>
    <definedName name="DFT" localSheetId="16">{#N/A,#N/A,FALSE,"Plan1";#N/A,#N/A,FALSE,"Plan2"}</definedName>
    <definedName name="DFT" localSheetId="18">{#N/A,#N/A,FALSE,"Plan1";#N/A,#N/A,FALSE,"Plan2"}</definedName>
    <definedName name="DFT" localSheetId="10">{#N/A,#N/A,FALSE,"Plan1";#N/A,#N/A,FALSE,"Plan2"}</definedName>
    <definedName name="DFT">{#N/A,#N/A,FALSE,"Plan1";#N/A,#N/A,FALSE,"Plan2"}</definedName>
    <definedName name="DFTRTTY" localSheetId="9">{#N/A,#N/A,FALSE,"Plan1";#N/A,#N/A,FALSE,"Plan2"}</definedName>
    <definedName name="DFTRTTY" localSheetId="6">{#N/A,#N/A,FALSE,"Plan1";#N/A,#N/A,FALSE,"Plan2"}</definedName>
    <definedName name="DFTRTTY" localSheetId="3">{#N/A,#N/A,FALSE,"Plan1";#N/A,#N/A,FALSE,"Plan2"}</definedName>
    <definedName name="DFTRTTY" localSheetId="8">{#N/A,#N/A,FALSE,"Plan1";#N/A,#N/A,FALSE,"Plan2"}</definedName>
    <definedName name="DFTRTTY" localSheetId="5">{#N/A,#N/A,FALSE,"Plan1";#N/A,#N/A,FALSE,"Plan2"}</definedName>
    <definedName name="DFTRTTY" localSheetId="4">{#N/A,#N/A,FALSE,"Plan1";#N/A,#N/A,FALSE,"Plan2"}</definedName>
    <definedName name="DFTRTTY" localSheetId="13">{#N/A,#N/A,FALSE,"Plan1";#N/A,#N/A,FALSE,"Plan2"}</definedName>
    <definedName name="DFTRTTY" localSheetId="17">{#N/A,#N/A,FALSE,"Plan1";#N/A,#N/A,FALSE,"Plan2"}</definedName>
    <definedName name="DFTRTTY" localSheetId="0">{#N/A,#N/A,FALSE,"Plan1";#N/A,#N/A,FALSE,"Plan2"}</definedName>
    <definedName name="DFTRTTY" localSheetId="19">{#N/A,#N/A,FALSE,"Plan1";#N/A,#N/A,FALSE,"Plan2"}</definedName>
    <definedName name="DFTRTTY" localSheetId="16">{#N/A,#N/A,FALSE,"Plan1";#N/A,#N/A,FALSE,"Plan2"}</definedName>
    <definedName name="DFTRTTY" localSheetId="18">{#N/A,#N/A,FALSE,"Plan1";#N/A,#N/A,FALSE,"Plan2"}</definedName>
    <definedName name="DFTRTTY" localSheetId="10">{#N/A,#N/A,FALSE,"Plan1";#N/A,#N/A,FALSE,"Plan2"}</definedName>
    <definedName name="DFTRTTY">{#N/A,#N/A,FALSE,"Plan1";#N/A,#N/A,FALSE,"Plan2"}</definedName>
    <definedName name="dfurghifdjyhits" localSheetId="9">{#N/A,#N/A,FALSE,"Plan1";#N/A,#N/A,FALSE,"Plan2"}</definedName>
    <definedName name="dfurghifdjyhits" localSheetId="6">{#N/A,#N/A,FALSE,"Plan1";#N/A,#N/A,FALSE,"Plan2"}</definedName>
    <definedName name="dfurghifdjyhits" localSheetId="3">{#N/A,#N/A,FALSE,"Plan1";#N/A,#N/A,FALSE,"Plan2"}</definedName>
    <definedName name="dfurghifdjyhits" localSheetId="8">{#N/A,#N/A,FALSE,"Plan1";#N/A,#N/A,FALSE,"Plan2"}</definedName>
    <definedName name="dfurghifdjyhits" localSheetId="5">{#N/A,#N/A,FALSE,"Plan1";#N/A,#N/A,FALSE,"Plan2"}</definedName>
    <definedName name="dfurghifdjyhits" localSheetId="4">{#N/A,#N/A,FALSE,"Plan1";#N/A,#N/A,FALSE,"Plan2"}</definedName>
    <definedName name="dfurghifdjyhits" localSheetId="13">{#N/A,#N/A,FALSE,"Plan1";#N/A,#N/A,FALSE,"Plan2"}</definedName>
    <definedName name="dfurghifdjyhits" localSheetId="17">{#N/A,#N/A,FALSE,"Plan1";#N/A,#N/A,FALSE,"Plan2"}</definedName>
    <definedName name="dfurghifdjyhits" localSheetId="0">{#N/A,#N/A,FALSE,"Plan1";#N/A,#N/A,FALSE,"Plan2"}</definedName>
    <definedName name="dfurghifdjyhits" localSheetId="19">{#N/A,#N/A,FALSE,"Plan1";#N/A,#N/A,FALSE,"Plan2"}</definedName>
    <definedName name="dfurghifdjyhits" localSheetId="16">{#N/A,#N/A,FALSE,"Plan1";#N/A,#N/A,FALSE,"Plan2"}</definedName>
    <definedName name="dfurghifdjyhits" localSheetId="18">{#N/A,#N/A,FALSE,"Plan1";#N/A,#N/A,FALSE,"Plan2"}</definedName>
    <definedName name="dfurghifdjyhits" localSheetId="10">{#N/A,#N/A,FALSE,"Plan1";#N/A,#N/A,FALSE,"Plan2"}</definedName>
    <definedName name="dfurghifdjyhits">{#N/A,#N/A,FALSE,"Plan1";#N/A,#N/A,FALSE,"Plan2"}</definedName>
    <definedName name="dfxgdrged" localSheetId="9">{#N/A,#N/A,FALSE,"Plan1";#N/A,#N/A,FALSE,"Plan2"}</definedName>
    <definedName name="dfxgdrged" localSheetId="6">{#N/A,#N/A,FALSE,"Plan1";#N/A,#N/A,FALSE,"Plan2"}</definedName>
    <definedName name="dfxgdrged" localSheetId="3">{#N/A,#N/A,FALSE,"Plan1";#N/A,#N/A,FALSE,"Plan2"}</definedName>
    <definedName name="dfxgdrged" localSheetId="8">{#N/A,#N/A,FALSE,"Plan1";#N/A,#N/A,FALSE,"Plan2"}</definedName>
    <definedName name="dfxgdrged" localSheetId="5">{#N/A,#N/A,FALSE,"Plan1";#N/A,#N/A,FALSE,"Plan2"}</definedName>
    <definedName name="dfxgdrged" localSheetId="4">{#N/A,#N/A,FALSE,"Plan1";#N/A,#N/A,FALSE,"Plan2"}</definedName>
    <definedName name="dfxgdrged" localSheetId="13">{#N/A,#N/A,FALSE,"Plan1";#N/A,#N/A,FALSE,"Plan2"}</definedName>
    <definedName name="dfxgdrged" localSheetId="17">{#N/A,#N/A,FALSE,"Plan1";#N/A,#N/A,FALSE,"Plan2"}</definedName>
    <definedName name="dfxgdrged" localSheetId="0">{#N/A,#N/A,FALSE,"Plan1";#N/A,#N/A,FALSE,"Plan2"}</definedName>
    <definedName name="dfxgdrged" localSheetId="19">{#N/A,#N/A,FALSE,"Plan1";#N/A,#N/A,FALSE,"Plan2"}</definedName>
    <definedName name="dfxgdrged" localSheetId="16">{#N/A,#N/A,FALSE,"Plan1";#N/A,#N/A,FALSE,"Plan2"}</definedName>
    <definedName name="dfxgdrged" localSheetId="18">{#N/A,#N/A,FALSE,"Plan1";#N/A,#N/A,FALSE,"Plan2"}</definedName>
    <definedName name="dfxgdrged" localSheetId="10">{#N/A,#N/A,FALSE,"Plan1";#N/A,#N/A,FALSE,"Plan2"}</definedName>
    <definedName name="dfxgdrged">{#N/A,#N/A,FALSE,"Plan1";#N/A,#N/A,FALSE,"Plan2"}</definedName>
    <definedName name="dgfrtyt" localSheetId="9">{#N/A,#N/A,FALSE,"Plan1";#N/A,#N/A,FALSE,"Plan2"}</definedName>
    <definedName name="dgfrtyt" localSheetId="6">{#N/A,#N/A,FALSE,"Plan1";#N/A,#N/A,FALSE,"Plan2"}</definedName>
    <definedName name="dgfrtyt" localSheetId="3">{#N/A,#N/A,FALSE,"Plan1";#N/A,#N/A,FALSE,"Plan2"}</definedName>
    <definedName name="dgfrtyt" localSheetId="8">{#N/A,#N/A,FALSE,"Plan1";#N/A,#N/A,FALSE,"Plan2"}</definedName>
    <definedName name="dgfrtyt" localSheetId="5">{#N/A,#N/A,FALSE,"Plan1";#N/A,#N/A,FALSE,"Plan2"}</definedName>
    <definedName name="dgfrtyt" localSheetId="4">{#N/A,#N/A,FALSE,"Plan1";#N/A,#N/A,FALSE,"Plan2"}</definedName>
    <definedName name="dgfrtyt" localSheetId="13">{#N/A,#N/A,FALSE,"Plan1";#N/A,#N/A,FALSE,"Plan2"}</definedName>
    <definedName name="dgfrtyt" localSheetId="17">{#N/A,#N/A,FALSE,"Plan1";#N/A,#N/A,FALSE,"Plan2"}</definedName>
    <definedName name="dgfrtyt" localSheetId="0">{#N/A,#N/A,FALSE,"Plan1";#N/A,#N/A,FALSE,"Plan2"}</definedName>
    <definedName name="dgfrtyt" localSheetId="19">{#N/A,#N/A,FALSE,"Plan1";#N/A,#N/A,FALSE,"Plan2"}</definedName>
    <definedName name="dgfrtyt" localSheetId="16">{#N/A,#N/A,FALSE,"Plan1";#N/A,#N/A,FALSE,"Plan2"}</definedName>
    <definedName name="dgfrtyt" localSheetId="18">{#N/A,#N/A,FALSE,"Plan1";#N/A,#N/A,FALSE,"Plan2"}</definedName>
    <definedName name="dgfrtyt" localSheetId="10">{#N/A,#N/A,FALSE,"Plan1";#N/A,#N/A,FALSE,"Plan2"}</definedName>
    <definedName name="dgfrtyt">{#N/A,#N/A,FALSE,"Plan1";#N/A,#N/A,FALSE,"Plan2"}</definedName>
    <definedName name="dggfdg" localSheetId="9">{#N/A,#N/A,FALSE,"Plan1";#N/A,#N/A,FALSE,"Plan2"}</definedName>
    <definedName name="dggfdg" localSheetId="6">{#N/A,#N/A,FALSE,"Plan1";#N/A,#N/A,FALSE,"Plan2"}</definedName>
    <definedName name="dggfdg" localSheetId="3">{#N/A,#N/A,FALSE,"Plan1";#N/A,#N/A,FALSE,"Plan2"}</definedName>
    <definedName name="dggfdg" localSheetId="8">{#N/A,#N/A,FALSE,"Plan1";#N/A,#N/A,FALSE,"Plan2"}</definedName>
    <definedName name="dggfdg" localSheetId="5">{#N/A,#N/A,FALSE,"Plan1";#N/A,#N/A,FALSE,"Plan2"}</definedName>
    <definedName name="dggfdg" localSheetId="4">{#N/A,#N/A,FALSE,"Plan1";#N/A,#N/A,FALSE,"Plan2"}</definedName>
    <definedName name="dggfdg" localSheetId="13">{#N/A,#N/A,FALSE,"Plan1";#N/A,#N/A,FALSE,"Plan2"}</definedName>
    <definedName name="dggfdg" localSheetId="17">{#N/A,#N/A,FALSE,"Plan1";#N/A,#N/A,FALSE,"Plan2"}</definedName>
    <definedName name="dggfdg" localSheetId="0">{#N/A,#N/A,FALSE,"Plan1";#N/A,#N/A,FALSE,"Plan2"}</definedName>
    <definedName name="dggfdg" localSheetId="19">{#N/A,#N/A,FALSE,"Plan1";#N/A,#N/A,FALSE,"Plan2"}</definedName>
    <definedName name="dggfdg" localSheetId="16">{#N/A,#N/A,FALSE,"Plan1";#N/A,#N/A,FALSE,"Plan2"}</definedName>
    <definedName name="dggfdg" localSheetId="18">{#N/A,#N/A,FALSE,"Plan1";#N/A,#N/A,FALSE,"Plan2"}</definedName>
    <definedName name="dggfdg" localSheetId="10">{#N/A,#N/A,FALSE,"Plan1";#N/A,#N/A,FALSE,"Plan2"}</definedName>
    <definedName name="dggfdg">{#N/A,#N/A,FALSE,"Plan1";#N/A,#N/A,FALSE,"Plan2"}</definedName>
    <definedName name="dgldfhgkljslh" localSheetId="9">{#N/A,#N/A,FALSE,"Plan1";#N/A,#N/A,FALSE,"Plan2"}</definedName>
    <definedName name="dgldfhgkljslh" localSheetId="6">{#N/A,#N/A,FALSE,"Plan1";#N/A,#N/A,FALSE,"Plan2"}</definedName>
    <definedName name="dgldfhgkljslh" localSheetId="3">{#N/A,#N/A,FALSE,"Plan1";#N/A,#N/A,FALSE,"Plan2"}</definedName>
    <definedName name="dgldfhgkljslh" localSheetId="8">{#N/A,#N/A,FALSE,"Plan1";#N/A,#N/A,FALSE,"Plan2"}</definedName>
    <definedName name="dgldfhgkljslh" localSheetId="5">{#N/A,#N/A,FALSE,"Plan1";#N/A,#N/A,FALSE,"Plan2"}</definedName>
    <definedName name="dgldfhgkljslh" localSheetId="4">{#N/A,#N/A,FALSE,"Plan1";#N/A,#N/A,FALSE,"Plan2"}</definedName>
    <definedName name="dgldfhgkljslh" localSheetId="13">{#N/A,#N/A,FALSE,"Plan1";#N/A,#N/A,FALSE,"Plan2"}</definedName>
    <definedName name="dgldfhgkljslh" localSheetId="17">{#N/A,#N/A,FALSE,"Plan1";#N/A,#N/A,FALSE,"Plan2"}</definedName>
    <definedName name="dgldfhgkljslh" localSheetId="0">{#N/A,#N/A,FALSE,"Plan1";#N/A,#N/A,FALSE,"Plan2"}</definedName>
    <definedName name="dgldfhgkljslh" localSheetId="19">{#N/A,#N/A,FALSE,"Plan1";#N/A,#N/A,FALSE,"Plan2"}</definedName>
    <definedName name="dgldfhgkljslh" localSheetId="16">{#N/A,#N/A,FALSE,"Plan1";#N/A,#N/A,FALSE,"Plan2"}</definedName>
    <definedName name="dgldfhgkljslh" localSheetId="18">{#N/A,#N/A,FALSE,"Plan1";#N/A,#N/A,FALSE,"Plan2"}</definedName>
    <definedName name="dgldfhgkljslh" localSheetId="10">{#N/A,#N/A,FALSE,"Plan1";#N/A,#N/A,FALSE,"Plan2"}</definedName>
    <definedName name="dgldfhgkljslh">{#N/A,#N/A,FALSE,"Plan1";#N/A,#N/A,FALSE,"Plan2"}</definedName>
    <definedName name="dhfgdhrehrwe" localSheetId="9">{#N/A,#N/A,FALSE,"Plan1";#N/A,#N/A,FALSE,"Plan2"}</definedName>
    <definedName name="dhfgdhrehrwe" localSheetId="6">{#N/A,#N/A,FALSE,"Plan1";#N/A,#N/A,FALSE,"Plan2"}</definedName>
    <definedName name="dhfgdhrehrwe" localSheetId="3">{#N/A,#N/A,FALSE,"Plan1";#N/A,#N/A,FALSE,"Plan2"}</definedName>
    <definedName name="dhfgdhrehrwe" localSheetId="8">{#N/A,#N/A,FALSE,"Plan1";#N/A,#N/A,FALSE,"Plan2"}</definedName>
    <definedName name="dhfgdhrehrwe" localSheetId="5">{#N/A,#N/A,FALSE,"Plan1";#N/A,#N/A,FALSE,"Plan2"}</definedName>
    <definedName name="dhfgdhrehrwe" localSheetId="4">{#N/A,#N/A,FALSE,"Plan1";#N/A,#N/A,FALSE,"Plan2"}</definedName>
    <definedName name="dhfgdhrehrwe" localSheetId="13">{#N/A,#N/A,FALSE,"Plan1";#N/A,#N/A,FALSE,"Plan2"}</definedName>
    <definedName name="dhfgdhrehrwe" localSheetId="17">{#N/A,#N/A,FALSE,"Plan1";#N/A,#N/A,FALSE,"Plan2"}</definedName>
    <definedName name="dhfgdhrehrwe" localSheetId="0">{#N/A,#N/A,FALSE,"Plan1";#N/A,#N/A,FALSE,"Plan2"}</definedName>
    <definedName name="dhfgdhrehrwe" localSheetId="19">{#N/A,#N/A,FALSE,"Plan1";#N/A,#N/A,FALSE,"Plan2"}</definedName>
    <definedName name="dhfgdhrehrwe" localSheetId="16">{#N/A,#N/A,FALSE,"Plan1";#N/A,#N/A,FALSE,"Plan2"}</definedName>
    <definedName name="dhfgdhrehrwe" localSheetId="18">{#N/A,#N/A,FALSE,"Plan1";#N/A,#N/A,FALSE,"Plan2"}</definedName>
    <definedName name="dhfgdhrehrwe" localSheetId="10">{#N/A,#N/A,FALSE,"Plan1";#N/A,#N/A,FALSE,"Plan2"}</definedName>
    <definedName name="dhfgdhrehrwe">{#N/A,#N/A,FALSE,"Plan1";#N/A,#N/A,FALSE,"Plan2"}</definedName>
    <definedName name="dhgfdgrfgdfgd" localSheetId="9">{#N/A,#N/A,FALSE,"Plan1";#N/A,#N/A,FALSE,"Plan2"}</definedName>
    <definedName name="dhgfdgrfgdfgd" localSheetId="6">{#N/A,#N/A,FALSE,"Plan1";#N/A,#N/A,FALSE,"Plan2"}</definedName>
    <definedName name="dhgfdgrfgdfgd" localSheetId="3">{#N/A,#N/A,FALSE,"Plan1";#N/A,#N/A,FALSE,"Plan2"}</definedName>
    <definedName name="dhgfdgrfgdfgd" localSheetId="8">{#N/A,#N/A,FALSE,"Plan1";#N/A,#N/A,FALSE,"Plan2"}</definedName>
    <definedName name="dhgfdgrfgdfgd" localSheetId="5">{#N/A,#N/A,FALSE,"Plan1";#N/A,#N/A,FALSE,"Plan2"}</definedName>
    <definedName name="dhgfdgrfgdfgd" localSheetId="4">{#N/A,#N/A,FALSE,"Plan1";#N/A,#N/A,FALSE,"Plan2"}</definedName>
    <definedName name="dhgfdgrfgdfgd" localSheetId="13">{#N/A,#N/A,FALSE,"Plan1";#N/A,#N/A,FALSE,"Plan2"}</definedName>
    <definedName name="dhgfdgrfgdfgd" localSheetId="17">{#N/A,#N/A,FALSE,"Plan1";#N/A,#N/A,FALSE,"Plan2"}</definedName>
    <definedName name="dhgfdgrfgdfgd" localSheetId="0">{#N/A,#N/A,FALSE,"Plan1";#N/A,#N/A,FALSE,"Plan2"}</definedName>
    <definedName name="dhgfdgrfgdfgd" localSheetId="19">{#N/A,#N/A,FALSE,"Plan1";#N/A,#N/A,FALSE,"Plan2"}</definedName>
    <definedName name="dhgfdgrfgdfgd" localSheetId="16">{#N/A,#N/A,FALSE,"Plan1";#N/A,#N/A,FALSE,"Plan2"}</definedName>
    <definedName name="dhgfdgrfgdfgd" localSheetId="18">{#N/A,#N/A,FALSE,"Plan1";#N/A,#N/A,FALSE,"Plan2"}</definedName>
    <definedName name="dhgfdgrfgdfgd" localSheetId="10">{#N/A,#N/A,FALSE,"Plan1";#N/A,#N/A,FALSE,"Plan2"}</definedName>
    <definedName name="dhgfdgrfgdfgd">{#N/A,#N/A,FALSE,"Plan1";#N/A,#N/A,FALSE,"Plan2"}</definedName>
    <definedName name="dhkjfhdhfjdh" localSheetId="9">{#N/A,#N/A,FALSE,"Plan1";#N/A,#N/A,FALSE,"Plan2"}</definedName>
    <definedName name="dhkjfhdhfjdh" localSheetId="6">{#N/A,#N/A,FALSE,"Plan1";#N/A,#N/A,FALSE,"Plan2"}</definedName>
    <definedName name="dhkjfhdhfjdh" localSheetId="3">{#N/A,#N/A,FALSE,"Plan1";#N/A,#N/A,FALSE,"Plan2"}</definedName>
    <definedName name="dhkjfhdhfjdh" localSheetId="8">{#N/A,#N/A,FALSE,"Plan1";#N/A,#N/A,FALSE,"Plan2"}</definedName>
    <definedName name="dhkjfhdhfjdh" localSheetId="5">{#N/A,#N/A,FALSE,"Plan1";#N/A,#N/A,FALSE,"Plan2"}</definedName>
    <definedName name="dhkjfhdhfjdh" localSheetId="4">{#N/A,#N/A,FALSE,"Plan1";#N/A,#N/A,FALSE,"Plan2"}</definedName>
    <definedName name="dhkjfhdhfjdh" localSheetId="13">{#N/A,#N/A,FALSE,"Plan1";#N/A,#N/A,FALSE,"Plan2"}</definedName>
    <definedName name="dhkjfhdhfjdh" localSheetId="17">{#N/A,#N/A,FALSE,"Plan1";#N/A,#N/A,FALSE,"Plan2"}</definedName>
    <definedName name="dhkjfhdhfjdh" localSheetId="0">{#N/A,#N/A,FALSE,"Plan1";#N/A,#N/A,FALSE,"Plan2"}</definedName>
    <definedName name="dhkjfhdhfjdh" localSheetId="19">{#N/A,#N/A,FALSE,"Plan1";#N/A,#N/A,FALSE,"Plan2"}</definedName>
    <definedName name="dhkjfhdhfjdh" localSheetId="16">{#N/A,#N/A,FALSE,"Plan1";#N/A,#N/A,FALSE,"Plan2"}</definedName>
    <definedName name="dhkjfhdhfjdh" localSheetId="18">{#N/A,#N/A,FALSE,"Plan1";#N/A,#N/A,FALSE,"Plan2"}</definedName>
    <definedName name="dhkjfhdhfjdh" localSheetId="10">{#N/A,#N/A,FALSE,"Plan1";#N/A,#N/A,FALSE,"Plan2"}</definedName>
    <definedName name="dhkjfhdhfjdh">{#N/A,#N/A,FALSE,"Plan1";#N/A,#N/A,FALSE,"Plan2"}</definedName>
    <definedName name="DHTJRT" localSheetId="9">{#N/A,#N/A,FALSE,"Plan1";#N/A,#N/A,FALSE,"Plan2"}</definedName>
    <definedName name="DHTJRT" localSheetId="6">{#N/A,#N/A,FALSE,"Plan1";#N/A,#N/A,FALSE,"Plan2"}</definedName>
    <definedName name="DHTJRT" localSheetId="3">{#N/A,#N/A,FALSE,"Plan1";#N/A,#N/A,FALSE,"Plan2"}</definedName>
    <definedName name="DHTJRT" localSheetId="8">{#N/A,#N/A,FALSE,"Plan1";#N/A,#N/A,FALSE,"Plan2"}</definedName>
    <definedName name="DHTJRT" localSheetId="5">{#N/A,#N/A,FALSE,"Plan1";#N/A,#N/A,FALSE,"Plan2"}</definedName>
    <definedName name="DHTJRT" localSheetId="4">{#N/A,#N/A,FALSE,"Plan1";#N/A,#N/A,FALSE,"Plan2"}</definedName>
    <definedName name="DHTJRT" localSheetId="13">{#N/A,#N/A,FALSE,"Plan1";#N/A,#N/A,FALSE,"Plan2"}</definedName>
    <definedName name="DHTJRT" localSheetId="17">{#N/A,#N/A,FALSE,"Plan1";#N/A,#N/A,FALSE,"Plan2"}</definedName>
    <definedName name="DHTJRT" localSheetId="0">{#N/A,#N/A,FALSE,"Plan1";#N/A,#N/A,FALSE,"Plan2"}</definedName>
    <definedName name="DHTJRT" localSheetId="19">{#N/A,#N/A,FALSE,"Plan1";#N/A,#N/A,FALSE,"Plan2"}</definedName>
    <definedName name="DHTJRT" localSheetId="16">{#N/A,#N/A,FALSE,"Plan1";#N/A,#N/A,FALSE,"Plan2"}</definedName>
    <definedName name="DHTJRT" localSheetId="18">{#N/A,#N/A,FALSE,"Plan1";#N/A,#N/A,FALSE,"Plan2"}</definedName>
    <definedName name="DHTJRT" localSheetId="10">{#N/A,#N/A,FALSE,"Plan1";#N/A,#N/A,FALSE,"Plan2"}</definedName>
    <definedName name="DHTJRT">{#N/A,#N/A,FALSE,"Plan1";#N/A,#N/A,FALSE,"Plan2"}</definedName>
    <definedName name="DI" localSheetId="3">#REF!</definedName>
    <definedName name="DI" localSheetId="5">#REF!</definedName>
    <definedName name="DI" localSheetId="26">#REF!</definedName>
    <definedName name="DI">#REF!</definedName>
    <definedName name="dia3estac" localSheetId="3">#REF!</definedName>
    <definedName name="dia3estac" localSheetId="5">#REF!</definedName>
    <definedName name="dia3estac" localSheetId="26">#REF!</definedName>
    <definedName name="dia3estac">#REF!</definedName>
    <definedName name="diaestaca" localSheetId="3">#REF!</definedName>
    <definedName name="diaestaca" localSheetId="5">#REF!</definedName>
    <definedName name="diaestaca" localSheetId="26">#REF!</definedName>
    <definedName name="diaestaca">#REF!</definedName>
    <definedName name="diambase" localSheetId="3">#REF!</definedName>
    <definedName name="diambase" localSheetId="5">#REF!</definedName>
    <definedName name="diambase" localSheetId="26">#REF!</definedName>
    <definedName name="diambase">#REF!</definedName>
    <definedName name="DIFQT" localSheetId="3">#REF!</definedName>
    <definedName name="DIFQT" localSheetId="5">#REF!</definedName>
    <definedName name="DIFQT" localSheetId="26">#REF!</definedName>
    <definedName name="DIFQT">#REF!</definedName>
    <definedName name="dijghdhks" localSheetId="9">{#N/A,#N/A,FALSE,"Plan1";#N/A,#N/A,FALSE,"Plan2"}</definedName>
    <definedName name="dijghdhks" localSheetId="6">{#N/A,#N/A,FALSE,"Plan1";#N/A,#N/A,FALSE,"Plan2"}</definedName>
    <definedName name="dijghdhks" localSheetId="3">{#N/A,#N/A,FALSE,"Plan1";#N/A,#N/A,FALSE,"Plan2"}</definedName>
    <definedName name="dijghdhks" localSheetId="8">{#N/A,#N/A,FALSE,"Plan1";#N/A,#N/A,FALSE,"Plan2"}</definedName>
    <definedName name="dijghdhks" localSheetId="5">{#N/A,#N/A,FALSE,"Plan1";#N/A,#N/A,FALSE,"Plan2"}</definedName>
    <definedName name="dijghdhks" localSheetId="4">{#N/A,#N/A,FALSE,"Plan1";#N/A,#N/A,FALSE,"Plan2"}</definedName>
    <definedName name="dijghdhks" localSheetId="13">{#N/A,#N/A,FALSE,"Plan1";#N/A,#N/A,FALSE,"Plan2"}</definedName>
    <definedName name="dijghdhks" localSheetId="17">{#N/A,#N/A,FALSE,"Plan1";#N/A,#N/A,FALSE,"Plan2"}</definedName>
    <definedName name="dijghdhks" localSheetId="0">{#N/A,#N/A,FALSE,"Plan1";#N/A,#N/A,FALSE,"Plan2"}</definedName>
    <definedName name="dijghdhks" localSheetId="19">{#N/A,#N/A,FALSE,"Plan1";#N/A,#N/A,FALSE,"Plan2"}</definedName>
    <definedName name="dijghdhks" localSheetId="16">{#N/A,#N/A,FALSE,"Plan1";#N/A,#N/A,FALSE,"Plan2"}</definedName>
    <definedName name="dijghdhks" localSheetId="18">{#N/A,#N/A,FALSE,"Plan1";#N/A,#N/A,FALSE,"Plan2"}</definedName>
    <definedName name="dijghdhks" localSheetId="10">{#N/A,#N/A,FALSE,"Plan1";#N/A,#N/A,FALSE,"Plan2"}</definedName>
    <definedName name="dijghdhks">{#N/A,#N/A,FALSE,"Plan1";#N/A,#N/A,FALSE,"Plan2"}</definedName>
    <definedName name="DIMENSÕES" localSheetId="3">#REF!</definedName>
    <definedName name="DIMENSÕES" localSheetId="5">#REF!</definedName>
    <definedName name="DIMENSÕES" localSheetId="26">#REF!</definedName>
    <definedName name="DIMENSÕES">#REF!</definedName>
    <definedName name="DIR_OPER" localSheetId="3">#REF!</definedName>
    <definedName name="DIR_OPER" localSheetId="5">#REF!</definedName>
    <definedName name="DIR_OPER" localSheetId="26">#REF!</definedName>
    <definedName name="DIR_OPER">#REF!</definedName>
    <definedName name="DIR_TECNICO" localSheetId="3">#REF!</definedName>
    <definedName name="DIR_TECNICO" localSheetId="5">#REF!</definedName>
    <definedName name="DIR_TECNICO" localSheetId="26">#REF!</definedName>
    <definedName name="DIR_TECNICO">#REF!</definedName>
    <definedName name="direto" localSheetId="3">#REF!</definedName>
    <definedName name="direto" localSheetId="1">#REF!</definedName>
    <definedName name="direto" localSheetId="5">#REF!</definedName>
    <definedName name="direto" localSheetId="21">#REF!</definedName>
    <definedName name="direto" localSheetId="22">#REF!</definedName>
    <definedName name="direto" localSheetId="13">#REF!</definedName>
    <definedName name="direto" localSheetId="26">#REF!</definedName>
    <definedName name="direto" localSheetId="0">#REF!</definedName>
    <definedName name="direto">#REF!</definedName>
    <definedName name="DIRETORIA" localSheetId="3">#REF!</definedName>
    <definedName name="DIRETORIA" localSheetId="5">#REF!</definedName>
    <definedName name="DIRETORIA" localSheetId="26">#REF!</definedName>
    <definedName name="DIRETORIA">#REF!</definedName>
    <definedName name="diretorias" localSheetId="3">#REF!</definedName>
    <definedName name="diretorias" localSheetId="5">#REF!</definedName>
    <definedName name="diretorias" localSheetId="26">#REF!</definedName>
    <definedName name="diretorias">#REF!</definedName>
    <definedName name="Discrim" localSheetId="3">#REF!</definedName>
    <definedName name="Discrim" localSheetId="5">#REF!</definedName>
    <definedName name="Discrim" localSheetId="26">#REF!</definedName>
    <definedName name="Discrim">#REF!</definedName>
    <definedName name="DISCRIMINAÇÃO" localSheetId="3">#REF!</definedName>
    <definedName name="DISCRIMINAÇÃO" localSheetId="5">#REF!</definedName>
    <definedName name="DISCRIMINAÇÃO" localSheetId="26">#REF!</definedName>
    <definedName name="DISCRIMINAÇÃO">#REF!</definedName>
    <definedName name="Discriminação_Controladoria" localSheetId="3">#REF!</definedName>
    <definedName name="Discriminação_Controladoria" localSheetId="5">#REF!</definedName>
    <definedName name="Discriminação_Controladoria" localSheetId="26">#REF!</definedName>
    <definedName name="Discriminação_Controladoria">#REF!</definedName>
    <definedName name="DistCidade" localSheetId="3">#REF!</definedName>
    <definedName name="DistCidade" localSheetId="5">#REF!</definedName>
    <definedName name="DistCidade" localSheetId="26">#REF!</definedName>
    <definedName name="DistCidade">#REF!</definedName>
    <definedName name="distratos" localSheetId="3">#REF!</definedName>
    <definedName name="distratos" localSheetId="5">#REF!</definedName>
    <definedName name="distratos" localSheetId="26">#REF!</definedName>
    <definedName name="distratos">#REF!</definedName>
    <definedName name="div" localSheetId="3">#REF!</definedName>
    <definedName name="div" localSheetId="5">#REF!</definedName>
    <definedName name="div" localSheetId="26">#REF!</definedName>
    <definedName name="div">#REF!</definedName>
    <definedName name="djasdrjas" localSheetId="9">{#N/A,#N/A,FALSE,"Plan1";#N/A,#N/A,FALSE,"Plan2"}</definedName>
    <definedName name="djasdrjas" localSheetId="6">{#N/A,#N/A,FALSE,"Plan1";#N/A,#N/A,FALSE,"Plan2"}</definedName>
    <definedName name="djasdrjas" localSheetId="3">{#N/A,#N/A,FALSE,"Plan1";#N/A,#N/A,FALSE,"Plan2"}</definedName>
    <definedName name="djasdrjas" localSheetId="8">{#N/A,#N/A,FALSE,"Plan1";#N/A,#N/A,FALSE,"Plan2"}</definedName>
    <definedName name="djasdrjas" localSheetId="5">{#N/A,#N/A,FALSE,"Plan1";#N/A,#N/A,FALSE,"Plan2"}</definedName>
    <definedName name="djasdrjas" localSheetId="4">{#N/A,#N/A,FALSE,"Plan1";#N/A,#N/A,FALSE,"Plan2"}</definedName>
    <definedName name="djasdrjas" localSheetId="13">{#N/A,#N/A,FALSE,"Plan1";#N/A,#N/A,FALSE,"Plan2"}</definedName>
    <definedName name="djasdrjas" localSheetId="17">{#N/A,#N/A,FALSE,"Plan1";#N/A,#N/A,FALSE,"Plan2"}</definedName>
    <definedName name="djasdrjas" localSheetId="0">{#N/A,#N/A,FALSE,"Plan1";#N/A,#N/A,FALSE,"Plan2"}</definedName>
    <definedName name="djasdrjas" localSheetId="19">{#N/A,#N/A,FALSE,"Plan1";#N/A,#N/A,FALSE,"Plan2"}</definedName>
    <definedName name="djasdrjas" localSheetId="16">{#N/A,#N/A,FALSE,"Plan1";#N/A,#N/A,FALSE,"Plan2"}</definedName>
    <definedName name="djasdrjas" localSheetId="18">{#N/A,#N/A,FALSE,"Plan1";#N/A,#N/A,FALSE,"Plan2"}</definedName>
    <definedName name="djasdrjas" localSheetId="10">{#N/A,#N/A,FALSE,"Plan1";#N/A,#N/A,FALSE,"Plan2"}</definedName>
    <definedName name="djasdrjas">{#N/A,#N/A,FALSE,"Plan1";#N/A,#N/A,FALSE,"Plan2"}</definedName>
    <definedName name="dj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9">{#N/A,#N/A,FALSE,"Plan1";#N/A,#N/A,FALSE,"Plan2"}</definedName>
    <definedName name="djfkhjhfgrgdfh" localSheetId="6">{#N/A,#N/A,FALSE,"Plan1";#N/A,#N/A,FALSE,"Plan2"}</definedName>
    <definedName name="djfkhjhfgrgdfh" localSheetId="3">{#N/A,#N/A,FALSE,"Plan1";#N/A,#N/A,FALSE,"Plan2"}</definedName>
    <definedName name="djfkhjhfgrgdfh" localSheetId="8">{#N/A,#N/A,FALSE,"Plan1";#N/A,#N/A,FALSE,"Plan2"}</definedName>
    <definedName name="djfkhjhfgrgdfh" localSheetId="5">{#N/A,#N/A,FALSE,"Plan1";#N/A,#N/A,FALSE,"Plan2"}</definedName>
    <definedName name="djfkhjhfgrgdfh" localSheetId="4">{#N/A,#N/A,FALSE,"Plan1";#N/A,#N/A,FALSE,"Plan2"}</definedName>
    <definedName name="djfkhjhfgrgdfh" localSheetId="13">{#N/A,#N/A,FALSE,"Plan1";#N/A,#N/A,FALSE,"Plan2"}</definedName>
    <definedName name="djfkhjhfgrgdfh" localSheetId="17">{#N/A,#N/A,FALSE,"Plan1";#N/A,#N/A,FALSE,"Plan2"}</definedName>
    <definedName name="djfkhjhfgrgdfh" localSheetId="0">{#N/A,#N/A,FALSE,"Plan1";#N/A,#N/A,FALSE,"Plan2"}</definedName>
    <definedName name="djfkhjhfgrgdfh" localSheetId="19">{#N/A,#N/A,FALSE,"Plan1";#N/A,#N/A,FALSE,"Plan2"}</definedName>
    <definedName name="djfkhjhfgrgdfh" localSheetId="16">{#N/A,#N/A,FALSE,"Plan1";#N/A,#N/A,FALSE,"Plan2"}</definedName>
    <definedName name="djfkhjhfgrgdfh" localSheetId="18">{#N/A,#N/A,FALSE,"Plan1";#N/A,#N/A,FALSE,"Plan2"}</definedName>
    <definedName name="djfkhjhfgrgdfh" localSheetId="10">{#N/A,#N/A,FALSE,"Plan1";#N/A,#N/A,FALSE,"Plan2"}</definedName>
    <definedName name="djfkhjhfgrgdfh">{#N/A,#N/A,FALSE,"Plan1";#N/A,#N/A,FALSE,"Plan2"}</definedName>
    <definedName name="djfkhsdkjhf" localSheetId="9">{#N/A,#N/A,FALSE,"Plan1";#N/A,#N/A,FALSE,"Plan2"}</definedName>
    <definedName name="djfkhsdkjhf" localSheetId="6">{#N/A,#N/A,FALSE,"Plan1";#N/A,#N/A,FALSE,"Plan2"}</definedName>
    <definedName name="djfkhsdkjhf" localSheetId="3">{#N/A,#N/A,FALSE,"Plan1";#N/A,#N/A,FALSE,"Plan2"}</definedName>
    <definedName name="djfkhsdkjhf" localSheetId="8">{#N/A,#N/A,FALSE,"Plan1";#N/A,#N/A,FALSE,"Plan2"}</definedName>
    <definedName name="djfkhsdkjhf" localSheetId="5">{#N/A,#N/A,FALSE,"Plan1";#N/A,#N/A,FALSE,"Plan2"}</definedName>
    <definedName name="djfkhsdkjhf" localSheetId="4">{#N/A,#N/A,FALSE,"Plan1";#N/A,#N/A,FALSE,"Plan2"}</definedName>
    <definedName name="djfkhsdkjhf" localSheetId="13">{#N/A,#N/A,FALSE,"Plan1";#N/A,#N/A,FALSE,"Plan2"}</definedName>
    <definedName name="djfkhsdkjhf" localSheetId="17">{#N/A,#N/A,FALSE,"Plan1";#N/A,#N/A,FALSE,"Plan2"}</definedName>
    <definedName name="djfkhsdkjhf" localSheetId="0">{#N/A,#N/A,FALSE,"Plan1";#N/A,#N/A,FALSE,"Plan2"}</definedName>
    <definedName name="djfkhsdkjhf" localSheetId="19">{#N/A,#N/A,FALSE,"Plan1";#N/A,#N/A,FALSE,"Plan2"}</definedName>
    <definedName name="djfkhsdkjhf" localSheetId="16">{#N/A,#N/A,FALSE,"Plan1";#N/A,#N/A,FALSE,"Plan2"}</definedName>
    <definedName name="djfkhsdkjhf" localSheetId="18">{#N/A,#N/A,FALSE,"Plan1";#N/A,#N/A,FALSE,"Plan2"}</definedName>
    <definedName name="djfkhsdkjhf" localSheetId="10">{#N/A,#N/A,FALSE,"Plan1";#N/A,#N/A,FALSE,"Plan2"}</definedName>
    <definedName name="djfkhsdkjhf">{#N/A,#N/A,FALSE,"Plan1";#N/A,#N/A,FALSE,"Plan2"}</definedName>
    <definedName name="djfldjsgljslkjtg" localSheetId="9">{#N/A,#N/A,FALSE,"Plan1";#N/A,#N/A,FALSE,"Plan2"}</definedName>
    <definedName name="djfldjsgljslkjtg" localSheetId="6">{#N/A,#N/A,FALSE,"Plan1";#N/A,#N/A,FALSE,"Plan2"}</definedName>
    <definedName name="djfldjsgljslkjtg" localSheetId="3">{#N/A,#N/A,FALSE,"Plan1";#N/A,#N/A,FALSE,"Plan2"}</definedName>
    <definedName name="djfldjsgljslkjtg" localSheetId="8">{#N/A,#N/A,FALSE,"Plan1";#N/A,#N/A,FALSE,"Plan2"}</definedName>
    <definedName name="djfldjsgljslkjtg" localSheetId="5">{#N/A,#N/A,FALSE,"Plan1";#N/A,#N/A,FALSE,"Plan2"}</definedName>
    <definedName name="djfldjsgljslkjtg" localSheetId="4">{#N/A,#N/A,FALSE,"Plan1";#N/A,#N/A,FALSE,"Plan2"}</definedName>
    <definedName name="djfldjsgljslkjtg" localSheetId="13">{#N/A,#N/A,FALSE,"Plan1";#N/A,#N/A,FALSE,"Plan2"}</definedName>
    <definedName name="djfldjsgljslkjtg" localSheetId="17">{#N/A,#N/A,FALSE,"Plan1";#N/A,#N/A,FALSE,"Plan2"}</definedName>
    <definedName name="djfldjsgljslkjtg" localSheetId="0">{#N/A,#N/A,FALSE,"Plan1";#N/A,#N/A,FALSE,"Plan2"}</definedName>
    <definedName name="djfldjsgljslkjtg" localSheetId="19">{#N/A,#N/A,FALSE,"Plan1";#N/A,#N/A,FALSE,"Plan2"}</definedName>
    <definedName name="djfldjsgljslkjtg" localSheetId="16">{#N/A,#N/A,FALSE,"Plan1";#N/A,#N/A,FALSE,"Plan2"}</definedName>
    <definedName name="djfldjsgljslkjtg" localSheetId="18">{#N/A,#N/A,FALSE,"Plan1";#N/A,#N/A,FALSE,"Plan2"}</definedName>
    <definedName name="djfldjsgljslkjtg" localSheetId="10">{#N/A,#N/A,FALSE,"Plan1";#N/A,#N/A,FALSE,"Plan2"}</definedName>
    <definedName name="djfldjsgljslkjtg">{#N/A,#N/A,FALSE,"Plan1";#N/A,#N/A,FALSE,"Plan2"}</definedName>
    <definedName name="djflkdjgdth" localSheetId="9">{#N/A,#N/A,FALSE,"Plan1";#N/A,#N/A,FALSE,"Plan2"}</definedName>
    <definedName name="djflkdjgdth" localSheetId="6">{#N/A,#N/A,FALSE,"Plan1";#N/A,#N/A,FALSE,"Plan2"}</definedName>
    <definedName name="djflkdjgdth" localSheetId="3">{#N/A,#N/A,FALSE,"Plan1";#N/A,#N/A,FALSE,"Plan2"}</definedName>
    <definedName name="djflkdjgdth" localSheetId="8">{#N/A,#N/A,FALSE,"Plan1";#N/A,#N/A,FALSE,"Plan2"}</definedName>
    <definedName name="djflkdjgdth" localSheetId="5">{#N/A,#N/A,FALSE,"Plan1";#N/A,#N/A,FALSE,"Plan2"}</definedName>
    <definedName name="djflkdjgdth" localSheetId="4">{#N/A,#N/A,FALSE,"Plan1";#N/A,#N/A,FALSE,"Plan2"}</definedName>
    <definedName name="djflkdjgdth" localSheetId="13">{#N/A,#N/A,FALSE,"Plan1";#N/A,#N/A,FALSE,"Plan2"}</definedName>
    <definedName name="djflkdjgdth" localSheetId="17">{#N/A,#N/A,FALSE,"Plan1";#N/A,#N/A,FALSE,"Plan2"}</definedName>
    <definedName name="djflkdjgdth" localSheetId="0">{#N/A,#N/A,FALSE,"Plan1";#N/A,#N/A,FALSE,"Plan2"}</definedName>
    <definedName name="djflkdjgdth" localSheetId="19">{#N/A,#N/A,FALSE,"Plan1";#N/A,#N/A,FALSE,"Plan2"}</definedName>
    <definedName name="djflkdjgdth" localSheetId="16">{#N/A,#N/A,FALSE,"Plan1";#N/A,#N/A,FALSE,"Plan2"}</definedName>
    <definedName name="djflkdjgdth" localSheetId="18">{#N/A,#N/A,FALSE,"Plan1";#N/A,#N/A,FALSE,"Plan2"}</definedName>
    <definedName name="djflkdjgdth" localSheetId="10">{#N/A,#N/A,FALSE,"Plan1";#N/A,#N/A,FALSE,"Plan2"}</definedName>
    <definedName name="djflkdjgdth">{#N/A,#N/A,FALSE,"Plan1";#N/A,#N/A,FALSE,"Plan2"}</definedName>
    <definedName name="DJFLKDJGKTJYJT" localSheetId="9">{#N/A,#N/A,FALSE,"Plan1";#N/A,#N/A,FALSE,"Plan2"}</definedName>
    <definedName name="DJFLKDJGKTJYJT" localSheetId="6">{#N/A,#N/A,FALSE,"Plan1";#N/A,#N/A,FALSE,"Plan2"}</definedName>
    <definedName name="DJFLKDJGKTJYJT" localSheetId="3">{#N/A,#N/A,FALSE,"Plan1";#N/A,#N/A,FALSE,"Plan2"}</definedName>
    <definedName name="DJFLKDJGKTJYJT" localSheetId="8">{#N/A,#N/A,FALSE,"Plan1";#N/A,#N/A,FALSE,"Plan2"}</definedName>
    <definedName name="DJFLKDJGKTJYJT" localSheetId="5">{#N/A,#N/A,FALSE,"Plan1";#N/A,#N/A,FALSE,"Plan2"}</definedName>
    <definedName name="DJFLKDJGKTJYJT" localSheetId="4">{#N/A,#N/A,FALSE,"Plan1";#N/A,#N/A,FALSE,"Plan2"}</definedName>
    <definedName name="DJFLKDJGKTJYJT" localSheetId="13">{#N/A,#N/A,FALSE,"Plan1";#N/A,#N/A,FALSE,"Plan2"}</definedName>
    <definedName name="DJFLKDJGKTJYJT" localSheetId="17">{#N/A,#N/A,FALSE,"Plan1";#N/A,#N/A,FALSE,"Plan2"}</definedName>
    <definedName name="DJFLKDJGKTJYJT" localSheetId="0">{#N/A,#N/A,FALSE,"Plan1";#N/A,#N/A,FALSE,"Plan2"}</definedName>
    <definedName name="DJFLKDJGKTJYJT" localSheetId="19">{#N/A,#N/A,FALSE,"Plan1";#N/A,#N/A,FALSE,"Plan2"}</definedName>
    <definedName name="DJFLKDJGKTJYJT" localSheetId="16">{#N/A,#N/A,FALSE,"Plan1";#N/A,#N/A,FALSE,"Plan2"}</definedName>
    <definedName name="DJFLKDJGKTJYJT" localSheetId="18">{#N/A,#N/A,FALSE,"Plan1";#N/A,#N/A,FALSE,"Plan2"}</definedName>
    <definedName name="DJFLKDJGKTJYJT" localSheetId="10">{#N/A,#N/A,FALSE,"Plan1";#N/A,#N/A,FALSE,"Plan2"}</definedName>
    <definedName name="DJFLKDJGKTJYJT">{#N/A,#N/A,FALSE,"Plan1";#N/A,#N/A,FALSE,"Plan2"}</definedName>
    <definedName name="djgkfjgtiyty" localSheetId="9">{#N/A,#N/A,FALSE,"Plan1";#N/A,#N/A,FALSE,"Plan2"}</definedName>
    <definedName name="djgkfjgtiyty" localSheetId="6">{#N/A,#N/A,FALSE,"Plan1";#N/A,#N/A,FALSE,"Plan2"}</definedName>
    <definedName name="djgkfjgtiyty" localSheetId="3">{#N/A,#N/A,FALSE,"Plan1";#N/A,#N/A,FALSE,"Plan2"}</definedName>
    <definedName name="djgkfjgtiyty" localSheetId="8">{#N/A,#N/A,FALSE,"Plan1";#N/A,#N/A,FALSE,"Plan2"}</definedName>
    <definedName name="djgkfjgtiyty" localSheetId="5">{#N/A,#N/A,FALSE,"Plan1";#N/A,#N/A,FALSE,"Plan2"}</definedName>
    <definedName name="djgkfjgtiyty" localSheetId="4">{#N/A,#N/A,FALSE,"Plan1";#N/A,#N/A,FALSE,"Plan2"}</definedName>
    <definedName name="djgkfjgtiyty" localSheetId="13">{#N/A,#N/A,FALSE,"Plan1";#N/A,#N/A,FALSE,"Plan2"}</definedName>
    <definedName name="djgkfjgtiyty" localSheetId="17">{#N/A,#N/A,FALSE,"Plan1";#N/A,#N/A,FALSE,"Plan2"}</definedName>
    <definedName name="djgkfjgtiyty" localSheetId="0">{#N/A,#N/A,FALSE,"Plan1";#N/A,#N/A,FALSE,"Plan2"}</definedName>
    <definedName name="djgkfjgtiyty" localSheetId="19">{#N/A,#N/A,FALSE,"Plan1";#N/A,#N/A,FALSE,"Plan2"}</definedName>
    <definedName name="djgkfjgtiyty" localSheetId="16">{#N/A,#N/A,FALSE,"Plan1";#N/A,#N/A,FALSE,"Plan2"}</definedName>
    <definedName name="djgkfjgtiyty" localSheetId="18">{#N/A,#N/A,FALSE,"Plan1";#N/A,#N/A,FALSE,"Plan2"}</definedName>
    <definedName name="djgkfjgtiyty" localSheetId="10">{#N/A,#N/A,FALSE,"Plan1";#N/A,#N/A,FALSE,"Plan2"}</definedName>
    <definedName name="djgkfjgtiyty">{#N/A,#N/A,FALSE,"Plan1";#N/A,#N/A,FALSE,"Plan2"}</definedName>
    <definedName name="djrkehrjfhng" localSheetId="9">{#N/A,#N/A,FALSE,"Plan1";#N/A,#N/A,FALSE,"Plan2"}</definedName>
    <definedName name="djrkehrjfhng" localSheetId="6">{#N/A,#N/A,FALSE,"Plan1";#N/A,#N/A,FALSE,"Plan2"}</definedName>
    <definedName name="djrkehrjfhng" localSheetId="3">{#N/A,#N/A,FALSE,"Plan1";#N/A,#N/A,FALSE,"Plan2"}</definedName>
    <definedName name="djrkehrjfhng" localSheetId="8">{#N/A,#N/A,FALSE,"Plan1";#N/A,#N/A,FALSE,"Plan2"}</definedName>
    <definedName name="djrkehrjfhng" localSheetId="5">{#N/A,#N/A,FALSE,"Plan1";#N/A,#N/A,FALSE,"Plan2"}</definedName>
    <definedName name="djrkehrjfhng" localSheetId="4">{#N/A,#N/A,FALSE,"Plan1";#N/A,#N/A,FALSE,"Plan2"}</definedName>
    <definedName name="djrkehrjfhng" localSheetId="13">{#N/A,#N/A,FALSE,"Plan1";#N/A,#N/A,FALSE,"Plan2"}</definedName>
    <definedName name="djrkehrjfhng" localSheetId="17">{#N/A,#N/A,FALSE,"Plan1";#N/A,#N/A,FALSE,"Plan2"}</definedName>
    <definedName name="djrkehrjfhng" localSheetId="0">{#N/A,#N/A,FALSE,"Plan1";#N/A,#N/A,FALSE,"Plan2"}</definedName>
    <definedName name="djrkehrjfhng" localSheetId="19">{#N/A,#N/A,FALSE,"Plan1";#N/A,#N/A,FALSE,"Plan2"}</definedName>
    <definedName name="djrkehrjfhng" localSheetId="16">{#N/A,#N/A,FALSE,"Plan1";#N/A,#N/A,FALSE,"Plan2"}</definedName>
    <definedName name="djrkehrjfhng" localSheetId="18">{#N/A,#N/A,FALSE,"Plan1";#N/A,#N/A,FALSE,"Plan2"}</definedName>
    <definedName name="djrkehrjfhng" localSheetId="10">{#N/A,#N/A,FALSE,"Plan1";#N/A,#N/A,FALSE,"Plan2"}</definedName>
    <definedName name="djrkehrjfhng">{#N/A,#N/A,FALSE,"Plan1";#N/A,#N/A,FALSE,"Plan2"}</definedName>
    <definedName name="djswfr" localSheetId="3">#REF!</definedName>
    <definedName name="djswfr" localSheetId="5">#REF!</definedName>
    <definedName name="djswfr" localSheetId="26">#REF!</definedName>
    <definedName name="djswfr" localSheetId="0">#REF!</definedName>
    <definedName name="djswfr">#REF!</definedName>
    <definedName name="djtkjldfr" localSheetId="9">{#N/A,#N/A,FALSE,"Plan1";#N/A,#N/A,FALSE,"Plan2"}</definedName>
    <definedName name="djtkjldfr" localSheetId="6">{#N/A,#N/A,FALSE,"Plan1";#N/A,#N/A,FALSE,"Plan2"}</definedName>
    <definedName name="djtkjldfr" localSheetId="3">{#N/A,#N/A,FALSE,"Plan1";#N/A,#N/A,FALSE,"Plan2"}</definedName>
    <definedName name="djtkjldfr" localSheetId="8">{#N/A,#N/A,FALSE,"Plan1";#N/A,#N/A,FALSE,"Plan2"}</definedName>
    <definedName name="djtkjldfr" localSheetId="5">{#N/A,#N/A,FALSE,"Plan1";#N/A,#N/A,FALSE,"Plan2"}</definedName>
    <definedName name="djtkjldfr" localSheetId="4">{#N/A,#N/A,FALSE,"Plan1";#N/A,#N/A,FALSE,"Plan2"}</definedName>
    <definedName name="djtkjldfr" localSheetId="13">{#N/A,#N/A,FALSE,"Plan1";#N/A,#N/A,FALSE,"Plan2"}</definedName>
    <definedName name="djtkjldfr" localSheetId="17">{#N/A,#N/A,FALSE,"Plan1";#N/A,#N/A,FALSE,"Plan2"}</definedName>
    <definedName name="djtkjldfr" localSheetId="0">{#N/A,#N/A,FALSE,"Plan1";#N/A,#N/A,FALSE,"Plan2"}</definedName>
    <definedName name="djtkjldfr" localSheetId="19">{#N/A,#N/A,FALSE,"Plan1";#N/A,#N/A,FALSE,"Plan2"}</definedName>
    <definedName name="djtkjldfr" localSheetId="16">{#N/A,#N/A,FALSE,"Plan1";#N/A,#N/A,FALSE,"Plan2"}</definedName>
    <definedName name="djtkjldfr" localSheetId="18">{#N/A,#N/A,FALSE,"Plan1";#N/A,#N/A,FALSE,"Plan2"}</definedName>
    <definedName name="djtkjldfr" localSheetId="10">{#N/A,#N/A,FALSE,"Plan1";#N/A,#N/A,FALSE,"Plan2"}</definedName>
    <definedName name="djtkjldfr">{#N/A,#N/A,FALSE,"Plan1";#N/A,#N/A,FALSE,"Plan2"}</definedName>
    <definedName name="DJXDLFGDFG" localSheetId="9">{#N/A,#N/A,FALSE,"Plan1";#N/A,#N/A,FALSE,"Plan2"}</definedName>
    <definedName name="DJXDLFGDFG" localSheetId="6">{#N/A,#N/A,FALSE,"Plan1";#N/A,#N/A,FALSE,"Plan2"}</definedName>
    <definedName name="DJXDLFGDFG" localSheetId="3">{#N/A,#N/A,FALSE,"Plan1";#N/A,#N/A,FALSE,"Plan2"}</definedName>
    <definedName name="DJXDLFGDFG" localSheetId="8">{#N/A,#N/A,FALSE,"Plan1";#N/A,#N/A,FALSE,"Plan2"}</definedName>
    <definedName name="DJXDLFGDFG" localSheetId="5">{#N/A,#N/A,FALSE,"Plan1";#N/A,#N/A,FALSE,"Plan2"}</definedName>
    <definedName name="DJXDLFGDFG" localSheetId="4">{#N/A,#N/A,FALSE,"Plan1";#N/A,#N/A,FALSE,"Plan2"}</definedName>
    <definedName name="DJXDLFGDFG" localSheetId="13">{#N/A,#N/A,FALSE,"Plan1";#N/A,#N/A,FALSE,"Plan2"}</definedName>
    <definedName name="DJXDLFGDFG" localSheetId="17">{#N/A,#N/A,FALSE,"Plan1";#N/A,#N/A,FALSE,"Plan2"}</definedName>
    <definedName name="DJXDLFGDFG" localSheetId="0">{#N/A,#N/A,FALSE,"Plan1";#N/A,#N/A,FALSE,"Plan2"}</definedName>
    <definedName name="DJXDLFGDFG" localSheetId="19">{#N/A,#N/A,FALSE,"Plan1";#N/A,#N/A,FALSE,"Plan2"}</definedName>
    <definedName name="DJXDLFGDFG" localSheetId="16">{#N/A,#N/A,FALSE,"Plan1";#N/A,#N/A,FALSE,"Plan2"}</definedName>
    <definedName name="DJXDLFGDFG" localSheetId="18">{#N/A,#N/A,FALSE,"Plan1";#N/A,#N/A,FALSE,"Plan2"}</definedName>
    <definedName name="DJXDLFGDFG" localSheetId="10">{#N/A,#N/A,FALSE,"Plan1";#N/A,#N/A,FALSE,"Plan2"}</definedName>
    <definedName name="DJXDLFGDFG">{#N/A,#N/A,FALSE,"Plan1";#N/A,#N/A,FALSE,"Plan2"}</definedName>
    <definedName name="dkdkdkdkd" localSheetId="9">{#N/A,#N/A,FALSE,"명세표"}</definedName>
    <definedName name="dkdkdkdkd" localSheetId="6">{#N/A,#N/A,FALSE,"명세표"}</definedName>
    <definedName name="dkdkdkdkd" localSheetId="3">{#N/A,#N/A,FALSE,"명세표"}</definedName>
    <definedName name="dkdkdkdkd" localSheetId="8">{#N/A,#N/A,FALSE,"명세표"}</definedName>
    <definedName name="dkdkdkdkd" localSheetId="5">{#N/A,#N/A,FALSE,"명세표"}</definedName>
    <definedName name="dkdkdkdkd" localSheetId="4">{#N/A,#N/A,FALSE,"명세표"}</definedName>
    <definedName name="dkdkdkdkd" localSheetId="13">{#N/A,#N/A,FALSE,"명세표"}</definedName>
    <definedName name="dkdkdkdkd" localSheetId="17">{#N/A,#N/A,FALSE,"명세표"}</definedName>
    <definedName name="dkdkdkdkd" localSheetId="0">{#N/A,#N/A,FALSE,"명세표"}</definedName>
    <definedName name="dkdkdkdkd" localSheetId="19">{#N/A,#N/A,FALSE,"명세표"}</definedName>
    <definedName name="dkdkdkdkd" localSheetId="16">{#N/A,#N/A,FALSE,"명세표"}</definedName>
    <definedName name="dkdkdkdkd" localSheetId="18">{#N/A,#N/A,FALSE,"명세표"}</definedName>
    <definedName name="dkdkdkdkd" localSheetId="10">{#N/A,#N/A,FALSE,"명세표"}</definedName>
    <definedName name="dkdkdkdkd">{#N/A,#N/A,FALSE,"명세표"}</definedName>
    <definedName name="dkfhskgf" localSheetId="9">{#N/A,#N/A,FALSE,"Plan1";#N/A,#N/A,FALSE,"Plan2"}</definedName>
    <definedName name="dkfhskgf" localSheetId="6">{#N/A,#N/A,FALSE,"Plan1";#N/A,#N/A,FALSE,"Plan2"}</definedName>
    <definedName name="dkfhskgf" localSheetId="3">{#N/A,#N/A,FALSE,"Plan1";#N/A,#N/A,FALSE,"Plan2"}</definedName>
    <definedName name="dkfhskgf" localSheetId="8">{#N/A,#N/A,FALSE,"Plan1";#N/A,#N/A,FALSE,"Plan2"}</definedName>
    <definedName name="dkfhskgf" localSheetId="5">{#N/A,#N/A,FALSE,"Plan1";#N/A,#N/A,FALSE,"Plan2"}</definedName>
    <definedName name="dkfhskgf" localSheetId="4">{#N/A,#N/A,FALSE,"Plan1";#N/A,#N/A,FALSE,"Plan2"}</definedName>
    <definedName name="dkfhskgf" localSheetId="13">{#N/A,#N/A,FALSE,"Plan1";#N/A,#N/A,FALSE,"Plan2"}</definedName>
    <definedName name="dkfhskgf" localSheetId="17">{#N/A,#N/A,FALSE,"Plan1";#N/A,#N/A,FALSE,"Plan2"}</definedName>
    <definedName name="dkfhskgf" localSheetId="0">{#N/A,#N/A,FALSE,"Plan1";#N/A,#N/A,FALSE,"Plan2"}</definedName>
    <definedName name="dkfhskgf" localSheetId="19">{#N/A,#N/A,FALSE,"Plan1";#N/A,#N/A,FALSE,"Plan2"}</definedName>
    <definedName name="dkfhskgf" localSheetId="16">{#N/A,#N/A,FALSE,"Plan1";#N/A,#N/A,FALSE,"Plan2"}</definedName>
    <definedName name="dkfhskgf" localSheetId="18">{#N/A,#N/A,FALSE,"Plan1";#N/A,#N/A,FALSE,"Plan2"}</definedName>
    <definedName name="dkfhskgf" localSheetId="10">{#N/A,#N/A,FALSE,"Plan1";#N/A,#N/A,FALSE,"Plan2"}</definedName>
    <definedName name="dkfhskgf">{#N/A,#N/A,FALSE,"Plan1";#N/A,#N/A,FALSE,"Plan2"}</definedName>
    <definedName name="dkjfk" localSheetId="9">{#N/A,#N/A,FALSE,"Plan1";#N/A,#N/A,FALSE,"Plan2"}</definedName>
    <definedName name="dkjfk" localSheetId="6">{#N/A,#N/A,FALSE,"Plan1";#N/A,#N/A,FALSE,"Plan2"}</definedName>
    <definedName name="dkjfk" localSheetId="3">{#N/A,#N/A,FALSE,"Plan1";#N/A,#N/A,FALSE,"Plan2"}</definedName>
    <definedName name="dkjfk" localSheetId="8">{#N/A,#N/A,FALSE,"Plan1";#N/A,#N/A,FALSE,"Plan2"}</definedName>
    <definedName name="dkjfk" localSheetId="5">{#N/A,#N/A,FALSE,"Plan1";#N/A,#N/A,FALSE,"Plan2"}</definedName>
    <definedName name="dkjfk" localSheetId="4">{#N/A,#N/A,FALSE,"Plan1";#N/A,#N/A,FALSE,"Plan2"}</definedName>
    <definedName name="dkjfk" localSheetId="13">{#N/A,#N/A,FALSE,"Plan1";#N/A,#N/A,FALSE,"Plan2"}</definedName>
    <definedName name="dkjfk" localSheetId="17">{#N/A,#N/A,FALSE,"Plan1";#N/A,#N/A,FALSE,"Plan2"}</definedName>
    <definedName name="dkjfk" localSheetId="0">{#N/A,#N/A,FALSE,"Plan1";#N/A,#N/A,FALSE,"Plan2"}</definedName>
    <definedName name="dkjfk" localSheetId="19">{#N/A,#N/A,FALSE,"Plan1";#N/A,#N/A,FALSE,"Plan2"}</definedName>
    <definedName name="dkjfk" localSheetId="16">{#N/A,#N/A,FALSE,"Plan1";#N/A,#N/A,FALSE,"Plan2"}</definedName>
    <definedName name="dkjfk" localSheetId="18">{#N/A,#N/A,FALSE,"Plan1";#N/A,#N/A,FALSE,"Plan2"}</definedName>
    <definedName name="dkjfk" localSheetId="10">{#N/A,#N/A,FALSE,"Plan1";#N/A,#N/A,FALSE,"Plan2"}</definedName>
    <definedName name="dkjfk">{#N/A,#N/A,FALSE,"Plan1";#N/A,#N/A,FALSE,"Plan2"}</definedName>
    <definedName name="DKLD" localSheetId="9">{#N/A,#N/A,FALSE,"Plan1";#N/A,#N/A,FALSE,"Plan2"}</definedName>
    <definedName name="DKLD" localSheetId="6">{#N/A,#N/A,FALSE,"Plan1";#N/A,#N/A,FALSE,"Plan2"}</definedName>
    <definedName name="DKLD" localSheetId="3">{#N/A,#N/A,FALSE,"Plan1";#N/A,#N/A,FALSE,"Plan2"}</definedName>
    <definedName name="DKLD" localSheetId="8">{#N/A,#N/A,FALSE,"Plan1";#N/A,#N/A,FALSE,"Plan2"}</definedName>
    <definedName name="DKLD" localSheetId="5">{#N/A,#N/A,FALSE,"Plan1";#N/A,#N/A,FALSE,"Plan2"}</definedName>
    <definedName name="DKLD" localSheetId="4">{#N/A,#N/A,FALSE,"Plan1";#N/A,#N/A,FALSE,"Plan2"}</definedName>
    <definedName name="DKLD" localSheetId="13">{#N/A,#N/A,FALSE,"Plan1";#N/A,#N/A,FALSE,"Plan2"}</definedName>
    <definedName name="DKLD" localSheetId="17">{#N/A,#N/A,FALSE,"Plan1";#N/A,#N/A,FALSE,"Plan2"}</definedName>
    <definedName name="DKLD" localSheetId="0">{#N/A,#N/A,FALSE,"Plan1";#N/A,#N/A,FALSE,"Plan2"}</definedName>
    <definedName name="DKLD" localSheetId="19">{#N/A,#N/A,FALSE,"Plan1";#N/A,#N/A,FALSE,"Plan2"}</definedName>
    <definedName name="DKLD" localSheetId="16">{#N/A,#N/A,FALSE,"Plan1";#N/A,#N/A,FALSE,"Plan2"}</definedName>
    <definedName name="DKLD" localSheetId="18">{#N/A,#N/A,FALSE,"Plan1";#N/A,#N/A,FALSE,"Plan2"}</definedName>
    <definedName name="DKLD" localSheetId="10">{#N/A,#N/A,FALSE,"Plan1";#N/A,#N/A,FALSE,"Plan2"}</definedName>
    <definedName name="DKLD">{#N/A,#N/A,FALSE,"Plan1";#N/A,#N/A,FALSE,"Plan2"}</definedName>
    <definedName name="DKLFJDKFD" localSheetId="9">{#N/A,#N/A,FALSE,"Plan1";#N/A,#N/A,FALSE,"Plan2"}</definedName>
    <definedName name="DKLFJDKFD" localSheetId="6">{#N/A,#N/A,FALSE,"Plan1";#N/A,#N/A,FALSE,"Plan2"}</definedName>
    <definedName name="DKLFJDKFD" localSheetId="3">{#N/A,#N/A,FALSE,"Plan1";#N/A,#N/A,FALSE,"Plan2"}</definedName>
    <definedName name="DKLFJDKFD" localSheetId="8">{#N/A,#N/A,FALSE,"Plan1";#N/A,#N/A,FALSE,"Plan2"}</definedName>
    <definedName name="DKLFJDKFD" localSheetId="5">{#N/A,#N/A,FALSE,"Plan1";#N/A,#N/A,FALSE,"Plan2"}</definedName>
    <definedName name="DKLFJDKFD" localSheetId="4">{#N/A,#N/A,FALSE,"Plan1";#N/A,#N/A,FALSE,"Plan2"}</definedName>
    <definedName name="DKLFJDKFD" localSheetId="13">{#N/A,#N/A,FALSE,"Plan1";#N/A,#N/A,FALSE,"Plan2"}</definedName>
    <definedName name="DKLFJDKFD" localSheetId="17">{#N/A,#N/A,FALSE,"Plan1";#N/A,#N/A,FALSE,"Plan2"}</definedName>
    <definedName name="DKLFJDKFD" localSheetId="0">{#N/A,#N/A,FALSE,"Plan1";#N/A,#N/A,FALSE,"Plan2"}</definedName>
    <definedName name="DKLFJDKFD" localSheetId="19">{#N/A,#N/A,FALSE,"Plan1";#N/A,#N/A,FALSE,"Plan2"}</definedName>
    <definedName name="DKLFJDKFD" localSheetId="16">{#N/A,#N/A,FALSE,"Plan1";#N/A,#N/A,FALSE,"Plan2"}</definedName>
    <definedName name="DKLFJDKFD" localSheetId="18">{#N/A,#N/A,FALSE,"Plan1";#N/A,#N/A,FALSE,"Plan2"}</definedName>
    <definedName name="DKLFJDKFD" localSheetId="10">{#N/A,#N/A,FALSE,"Plan1";#N/A,#N/A,FALSE,"Plan2"}</definedName>
    <definedName name="DKLFJDKFD">{#N/A,#N/A,FALSE,"Plan1";#N/A,#N/A,FALSE,"Plan2"}</definedName>
    <definedName name="dklfjgirtgid" localSheetId="9">{#N/A,#N/A,FALSE,"Plan1";#N/A,#N/A,FALSE,"Plan2"}</definedName>
    <definedName name="dklfjgirtgid" localSheetId="6">{#N/A,#N/A,FALSE,"Plan1";#N/A,#N/A,FALSE,"Plan2"}</definedName>
    <definedName name="dklfjgirtgid" localSheetId="3">{#N/A,#N/A,FALSE,"Plan1";#N/A,#N/A,FALSE,"Plan2"}</definedName>
    <definedName name="dklfjgirtgid" localSheetId="8">{#N/A,#N/A,FALSE,"Plan1";#N/A,#N/A,FALSE,"Plan2"}</definedName>
    <definedName name="dklfjgirtgid" localSheetId="5">{#N/A,#N/A,FALSE,"Plan1";#N/A,#N/A,FALSE,"Plan2"}</definedName>
    <definedName name="dklfjgirtgid" localSheetId="4">{#N/A,#N/A,FALSE,"Plan1";#N/A,#N/A,FALSE,"Plan2"}</definedName>
    <definedName name="dklfjgirtgid" localSheetId="13">{#N/A,#N/A,FALSE,"Plan1";#N/A,#N/A,FALSE,"Plan2"}</definedName>
    <definedName name="dklfjgirtgid" localSheetId="17">{#N/A,#N/A,FALSE,"Plan1";#N/A,#N/A,FALSE,"Plan2"}</definedName>
    <definedName name="dklfjgirtgid" localSheetId="0">{#N/A,#N/A,FALSE,"Plan1";#N/A,#N/A,FALSE,"Plan2"}</definedName>
    <definedName name="dklfjgirtgid" localSheetId="19">{#N/A,#N/A,FALSE,"Plan1";#N/A,#N/A,FALSE,"Plan2"}</definedName>
    <definedName name="dklfjgirtgid" localSheetId="16">{#N/A,#N/A,FALSE,"Plan1";#N/A,#N/A,FALSE,"Plan2"}</definedName>
    <definedName name="dklfjgirtgid" localSheetId="18">{#N/A,#N/A,FALSE,"Plan1";#N/A,#N/A,FALSE,"Plan2"}</definedName>
    <definedName name="dklfjgirtgid" localSheetId="10">{#N/A,#N/A,FALSE,"Plan1";#N/A,#N/A,FALSE,"Plan2"}</definedName>
    <definedName name="dklfjgirtgid">{#N/A,#N/A,FALSE,"Plan1";#N/A,#N/A,FALSE,"Plan2"}</definedName>
    <definedName name="dklf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9">{#N/A,#N/A,FALSE,"Plan1";#N/A,#N/A,FALSE,"Plan2"}</definedName>
    <definedName name="dmbfmndbmtrhed" localSheetId="6">{#N/A,#N/A,FALSE,"Plan1";#N/A,#N/A,FALSE,"Plan2"}</definedName>
    <definedName name="dmbfmndbmtrhed" localSheetId="3">{#N/A,#N/A,FALSE,"Plan1";#N/A,#N/A,FALSE,"Plan2"}</definedName>
    <definedName name="dmbfmndbmtrhed" localSheetId="8">{#N/A,#N/A,FALSE,"Plan1";#N/A,#N/A,FALSE,"Plan2"}</definedName>
    <definedName name="dmbfmndbmtrhed" localSheetId="5">{#N/A,#N/A,FALSE,"Plan1";#N/A,#N/A,FALSE,"Plan2"}</definedName>
    <definedName name="dmbfmndbmtrhed" localSheetId="4">{#N/A,#N/A,FALSE,"Plan1";#N/A,#N/A,FALSE,"Plan2"}</definedName>
    <definedName name="dmbfmndbmtrhed" localSheetId="13">{#N/A,#N/A,FALSE,"Plan1";#N/A,#N/A,FALSE,"Plan2"}</definedName>
    <definedName name="dmbfmndbmtrhed" localSheetId="17">{#N/A,#N/A,FALSE,"Plan1";#N/A,#N/A,FALSE,"Plan2"}</definedName>
    <definedName name="dmbfmndbmtrhed" localSheetId="0">{#N/A,#N/A,FALSE,"Plan1";#N/A,#N/A,FALSE,"Plan2"}</definedName>
    <definedName name="dmbfmndbmtrhed" localSheetId="19">{#N/A,#N/A,FALSE,"Plan1";#N/A,#N/A,FALSE,"Plan2"}</definedName>
    <definedName name="dmbfmndbmtrhed" localSheetId="16">{#N/A,#N/A,FALSE,"Plan1";#N/A,#N/A,FALSE,"Plan2"}</definedName>
    <definedName name="dmbfmndbmtrhed" localSheetId="18">{#N/A,#N/A,FALSE,"Plan1";#N/A,#N/A,FALSE,"Plan2"}</definedName>
    <definedName name="dmbfmndbmtrhed" localSheetId="10">{#N/A,#N/A,FALSE,"Plan1";#N/A,#N/A,FALSE,"Plan2"}</definedName>
    <definedName name="dmbfmndbmtrhed">{#N/A,#N/A,FALSE,"Plan1";#N/A,#N/A,FALSE,"Plan2"}</definedName>
    <definedName name="DNFJKDHTKRE" localSheetId="9">{#N/A,#N/A,FALSE,"Plan1";#N/A,#N/A,FALSE,"Plan2"}</definedName>
    <definedName name="DNFJKDHTKRE" localSheetId="6">{#N/A,#N/A,FALSE,"Plan1";#N/A,#N/A,FALSE,"Plan2"}</definedName>
    <definedName name="DNFJKDHTKRE" localSheetId="3">{#N/A,#N/A,FALSE,"Plan1";#N/A,#N/A,FALSE,"Plan2"}</definedName>
    <definedName name="DNFJKDHTKRE" localSheetId="8">{#N/A,#N/A,FALSE,"Plan1";#N/A,#N/A,FALSE,"Plan2"}</definedName>
    <definedName name="DNFJKDHTKRE" localSheetId="5">{#N/A,#N/A,FALSE,"Plan1";#N/A,#N/A,FALSE,"Plan2"}</definedName>
    <definedName name="DNFJKDHTKRE" localSheetId="4">{#N/A,#N/A,FALSE,"Plan1";#N/A,#N/A,FALSE,"Plan2"}</definedName>
    <definedName name="DNFJKDHTKRE" localSheetId="13">{#N/A,#N/A,FALSE,"Plan1";#N/A,#N/A,FALSE,"Plan2"}</definedName>
    <definedName name="DNFJKDHTKRE" localSheetId="17">{#N/A,#N/A,FALSE,"Plan1";#N/A,#N/A,FALSE,"Plan2"}</definedName>
    <definedName name="DNFJKDHTKRE" localSheetId="0">{#N/A,#N/A,FALSE,"Plan1";#N/A,#N/A,FALSE,"Plan2"}</definedName>
    <definedName name="DNFJKDHTKRE" localSheetId="19">{#N/A,#N/A,FALSE,"Plan1";#N/A,#N/A,FALSE,"Plan2"}</definedName>
    <definedName name="DNFJKDHTKRE" localSheetId="16">{#N/A,#N/A,FALSE,"Plan1";#N/A,#N/A,FALSE,"Plan2"}</definedName>
    <definedName name="DNFJKDHTKRE" localSheetId="18">{#N/A,#N/A,FALSE,"Plan1";#N/A,#N/A,FALSE,"Plan2"}</definedName>
    <definedName name="DNFJKDHTKRE" localSheetId="10">{#N/A,#N/A,FALSE,"Plan1";#N/A,#N/A,FALSE,"Plan2"}</definedName>
    <definedName name="DNFJKDHTKRE">{#N/A,#N/A,FALSE,"Plan1";#N/A,#N/A,FALSE,"Plan2"}</definedName>
    <definedName name="dn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3">#REF!</definedName>
    <definedName name="DOCUMENT" localSheetId="5">#REF!</definedName>
    <definedName name="DOCUMENT" localSheetId="26">#REF!</definedName>
    <definedName name="DOCUMENT">#REF!</definedName>
    <definedName name="DOIS" localSheetId="3">#REF!</definedName>
    <definedName name="DOIS" localSheetId="5">#REF!</definedName>
    <definedName name="DOIS" localSheetId="26">#REF!</definedName>
    <definedName name="DOIS">#REF!</definedName>
    <definedName name="dolar" localSheetId="3">#REF!</definedName>
    <definedName name="dolar" localSheetId="5">#REF!</definedName>
    <definedName name="dolar" localSheetId="26">#REF!</definedName>
    <definedName name="dolar">#REF!</definedName>
    <definedName name="dolar_dez" localSheetId="3">#REF!</definedName>
    <definedName name="dolar_dez" localSheetId="5">#REF!</definedName>
    <definedName name="dolar_dez" localSheetId="26">#REF!</definedName>
    <definedName name="dolar_dez">#REF!</definedName>
    <definedName name="dolar_nov" localSheetId="3">#REF!</definedName>
    <definedName name="dolar_nov" localSheetId="5">#REF!</definedName>
    <definedName name="dolar_nov" localSheetId="26">#REF!</definedName>
    <definedName name="dolar_nov">#REF!</definedName>
    <definedName name="dolar_out" localSheetId="3">#REF!</definedName>
    <definedName name="dolar_out" localSheetId="5">#REF!</definedName>
    <definedName name="dolar_out" localSheetId="26">#REF!</definedName>
    <definedName name="dolar_out">#REF!</definedName>
    <definedName name="dolar2" localSheetId="3">#REF!</definedName>
    <definedName name="dolar2" localSheetId="5">#REF!</definedName>
    <definedName name="dolar2" localSheetId="26">#REF!</definedName>
    <definedName name="dolar2">#REF!</definedName>
    <definedName name="dolarabr" localSheetId="3">#REF!</definedName>
    <definedName name="dolarabr" localSheetId="5">#REF!</definedName>
    <definedName name="dolarabr" localSheetId="26">#REF!</definedName>
    <definedName name="dolarabr">#REF!</definedName>
    <definedName name="dolarabr02" localSheetId="3">#REF!</definedName>
    <definedName name="dolarabr02" localSheetId="5">#REF!</definedName>
    <definedName name="dolarabr02" localSheetId="26">#REF!</definedName>
    <definedName name="dolarabr02">#REF!</definedName>
    <definedName name="DolarAgo" localSheetId="3">#REF!</definedName>
    <definedName name="DolarAgo" localSheetId="5">#REF!</definedName>
    <definedName name="DolarAgo" localSheetId="26">#REF!</definedName>
    <definedName name="DolarAgo">#REF!</definedName>
    <definedName name="dolarago02" localSheetId="3">#REF!</definedName>
    <definedName name="dolarago02" localSheetId="5">#REF!</definedName>
    <definedName name="dolarago02" localSheetId="26">#REF!</definedName>
    <definedName name="dolarago02">#REF!</definedName>
    <definedName name="dolardez" localSheetId="3">#REF!</definedName>
    <definedName name="dolardez" localSheetId="5">#REF!</definedName>
    <definedName name="dolardez" localSheetId="26">#REF!</definedName>
    <definedName name="dolardez">#REF!</definedName>
    <definedName name="dolarfev" localSheetId="3">#REF!</definedName>
    <definedName name="dolarfev" localSheetId="5">#REF!</definedName>
    <definedName name="dolarfev" localSheetId="26">#REF!</definedName>
    <definedName name="dolarfev">#REF!</definedName>
    <definedName name="dolarfev02" localSheetId="3">#REF!</definedName>
    <definedName name="dolarfev02" localSheetId="5">#REF!</definedName>
    <definedName name="dolarfev02" localSheetId="26">#REF!</definedName>
    <definedName name="dolarfev02">#REF!</definedName>
    <definedName name="dolarfimdez" localSheetId="3">#REF!</definedName>
    <definedName name="dolarfimdez" localSheetId="5">#REF!</definedName>
    <definedName name="dolarfimdez" localSheetId="26">#REF!</definedName>
    <definedName name="dolarfimdez">#REF!</definedName>
    <definedName name="dolarFimJun" localSheetId="3">#REF!</definedName>
    <definedName name="dolarFimJun" localSheetId="5">#REF!</definedName>
    <definedName name="dolarFimJun" localSheetId="26">#REF!</definedName>
    <definedName name="dolarFimJun">#REF!</definedName>
    <definedName name="dolarfindez" localSheetId="3">#REF!</definedName>
    <definedName name="dolarfindez" localSheetId="5">#REF!</definedName>
    <definedName name="dolarfindez" localSheetId="26">#REF!</definedName>
    <definedName name="dolarfindez">#REF!</definedName>
    <definedName name="dolarfinmar" localSheetId="3">#REF!</definedName>
    <definedName name="dolarfinmar" localSheetId="5">#REF!</definedName>
    <definedName name="dolarfinmar" localSheetId="26">#REF!</definedName>
    <definedName name="dolarfinmar">#REF!</definedName>
    <definedName name="DolarFinSet" localSheetId="3">#REF!</definedName>
    <definedName name="DolarFinSet" localSheetId="5">#REF!</definedName>
    <definedName name="DolarFinSet" localSheetId="26">#REF!</definedName>
    <definedName name="DolarFinSet">#REF!</definedName>
    <definedName name="dolarjan" localSheetId="3">#REF!</definedName>
    <definedName name="dolarjan" localSheetId="5">#REF!</definedName>
    <definedName name="dolarjan" localSheetId="26">#REF!</definedName>
    <definedName name="dolarjan">#REF!</definedName>
    <definedName name="dolarjan02" localSheetId="3">#REF!</definedName>
    <definedName name="dolarjan02" localSheetId="5">#REF!</definedName>
    <definedName name="dolarjan02" localSheetId="26">#REF!</definedName>
    <definedName name="dolarjan02">#REF!</definedName>
    <definedName name="DolarJul" localSheetId="3">#REF!</definedName>
    <definedName name="DolarJul" localSheetId="5">#REF!</definedName>
    <definedName name="DolarJul" localSheetId="26">#REF!</definedName>
    <definedName name="DolarJul">#REF!</definedName>
    <definedName name="dolarjul02" localSheetId="3">#REF!</definedName>
    <definedName name="dolarjul02" localSheetId="5">#REF!</definedName>
    <definedName name="dolarjul02" localSheetId="26">#REF!</definedName>
    <definedName name="dolarjul02">#REF!</definedName>
    <definedName name="dolarjun" localSheetId="3">#REF!</definedName>
    <definedName name="dolarjun" localSheetId="5">#REF!</definedName>
    <definedName name="dolarjun" localSheetId="26">#REF!</definedName>
    <definedName name="dolarjun">#REF!</definedName>
    <definedName name="dolarjun02" localSheetId="3">#REF!</definedName>
    <definedName name="dolarjun02" localSheetId="5">#REF!</definedName>
    <definedName name="dolarjun02" localSheetId="26">#REF!</definedName>
    <definedName name="dolarjun02">#REF!</definedName>
    <definedName name="dolarmai" localSheetId="3">#REF!</definedName>
    <definedName name="dolarmai" localSheetId="5">#REF!</definedName>
    <definedName name="dolarmai" localSheetId="26">#REF!</definedName>
    <definedName name="dolarmai">#REF!</definedName>
    <definedName name="dolarmai02" localSheetId="3">#REF!</definedName>
    <definedName name="dolarmai02" localSheetId="5">#REF!</definedName>
    <definedName name="dolarmai02" localSheetId="26">#REF!</definedName>
    <definedName name="dolarmai02">#REF!</definedName>
    <definedName name="dolarmar" localSheetId="3">#REF!</definedName>
    <definedName name="dolarmar" localSheetId="5">#REF!</definedName>
    <definedName name="dolarmar" localSheetId="26">#REF!</definedName>
    <definedName name="dolarmar">#REF!</definedName>
    <definedName name="dolarmar02" localSheetId="3">#REF!</definedName>
    <definedName name="dolarmar02" localSheetId="5">#REF!</definedName>
    <definedName name="dolarmar02" localSheetId="26">#REF!</definedName>
    <definedName name="dolarmar02">#REF!</definedName>
    <definedName name="dolarnov" localSheetId="3">#REF!</definedName>
    <definedName name="dolarnov" localSheetId="5">#REF!</definedName>
    <definedName name="dolarnov" localSheetId="26">#REF!</definedName>
    <definedName name="dolarnov">#REF!</definedName>
    <definedName name="dolarout" localSheetId="3">#REF!</definedName>
    <definedName name="dolarout" localSheetId="5">#REF!</definedName>
    <definedName name="dolarout" localSheetId="26">#REF!</definedName>
    <definedName name="dolarout">#REF!</definedName>
    <definedName name="DolarSet" localSheetId="3">#REF!</definedName>
    <definedName name="DolarSet" localSheetId="5">#REF!</definedName>
    <definedName name="DolarSet" localSheetId="26">#REF!</definedName>
    <definedName name="DolarSet">#REF!</definedName>
    <definedName name="dolarset02" localSheetId="3">#REF!</definedName>
    <definedName name="dolarset02" localSheetId="5">#REF!</definedName>
    <definedName name="dolarset02" localSheetId="26">#REF!</definedName>
    <definedName name="dolarset02">#REF!</definedName>
    <definedName name="DOZE" localSheetId="3">#REF!</definedName>
    <definedName name="DOZE" localSheetId="5">#REF!</definedName>
    <definedName name="DOZE" localSheetId="26">#REF!</definedName>
    <definedName name="DOZE">#REF!</definedName>
    <definedName name="DRE" localSheetId="3">#REF!</definedName>
    <definedName name="DRE" localSheetId="1">#REF!</definedName>
    <definedName name="DRE" localSheetId="5">#REF!</definedName>
    <definedName name="DRE" localSheetId="21">#REF!</definedName>
    <definedName name="DRE" localSheetId="22">#REF!</definedName>
    <definedName name="DRE" localSheetId="13">#REF!</definedName>
    <definedName name="DRE" localSheetId="26">#REF!</definedName>
    <definedName name="DRE" localSheetId="0">#REF!</definedName>
    <definedName name="DRE">#REF!</definedName>
    <definedName name="drewr" localSheetId="9">{#N/A,#N/A,FALSE,"Plan1";#N/A,#N/A,FALSE,"Plan2"}</definedName>
    <definedName name="drewr" localSheetId="6">{#N/A,#N/A,FALSE,"Plan1";#N/A,#N/A,FALSE,"Plan2"}</definedName>
    <definedName name="drewr" localSheetId="3">{#N/A,#N/A,FALSE,"Plan1";#N/A,#N/A,FALSE,"Plan2"}</definedName>
    <definedName name="drewr" localSheetId="8">{#N/A,#N/A,FALSE,"Plan1";#N/A,#N/A,FALSE,"Plan2"}</definedName>
    <definedName name="drewr" localSheetId="5">{#N/A,#N/A,FALSE,"Plan1";#N/A,#N/A,FALSE,"Plan2"}</definedName>
    <definedName name="drewr" localSheetId="4">{#N/A,#N/A,FALSE,"Plan1";#N/A,#N/A,FALSE,"Plan2"}</definedName>
    <definedName name="drewr" localSheetId="13">{#N/A,#N/A,FALSE,"Plan1";#N/A,#N/A,FALSE,"Plan2"}</definedName>
    <definedName name="drewr" localSheetId="17">{#N/A,#N/A,FALSE,"Plan1";#N/A,#N/A,FALSE,"Plan2"}</definedName>
    <definedName name="drewr" localSheetId="0">{#N/A,#N/A,FALSE,"Plan1";#N/A,#N/A,FALSE,"Plan2"}</definedName>
    <definedName name="drewr" localSheetId="19">{#N/A,#N/A,FALSE,"Plan1";#N/A,#N/A,FALSE,"Plan2"}</definedName>
    <definedName name="drewr" localSheetId="16">{#N/A,#N/A,FALSE,"Plan1";#N/A,#N/A,FALSE,"Plan2"}</definedName>
    <definedName name="drewr" localSheetId="18">{#N/A,#N/A,FALSE,"Plan1";#N/A,#N/A,FALSE,"Plan2"}</definedName>
    <definedName name="drewr" localSheetId="10">{#N/A,#N/A,FALSE,"Plan1";#N/A,#N/A,FALSE,"Plan2"}</definedName>
    <definedName name="drewr">{#N/A,#N/A,FALSE,"Plan1";#N/A,#N/A,FALSE,"Plan2"}</definedName>
    <definedName name="DRRJR" localSheetId="9">{#N/A,#N/A,FALSE,"Plan1";#N/A,#N/A,FALSE,"Plan2"}</definedName>
    <definedName name="DRRJR" localSheetId="6">{#N/A,#N/A,FALSE,"Plan1";#N/A,#N/A,FALSE,"Plan2"}</definedName>
    <definedName name="DRRJR" localSheetId="3">{#N/A,#N/A,FALSE,"Plan1";#N/A,#N/A,FALSE,"Plan2"}</definedName>
    <definedName name="DRRJR" localSheetId="8">{#N/A,#N/A,FALSE,"Plan1";#N/A,#N/A,FALSE,"Plan2"}</definedName>
    <definedName name="DRRJR" localSheetId="5">{#N/A,#N/A,FALSE,"Plan1";#N/A,#N/A,FALSE,"Plan2"}</definedName>
    <definedName name="DRRJR" localSheetId="4">{#N/A,#N/A,FALSE,"Plan1";#N/A,#N/A,FALSE,"Plan2"}</definedName>
    <definedName name="DRRJR" localSheetId="13">{#N/A,#N/A,FALSE,"Plan1";#N/A,#N/A,FALSE,"Plan2"}</definedName>
    <definedName name="DRRJR" localSheetId="17">{#N/A,#N/A,FALSE,"Plan1";#N/A,#N/A,FALSE,"Plan2"}</definedName>
    <definedName name="DRRJR" localSheetId="0">{#N/A,#N/A,FALSE,"Plan1";#N/A,#N/A,FALSE,"Plan2"}</definedName>
    <definedName name="DRRJR" localSheetId="19">{#N/A,#N/A,FALSE,"Plan1";#N/A,#N/A,FALSE,"Plan2"}</definedName>
    <definedName name="DRRJR" localSheetId="16">{#N/A,#N/A,FALSE,"Plan1";#N/A,#N/A,FALSE,"Plan2"}</definedName>
    <definedName name="DRRJR" localSheetId="18">{#N/A,#N/A,FALSE,"Plan1";#N/A,#N/A,FALSE,"Plan2"}</definedName>
    <definedName name="DRRJR" localSheetId="10">{#N/A,#N/A,FALSE,"Plan1";#N/A,#N/A,FALSE,"Plan2"}</definedName>
    <definedName name="DRRJR">{#N/A,#N/A,FALSE,"Plan1";#N/A,#N/A,FALSE,"Plan2"}</definedName>
    <definedName name="drtr" localSheetId="3">#REF!</definedName>
    <definedName name="drtr" localSheetId="26">#REF!</definedName>
    <definedName name="drtr" localSheetId="0">#REF!</definedName>
    <definedName name="drtr">#REF!</definedName>
    <definedName name="drtrt" localSheetId="9">{"'Estimativa de Lançamento-JAN'!$A$1:$AI$85"}</definedName>
    <definedName name="drtrt" localSheetId="6">{"'Estimativa de Lançamento-JAN'!$A$1:$AI$85"}</definedName>
    <definedName name="drtrt" localSheetId="3">{"'Estimativa de Lançamento-JAN'!$A$1:$AI$85"}</definedName>
    <definedName name="drtrt" localSheetId="8">{"'Estimativa de Lançamento-JAN'!$A$1:$AI$85"}</definedName>
    <definedName name="drtrt" localSheetId="5">{"'Estimativa de Lançamento-JAN'!$A$1:$AI$85"}</definedName>
    <definedName name="drtrt" localSheetId="4">{"'Estimativa de Lançamento-JAN'!$A$1:$AI$85"}</definedName>
    <definedName name="drtrt" localSheetId="13">{"'Estimativa de Lançamento-JAN'!$A$1:$AI$85"}</definedName>
    <definedName name="drtrt" localSheetId="17">{"'Estimativa de Lançamento-JAN'!$A$1:$AI$85"}</definedName>
    <definedName name="drtrt" localSheetId="0">{"'Estimativa de Lançamento-JAN'!$A$1:$AI$85"}</definedName>
    <definedName name="drtrt" localSheetId="19">{"'Estimativa de Lançamento-JAN'!$A$1:$AI$85"}</definedName>
    <definedName name="drtrt" localSheetId="16">{"'Estimativa de Lançamento-JAN'!$A$1:$AI$85"}</definedName>
    <definedName name="drtrt" localSheetId="18">{"'Estimativa de Lançamento-JAN'!$A$1:$AI$85"}</definedName>
    <definedName name="drtrt" localSheetId="10">{"'Estimativa de Lançamento-JAN'!$A$1:$AI$85"}</definedName>
    <definedName name="drtrt">{"'Estimativa de Lançamento-JAN'!$A$1:$AI$85"}</definedName>
    <definedName name="dsdrf" localSheetId="9">{#N/A,#N/A,FALSE,"Plan1";#N/A,#N/A,FALSE,"Plan2"}</definedName>
    <definedName name="dsdrf" localSheetId="6">{#N/A,#N/A,FALSE,"Plan1";#N/A,#N/A,FALSE,"Plan2"}</definedName>
    <definedName name="dsdrf" localSheetId="3">{#N/A,#N/A,FALSE,"Plan1";#N/A,#N/A,FALSE,"Plan2"}</definedName>
    <definedName name="dsdrf" localSheetId="8">{#N/A,#N/A,FALSE,"Plan1";#N/A,#N/A,FALSE,"Plan2"}</definedName>
    <definedName name="dsdrf" localSheetId="5">{#N/A,#N/A,FALSE,"Plan1";#N/A,#N/A,FALSE,"Plan2"}</definedName>
    <definedName name="dsdrf" localSheetId="4">{#N/A,#N/A,FALSE,"Plan1";#N/A,#N/A,FALSE,"Plan2"}</definedName>
    <definedName name="dsdrf" localSheetId="13">{#N/A,#N/A,FALSE,"Plan1";#N/A,#N/A,FALSE,"Plan2"}</definedName>
    <definedName name="dsdrf" localSheetId="17">{#N/A,#N/A,FALSE,"Plan1";#N/A,#N/A,FALSE,"Plan2"}</definedName>
    <definedName name="dsdrf" localSheetId="0">{#N/A,#N/A,FALSE,"Plan1";#N/A,#N/A,FALSE,"Plan2"}</definedName>
    <definedName name="dsdrf" localSheetId="19">{#N/A,#N/A,FALSE,"Plan1";#N/A,#N/A,FALSE,"Plan2"}</definedName>
    <definedName name="dsdrf" localSheetId="16">{#N/A,#N/A,FALSE,"Plan1";#N/A,#N/A,FALSE,"Plan2"}</definedName>
    <definedName name="dsdrf" localSheetId="18">{#N/A,#N/A,FALSE,"Plan1";#N/A,#N/A,FALSE,"Plan2"}</definedName>
    <definedName name="dsdrf" localSheetId="10">{#N/A,#N/A,FALSE,"Plan1";#N/A,#N/A,FALSE,"Plan2"}</definedName>
    <definedName name="dsdrf">{#N/A,#N/A,FALSE,"Plan1";#N/A,#N/A,FALSE,"Plan2"}</definedName>
    <definedName name="dsfdf" localSheetId="9">{#N/A,#N/A,FALSE,"Plan1";#N/A,#N/A,FALSE,"Plan2"}</definedName>
    <definedName name="dsfdf" localSheetId="6">{#N/A,#N/A,FALSE,"Plan1";#N/A,#N/A,FALSE,"Plan2"}</definedName>
    <definedName name="dsfdf" localSheetId="3">{#N/A,#N/A,FALSE,"Plan1";#N/A,#N/A,FALSE,"Plan2"}</definedName>
    <definedName name="dsfdf" localSheetId="8">{#N/A,#N/A,FALSE,"Plan1";#N/A,#N/A,FALSE,"Plan2"}</definedName>
    <definedName name="dsfdf" localSheetId="5">{#N/A,#N/A,FALSE,"Plan1";#N/A,#N/A,FALSE,"Plan2"}</definedName>
    <definedName name="dsfdf" localSheetId="4">{#N/A,#N/A,FALSE,"Plan1";#N/A,#N/A,FALSE,"Plan2"}</definedName>
    <definedName name="dsfdf" localSheetId="13">{#N/A,#N/A,FALSE,"Plan1";#N/A,#N/A,FALSE,"Plan2"}</definedName>
    <definedName name="dsfdf" localSheetId="17">{#N/A,#N/A,FALSE,"Plan1";#N/A,#N/A,FALSE,"Plan2"}</definedName>
    <definedName name="dsfdf" localSheetId="0">{#N/A,#N/A,FALSE,"Plan1";#N/A,#N/A,FALSE,"Plan2"}</definedName>
    <definedName name="dsfdf" localSheetId="19">{#N/A,#N/A,FALSE,"Plan1";#N/A,#N/A,FALSE,"Plan2"}</definedName>
    <definedName name="dsfdf" localSheetId="16">{#N/A,#N/A,FALSE,"Plan1";#N/A,#N/A,FALSE,"Plan2"}</definedName>
    <definedName name="dsfdf" localSheetId="18">{#N/A,#N/A,FALSE,"Plan1";#N/A,#N/A,FALSE,"Plan2"}</definedName>
    <definedName name="dsfdf" localSheetId="10">{#N/A,#N/A,FALSE,"Plan1";#N/A,#N/A,FALSE,"Plan2"}</definedName>
    <definedName name="dsfdf">{#N/A,#N/A,FALSE,"Plan1";#N/A,#N/A,FALSE,"Plan2"}</definedName>
    <definedName name="dsfg" localSheetId="9">{#N/A,#N/A,FALSE,"Plan1";#N/A,#N/A,FALSE,"Plan2"}</definedName>
    <definedName name="dsfg" localSheetId="6">{#N/A,#N/A,FALSE,"Plan1";#N/A,#N/A,FALSE,"Plan2"}</definedName>
    <definedName name="dsfg" localSheetId="3">{#N/A,#N/A,FALSE,"Plan1";#N/A,#N/A,FALSE,"Plan2"}</definedName>
    <definedName name="dsfg" localSheetId="8">{#N/A,#N/A,FALSE,"Plan1";#N/A,#N/A,FALSE,"Plan2"}</definedName>
    <definedName name="dsfg" localSheetId="5">{#N/A,#N/A,FALSE,"Plan1";#N/A,#N/A,FALSE,"Plan2"}</definedName>
    <definedName name="dsfg" localSheetId="4">{#N/A,#N/A,FALSE,"Plan1";#N/A,#N/A,FALSE,"Plan2"}</definedName>
    <definedName name="dsfg" localSheetId="13">{#N/A,#N/A,FALSE,"Plan1";#N/A,#N/A,FALSE,"Plan2"}</definedName>
    <definedName name="dsfg" localSheetId="17">{#N/A,#N/A,FALSE,"Plan1";#N/A,#N/A,FALSE,"Plan2"}</definedName>
    <definedName name="dsfg" localSheetId="0">{#N/A,#N/A,FALSE,"Plan1";#N/A,#N/A,FALSE,"Plan2"}</definedName>
    <definedName name="dsfg" localSheetId="19">{#N/A,#N/A,FALSE,"Plan1";#N/A,#N/A,FALSE,"Plan2"}</definedName>
    <definedName name="dsfg" localSheetId="16">{#N/A,#N/A,FALSE,"Plan1";#N/A,#N/A,FALSE,"Plan2"}</definedName>
    <definedName name="dsfg" localSheetId="18">{#N/A,#N/A,FALSE,"Plan1";#N/A,#N/A,FALSE,"Plan2"}</definedName>
    <definedName name="dsfg" localSheetId="10">{#N/A,#N/A,FALSE,"Plan1";#N/A,#N/A,FALSE,"Plan2"}</definedName>
    <definedName name="dsfg">{#N/A,#N/A,FALSE,"Plan1";#N/A,#N/A,FALSE,"Plan2"}</definedName>
    <definedName name="DSFKDSKH" localSheetId="9">{#N/A,#N/A,FALSE,"Plan1";#N/A,#N/A,FALSE,"Plan2"}</definedName>
    <definedName name="DSFKDSKH" localSheetId="6">{#N/A,#N/A,FALSE,"Plan1";#N/A,#N/A,FALSE,"Plan2"}</definedName>
    <definedName name="DSFKDSKH" localSheetId="3">{#N/A,#N/A,FALSE,"Plan1";#N/A,#N/A,FALSE,"Plan2"}</definedName>
    <definedName name="DSFKDSKH" localSheetId="8">{#N/A,#N/A,FALSE,"Plan1";#N/A,#N/A,FALSE,"Plan2"}</definedName>
    <definedName name="DSFKDSKH" localSheetId="5">{#N/A,#N/A,FALSE,"Plan1";#N/A,#N/A,FALSE,"Plan2"}</definedName>
    <definedName name="DSFKDSKH" localSheetId="4">{#N/A,#N/A,FALSE,"Plan1";#N/A,#N/A,FALSE,"Plan2"}</definedName>
    <definedName name="DSFKDSKH" localSheetId="13">{#N/A,#N/A,FALSE,"Plan1";#N/A,#N/A,FALSE,"Plan2"}</definedName>
    <definedName name="DSFKDSKH" localSheetId="17">{#N/A,#N/A,FALSE,"Plan1";#N/A,#N/A,FALSE,"Plan2"}</definedName>
    <definedName name="DSFKDSKH" localSheetId="0">{#N/A,#N/A,FALSE,"Plan1";#N/A,#N/A,FALSE,"Plan2"}</definedName>
    <definedName name="DSFKDSKH" localSheetId="19">{#N/A,#N/A,FALSE,"Plan1";#N/A,#N/A,FALSE,"Plan2"}</definedName>
    <definedName name="DSFKDSKH" localSheetId="16">{#N/A,#N/A,FALSE,"Plan1";#N/A,#N/A,FALSE,"Plan2"}</definedName>
    <definedName name="DSFKDSKH" localSheetId="18">{#N/A,#N/A,FALSE,"Plan1";#N/A,#N/A,FALSE,"Plan2"}</definedName>
    <definedName name="DSFKDSKH" localSheetId="10">{#N/A,#N/A,FALSE,"Plan1";#N/A,#N/A,FALSE,"Plan2"}</definedName>
    <definedName name="DSFKDSKH">{#N/A,#N/A,FALSE,"Plan1";#N/A,#N/A,FALSE,"Plan2"}</definedName>
    <definedName name="DSF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9">{#N/A,#N/A,FALSE,"Plan1";#N/A,#N/A,FALSE,"Plan2"}</definedName>
    <definedName name="dsfrtyy" localSheetId="6">{#N/A,#N/A,FALSE,"Plan1";#N/A,#N/A,FALSE,"Plan2"}</definedName>
    <definedName name="dsfrtyy" localSheetId="3">{#N/A,#N/A,FALSE,"Plan1";#N/A,#N/A,FALSE,"Plan2"}</definedName>
    <definedName name="dsfrtyy" localSheetId="8">{#N/A,#N/A,FALSE,"Plan1";#N/A,#N/A,FALSE,"Plan2"}</definedName>
    <definedName name="dsfrtyy" localSheetId="5">{#N/A,#N/A,FALSE,"Plan1";#N/A,#N/A,FALSE,"Plan2"}</definedName>
    <definedName name="dsfrtyy" localSheetId="4">{#N/A,#N/A,FALSE,"Plan1";#N/A,#N/A,FALSE,"Plan2"}</definedName>
    <definedName name="dsfrtyy" localSheetId="13">{#N/A,#N/A,FALSE,"Plan1";#N/A,#N/A,FALSE,"Plan2"}</definedName>
    <definedName name="dsfrtyy" localSheetId="17">{#N/A,#N/A,FALSE,"Plan1";#N/A,#N/A,FALSE,"Plan2"}</definedName>
    <definedName name="dsfrtyy" localSheetId="0">{#N/A,#N/A,FALSE,"Plan1";#N/A,#N/A,FALSE,"Plan2"}</definedName>
    <definedName name="dsfrtyy" localSheetId="19">{#N/A,#N/A,FALSE,"Plan1";#N/A,#N/A,FALSE,"Plan2"}</definedName>
    <definedName name="dsfrtyy" localSheetId="16">{#N/A,#N/A,FALSE,"Plan1";#N/A,#N/A,FALSE,"Plan2"}</definedName>
    <definedName name="dsfrtyy" localSheetId="18">{#N/A,#N/A,FALSE,"Plan1";#N/A,#N/A,FALSE,"Plan2"}</definedName>
    <definedName name="dsfrtyy" localSheetId="10">{#N/A,#N/A,FALSE,"Plan1";#N/A,#N/A,FALSE,"Plan2"}</definedName>
    <definedName name="dsfrtyy">{#N/A,#N/A,FALSE,"Plan1";#N/A,#N/A,FALSE,"Plan2"}</definedName>
    <definedName name="DSFSAD" localSheetId="9">{#N/A,#N/A,FALSE,"Plan1";#N/A,#N/A,FALSE,"Plan2"}</definedName>
    <definedName name="DSFSAD" localSheetId="6">{#N/A,#N/A,FALSE,"Plan1";#N/A,#N/A,FALSE,"Plan2"}</definedName>
    <definedName name="DSFSAD" localSheetId="3">{#N/A,#N/A,FALSE,"Plan1";#N/A,#N/A,FALSE,"Plan2"}</definedName>
    <definedName name="DSFSAD" localSheetId="8">{#N/A,#N/A,FALSE,"Plan1";#N/A,#N/A,FALSE,"Plan2"}</definedName>
    <definedName name="DSFSAD" localSheetId="5">{#N/A,#N/A,FALSE,"Plan1";#N/A,#N/A,FALSE,"Plan2"}</definedName>
    <definedName name="DSFSAD" localSheetId="4">{#N/A,#N/A,FALSE,"Plan1";#N/A,#N/A,FALSE,"Plan2"}</definedName>
    <definedName name="DSFSAD" localSheetId="13">{#N/A,#N/A,FALSE,"Plan1";#N/A,#N/A,FALSE,"Plan2"}</definedName>
    <definedName name="DSFSAD" localSheetId="17">{#N/A,#N/A,FALSE,"Plan1";#N/A,#N/A,FALSE,"Plan2"}</definedName>
    <definedName name="DSFSAD" localSheetId="0">{#N/A,#N/A,FALSE,"Plan1";#N/A,#N/A,FALSE,"Plan2"}</definedName>
    <definedName name="DSFSAD" localSheetId="19">{#N/A,#N/A,FALSE,"Plan1";#N/A,#N/A,FALSE,"Plan2"}</definedName>
    <definedName name="DSFSAD" localSheetId="16">{#N/A,#N/A,FALSE,"Plan1";#N/A,#N/A,FALSE,"Plan2"}</definedName>
    <definedName name="DSFSAD" localSheetId="18">{#N/A,#N/A,FALSE,"Plan1";#N/A,#N/A,FALSE,"Plan2"}</definedName>
    <definedName name="DSFSAD" localSheetId="10">{#N/A,#N/A,FALSE,"Plan1";#N/A,#N/A,FALSE,"Plan2"}</definedName>
    <definedName name="DSFSAD">{#N/A,#N/A,FALSE,"Plan1";#N/A,#N/A,FALSE,"Plan2"}</definedName>
    <definedName name="dsfsdf" localSheetId="9">{#N/A,#N/A,FALSE,"Plan1";#N/A,#N/A,FALSE,"Plan2"}</definedName>
    <definedName name="dsfsdf" localSheetId="6">{#N/A,#N/A,FALSE,"Plan1";#N/A,#N/A,FALSE,"Plan2"}</definedName>
    <definedName name="dsfsdf" localSheetId="3">{#N/A,#N/A,FALSE,"Plan1";#N/A,#N/A,FALSE,"Plan2"}</definedName>
    <definedName name="dsfsdf" localSheetId="8">{#N/A,#N/A,FALSE,"Plan1";#N/A,#N/A,FALSE,"Plan2"}</definedName>
    <definedName name="dsfsdf" localSheetId="5">{#N/A,#N/A,FALSE,"Plan1";#N/A,#N/A,FALSE,"Plan2"}</definedName>
    <definedName name="dsfsdf" localSheetId="4">{#N/A,#N/A,FALSE,"Plan1";#N/A,#N/A,FALSE,"Plan2"}</definedName>
    <definedName name="dsfsdf" localSheetId="13">{#N/A,#N/A,FALSE,"Plan1";#N/A,#N/A,FALSE,"Plan2"}</definedName>
    <definedName name="dsfsdf" localSheetId="17">{#N/A,#N/A,FALSE,"Plan1";#N/A,#N/A,FALSE,"Plan2"}</definedName>
    <definedName name="dsfsdf" localSheetId="0">{#N/A,#N/A,FALSE,"Plan1";#N/A,#N/A,FALSE,"Plan2"}</definedName>
    <definedName name="dsfsdf" localSheetId="19">{#N/A,#N/A,FALSE,"Plan1";#N/A,#N/A,FALSE,"Plan2"}</definedName>
    <definedName name="dsfsdf" localSheetId="16">{#N/A,#N/A,FALSE,"Plan1";#N/A,#N/A,FALSE,"Plan2"}</definedName>
    <definedName name="dsfsdf" localSheetId="18">{#N/A,#N/A,FALSE,"Plan1";#N/A,#N/A,FALSE,"Plan2"}</definedName>
    <definedName name="dsfsdf" localSheetId="10">{#N/A,#N/A,FALSE,"Plan1";#N/A,#N/A,FALSE,"Plan2"}</definedName>
    <definedName name="dsfsdf">{#N/A,#N/A,FALSE,"Plan1";#N/A,#N/A,FALSE,"Plan2"}</definedName>
    <definedName name="dsfsdgfb" localSheetId="9">{#N/A,#N/A,FALSE,"Plan1";#N/A,#N/A,FALSE,"Plan2"}</definedName>
    <definedName name="dsfsdgfb" localSheetId="6">{#N/A,#N/A,FALSE,"Plan1";#N/A,#N/A,FALSE,"Plan2"}</definedName>
    <definedName name="dsfsdgfb" localSheetId="3">{#N/A,#N/A,FALSE,"Plan1";#N/A,#N/A,FALSE,"Plan2"}</definedName>
    <definedName name="dsfsdgfb" localSheetId="8">{#N/A,#N/A,FALSE,"Plan1";#N/A,#N/A,FALSE,"Plan2"}</definedName>
    <definedName name="dsfsdgfb" localSheetId="5">{#N/A,#N/A,FALSE,"Plan1";#N/A,#N/A,FALSE,"Plan2"}</definedName>
    <definedName name="dsfsdgfb" localSheetId="4">{#N/A,#N/A,FALSE,"Plan1";#N/A,#N/A,FALSE,"Plan2"}</definedName>
    <definedName name="dsfsdgfb" localSheetId="13">{#N/A,#N/A,FALSE,"Plan1";#N/A,#N/A,FALSE,"Plan2"}</definedName>
    <definedName name="dsfsdgfb" localSheetId="17">{#N/A,#N/A,FALSE,"Plan1";#N/A,#N/A,FALSE,"Plan2"}</definedName>
    <definedName name="dsfsdgfb" localSheetId="0">{#N/A,#N/A,FALSE,"Plan1";#N/A,#N/A,FALSE,"Plan2"}</definedName>
    <definedName name="dsfsdgfb" localSheetId="19">{#N/A,#N/A,FALSE,"Plan1";#N/A,#N/A,FALSE,"Plan2"}</definedName>
    <definedName name="dsfsdgfb" localSheetId="16">{#N/A,#N/A,FALSE,"Plan1";#N/A,#N/A,FALSE,"Plan2"}</definedName>
    <definedName name="dsfsdgfb" localSheetId="18">{#N/A,#N/A,FALSE,"Plan1";#N/A,#N/A,FALSE,"Plan2"}</definedName>
    <definedName name="dsfsdgfb" localSheetId="10">{#N/A,#N/A,FALSE,"Plan1";#N/A,#N/A,FALSE,"Plan2"}</definedName>
    <definedName name="dsfsdgfb">{#N/A,#N/A,FALSE,"Plan1";#N/A,#N/A,FALSE,"Plan2"}</definedName>
    <definedName name="dsgfr" localSheetId="9">{#N/A,#N/A,FALSE,"Plan1";#N/A,#N/A,FALSE,"Plan2"}</definedName>
    <definedName name="dsgfr" localSheetId="6">{#N/A,#N/A,FALSE,"Plan1";#N/A,#N/A,FALSE,"Plan2"}</definedName>
    <definedName name="dsgfr" localSheetId="3">{#N/A,#N/A,FALSE,"Plan1";#N/A,#N/A,FALSE,"Plan2"}</definedName>
    <definedName name="dsgfr" localSheetId="8">{#N/A,#N/A,FALSE,"Plan1";#N/A,#N/A,FALSE,"Plan2"}</definedName>
    <definedName name="dsgfr" localSheetId="5">{#N/A,#N/A,FALSE,"Plan1";#N/A,#N/A,FALSE,"Plan2"}</definedName>
    <definedName name="dsgfr" localSheetId="4">{#N/A,#N/A,FALSE,"Plan1";#N/A,#N/A,FALSE,"Plan2"}</definedName>
    <definedName name="dsgfr" localSheetId="13">{#N/A,#N/A,FALSE,"Plan1";#N/A,#N/A,FALSE,"Plan2"}</definedName>
    <definedName name="dsgfr" localSheetId="17">{#N/A,#N/A,FALSE,"Plan1";#N/A,#N/A,FALSE,"Plan2"}</definedName>
    <definedName name="dsgfr" localSheetId="0">{#N/A,#N/A,FALSE,"Plan1";#N/A,#N/A,FALSE,"Plan2"}</definedName>
    <definedName name="dsgfr" localSheetId="19">{#N/A,#N/A,FALSE,"Plan1";#N/A,#N/A,FALSE,"Plan2"}</definedName>
    <definedName name="dsgfr" localSheetId="16">{#N/A,#N/A,FALSE,"Plan1";#N/A,#N/A,FALSE,"Plan2"}</definedName>
    <definedName name="dsgfr" localSheetId="18">{#N/A,#N/A,FALSE,"Plan1";#N/A,#N/A,FALSE,"Plan2"}</definedName>
    <definedName name="dsgfr" localSheetId="10">{#N/A,#N/A,FALSE,"Plan1";#N/A,#N/A,FALSE,"Plan2"}</definedName>
    <definedName name="dsgfr">{#N/A,#N/A,FALSE,"Plan1";#N/A,#N/A,FALSE,"Plan2"}</definedName>
    <definedName name="dshfkhkrhesru" localSheetId="9">{#N/A,#N/A,FALSE,"Plan1";#N/A,#N/A,FALSE,"Plan2"}</definedName>
    <definedName name="dshfkhkrhesru" localSheetId="6">{#N/A,#N/A,FALSE,"Plan1";#N/A,#N/A,FALSE,"Plan2"}</definedName>
    <definedName name="dshfkhkrhesru" localSheetId="3">{#N/A,#N/A,FALSE,"Plan1";#N/A,#N/A,FALSE,"Plan2"}</definedName>
    <definedName name="dshfkhkrhesru" localSheetId="8">{#N/A,#N/A,FALSE,"Plan1";#N/A,#N/A,FALSE,"Plan2"}</definedName>
    <definedName name="dshfkhkrhesru" localSheetId="5">{#N/A,#N/A,FALSE,"Plan1";#N/A,#N/A,FALSE,"Plan2"}</definedName>
    <definedName name="dshfkhkrhesru" localSheetId="4">{#N/A,#N/A,FALSE,"Plan1";#N/A,#N/A,FALSE,"Plan2"}</definedName>
    <definedName name="dshfkhkrhesru" localSheetId="13">{#N/A,#N/A,FALSE,"Plan1";#N/A,#N/A,FALSE,"Plan2"}</definedName>
    <definedName name="dshfkhkrhesru" localSheetId="17">{#N/A,#N/A,FALSE,"Plan1";#N/A,#N/A,FALSE,"Plan2"}</definedName>
    <definedName name="dshfkhkrhesru" localSheetId="0">{#N/A,#N/A,FALSE,"Plan1";#N/A,#N/A,FALSE,"Plan2"}</definedName>
    <definedName name="dshfkhkrhesru" localSheetId="19">{#N/A,#N/A,FALSE,"Plan1";#N/A,#N/A,FALSE,"Plan2"}</definedName>
    <definedName name="dshfkhkrhesru" localSheetId="16">{#N/A,#N/A,FALSE,"Plan1";#N/A,#N/A,FALSE,"Plan2"}</definedName>
    <definedName name="dshfkhkrhesru" localSheetId="18">{#N/A,#N/A,FALSE,"Plan1";#N/A,#N/A,FALSE,"Plan2"}</definedName>
    <definedName name="dshfkhkrhesru" localSheetId="10">{#N/A,#N/A,FALSE,"Plan1";#N/A,#N/A,FALSE,"Plan2"}</definedName>
    <definedName name="dshfkhkrhesru">{#N/A,#N/A,FALSE,"Plan1";#N/A,#N/A,FALSE,"Plan2"}</definedName>
    <definedName name="dsjkthkr" localSheetId="9">{#N/A,#N/A,FALSE,"Plan1";#N/A,#N/A,FALSE,"Plan2"}</definedName>
    <definedName name="dsjkthkr" localSheetId="6">{#N/A,#N/A,FALSE,"Plan1";#N/A,#N/A,FALSE,"Plan2"}</definedName>
    <definedName name="dsjkthkr" localSheetId="3">{#N/A,#N/A,FALSE,"Plan1";#N/A,#N/A,FALSE,"Plan2"}</definedName>
    <definedName name="dsjkthkr" localSheetId="8">{#N/A,#N/A,FALSE,"Plan1";#N/A,#N/A,FALSE,"Plan2"}</definedName>
    <definedName name="dsjkthkr" localSheetId="5">{#N/A,#N/A,FALSE,"Plan1";#N/A,#N/A,FALSE,"Plan2"}</definedName>
    <definedName name="dsjkthkr" localSheetId="4">{#N/A,#N/A,FALSE,"Plan1";#N/A,#N/A,FALSE,"Plan2"}</definedName>
    <definedName name="dsjkthkr" localSheetId="13">{#N/A,#N/A,FALSE,"Plan1";#N/A,#N/A,FALSE,"Plan2"}</definedName>
    <definedName name="dsjkthkr" localSheetId="17">{#N/A,#N/A,FALSE,"Plan1";#N/A,#N/A,FALSE,"Plan2"}</definedName>
    <definedName name="dsjkthkr" localSheetId="0">{#N/A,#N/A,FALSE,"Plan1";#N/A,#N/A,FALSE,"Plan2"}</definedName>
    <definedName name="dsjkthkr" localSheetId="19">{#N/A,#N/A,FALSE,"Plan1";#N/A,#N/A,FALSE,"Plan2"}</definedName>
    <definedName name="dsjkthkr" localSheetId="16">{#N/A,#N/A,FALSE,"Plan1";#N/A,#N/A,FALSE,"Plan2"}</definedName>
    <definedName name="dsjkthkr" localSheetId="18">{#N/A,#N/A,FALSE,"Plan1";#N/A,#N/A,FALSE,"Plan2"}</definedName>
    <definedName name="dsjkthkr" localSheetId="10">{#N/A,#N/A,FALSE,"Plan1";#N/A,#N/A,FALSE,"Plan2"}</definedName>
    <definedName name="dsjkthkr">{#N/A,#N/A,FALSE,"Plan1";#N/A,#N/A,FALSE,"Plan2"}</definedName>
    <definedName name="dskfdhksdfh">4</definedName>
    <definedName name="DSLFJSLFJ" localSheetId="9">{#N/A,#N/A,FALSE,"Plan1";#N/A,#N/A,FALSE,"Plan2"}</definedName>
    <definedName name="DSLFJSLFJ" localSheetId="6">{#N/A,#N/A,FALSE,"Plan1";#N/A,#N/A,FALSE,"Plan2"}</definedName>
    <definedName name="DSLFJSLFJ" localSheetId="3">{#N/A,#N/A,FALSE,"Plan1";#N/A,#N/A,FALSE,"Plan2"}</definedName>
    <definedName name="DSLFJSLFJ" localSheetId="8">{#N/A,#N/A,FALSE,"Plan1";#N/A,#N/A,FALSE,"Plan2"}</definedName>
    <definedName name="DSLFJSLFJ" localSheetId="5">{#N/A,#N/A,FALSE,"Plan1";#N/A,#N/A,FALSE,"Plan2"}</definedName>
    <definedName name="DSLFJSLFJ" localSheetId="4">{#N/A,#N/A,FALSE,"Plan1";#N/A,#N/A,FALSE,"Plan2"}</definedName>
    <definedName name="DSLFJSLFJ" localSheetId="13">{#N/A,#N/A,FALSE,"Plan1";#N/A,#N/A,FALSE,"Plan2"}</definedName>
    <definedName name="DSLFJSLFJ" localSheetId="17">{#N/A,#N/A,FALSE,"Plan1";#N/A,#N/A,FALSE,"Plan2"}</definedName>
    <definedName name="DSLFJSLFJ" localSheetId="0">{#N/A,#N/A,FALSE,"Plan1";#N/A,#N/A,FALSE,"Plan2"}</definedName>
    <definedName name="DSLFJSLFJ" localSheetId="19">{#N/A,#N/A,FALSE,"Plan1";#N/A,#N/A,FALSE,"Plan2"}</definedName>
    <definedName name="DSLFJSLFJ" localSheetId="16">{#N/A,#N/A,FALSE,"Plan1";#N/A,#N/A,FALSE,"Plan2"}</definedName>
    <definedName name="DSLFJSLFJ" localSheetId="18">{#N/A,#N/A,FALSE,"Plan1";#N/A,#N/A,FALSE,"Plan2"}</definedName>
    <definedName name="DSLFJSLFJ" localSheetId="10">{#N/A,#N/A,FALSE,"Plan1";#N/A,#N/A,FALSE,"Plan2"}</definedName>
    <definedName name="DSLFJSLFJ">{#N/A,#N/A,FALSE,"Plan1";#N/A,#N/A,FALSE,"Plan2"}</definedName>
    <definedName name="dslfkf">4</definedName>
    <definedName name="dsrff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9">{#N/A,#N/A,FALSE,"Plan1";#N/A,#N/A,FALSE,"Plan2"}</definedName>
    <definedName name="dss" localSheetId="6">{#N/A,#N/A,FALSE,"Plan1";#N/A,#N/A,FALSE,"Plan2"}</definedName>
    <definedName name="dss" localSheetId="3">{#N/A,#N/A,FALSE,"Plan1";#N/A,#N/A,FALSE,"Plan2"}</definedName>
    <definedName name="dss" localSheetId="8">{#N/A,#N/A,FALSE,"Plan1";#N/A,#N/A,FALSE,"Plan2"}</definedName>
    <definedName name="dss" localSheetId="5">{#N/A,#N/A,FALSE,"Plan1";#N/A,#N/A,FALSE,"Plan2"}</definedName>
    <definedName name="dss" localSheetId="4">{#N/A,#N/A,FALSE,"Plan1";#N/A,#N/A,FALSE,"Plan2"}</definedName>
    <definedName name="dss" localSheetId="13">{#N/A,#N/A,FALSE,"Plan1";#N/A,#N/A,FALSE,"Plan2"}</definedName>
    <definedName name="dss" localSheetId="17">{#N/A,#N/A,FALSE,"Plan1";#N/A,#N/A,FALSE,"Plan2"}</definedName>
    <definedName name="dss" localSheetId="0">{#N/A,#N/A,FALSE,"Plan1";#N/A,#N/A,FALSE,"Plan2"}</definedName>
    <definedName name="dss" localSheetId="19">{#N/A,#N/A,FALSE,"Plan1";#N/A,#N/A,FALSE,"Plan2"}</definedName>
    <definedName name="dss" localSheetId="16">{#N/A,#N/A,FALSE,"Plan1";#N/A,#N/A,FALSE,"Plan2"}</definedName>
    <definedName name="dss" localSheetId="18">{#N/A,#N/A,FALSE,"Plan1";#N/A,#N/A,FALSE,"Plan2"}</definedName>
    <definedName name="dss" localSheetId="10">{#N/A,#N/A,FALSE,"Plan1";#N/A,#N/A,FALSE,"Plan2"}</definedName>
    <definedName name="dss">{#N/A,#N/A,FALSE,"Plan1";#N/A,#N/A,FALSE,"Plan2"}</definedName>
    <definedName name="dtgsrytt" localSheetId="9">{#N/A,#N/A,FALSE,"Plan1";#N/A,#N/A,FALSE,"Plan2"}</definedName>
    <definedName name="dtgsrytt" localSheetId="6">{#N/A,#N/A,FALSE,"Plan1";#N/A,#N/A,FALSE,"Plan2"}</definedName>
    <definedName name="dtgsrytt" localSheetId="3">{#N/A,#N/A,FALSE,"Plan1";#N/A,#N/A,FALSE,"Plan2"}</definedName>
    <definedName name="dtgsrytt" localSheetId="8">{#N/A,#N/A,FALSE,"Plan1";#N/A,#N/A,FALSE,"Plan2"}</definedName>
    <definedName name="dtgsrytt" localSheetId="5">{#N/A,#N/A,FALSE,"Plan1";#N/A,#N/A,FALSE,"Plan2"}</definedName>
    <definedName name="dtgsrytt" localSheetId="4">{#N/A,#N/A,FALSE,"Plan1";#N/A,#N/A,FALSE,"Plan2"}</definedName>
    <definedName name="dtgsrytt" localSheetId="13">{#N/A,#N/A,FALSE,"Plan1";#N/A,#N/A,FALSE,"Plan2"}</definedName>
    <definedName name="dtgsrytt" localSheetId="17">{#N/A,#N/A,FALSE,"Plan1";#N/A,#N/A,FALSE,"Plan2"}</definedName>
    <definedName name="dtgsrytt" localSheetId="0">{#N/A,#N/A,FALSE,"Plan1";#N/A,#N/A,FALSE,"Plan2"}</definedName>
    <definedName name="dtgsrytt" localSheetId="19">{#N/A,#N/A,FALSE,"Plan1";#N/A,#N/A,FALSE,"Plan2"}</definedName>
    <definedName name="dtgsrytt" localSheetId="16">{#N/A,#N/A,FALSE,"Plan1";#N/A,#N/A,FALSE,"Plan2"}</definedName>
    <definedName name="dtgsrytt" localSheetId="18">{#N/A,#N/A,FALSE,"Plan1";#N/A,#N/A,FALSE,"Plan2"}</definedName>
    <definedName name="dtgsrytt" localSheetId="10">{#N/A,#N/A,FALSE,"Plan1";#N/A,#N/A,FALSE,"Plan2"}</definedName>
    <definedName name="dtgsrytt">{#N/A,#N/A,FALSE,"Plan1";#N/A,#N/A,FALSE,"Plan2"}</definedName>
    <definedName name="dtrjkhtrgkfh" localSheetId="9">{#N/A,#N/A,FALSE,"Plan1";#N/A,#N/A,FALSE,"Plan2"}</definedName>
    <definedName name="dtrjkhtrgkfh" localSheetId="6">{#N/A,#N/A,FALSE,"Plan1";#N/A,#N/A,FALSE,"Plan2"}</definedName>
    <definedName name="dtrjkhtrgkfh" localSheetId="3">{#N/A,#N/A,FALSE,"Plan1";#N/A,#N/A,FALSE,"Plan2"}</definedName>
    <definedName name="dtrjkhtrgkfh" localSheetId="8">{#N/A,#N/A,FALSE,"Plan1";#N/A,#N/A,FALSE,"Plan2"}</definedName>
    <definedName name="dtrjkhtrgkfh" localSheetId="5">{#N/A,#N/A,FALSE,"Plan1";#N/A,#N/A,FALSE,"Plan2"}</definedName>
    <definedName name="dtrjkhtrgkfh" localSheetId="4">{#N/A,#N/A,FALSE,"Plan1";#N/A,#N/A,FALSE,"Plan2"}</definedName>
    <definedName name="dtrjkhtrgkfh" localSheetId="13">{#N/A,#N/A,FALSE,"Plan1";#N/A,#N/A,FALSE,"Plan2"}</definedName>
    <definedName name="dtrjkhtrgkfh" localSheetId="17">{#N/A,#N/A,FALSE,"Plan1";#N/A,#N/A,FALSE,"Plan2"}</definedName>
    <definedName name="dtrjkhtrgkfh" localSheetId="0">{#N/A,#N/A,FALSE,"Plan1";#N/A,#N/A,FALSE,"Plan2"}</definedName>
    <definedName name="dtrjkhtrgkfh" localSheetId="19">{#N/A,#N/A,FALSE,"Plan1";#N/A,#N/A,FALSE,"Plan2"}</definedName>
    <definedName name="dtrjkhtrgkfh" localSheetId="16">{#N/A,#N/A,FALSE,"Plan1";#N/A,#N/A,FALSE,"Plan2"}</definedName>
    <definedName name="dtrjkhtrgkfh" localSheetId="18">{#N/A,#N/A,FALSE,"Plan1";#N/A,#N/A,FALSE,"Plan2"}</definedName>
    <definedName name="dtrjkhtrgkfh" localSheetId="10">{#N/A,#N/A,FALSE,"Plan1";#N/A,#N/A,FALSE,"Plan2"}</definedName>
    <definedName name="dtrjkhtrgkfh">{#N/A,#N/A,FALSE,"Plan1";#N/A,#N/A,FALSE,"Plan2"}</definedName>
    <definedName name="dttjuk" localSheetId="9">{#N/A,#N/A,FALSE,"Plan1";#N/A,#N/A,FALSE,"Plan2"}</definedName>
    <definedName name="dttjuk" localSheetId="6">{#N/A,#N/A,FALSE,"Plan1";#N/A,#N/A,FALSE,"Plan2"}</definedName>
    <definedName name="dttjuk" localSheetId="3">{#N/A,#N/A,FALSE,"Plan1";#N/A,#N/A,FALSE,"Plan2"}</definedName>
    <definedName name="dttjuk" localSheetId="8">{#N/A,#N/A,FALSE,"Plan1";#N/A,#N/A,FALSE,"Plan2"}</definedName>
    <definedName name="dttjuk" localSheetId="5">{#N/A,#N/A,FALSE,"Plan1";#N/A,#N/A,FALSE,"Plan2"}</definedName>
    <definedName name="dttjuk" localSheetId="4">{#N/A,#N/A,FALSE,"Plan1";#N/A,#N/A,FALSE,"Plan2"}</definedName>
    <definedName name="dttjuk" localSheetId="13">{#N/A,#N/A,FALSE,"Plan1";#N/A,#N/A,FALSE,"Plan2"}</definedName>
    <definedName name="dttjuk" localSheetId="17">{#N/A,#N/A,FALSE,"Plan1";#N/A,#N/A,FALSE,"Plan2"}</definedName>
    <definedName name="dttjuk" localSheetId="0">{#N/A,#N/A,FALSE,"Plan1";#N/A,#N/A,FALSE,"Plan2"}</definedName>
    <definedName name="dttjuk" localSheetId="19">{#N/A,#N/A,FALSE,"Plan1";#N/A,#N/A,FALSE,"Plan2"}</definedName>
    <definedName name="dttjuk" localSheetId="16">{#N/A,#N/A,FALSE,"Plan1";#N/A,#N/A,FALSE,"Plan2"}</definedName>
    <definedName name="dttjuk" localSheetId="18">{#N/A,#N/A,FALSE,"Plan1";#N/A,#N/A,FALSE,"Plan2"}</definedName>
    <definedName name="dttjuk" localSheetId="10">{#N/A,#N/A,FALSE,"Plan1";#N/A,#N/A,FALSE,"Plan2"}</definedName>
    <definedName name="dttjuk">{#N/A,#N/A,FALSE,"Plan1";#N/A,#N/A,FALSE,"Plan2"}</definedName>
    <definedName name="dvtry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9">{#N/A,#N/A,FALSE,"Plan1";#N/A,#N/A,FALSE,"Plan2"}</definedName>
    <definedName name="dwetrt" localSheetId="6">{#N/A,#N/A,FALSE,"Plan1";#N/A,#N/A,FALSE,"Plan2"}</definedName>
    <definedName name="dwetrt" localSheetId="3">{#N/A,#N/A,FALSE,"Plan1";#N/A,#N/A,FALSE,"Plan2"}</definedName>
    <definedName name="dwetrt" localSheetId="8">{#N/A,#N/A,FALSE,"Plan1";#N/A,#N/A,FALSE,"Plan2"}</definedName>
    <definedName name="dwetrt" localSheetId="5">{#N/A,#N/A,FALSE,"Plan1";#N/A,#N/A,FALSE,"Plan2"}</definedName>
    <definedName name="dwetrt" localSheetId="4">{#N/A,#N/A,FALSE,"Plan1";#N/A,#N/A,FALSE,"Plan2"}</definedName>
    <definedName name="dwetrt" localSheetId="13">{#N/A,#N/A,FALSE,"Plan1";#N/A,#N/A,FALSE,"Plan2"}</definedName>
    <definedName name="dwetrt" localSheetId="17">{#N/A,#N/A,FALSE,"Plan1";#N/A,#N/A,FALSE,"Plan2"}</definedName>
    <definedName name="dwetrt" localSheetId="0">{#N/A,#N/A,FALSE,"Plan1";#N/A,#N/A,FALSE,"Plan2"}</definedName>
    <definedName name="dwetrt" localSheetId="19">{#N/A,#N/A,FALSE,"Plan1";#N/A,#N/A,FALSE,"Plan2"}</definedName>
    <definedName name="dwetrt" localSheetId="16">{#N/A,#N/A,FALSE,"Plan1";#N/A,#N/A,FALSE,"Plan2"}</definedName>
    <definedName name="dwetrt" localSheetId="18">{#N/A,#N/A,FALSE,"Plan1";#N/A,#N/A,FALSE,"Plan2"}</definedName>
    <definedName name="dwetrt" localSheetId="10">{#N/A,#N/A,FALSE,"Plan1";#N/A,#N/A,FALSE,"Plan2"}</definedName>
    <definedName name="dwetrt">{#N/A,#N/A,FALSE,"Plan1";#N/A,#N/A,FALSE,"Plan2"}</definedName>
    <definedName name="dwqhdjwqgdwq" localSheetId="3">#REF!</definedName>
    <definedName name="dwqhdjwqgdwq" localSheetId="5">#REF!</definedName>
    <definedName name="dwqhdjwqgdwq" localSheetId="26">#REF!</definedName>
    <definedName name="dwqhdjwqgdwq">#REF!</definedName>
    <definedName name="DY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9">{#N/A,#N/A,FALSE,"Plan1";#N/A,#N/A,FALSE,"Plan2"}</definedName>
    <definedName name="DYHYGJDHZKGF" localSheetId="6">{#N/A,#N/A,FALSE,"Plan1";#N/A,#N/A,FALSE,"Plan2"}</definedName>
    <definedName name="DYHYGJDHZKGF" localSheetId="3">{#N/A,#N/A,FALSE,"Plan1";#N/A,#N/A,FALSE,"Plan2"}</definedName>
    <definedName name="DYHYGJDHZKGF" localSheetId="8">{#N/A,#N/A,FALSE,"Plan1";#N/A,#N/A,FALSE,"Plan2"}</definedName>
    <definedName name="DYHYGJDHZKGF" localSheetId="5">{#N/A,#N/A,FALSE,"Plan1";#N/A,#N/A,FALSE,"Plan2"}</definedName>
    <definedName name="DYHYGJDHZKGF" localSheetId="4">{#N/A,#N/A,FALSE,"Plan1";#N/A,#N/A,FALSE,"Plan2"}</definedName>
    <definedName name="DYHYGJDHZKGF" localSheetId="13">{#N/A,#N/A,FALSE,"Plan1";#N/A,#N/A,FALSE,"Plan2"}</definedName>
    <definedName name="DYHYGJDHZKGF" localSheetId="17">{#N/A,#N/A,FALSE,"Plan1";#N/A,#N/A,FALSE,"Plan2"}</definedName>
    <definedName name="DYHYGJDHZKGF" localSheetId="0">{#N/A,#N/A,FALSE,"Plan1";#N/A,#N/A,FALSE,"Plan2"}</definedName>
    <definedName name="DYHYGJDHZKGF" localSheetId="19">{#N/A,#N/A,FALSE,"Plan1";#N/A,#N/A,FALSE,"Plan2"}</definedName>
    <definedName name="DYHYGJDHZKGF" localSheetId="16">{#N/A,#N/A,FALSE,"Plan1";#N/A,#N/A,FALSE,"Plan2"}</definedName>
    <definedName name="DYHYGJDHZKGF" localSheetId="18">{#N/A,#N/A,FALSE,"Plan1";#N/A,#N/A,FALSE,"Plan2"}</definedName>
    <definedName name="DYHYGJDHZKGF" localSheetId="10">{#N/A,#N/A,FALSE,"Plan1";#N/A,#N/A,FALSE,"Plan2"}</definedName>
    <definedName name="DYHYGJDHZKGF">{#N/A,#N/A,FALSE,"Plan1";#N/A,#N/A,FALSE,"Plan2"}</definedName>
    <definedName name="dzdfr" localSheetId="9">{#N/A,#N/A,FALSE,"Plan1";#N/A,#N/A,FALSE,"Plan2"}</definedName>
    <definedName name="dzdfr" localSheetId="6">{#N/A,#N/A,FALSE,"Plan1";#N/A,#N/A,FALSE,"Plan2"}</definedName>
    <definedName name="dzdfr" localSheetId="3">{#N/A,#N/A,FALSE,"Plan1";#N/A,#N/A,FALSE,"Plan2"}</definedName>
    <definedName name="dzdfr" localSheetId="8">{#N/A,#N/A,FALSE,"Plan1";#N/A,#N/A,FALSE,"Plan2"}</definedName>
    <definedName name="dzdfr" localSheetId="5">{#N/A,#N/A,FALSE,"Plan1";#N/A,#N/A,FALSE,"Plan2"}</definedName>
    <definedName name="dzdfr" localSheetId="4">{#N/A,#N/A,FALSE,"Plan1";#N/A,#N/A,FALSE,"Plan2"}</definedName>
    <definedName name="dzdfr" localSheetId="13">{#N/A,#N/A,FALSE,"Plan1";#N/A,#N/A,FALSE,"Plan2"}</definedName>
    <definedName name="dzdfr" localSheetId="17">{#N/A,#N/A,FALSE,"Plan1";#N/A,#N/A,FALSE,"Plan2"}</definedName>
    <definedName name="dzdfr" localSheetId="0">{#N/A,#N/A,FALSE,"Plan1";#N/A,#N/A,FALSE,"Plan2"}</definedName>
    <definedName name="dzdfr" localSheetId="19">{#N/A,#N/A,FALSE,"Plan1";#N/A,#N/A,FALSE,"Plan2"}</definedName>
    <definedName name="dzdfr" localSheetId="16">{#N/A,#N/A,FALSE,"Plan1";#N/A,#N/A,FALSE,"Plan2"}</definedName>
    <definedName name="dzdfr" localSheetId="18">{#N/A,#N/A,FALSE,"Plan1";#N/A,#N/A,FALSE,"Plan2"}</definedName>
    <definedName name="dzdfr" localSheetId="10">{#N/A,#N/A,FALSE,"Plan1";#N/A,#N/A,FALSE,"Plan2"}</definedName>
    <definedName name="dzdfr">{#N/A,#N/A,FALSE,"Plan1";#N/A,#N/A,FALSE,"Plan2"}</definedName>
    <definedName name="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3">#REF!</definedName>
    <definedName name="ea" localSheetId="1">#REF!</definedName>
    <definedName name="ea" localSheetId="5">#REF!</definedName>
    <definedName name="ea" localSheetId="21">#REF!</definedName>
    <definedName name="ea" localSheetId="22">#REF!</definedName>
    <definedName name="ea" localSheetId="13">#REF!</definedName>
    <definedName name="ea" localSheetId="26">#REF!</definedName>
    <definedName name="ea" localSheetId="0">#REF!</definedName>
    <definedName name="ea">#REF!</definedName>
    <definedName name="E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9">{#N/A,#N/A,FALSE,"F-01"}</definedName>
    <definedName name="ECEW" localSheetId="6">{#N/A,#N/A,FALSE,"F-01"}</definedName>
    <definedName name="ECEW" localSheetId="3">{#N/A,#N/A,FALSE,"F-01"}</definedName>
    <definedName name="ECEW" localSheetId="8">{#N/A,#N/A,FALSE,"F-01"}</definedName>
    <definedName name="ECEW" localSheetId="5">{#N/A,#N/A,FALSE,"F-01"}</definedName>
    <definedName name="ECEW" localSheetId="4">{#N/A,#N/A,FALSE,"F-01"}</definedName>
    <definedName name="ECEW" localSheetId="13">{#N/A,#N/A,FALSE,"F-01"}</definedName>
    <definedName name="ECEW" localSheetId="17">{#N/A,#N/A,FALSE,"F-01"}</definedName>
    <definedName name="ECEW" localSheetId="0">{#N/A,#N/A,FALSE,"F-01"}</definedName>
    <definedName name="ECEW" localSheetId="19">{#N/A,#N/A,FALSE,"F-01"}</definedName>
    <definedName name="ECEW" localSheetId="16">{#N/A,#N/A,FALSE,"F-01"}</definedName>
    <definedName name="ECEW" localSheetId="18">{#N/A,#N/A,FALSE,"F-01"}</definedName>
    <definedName name="ECEW" localSheetId="10">{#N/A,#N/A,FALSE,"F-01"}</definedName>
    <definedName name="ECEW">{#N/A,#N/A,FALSE,"F-01"}</definedName>
    <definedName name="ECEW_1" localSheetId="9">{#N/A,#N/A,FALSE,"F-01"}</definedName>
    <definedName name="ECEW_1" localSheetId="6">{#N/A,#N/A,FALSE,"F-01"}</definedName>
    <definedName name="ECEW_1" localSheetId="3">{#N/A,#N/A,FALSE,"F-01"}</definedName>
    <definedName name="ECEW_1" localSheetId="8">{#N/A,#N/A,FALSE,"F-01"}</definedName>
    <definedName name="ECEW_1" localSheetId="5">{#N/A,#N/A,FALSE,"F-01"}</definedName>
    <definedName name="ECEW_1" localSheetId="4">{#N/A,#N/A,FALSE,"F-01"}</definedName>
    <definedName name="ECEW_1" localSheetId="13">{#N/A,#N/A,FALSE,"F-01"}</definedName>
    <definedName name="ECEW_1" localSheetId="17">{#N/A,#N/A,FALSE,"F-01"}</definedName>
    <definedName name="ECEW_1" localSheetId="0">{#N/A,#N/A,FALSE,"F-01"}</definedName>
    <definedName name="ECEW_1" localSheetId="19">{#N/A,#N/A,FALSE,"F-01"}</definedName>
    <definedName name="ECEW_1" localSheetId="16">{#N/A,#N/A,FALSE,"F-01"}</definedName>
    <definedName name="ECEW_1" localSheetId="18">{#N/A,#N/A,FALSE,"F-01"}</definedName>
    <definedName name="ECEW_1" localSheetId="10">{#N/A,#N/A,FALSE,"F-01"}</definedName>
    <definedName name="ECEW_1">{#N/A,#N/A,FALSE,"F-01"}</definedName>
    <definedName name="echart31" localSheetId="3">#REF!</definedName>
    <definedName name="echart31" localSheetId="5">#REF!</definedName>
    <definedName name="echart31" localSheetId="13">#REF!</definedName>
    <definedName name="echart31" localSheetId="26">#REF!</definedName>
    <definedName name="echart31" localSheetId="0">#REF!</definedName>
    <definedName name="echart31">#REF!</definedName>
    <definedName name="EcoPark" localSheetId="3">#REF!</definedName>
    <definedName name="EcoPark" localSheetId="5">#REF!</definedName>
    <definedName name="EcoPark" localSheetId="13">#REF!</definedName>
    <definedName name="EcoPark" localSheetId="26">#REF!</definedName>
    <definedName name="EcoPark">#REF!</definedName>
    <definedName name="ECS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9">{#N/A,#N/A,FALSE,"Plan1";#N/A,#N/A,FALSE,"Plan2"}</definedName>
    <definedName name="EDE" localSheetId="6">{#N/A,#N/A,FALSE,"Plan1";#N/A,#N/A,FALSE,"Plan2"}</definedName>
    <definedName name="EDE" localSheetId="3">{#N/A,#N/A,FALSE,"Plan1";#N/A,#N/A,FALSE,"Plan2"}</definedName>
    <definedName name="EDE" localSheetId="8">{#N/A,#N/A,FALSE,"Plan1";#N/A,#N/A,FALSE,"Plan2"}</definedName>
    <definedName name="EDE" localSheetId="5">{#N/A,#N/A,FALSE,"Plan1";#N/A,#N/A,FALSE,"Plan2"}</definedName>
    <definedName name="EDE" localSheetId="4">{#N/A,#N/A,FALSE,"Plan1";#N/A,#N/A,FALSE,"Plan2"}</definedName>
    <definedName name="EDE" localSheetId="13">{#N/A,#N/A,FALSE,"Plan1";#N/A,#N/A,FALSE,"Plan2"}</definedName>
    <definedName name="EDE" localSheetId="17">{#N/A,#N/A,FALSE,"Plan1";#N/A,#N/A,FALSE,"Plan2"}</definedName>
    <definedName name="EDE" localSheetId="0">{#N/A,#N/A,FALSE,"Plan1";#N/A,#N/A,FALSE,"Plan2"}</definedName>
    <definedName name="EDE" localSheetId="19">{#N/A,#N/A,FALSE,"Plan1";#N/A,#N/A,FALSE,"Plan2"}</definedName>
    <definedName name="EDE" localSheetId="16">{#N/A,#N/A,FALSE,"Plan1";#N/A,#N/A,FALSE,"Plan2"}</definedName>
    <definedName name="EDE" localSheetId="18">{#N/A,#N/A,FALSE,"Plan1";#N/A,#N/A,FALSE,"Plan2"}</definedName>
    <definedName name="EDE" localSheetId="10">{#N/A,#N/A,FALSE,"Plan1";#N/A,#N/A,FALSE,"Plan2"}</definedName>
    <definedName name="EDE">{#N/A,#N/A,FALSE,"Plan1";#N/A,#N/A,FALSE,"Plan2"}</definedName>
    <definedName name="ee" localSheetId="3">#REF!</definedName>
    <definedName name="ee" localSheetId="5">#REF!</definedName>
    <definedName name="ee" localSheetId="13">#REF!</definedName>
    <definedName name="ee" localSheetId="26">#REF!</definedName>
    <definedName name="ee">#REF!</definedName>
    <definedName name="eee" localSheetId="9">{#N/A,#N/A,FALSE,"ET-CAPA";#N/A,#N/A,FALSE,"ET-PAG1";#N/A,#N/A,FALSE,"ET-PAG2";#N/A,#N/A,FALSE,"ET-PAG3";#N/A,#N/A,FALSE,"ET-PAG4";#N/A,#N/A,FALSE,"ET-PAG5"}</definedName>
    <definedName name="eee" localSheetId="2">{#N/A,#N/A,FALSE,"ET-CAPA";#N/A,#N/A,FALSE,"ET-PAG1";#N/A,#N/A,FALSE,"ET-PAG2";#N/A,#N/A,FALSE,"ET-PAG3";#N/A,#N/A,FALSE,"ET-PAG4";#N/A,#N/A,FALSE,"ET-PAG5"}</definedName>
    <definedName name="eee" localSheetId="6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1">{#N/A,#N/A,FALSE,"ET-CAPA";#N/A,#N/A,FALSE,"ET-PAG1";#N/A,#N/A,FALSE,"ET-PAG2";#N/A,#N/A,FALSE,"ET-PAG3";#N/A,#N/A,FALSE,"ET-PAG4";#N/A,#N/A,FALSE,"ET-PAG5"}</definedName>
    <definedName name="eee" localSheetId="8">{#N/A,#N/A,FALSE,"ET-CAPA";#N/A,#N/A,FALSE,"ET-PAG1";#N/A,#N/A,FALSE,"ET-PAG2";#N/A,#N/A,FALSE,"ET-PAG3";#N/A,#N/A,FALSE,"ET-PAG4";#N/A,#N/A,FALSE,"ET-PAG5"}</definedName>
    <definedName name="eee" localSheetId="5">{#N/A,#N/A,FALSE,"ET-CAPA";#N/A,#N/A,FALSE,"ET-PAG1";#N/A,#N/A,FALSE,"ET-PAG2";#N/A,#N/A,FALSE,"ET-PAG3";#N/A,#N/A,FALSE,"ET-PAG4";#N/A,#N/A,FALSE,"ET-PAG5"}</definedName>
    <definedName name="eee" localSheetId="4">{#N/A,#N/A,FALSE,"ET-CAPA";#N/A,#N/A,FALSE,"ET-PAG1";#N/A,#N/A,FALSE,"ET-PAG2";#N/A,#N/A,FALSE,"ET-PAG3";#N/A,#N/A,FALSE,"ET-PAG4";#N/A,#N/A,FALSE,"ET-PAG5"}</definedName>
    <definedName name="eee" localSheetId="13">{#N/A,#N/A,FALSE,"ET-CAPA";#N/A,#N/A,FALSE,"ET-PAG1";#N/A,#N/A,FALSE,"ET-PAG2";#N/A,#N/A,FALSE,"ET-PAG3";#N/A,#N/A,FALSE,"ET-PAG4";#N/A,#N/A,FALSE,"ET-PAG5"}</definedName>
    <definedName name="eee" localSheetId="17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 localSheetId="19">{#N/A,#N/A,FALSE,"ET-CAPA";#N/A,#N/A,FALSE,"ET-PAG1";#N/A,#N/A,FALSE,"ET-PAG2";#N/A,#N/A,FALSE,"ET-PAG3";#N/A,#N/A,FALSE,"ET-PAG4";#N/A,#N/A,FALSE,"ET-PAG5"}</definedName>
    <definedName name="eee" localSheetId="16">{#N/A,#N/A,FALSE,"ET-CAPA";#N/A,#N/A,FALSE,"ET-PAG1";#N/A,#N/A,FALSE,"ET-PAG2";#N/A,#N/A,FALSE,"ET-PAG3";#N/A,#N/A,FALSE,"ET-PAG4";#N/A,#N/A,FALSE,"ET-PAG5"}</definedName>
    <definedName name="eee" localSheetId="18">{#N/A,#N/A,FALSE,"ET-CAPA";#N/A,#N/A,FALSE,"ET-PAG1";#N/A,#N/A,FALSE,"ET-PAG2";#N/A,#N/A,FALSE,"ET-PAG3";#N/A,#N/A,FALSE,"ET-PAG4";#N/A,#N/A,FALSE,"ET-PAG5"}</definedName>
    <definedName name="eee" localSheetId="10">{#N/A,#N/A,FALSE,"ET-CAPA";#N/A,#N/A,FALSE,"ET-PAG1";#N/A,#N/A,FALSE,"ET-PAG2";#N/A,#N/A,FALSE,"ET-PAG3";#N/A,#N/A,FALSE,"ET-PAG4";#N/A,#N/A,FALSE,"ET-PAG5"}</definedName>
    <definedName name="eee" localSheetId="15">{#N/A,#N/A,FALSE,"ET-CAPA";#N/A,#N/A,FALSE,"ET-PAG1";#N/A,#N/A,FALSE,"ET-PAG2";#N/A,#N/A,FALSE,"ET-PAG3";#N/A,#N/A,FALSE,"ET-PAG4";#N/A,#N/A,FALSE,"ET-PAG5"}</definedName>
    <definedName name="eee" localSheetId="14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EF" localSheetId="3">#REF!</definedName>
    <definedName name="EF" localSheetId="5">#REF!</definedName>
    <definedName name="EF" localSheetId="13">#REF!</definedName>
    <definedName name="EF" localSheetId="26">#REF!</definedName>
    <definedName name="EF">#REF!</definedName>
    <definedName name="efestfr" localSheetId="9">{#N/A,#N/A,FALSE,"Plan1";#N/A,#N/A,FALSE,"Plan2"}</definedName>
    <definedName name="efestfr" localSheetId="6">{#N/A,#N/A,FALSE,"Plan1";#N/A,#N/A,FALSE,"Plan2"}</definedName>
    <definedName name="efestfr" localSheetId="3">{#N/A,#N/A,FALSE,"Plan1";#N/A,#N/A,FALSE,"Plan2"}</definedName>
    <definedName name="efestfr" localSheetId="8">{#N/A,#N/A,FALSE,"Plan1";#N/A,#N/A,FALSE,"Plan2"}</definedName>
    <definedName name="efestfr" localSheetId="5">{#N/A,#N/A,FALSE,"Plan1";#N/A,#N/A,FALSE,"Plan2"}</definedName>
    <definedName name="efestfr" localSheetId="4">{#N/A,#N/A,FALSE,"Plan1";#N/A,#N/A,FALSE,"Plan2"}</definedName>
    <definedName name="efestfr" localSheetId="13">{#N/A,#N/A,FALSE,"Plan1";#N/A,#N/A,FALSE,"Plan2"}</definedName>
    <definedName name="efestfr" localSheetId="17">{#N/A,#N/A,FALSE,"Plan1";#N/A,#N/A,FALSE,"Plan2"}</definedName>
    <definedName name="efestfr" localSheetId="0">{#N/A,#N/A,FALSE,"Plan1";#N/A,#N/A,FALSE,"Plan2"}</definedName>
    <definedName name="efestfr" localSheetId="19">{#N/A,#N/A,FALSE,"Plan1";#N/A,#N/A,FALSE,"Plan2"}</definedName>
    <definedName name="efestfr" localSheetId="16">{#N/A,#N/A,FALSE,"Plan1";#N/A,#N/A,FALSE,"Plan2"}</definedName>
    <definedName name="efestfr" localSheetId="18">{#N/A,#N/A,FALSE,"Plan1";#N/A,#N/A,FALSE,"Plan2"}</definedName>
    <definedName name="efestfr" localSheetId="10">{#N/A,#N/A,FALSE,"Plan1";#N/A,#N/A,FALSE,"Plan2"}</definedName>
    <definedName name="efestfr">{#N/A,#N/A,FALSE,"Plan1";#N/A,#N/A,FALSE,"Plan2"}</definedName>
    <definedName name="EFICIÊNCIA" localSheetId="3">#REF!</definedName>
    <definedName name="EFICIÊNCIA" localSheetId="5">#REF!</definedName>
    <definedName name="EFICIÊNCIA" localSheetId="13">#REF!</definedName>
    <definedName name="EFICIÊNCIA" localSheetId="26">#REF!</definedName>
    <definedName name="EFICIÊNCIA">#REF!</definedName>
    <definedName name="Eficiência1" localSheetId="3">#REF!</definedName>
    <definedName name="Eficiência1" localSheetId="5">#REF!</definedName>
    <definedName name="Eficiência1" localSheetId="13">#REF!</definedName>
    <definedName name="Eficiência1" localSheetId="26">#REF!</definedName>
    <definedName name="Eficiência1">#REF!</definedName>
    <definedName name="efrdrt" localSheetId="9">{#N/A,#N/A,FALSE,"Plan1";#N/A,#N/A,FALSE,"Plan2"}</definedName>
    <definedName name="efrdrt" localSheetId="6">{#N/A,#N/A,FALSE,"Plan1";#N/A,#N/A,FALSE,"Plan2"}</definedName>
    <definedName name="efrdrt" localSheetId="3">{#N/A,#N/A,FALSE,"Plan1";#N/A,#N/A,FALSE,"Plan2"}</definedName>
    <definedName name="efrdrt" localSheetId="8">{#N/A,#N/A,FALSE,"Plan1";#N/A,#N/A,FALSE,"Plan2"}</definedName>
    <definedName name="efrdrt" localSheetId="5">{#N/A,#N/A,FALSE,"Plan1";#N/A,#N/A,FALSE,"Plan2"}</definedName>
    <definedName name="efrdrt" localSheetId="4">{#N/A,#N/A,FALSE,"Plan1";#N/A,#N/A,FALSE,"Plan2"}</definedName>
    <definedName name="efrdrt" localSheetId="13">{#N/A,#N/A,FALSE,"Plan1";#N/A,#N/A,FALSE,"Plan2"}</definedName>
    <definedName name="efrdrt" localSheetId="17">{#N/A,#N/A,FALSE,"Plan1";#N/A,#N/A,FALSE,"Plan2"}</definedName>
    <definedName name="efrdrt" localSheetId="0">{#N/A,#N/A,FALSE,"Plan1";#N/A,#N/A,FALSE,"Plan2"}</definedName>
    <definedName name="efrdrt" localSheetId="19">{#N/A,#N/A,FALSE,"Plan1";#N/A,#N/A,FALSE,"Plan2"}</definedName>
    <definedName name="efrdrt" localSheetId="16">{#N/A,#N/A,FALSE,"Plan1";#N/A,#N/A,FALSE,"Plan2"}</definedName>
    <definedName name="efrdrt" localSheetId="18">{#N/A,#N/A,FALSE,"Plan1";#N/A,#N/A,FALSE,"Plan2"}</definedName>
    <definedName name="efrdrt" localSheetId="10">{#N/A,#N/A,FALSE,"Plan1";#N/A,#N/A,FALSE,"Plan2"}</definedName>
    <definedName name="efrdrt">{#N/A,#N/A,FALSE,"Plan1";#N/A,#N/A,FALSE,"Plan2"}</definedName>
    <definedName name="efrg" localSheetId="9">{#N/A,#N/A,FALSE,"Plan1";#N/A,#N/A,FALSE,"Plan2"}</definedName>
    <definedName name="efrg" localSheetId="6">{#N/A,#N/A,FALSE,"Plan1";#N/A,#N/A,FALSE,"Plan2"}</definedName>
    <definedName name="efrg" localSheetId="3">{#N/A,#N/A,FALSE,"Plan1";#N/A,#N/A,FALSE,"Plan2"}</definedName>
    <definedName name="efrg" localSheetId="8">{#N/A,#N/A,FALSE,"Plan1";#N/A,#N/A,FALSE,"Plan2"}</definedName>
    <definedName name="efrg" localSheetId="5">{#N/A,#N/A,FALSE,"Plan1";#N/A,#N/A,FALSE,"Plan2"}</definedName>
    <definedName name="efrg" localSheetId="4">{#N/A,#N/A,FALSE,"Plan1";#N/A,#N/A,FALSE,"Plan2"}</definedName>
    <definedName name="efrg" localSheetId="13">{#N/A,#N/A,FALSE,"Plan1";#N/A,#N/A,FALSE,"Plan2"}</definedName>
    <definedName name="efrg" localSheetId="17">{#N/A,#N/A,FALSE,"Plan1";#N/A,#N/A,FALSE,"Plan2"}</definedName>
    <definedName name="efrg" localSheetId="0">{#N/A,#N/A,FALSE,"Plan1";#N/A,#N/A,FALSE,"Plan2"}</definedName>
    <definedName name="efrg" localSheetId="19">{#N/A,#N/A,FALSE,"Plan1";#N/A,#N/A,FALSE,"Plan2"}</definedName>
    <definedName name="efrg" localSheetId="16">{#N/A,#N/A,FALSE,"Plan1";#N/A,#N/A,FALSE,"Plan2"}</definedName>
    <definedName name="efrg" localSheetId="18">{#N/A,#N/A,FALSE,"Plan1";#N/A,#N/A,FALSE,"Plan2"}</definedName>
    <definedName name="efrg" localSheetId="10">{#N/A,#N/A,FALSE,"Plan1";#N/A,#N/A,FALSE,"Plan2"}</definedName>
    <definedName name="efrg">{#N/A,#N/A,FALSE,"Plan1";#N/A,#N/A,FALSE,"Plan2"}</definedName>
    <definedName name="efsgfr" localSheetId="9">{#N/A,#N/A,FALSE,"Plan1";#N/A,#N/A,FALSE,"Plan2"}</definedName>
    <definedName name="efsgfr" localSheetId="6">{#N/A,#N/A,FALSE,"Plan1";#N/A,#N/A,FALSE,"Plan2"}</definedName>
    <definedName name="efsgfr" localSheetId="3">{#N/A,#N/A,FALSE,"Plan1";#N/A,#N/A,FALSE,"Plan2"}</definedName>
    <definedName name="efsgfr" localSheetId="8">{#N/A,#N/A,FALSE,"Plan1";#N/A,#N/A,FALSE,"Plan2"}</definedName>
    <definedName name="efsgfr" localSheetId="5">{#N/A,#N/A,FALSE,"Plan1";#N/A,#N/A,FALSE,"Plan2"}</definedName>
    <definedName name="efsgfr" localSheetId="4">{#N/A,#N/A,FALSE,"Plan1";#N/A,#N/A,FALSE,"Plan2"}</definedName>
    <definedName name="efsgfr" localSheetId="13">{#N/A,#N/A,FALSE,"Plan1";#N/A,#N/A,FALSE,"Plan2"}</definedName>
    <definedName name="efsgfr" localSheetId="17">{#N/A,#N/A,FALSE,"Plan1";#N/A,#N/A,FALSE,"Plan2"}</definedName>
    <definedName name="efsgfr" localSheetId="0">{#N/A,#N/A,FALSE,"Plan1";#N/A,#N/A,FALSE,"Plan2"}</definedName>
    <definedName name="efsgfr" localSheetId="19">{#N/A,#N/A,FALSE,"Plan1";#N/A,#N/A,FALSE,"Plan2"}</definedName>
    <definedName name="efsgfr" localSheetId="16">{#N/A,#N/A,FALSE,"Plan1";#N/A,#N/A,FALSE,"Plan2"}</definedName>
    <definedName name="efsgfr" localSheetId="18">{#N/A,#N/A,FALSE,"Plan1";#N/A,#N/A,FALSE,"Plan2"}</definedName>
    <definedName name="efsgfr" localSheetId="10">{#N/A,#N/A,FALSE,"Plan1";#N/A,#N/A,FALSE,"Plan2"}</definedName>
    <definedName name="efsgfr">{#N/A,#N/A,FALSE,"Plan1";#N/A,#N/A,FALSE,"Plan2"}</definedName>
    <definedName name="eixo_x_fluxo_graf1" localSheetId="9">IFERROR(OFFSET(INDEX(#REF!,MATCH((INDEX(#REF!,MATCH(1,#REF!,0))),#REF!,0)),0,0,1,COUNTIF(#REF!,"&gt;=0")+COUNTIF(#REF!,"&lt;0")),0)</definedName>
    <definedName name="eixo_x_fluxo_graf1" localSheetId="6">IFERROR(OFFSET(INDEX(#REF!,MATCH((INDEX(#REF!,MATCH(1,#REF!,0))),#REF!,0)),0,0,1,COUNTIF(#REF!,"&gt;=0")+COUNTIF(#REF!,"&lt;0")),0)</definedName>
    <definedName name="eixo_x_fluxo_graf1" localSheetId="8">IFERROR(OFFSET(INDEX(#REF!,MATCH((INDEX(#REF!,MATCH(1,#REF!,0))),#REF!,0)),0,0,1,COUNTIF(#REF!,"&gt;=0")+COUNTIF(#REF!,"&lt;0")),0)</definedName>
    <definedName name="eixo_x_fluxo_graf1" localSheetId="4">IFERROR(OFFSET(INDEX(#REF!,MATCH((INDEX(#REF!,MATCH(1,#REF!,0))),#REF!,0)),0,0,1,COUNTIF(#REF!,"&gt;=0")+COUNTIF(#REF!,"&lt;0")),0)</definedName>
    <definedName name="eixo_x_fluxo_graf1" localSheetId="13">IFERROR(OFFSET(INDEX(#REF!,MATCH((INDEX(#REF!,MATCH(1,#REF!,0))),#REF!,0)),0,0,1,COUNTIF(#REF!,"&gt;=0")+COUNTIF(#REF!,"&lt;0")),0)</definedName>
    <definedName name="eixo_x_fluxo_graf1" localSheetId="19">IFERROR(OFFSET(INDEX(#REF!,MATCH((INDEX(#REF!,MATCH(1,#REF!,0))),#REF!,0)),0,0,1,COUNTIF(#REF!,"&gt;=0")+COUNTIF(#REF!,"&lt;0")),0)</definedName>
    <definedName name="eixo_x_fluxo_graf1" localSheetId="10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6">IFERROR(OFFSET(INDEX(#REF!,MATCH((INDEX(#REF!,MATCH(1,#REF!,0))),#REF!,0)),0,0,1,COUNTIF(#REF!,"&gt;=0")+COUNTIF(#REF!,"&lt;0")),0)</definedName>
    <definedName name="eixo_x_graf2" localSheetId="8">IFERROR(OFFSET(INDEX(#REF!,MATCH((INDEX(#REF!,MATCH(1,#REF!,0))),#REF!,0)),0,0,1,COUNTIF(#REF!,"&gt;=0")+COUNTIF(#REF!,"&lt;0")),0)</definedName>
    <definedName name="eixo_x_graf2" localSheetId="4">IFERROR(OFFSET(INDEX(#REF!,MATCH((INDEX(#REF!,MATCH(1,#REF!,0))),#REF!,0)),0,0,1,COUNTIF(#REF!,"&gt;=0")+COUNTIF(#REF!,"&lt;0")),0)</definedName>
    <definedName name="eixo_x_graf2" localSheetId="13">IFERROR(OFFSET(INDEX(#REF!,MATCH((INDEX(#REF!,MATCH(1,#REF!,0))),#REF!,0)),0,0,1,COUNTIF(#REF!,"&gt;=0")+COUNTIF(#REF!,"&lt;0")),0)</definedName>
    <definedName name="eixo_x_graf2" localSheetId="19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3">#REF!</definedName>
    <definedName name="eixo_x_graf3_distratos" localSheetId="5">#REF!</definedName>
    <definedName name="eixo_x_graf3_distratos" localSheetId="13">#REF!</definedName>
    <definedName name="eixo_x_graf3_distratos" localSheetId="26">#REF!</definedName>
    <definedName name="eixo_x_graf3_distratos">#REF!</definedName>
    <definedName name="eixo_x_graf3_vendas" localSheetId="3">#REF!</definedName>
    <definedName name="eixo_x_graf3_vendas" localSheetId="5">#REF!</definedName>
    <definedName name="eixo_x_graf3_vendas" localSheetId="13">#REF!</definedName>
    <definedName name="eixo_x_graf3_vendas" localSheetId="26">#REF!</definedName>
    <definedName name="eixo_x_graf3_vendas">#REF!</definedName>
    <definedName name="eixo_y_cury_graf2" localSheetId="6">IFERROR(OFFSET(INDEX(#REF!,MATCH((INDEX(#REF!,MATCH(1,#REF!,0))),#REF!,0)),0,0,1,COUNTIF(#REF!,"&gt;=0")+COUNTIF(#REF!,"&lt;0")),0)</definedName>
    <definedName name="eixo_y_cury_graf2" localSheetId="4">IFERROR(OFFSET(INDEX(#REF!,MATCH((INDEX(#REF!,MATCH(1,#REF!,0))),#REF!,0)),0,0,1,COUNTIF(#REF!,"&gt;=0")+COUNTIF(#REF!,"&lt;0")),0)</definedName>
    <definedName name="eixo_y_cury_graf2" localSheetId="13">IFERROR(OFFSET(INDEX(#REF!,MATCH((INDEX(#REF!,MATCH(1,#REF!,0))),#REF!,0)),0,0,1,COUNTIF(#REF!,"&gt;=0")+COUNTIF(#REF!,"&lt;0")),0)</definedName>
    <definedName name="eixo_y_cury_graf2" localSheetId="19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7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3">#REF!</definedName>
    <definedName name="eixo_y_graf3" localSheetId="5">#REF!</definedName>
    <definedName name="eixo_y_graf3" localSheetId="13">#REF!</definedName>
    <definedName name="eixo_y_graf3" localSheetId="26">#REF!</definedName>
    <definedName name="eixo_y_graf3">#REF!</definedName>
    <definedName name="eixo_y_socio_graf2" localSheetId="6">IFERROR(OFFSET(INDEX(#REF!,MATCH((INDEX(#REF!,MATCH(1,#REF!,0))),#REF!,0)),0,0,1,COUNTIF(#REF!,"&gt;=0")+COUNTIF(#REF!,"&lt;0")),0)</definedName>
    <definedName name="eixo_y_socio_graf2" localSheetId="4">IFERROR(OFFSET(INDEX(#REF!,MATCH((INDEX(#REF!,MATCH(1,#REF!,0))),#REF!,0)),0,0,1,COUNTIF(#REF!,"&gt;=0")+COUNTIF(#REF!,"&lt;0")),0)</definedName>
    <definedName name="eixo_y_socio_graf2" localSheetId="13">IFERROR(OFFSET(INDEX(#REF!,MATCH((INDEX(#REF!,MATCH(1,#REF!,0))),#REF!,0)),0,0,1,COUNTIF(#REF!,"&gt;=0")+COUNTIF(#REF!,"&lt;0")),0)</definedName>
    <definedName name="eixo_y_socio_graf2" localSheetId="19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6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4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3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3">#REF!</definedName>
    <definedName name="EM" localSheetId="5">#REF!</definedName>
    <definedName name="EM" localSheetId="13">#REF!</definedName>
    <definedName name="EM" localSheetId="26">#REF!</definedName>
    <definedName name="EM">#REF!</definedName>
    <definedName name="Empreend" localSheetId="3">#REF!</definedName>
    <definedName name="Empreend" localSheetId="5">#REF!</definedName>
    <definedName name="Empreend" localSheetId="13">#REF!</definedName>
    <definedName name="Empreend" localSheetId="26">#REF!</definedName>
    <definedName name="Empreend">#REF!</definedName>
    <definedName name="Empreendimentos" localSheetId="3">#REF!</definedName>
    <definedName name="Empreendimentos" localSheetId="5">#REF!</definedName>
    <definedName name="Empreendimentos" localSheetId="13">#REF!</definedName>
    <definedName name="Empreendimentos" localSheetId="26">#REF!</definedName>
    <definedName name="Empreendimentos">#REF!</definedName>
    <definedName name="empresas" localSheetId="3">#REF!</definedName>
    <definedName name="empresas" localSheetId="5">#REF!</definedName>
    <definedName name="empresas" localSheetId="13">#REF!</definedName>
    <definedName name="empresas" localSheetId="26">#REF!</definedName>
    <definedName name="empresas">#REF!</definedName>
    <definedName name="encanador" localSheetId="3">#REF!</definedName>
    <definedName name="encanador" localSheetId="5">#REF!</definedName>
    <definedName name="encanador" localSheetId="13">#REF!</definedName>
    <definedName name="encanador" localSheetId="26">#REF!</definedName>
    <definedName name="encanador">#REF!</definedName>
    <definedName name="EPI" localSheetId="3">#REF!</definedName>
    <definedName name="EPI" localSheetId="5">#REF!</definedName>
    <definedName name="EPI" localSheetId="13">#REF!</definedName>
    <definedName name="EPI" localSheetId="26">#REF!</definedName>
    <definedName name="EPI">#REF!</definedName>
    <definedName name="EQUIP" localSheetId="3">#REF!</definedName>
    <definedName name="EQUIP" localSheetId="5">#REF!</definedName>
    <definedName name="EQUIP" localSheetId="13">#REF!</definedName>
    <definedName name="EQUIP" localSheetId="26">#REF!</definedName>
    <definedName name="EQUIP">#REF!</definedName>
    <definedName name="equipamento" localSheetId="3">#REF!</definedName>
    <definedName name="equipamento" localSheetId="5">#REF!</definedName>
    <definedName name="equipamento" localSheetId="13">#REF!</definedName>
    <definedName name="equipamento" localSheetId="26">#REF!</definedName>
    <definedName name="equipamento">#REF!</definedName>
    <definedName name="ER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9">{#N/A,#N/A,FALSE,"Plan1";#N/A,#N/A,FALSE,"Plan2"}</definedName>
    <definedName name="ergfhyu" localSheetId="6">{#N/A,#N/A,FALSE,"Plan1";#N/A,#N/A,FALSE,"Plan2"}</definedName>
    <definedName name="ergfhyu" localSheetId="3">{#N/A,#N/A,FALSE,"Plan1";#N/A,#N/A,FALSE,"Plan2"}</definedName>
    <definedName name="ergfhyu" localSheetId="8">{#N/A,#N/A,FALSE,"Plan1";#N/A,#N/A,FALSE,"Plan2"}</definedName>
    <definedName name="ergfhyu" localSheetId="5">{#N/A,#N/A,FALSE,"Plan1";#N/A,#N/A,FALSE,"Plan2"}</definedName>
    <definedName name="ergfhyu" localSheetId="4">{#N/A,#N/A,FALSE,"Plan1";#N/A,#N/A,FALSE,"Plan2"}</definedName>
    <definedName name="ergfhyu" localSheetId="13">{#N/A,#N/A,FALSE,"Plan1";#N/A,#N/A,FALSE,"Plan2"}</definedName>
    <definedName name="ergfhyu" localSheetId="17">{#N/A,#N/A,FALSE,"Plan1";#N/A,#N/A,FALSE,"Plan2"}</definedName>
    <definedName name="ergfhyu" localSheetId="0">{#N/A,#N/A,FALSE,"Plan1";#N/A,#N/A,FALSE,"Plan2"}</definedName>
    <definedName name="ergfhyu" localSheetId="19">{#N/A,#N/A,FALSE,"Plan1";#N/A,#N/A,FALSE,"Plan2"}</definedName>
    <definedName name="ergfhyu" localSheetId="16">{#N/A,#N/A,FALSE,"Plan1";#N/A,#N/A,FALSE,"Plan2"}</definedName>
    <definedName name="ergfhyu" localSheetId="18">{#N/A,#N/A,FALSE,"Plan1";#N/A,#N/A,FALSE,"Plan2"}</definedName>
    <definedName name="ergfhyu" localSheetId="10">{#N/A,#N/A,FALSE,"Plan1";#N/A,#N/A,FALSE,"Plan2"}</definedName>
    <definedName name="ergfhyu">{#N/A,#N/A,FALSE,"Plan1";#N/A,#N/A,FALSE,"Plan2"}</definedName>
    <definedName name="erne_cdi" localSheetId="3">#REF!</definedName>
    <definedName name="erne_cdi" localSheetId="5">#REF!</definedName>
    <definedName name="erne_cdi" localSheetId="13">#REF!</definedName>
    <definedName name="erne_cdi" localSheetId="26">#REF!</definedName>
    <definedName name="erne_cdi">#REF!</definedName>
    <definedName name="erne_hist" localSheetId="3">#REF!</definedName>
    <definedName name="erne_hist" localSheetId="5">#REF!</definedName>
    <definedName name="erne_hist" localSheetId="13">#REF!</definedName>
    <definedName name="erne_hist" localSheetId="26">#REF!</definedName>
    <definedName name="erne_hist">#REF!</definedName>
    <definedName name="erne_uss" localSheetId="3">#REF!</definedName>
    <definedName name="erne_uss" localSheetId="5">#REF!</definedName>
    <definedName name="erne_uss" localSheetId="13">#REF!</definedName>
    <definedName name="erne_uss" localSheetId="26">#REF!</definedName>
    <definedName name="erne_uss">#REF!</definedName>
    <definedName name="erte" localSheetId="3">#REF!</definedName>
    <definedName name="erte" localSheetId="13">#REF!</definedName>
    <definedName name="erte" localSheetId="0">#REF!</definedName>
    <definedName name="erte">#REF!</definedName>
    <definedName name="ESGFDSFD" localSheetId="9">{#N/A,#N/A,FALSE,"Plan1";#N/A,#N/A,FALSE,"Plan2"}</definedName>
    <definedName name="ESGFDSFD" localSheetId="6">{#N/A,#N/A,FALSE,"Plan1";#N/A,#N/A,FALSE,"Plan2"}</definedName>
    <definedName name="ESGFDSFD" localSheetId="3">{#N/A,#N/A,FALSE,"Plan1";#N/A,#N/A,FALSE,"Plan2"}</definedName>
    <definedName name="ESGFDSFD" localSheetId="8">{#N/A,#N/A,FALSE,"Plan1";#N/A,#N/A,FALSE,"Plan2"}</definedName>
    <definedName name="ESGFDSFD" localSheetId="5">{#N/A,#N/A,FALSE,"Plan1";#N/A,#N/A,FALSE,"Plan2"}</definedName>
    <definedName name="ESGFDSFD" localSheetId="4">{#N/A,#N/A,FALSE,"Plan1";#N/A,#N/A,FALSE,"Plan2"}</definedName>
    <definedName name="ESGFDSFD" localSheetId="13">{#N/A,#N/A,FALSE,"Plan1";#N/A,#N/A,FALSE,"Plan2"}</definedName>
    <definedName name="ESGFDSFD" localSheetId="17">{#N/A,#N/A,FALSE,"Plan1";#N/A,#N/A,FALSE,"Plan2"}</definedName>
    <definedName name="ESGFDSFD" localSheetId="0">{#N/A,#N/A,FALSE,"Plan1";#N/A,#N/A,FALSE,"Plan2"}</definedName>
    <definedName name="ESGFDSFD" localSheetId="19">{#N/A,#N/A,FALSE,"Plan1";#N/A,#N/A,FALSE,"Plan2"}</definedName>
    <definedName name="ESGFDSFD" localSheetId="16">{#N/A,#N/A,FALSE,"Plan1";#N/A,#N/A,FALSE,"Plan2"}</definedName>
    <definedName name="ESGFDSFD" localSheetId="18">{#N/A,#N/A,FALSE,"Plan1";#N/A,#N/A,FALSE,"Plan2"}</definedName>
    <definedName name="ESGFDSFD" localSheetId="10">{#N/A,#N/A,FALSE,"Plan1";#N/A,#N/A,FALSE,"Plan2"}</definedName>
    <definedName name="ESGFDSFD">{#N/A,#N/A,FALSE,"Plan1";#N/A,#N/A,FALSE,"Plan2"}</definedName>
    <definedName name="esp" localSheetId="3">#REF!</definedName>
    <definedName name="esp" localSheetId="8">#REF!</definedName>
    <definedName name="esp" localSheetId="5">#REF!</definedName>
    <definedName name="esp" localSheetId="13">#REF!</definedName>
    <definedName name="esp" localSheetId="26">#REF!</definedName>
    <definedName name="esp">#REF!</definedName>
    <definedName name="ESPESSURA" localSheetId="3">#REF!</definedName>
    <definedName name="ESPESSURA" localSheetId="5">#REF!</definedName>
    <definedName name="ESPESSURA" localSheetId="13">#REF!</definedName>
    <definedName name="ESPESSURA" localSheetId="26">#REF!</definedName>
    <definedName name="ESPESSURA">#REF!</definedName>
    <definedName name="estaca" localSheetId="3">#REF!</definedName>
    <definedName name="estaca" localSheetId="5">#REF!</definedName>
    <definedName name="estaca" localSheetId="13">#REF!</definedName>
    <definedName name="estaca" localSheetId="26">#REF!</definedName>
    <definedName name="estaca">#REF!</definedName>
    <definedName name="estaca3" localSheetId="3">#REF!</definedName>
    <definedName name="estaca3" localSheetId="5">#REF!</definedName>
    <definedName name="estaca3" localSheetId="13">#REF!</definedName>
    <definedName name="estaca3" localSheetId="26">#REF!</definedName>
    <definedName name="estaca3">#REF!</definedName>
    <definedName name="ESTADO" localSheetId="3">#REF!</definedName>
    <definedName name="ESTADO" localSheetId="5">#REF!</definedName>
    <definedName name="ESTADO" localSheetId="13">#REF!</definedName>
    <definedName name="ESTADO" localSheetId="26">#REF!</definedName>
    <definedName name="ESTADO">#REF!</definedName>
    <definedName name="estados" localSheetId="3">#REF!</definedName>
    <definedName name="estados" localSheetId="5">#REF!</definedName>
    <definedName name="estados" localSheetId="13">#REF!</definedName>
    <definedName name="estados" localSheetId="26">#REF!</definedName>
    <definedName name="estados">#REF!</definedName>
    <definedName name="estagiário" localSheetId="3">#REF!</definedName>
    <definedName name="estagiário" localSheetId="5">#REF!</definedName>
    <definedName name="estagiário" localSheetId="13">#REF!</definedName>
    <definedName name="estagiário" localSheetId="26">#REF!</definedName>
    <definedName name="estagiário">#REF!</definedName>
    <definedName name="ESTOQUE" localSheetId="3">#REF!</definedName>
    <definedName name="ESTOQUE" localSheetId="5">#REF!</definedName>
    <definedName name="ESTOQUE" localSheetId="13">#REF!</definedName>
    <definedName name="ESTOQUE" localSheetId="26">#REF!</definedName>
    <definedName name="ESTOQUE">#REF!</definedName>
    <definedName name="Etq_final" localSheetId="3">#REF!</definedName>
    <definedName name="Etq_final" localSheetId="5">#REF!</definedName>
    <definedName name="Etq_final" localSheetId="13">#REF!</definedName>
    <definedName name="Etq_final" localSheetId="26">#REF!</definedName>
    <definedName name="Etq_final">#REF!</definedName>
    <definedName name="EU" localSheetId="9">{#N/A,#N/A,FALSE,"Plan1";#N/A,#N/A,FALSE,"Plan2"}</definedName>
    <definedName name="EU" localSheetId="6">{#N/A,#N/A,FALSE,"Plan1";#N/A,#N/A,FALSE,"Plan2"}</definedName>
    <definedName name="EU" localSheetId="3">{#N/A,#N/A,FALSE,"Plan1";#N/A,#N/A,FALSE,"Plan2"}</definedName>
    <definedName name="EU" localSheetId="8">{#N/A,#N/A,FALSE,"Plan1";#N/A,#N/A,FALSE,"Plan2"}</definedName>
    <definedName name="EU" localSheetId="5">{#N/A,#N/A,FALSE,"Plan1";#N/A,#N/A,FALSE,"Plan2"}</definedName>
    <definedName name="EU" localSheetId="4">{#N/A,#N/A,FALSE,"Plan1";#N/A,#N/A,FALSE,"Plan2"}</definedName>
    <definedName name="EU" localSheetId="13">{#N/A,#N/A,FALSE,"Plan1";#N/A,#N/A,FALSE,"Plan2"}</definedName>
    <definedName name="EU" localSheetId="17">{#N/A,#N/A,FALSE,"Plan1";#N/A,#N/A,FALSE,"Plan2"}</definedName>
    <definedName name="EU" localSheetId="0">{#N/A,#N/A,FALSE,"Plan1";#N/A,#N/A,FALSE,"Plan2"}</definedName>
    <definedName name="EU" localSheetId="19">{#N/A,#N/A,FALSE,"Plan1";#N/A,#N/A,FALSE,"Plan2"}</definedName>
    <definedName name="EU" localSheetId="16">{#N/A,#N/A,FALSE,"Plan1";#N/A,#N/A,FALSE,"Plan2"}</definedName>
    <definedName name="EU" localSheetId="18">{#N/A,#N/A,FALSE,"Plan1";#N/A,#N/A,FALSE,"Plan2"}</definedName>
    <definedName name="EU" localSheetId="10">{#N/A,#N/A,FALSE,"Plan1";#N/A,#N/A,FALSE,"Plan2"}</definedName>
    <definedName name="EU">{#N/A,#N/A,FALSE,"Plan1";#N/A,#N/A,FALSE,"Plan2"}</definedName>
    <definedName name="EV__LASTREFTIME__">39965.7223611111</definedName>
    <definedName name="EVL" localSheetId="9">{"Econ Consolidado",#N/A,FALSE,"Econ Consol";"Fluxo de Caixa",#N/A,FALSE,"Fluxo Caixa";"Investimentos",#N/A,FALSE,"Investimentos"}</definedName>
    <definedName name="EVL" localSheetId="6">{"Econ Consolidado",#N/A,FALSE,"Econ Consol";"Fluxo de Caixa",#N/A,FALSE,"Fluxo Caixa";"Investimentos",#N/A,FALSE,"Investimentos"}</definedName>
    <definedName name="EVL" localSheetId="3">{"Econ Consolidado",#N/A,FALSE,"Econ Consol";"Fluxo de Caixa",#N/A,FALSE,"Fluxo Caixa";"Investimentos",#N/A,FALSE,"Investimentos"}</definedName>
    <definedName name="EVL" localSheetId="8">{"Econ Consolidado",#N/A,FALSE,"Econ Consol";"Fluxo de Caixa",#N/A,FALSE,"Fluxo Caixa";"Investimentos",#N/A,FALSE,"Investimentos"}</definedName>
    <definedName name="EVL" localSheetId="5">{"Econ Consolidado",#N/A,FALSE,"Econ Consol";"Fluxo de Caixa",#N/A,FALSE,"Fluxo Caixa";"Investimentos",#N/A,FALSE,"Investimentos"}</definedName>
    <definedName name="EVL" localSheetId="4">{"Econ Consolidado",#N/A,FALSE,"Econ Consol";"Fluxo de Caixa",#N/A,FALSE,"Fluxo Caixa";"Investimentos",#N/A,FALSE,"Investimentos"}</definedName>
    <definedName name="EVL" localSheetId="13">{"Econ Consolidado",#N/A,FALSE,"Econ Consol";"Fluxo de Caixa",#N/A,FALSE,"Fluxo Caixa";"Investimentos",#N/A,FALSE,"Investimentos"}</definedName>
    <definedName name="EVL" localSheetId="17">{"Econ Consolidado",#N/A,FALSE,"Econ Consol";"Fluxo de Caixa",#N/A,FALSE,"Fluxo Caixa";"Investimentos",#N/A,FALSE,"Investimentos"}</definedName>
    <definedName name="EVL" localSheetId="0">{"Econ Consolidado",#N/A,FALSE,"Econ Consol";"Fluxo de Caixa",#N/A,FALSE,"Fluxo Caixa";"Investimentos",#N/A,FALSE,"Investimentos"}</definedName>
    <definedName name="EVL" localSheetId="19">{"Econ Consolidado",#N/A,FALSE,"Econ Consol";"Fluxo de Caixa",#N/A,FALSE,"Fluxo Caixa";"Investimentos",#N/A,FALSE,"Investimentos"}</definedName>
    <definedName name="EVL" localSheetId="16">{"Econ Consolidado",#N/A,FALSE,"Econ Consol";"Fluxo de Caixa",#N/A,FALSE,"Fluxo Caixa";"Investimentos",#N/A,FALSE,"Investimentos"}</definedName>
    <definedName name="EVL" localSheetId="18">{"Econ Consolidado",#N/A,FALSE,"Econ Consol";"Fluxo de Caixa",#N/A,FALSE,"Fluxo Caixa";"Investimentos",#N/A,FALSE,"Investimentos"}</definedName>
    <definedName name="EVL" localSheetId="10">{"Econ Consolidado",#N/A,FALSE,"Econ Consol";"Fluxo de Caixa",#N/A,FALSE,"Fluxo Caixa";"Investimentos",#N/A,FALSE,"Investimentos"}</definedName>
    <definedName name="EVL">{"Econ Consolidado",#N/A,FALSE,"Econ Consol";"Fluxo de Caixa",#N/A,FALSE,"Fluxo Caixa";"Investimentos",#N/A,FALSE,"Investimentos"}</definedName>
    <definedName name="Evol." localSheetId="9">{"Econ Consolidado",#N/A,FALSE,"Econ Consol";"Fluxo de Caixa",#N/A,FALSE,"Fluxo Caixa";"Investimentos",#N/A,FALSE,"Investimentos"}</definedName>
    <definedName name="Evol." localSheetId="6">{"Econ Consolidado",#N/A,FALSE,"Econ Consol";"Fluxo de Caixa",#N/A,FALSE,"Fluxo Caixa";"Investimentos",#N/A,FALSE,"Investimentos"}</definedName>
    <definedName name="Evol." localSheetId="3">{"Econ Consolidado",#N/A,FALSE,"Econ Consol";"Fluxo de Caixa",#N/A,FALSE,"Fluxo Caixa";"Investimentos",#N/A,FALSE,"Investimentos"}</definedName>
    <definedName name="Evol." localSheetId="8">{"Econ Consolidado",#N/A,FALSE,"Econ Consol";"Fluxo de Caixa",#N/A,FALSE,"Fluxo Caixa";"Investimentos",#N/A,FALSE,"Investimentos"}</definedName>
    <definedName name="Evol." localSheetId="5">{"Econ Consolidado",#N/A,FALSE,"Econ Consol";"Fluxo de Caixa",#N/A,FALSE,"Fluxo Caixa";"Investimentos",#N/A,FALSE,"Investimentos"}</definedName>
    <definedName name="Evol." localSheetId="4">{"Econ Consolidado",#N/A,FALSE,"Econ Consol";"Fluxo de Caixa",#N/A,FALSE,"Fluxo Caixa";"Investimentos",#N/A,FALSE,"Investimentos"}</definedName>
    <definedName name="Evol." localSheetId="13">{"Econ Consolidado",#N/A,FALSE,"Econ Consol";"Fluxo de Caixa",#N/A,FALSE,"Fluxo Caixa";"Investimentos",#N/A,FALSE,"Investimentos"}</definedName>
    <definedName name="Evol." localSheetId="17">{"Econ Consolidado",#N/A,FALSE,"Econ Consol";"Fluxo de Caixa",#N/A,FALSE,"Fluxo Caixa";"Investimentos",#N/A,FALSE,"Investimentos"}</definedName>
    <definedName name="Evol." localSheetId="0">{"Econ Consolidado",#N/A,FALSE,"Econ Consol";"Fluxo de Caixa",#N/A,FALSE,"Fluxo Caixa";"Investimentos",#N/A,FALSE,"Investimentos"}</definedName>
    <definedName name="Evol." localSheetId="19">{"Econ Consolidado",#N/A,FALSE,"Econ Consol";"Fluxo de Caixa",#N/A,FALSE,"Fluxo Caixa";"Investimentos",#N/A,FALSE,"Investimentos"}</definedName>
    <definedName name="Evol." localSheetId="16">{"Econ Consolidado",#N/A,FALSE,"Econ Consol";"Fluxo de Caixa",#N/A,FALSE,"Fluxo Caixa";"Investimentos",#N/A,FALSE,"Investimentos"}</definedName>
    <definedName name="Evol." localSheetId="18">{"Econ Consolidado",#N/A,FALSE,"Econ Consol";"Fluxo de Caixa",#N/A,FALSE,"Fluxo Caixa";"Investimentos",#N/A,FALSE,"Investimentos"}</definedName>
    <definedName name="Evol." localSheetId="10">{"Econ Consolidado",#N/A,FALSE,"Econ Consol";"Fluxo de Caixa",#N/A,FALSE,"Fluxo Caixa";"Investimentos",#N/A,FALSE,"Investimentos"}</definedName>
    <definedName name="Evol.">{"Econ Consolidado",#N/A,FALSE,"Econ Consol";"Fluxo de Caixa",#N/A,FALSE,"Fluxo Caixa";"Investimentos",#N/A,FALSE,"Investimentos"}</definedName>
    <definedName name="ewfr" localSheetId="9">{#N/A,#N/A,FALSE,"Plan1";#N/A,#N/A,FALSE,"Plan2"}</definedName>
    <definedName name="ewfr" localSheetId="6">{#N/A,#N/A,FALSE,"Plan1";#N/A,#N/A,FALSE,"Plan2"}</definedName>
    <definedName name="ewfr" localSheetId="3">{#N/A,#N/A,FALSE,"Plan1";#N/A,#N/A,FALSE,"Plan2"}</definedName>
    <definedName name="ewfr" localSheetId="8">{#N/A,#N/A,FALSE,"Plan1";#N/A,#N/A,FALSE,"Plan2"}</definedName>
    <definedName name="ewfr" localSheetId="5">{#N/A,#N/A,FALSE,"Plan1";#N/A,#N/A,FALSE,"Plan2"}</definedName>
    <definedName name="ewfr" localSheetId="4">{#N/A,#N/A,FALSE,"Plan1";#N/A,#N/A,FALSE,"Plan2"}</definedName>
    <definedName name="ewfr" localSheetId="13">{#N/A,#N/A,FALSE,"Plan1";#N/A,#N/A,FALSE,"Plan2"}</definedName>
    <definedName name="ewfr" localSheetId="17">{#N/A,#N/A,FALSE,"Plan1";#N/A,#N/A,FALSE,"Plan2"}</definedName>
    <definedName name="ewfr" localSheetId="0">{#N/A,#N/A,FALSE,"Plan1";#N/A,#N/A,FALSE,"Plan2"}</definedName>
    <definedName name="ewfr" localSheetId="19">{#N/A,#N/A,FALSE,"Plan1";#N/A,#N/A,FALSE,"Plan2"}</definedName>
    <definedName name="ewfr" localSheetId="16">{#N/A,#N/A,FALSE,"Plan1";#N/A,#N/A,FALSE,"Plan2"}</definedName>
    <definedName name="ewfr" localSheetId="18">{#N/A,#N/A,FALSE,"Plan1";#N/A,#N/A,FALSE,"Plan2"}</definedName>
    <definedName name="ewfr" localSheetId="10">{#N/A,#N/A,FALSE,"Plan1";#N/A,#N/A,FALSE,"Plan2"}</definedName>
    <definedName name="ewfr">{#N/A,#N/A,FALSE,"Plan1";#N/A,#N/A,FALSE,"Plan2"}</definedName>
    <definedName name="exce_cdi" localSheetId="3">#REF!</definedName>
    <definedName name="exce_cdi" localSheetId="5">#REF!</definedName>
    <definedName name="exce_cdi" localSheetId="13">#REF!</definedName>
    <definedName name="exce_cdi" localSheetId="26">#REF!</definedName>
    <definedName name="exce_cdi">#REF!</definedName>
    <definedName name="exce_hist" localSheetId="3">#REF!</definedName>
    <definedName name="exce_hist" localSheetId="5">#REF!</definedName>
    <definedName name="exce_hist" localSheetId="13">#REF!</definedName>
    <definedName name="exce_hist" localSheetId="26">#REF!</definedName>
    <definedName name="exce_hist">#REF!</definedName>
    <definedName name="exce_uss" localSheetId="3">#REF!</definedName>
    <definedName name="exce_uss" localSheetId="5">#REF!</definedName>
    <definedName name="exce_uss" localSheetId="13">#REF!</definedName>
    <definedName name="exce_uss" localSheetId="26">#REF!</definedName>
    <definedName name="exce_uss">#REF!</definedName>
    <definedName name="Excel_BuiltIn__FilterDatabase_1" localSheetId="3">#REF!</definedName>
    <definedName name="Excel_BuiltIn__FilterDatabase_1" localSheetId="5">#REF!</definedName>
    <definedName name="Excel_BuiltIn__FilterDatabase_1" localSheetId="13">#REF!</definedName>
    <definedName name="Excel_BuiltIn__FilterDatabase_1" localSheetId="26">#REF!</definedName>
    <definedName name="Excel_BuiltIn__FilterDatabase_1">#REF!</definedName>
    <definedName name="Excel_BuiltIn__FilterDatabase_1_1" localSheetId="3">#REF!</definedName>
    <definedName name="Excel_BuiltIn__FilterDatabase_1_1" localSheetId="5">#REF!</definedName>
    <definedName name="Excel_BuiltIn__FilterDatabase_1_1" localSheetId="13">#REF!</definedName>
    <definedName name="Excel_BuiltIn__FilterDatabase_1_1" localSheetId="26">#REF!</definedName>
    <definedName name="Excel_BuiltIn__FilterDatabase_1_1">#REF!</definedName>
    <definedName name="Excel_BuiltIn__FilterDatabase_6" localSheetId="3">#REF!</definedName>
    <definedName name="Excel_BuiltIn__FilterDatabase_6" localSheetId="5">#REF!</definedName>
    <definedName name="Excel_BuiltIn__FilterDatabase_6" localSheetId="13">#REF!</definedName>
    <definedName name="Excel_BuiltIn__FilterDatabase_6" localSheetId="26">#REF!</definedName>
    <definedName name="Excel_BuiltIn__FilterDatabase_6">#REF!</definedName>
    <definedName name="Excel_BuiltIn_Print_Area_0" localSheetId="3">#REF!</definedName>
    <definedName name="Excel_BuiltIn_Print_Area_0" localSheetId="5">#REF!</definedName>
    <definedName name="Excel_BuiltIn_Print_Area_0" localSheetId="13">#REF!</definedName>
    <definedName name="Excel_BuiltIn_Print_Area_0" localSheetId="26">#REF!</definedName>
    <definedName name="Excel_BuiltIn_Print_Area_0">#REF!</definedName>
    <definedName name="Excel_BuiltIn_Print_Area_1_1" localSheetId="3">#REF!</definedName>
    <definedName name="Excel_BuiltIn_Print_Area_1_1" localSheetId="5">#REF!</definedName>
    <definedName name="Excel_BuiltIn_Print_Area_1_1" localSheetId="13">#REF!</definedName>
    <definedName name="Excel_BuiltIn_Print_Area_1_1" localSheetId="26">#REF!</definedName>
    <definedName name="Excel_BuiltIn_Print_Area_1_1">#REF!</definedName>
    <definedName name="Excel_BuiltIn_Print_Titles_1_1_1" localSheetId="3">#REF!</definedName>
    <definedName name="Excel_BuiltIn_Print_Titles_1_1_1" localSheetId="5">#REF!</definedName>
    <definedName name="Excel_BuiltIn_Print_Titles_1_1_1" localSheetId="13">#REF!</definedName>
    <definedName name="Excel_BuiltIn_Print_Titles_1_1_1" localSheetId="26">#REF!</definedName>
    <definedName name="Excel_BuiltIn_Print_Titles_1_1_1">#REF!</definedName>
    <definedName name="Excel_BuiltIn_Print_Titles_1_1_4" localSheetId="3">#REF!</definedName>
    <definedName name="Excel_BuiltIn_Print_Titles_1_1_4" localSheetId="5">#REF!</definedName>
    <definedName name="Excel_BuiltIn_Print_Titles_1_1_4" localSheetId="13">#REF!</definedName>
    <definedName name="Excel_BuiltIn_Print_Titles_1_1_4" localSheetId="26">#REF!</definedName>
    <definedName name="Excel_BuiltIn_Print_Titles_1_1_4">#REF!</definedName>
    <definedName name="Excel_BuiltIn_Print_Titles_1_1_5" localSheetId="3">#REF!</definedName>
    <definedName name="Excel_BuiltIn_Print_Titles_1_1_5" localSheetId="5">#REF!</definedName>
    <definedName name="Excel_BuiltIn_Print_Titles_1_1_5" localSheetId="13">#REF!</definedName>
    <definedName name="Excel_BuiltIn_Print_Titles_1_1_5" localSheetId="26">#REF!</definedName>
    <definedName name="Excel_BuiltIn_Print_Titles_1_1_5">#REF!</definedName>
    <definedName name="Exrate" localSheetId="3">#REF!</definedName>
    <definedName name="Exrate" localSheetId="5">#REF!</definedName>
    <definedName name="Exrate" localSheetId="13">#REF!</definedName>
    <definedName name="Exrate" localSheetId="26">#REF!</definedName>
    <definedName name="Exrate">#REF!</definedName>
    <definedName name="eyruieyteta" localSheetId="9">{#N/A,#N/A,FALSE,"Plan1";#N/A,#N/A,FALSE,"Plan2"}</definedName>
    <definedName name="eyruieyteta" localSheetId="6">{#N/A,#N/A,FALSE,"Plan1";#N/A,#N/A,FALSE,"Plan2"}</definedName>
    <definedName name="eyruieyteta" localSheetId="3">{#N/A,#N/A,FALSE,"Plan1";#N/A,#N/A,FALSE,"Plan2"}</definedName>
    <definedName name="eyruieyteta" localSheetId="8">{#N/A,#N/A,FALSE,"Plan1";#N/A,#N/A,FALSE,"Plan2"}</definedName>
    <definedName name="eyruieyteta" localSheetId="5">{#N/A,#N/A,FALSE,"Plan1";#N/A,#N/A,FALSE,"Plan2"}</definedName>
    <definedName name="eyruieyteta" localSheetId="4">{#N/A,#N/A,FALSE,"Plan1";#N/A,#N/A,FALSE,"Plan2"}</definedName>
    <definedName name="eyruieyteta" localSheetId="13">{#N/A,#N/A,FALSE,"Plan1";#N/A,#N/A,FALSE,"Plan2"}</definedName>
    <definedName name="eyruieyteta" localSheetId="17">{#N/A,#N/A,FALSE,"Plan1";#N/A,#N/A,FALSE,"Plan2"}</definedName>
    <definedName name="eyruieyteta" localSheetId="0">{#N/A,#N/A,FALSE,"Plan1";#N/A,#N/A,FALSE,"Plan2"}</definedName>
    <definedName name="eyruieyteta" localSheetId="19">{#N/A,#N/A,FALSE,"Plan1";#N/A,#N/A,FALSE,"Plan2"}</definedName>
    <definedName name="eyruieyteta" localSheetId="16">{#N/A,#N/A,FALSE,"Plan1";#N/A,#N/A,FALSE,"Plan2"}</definedName>
    <definedName name="eyruieyteta" localSheetId="18">{#N/A,#N/A,FALSE,"Plan1";#N/A,#N/A,FALSE,"Plan2"}</definedName>
    <definedName name="eyruieyteta" localSheetId="10">{#N/A,#N/A,FALSE,"Plan1";#N/A,#N/A,FALSE,"Plan2"}</definedName>
    <definedName name="eyruieyteta">{#N/A,#N/A,FALSE,"Plan1";#N/A,#N/A,FALSE,"Plan2"}</definedName>
    <definedName name="f" localSheetId="6">{#N/A,#N/A,FALSE,"Plan1";#N/A,#N/A,FALSE,"Plan2"}</definedName>
    <definedName name="f" localSheetId="8">{#N/A,#N/A,FALSE,"Plan1";#N/A,#N/A,FALSE,"Plan2"}</definedName>
    <definedName name="f" localSheetId="5">#REF!</definedName>
    <definedName name="f" localSheetId="13">#REF!</definedName>
    <definedName name="f" localSheetId="0">{#N/A,#N/A,FALSE,"Plan1";#N/A,#N/A,FALSE,"Plan2"}</definedName>
    <definedName name="f" localSheetId="19">{#N/A,#N/A,FALSE,"Plan1";#N/A,#N/A,FALSE,"Plan2"}</definedName>
    <definedName name="f">#REF!</definedName>
    <definedName name="FACULDADE" localSheetId="3">#REF!</definedName>
    <definedName name="FACULDADE" localSheetId="8">#REF!</definedName>
    <definedName name="FACULDADE" localSheetId="5">#REF!</definedName>
    <definedName name="FACULDADE" localSheetId="13">#REF!</definedName>
    <definedName name="FACULDADE" localSheetId="26">#REF!</definedName>
    <definedName name="FACULDADE">#REF!</definedName>
    <definedName name="FAL" localSheetId="3">#REF!</definedName>
    <definedName name="FAL" localSheetId="5">#REF!</definedName>
    <definedName name="FAL" localSheetId="13">#REF!</definedName>
    <definedName name="FAL" localSheetId="26">#REF!</definedName>
    <definedName name="FAL">#REF!</definedName>
    <definedName name="farialima" localSheetId="3">#REF!</definedName>
    <definedName name="farialima" localSheetId="5">#REF!</definedName>
    <definedName name="farialima" localSheetId="13">#REF!</definedName>
    <definedName name="farialima" localSheetId="26">#REF!</definedName>
    <definedName name="farialima">#REF!</definedName>
    <definedName name="FAS" localSheetId="9">{"'Total'!$A$1","'Total'!$A$3"}</definedName>
    <definedName name="FAS" localSheetId="6">{"'Total'!$A$1","'Total'!$A$3"}</definedName>
    <definedName name="FAS" localSheetId="3">{"'Total'!$A$1","'Total'!$A$3"}</definedName>
    <definedName name="FAS" localSheetId="8">{"'Total'!$A$1","'Total'!$A$3"}</definedName>
    <definedName name="FAS" localSheetId="5">{"'Total'!$A$1","'Total'!$A$3"}</definedName>
    <definedName name="FAS" localSheetId="4">{"'Total'!$A$1","'Total'!$A$3"}</definedName>
    <definedName name="FAS" localSheetId="13">{"'Total'!$A$1","'Total'!$A$3"}</definedName>
    <definedName name="FAS" localSheetId="17">{"'Total'!$A$1","'Total'!$A$3"}</definedName>
    <definedName name="FAS" localSheetId="0">{"'Total'!$A$1","'Total'!$A$3"}</definedName>
    <definedName name="FAS" localSheetId="19">{"'Total'!$A$1","'Total'!$A$3"}</definedName>
    <definedName name="FAS" localSheetId="16">{"'Total'!$A$1","'Total'!$A$3"}</definedName>
    <definedName name="FAS" localSheetId="18">{"'Total'!$A$1","'Total'!$A$3"}</definedName>
    <definedName name="FAS" localSheetId="10">{"'Total'!$A$1","'Total'!$A$3"}</definedName>
    <definedName name="FAS">{"'Total'!$A$1","'Total'!$A$3"}</definedName>
    <definedName name="fasfasf" localSheetId="9">{#N/A,#N/A,TRUE,"Quinzena 01 à 15-04-98 "}</definedName>
    <definedName name="fasfasf" localSheetId="6">{#N/A,#N/A,TRUE,"Quinzena 01 à 15-04-98 "}</definedName>
    <definedName name="fasfasf" localSheetId="3">{#N/A,#N/A,TRUE,"Quinzena 01 à 15-04-98 "}</definedName>
    <definedName name="fasfasf" localSheetId="8">{#N/A,#N/A,TRUE,"Quinzena 01 à 15-04-98 "}</definedName>
    <definedName name="fasfasf" localSheetId="5">{#N/A,#N/A,TRUE,"Quinzena 01 à 15-04-98 "}</definedName>
    <definedName name="fasfasf" localSheetId="4">{#N/A,#N/A,TRUE,"Quinzena 01 à 15-04-98 "}</definedName>
    <definedName name="fasfasf" localSheetId="13">{#N/A,#N/A,TRUE,"Quinzena 01 à 15-04-98 "}</definedName>
    <definedName name="fasfasf" localSheetId="17">{#N/A,#N/A,TRUE,"Quinzena 01 à 15-04-98 "}</definedName>
    <definedName name="fasfasf" localSheetId="0">{#N/A,#N/A,TRUE,"Quinzena 01 à 15-04-98 "}</definedName>
    <definedName name="fasfasf" localSheetId="19">{#N/A,#N/A,TRUE,"Quinzena 01 à 15-04-98 "}</definedName>
    <definedName name="fasfasf" localSheetId="16">{#N/A,#N/A,TRUE,"Quinzena 01 à 15-04-98 "}</definedName>
    <definedName name="fasfasf" localSheetId="18">{#N/A,#N/A,TRUE,"Quinzena 01 à 15-04-98 "}</definedName>
    <definedName name="fasfasf" localSheetId="10">{#N/A,#N/A,TRUE,"Quinzena 01 à 15-04-98 "}</definedName>
    <definedName name="fasfasf">{#N/A,#N/A,TRUE,"Quinzena 01 à 15-04-98 "}</definedName>
    <definedName name="FATOR_K" localSheetId="3">#REF!</definedName>
    <definedName name="FATOR_K" localSheetId="5">#REF!</definedName>
    <definedName name="FATOR_K" localSheetId="13">#REF!</definedName>
    <definedName name="FATOR_K" localSheetId="26">#REF!</definedName>
    <definedName name="FATOR_K">#REF!</definedName>
    <definedName name="FATORK" localSheetId="3">#REF!</definedName>
    <definedName name="FATORK" localSheetId="5">#REF!</definedName>
    <definedName name="FATORK" localSheetId="13">#REF!</definedName>
    <definedName name="FATORK" localSheetId="26">#REF!</definedName>
    <definedName name="FATORK">#REF!</definedName>
    <definedName name="FBancaria" localSheetId="3">#REF!</definedName>
    <definedName name="FBancaria" localSheetId="5">#REF!</definedName>
    <definedName name="FBancaria" localSheetId="13">#REF!</definedName>
    <definedName name="FBancaria" localSheetId="26">#REF!</definedName>
    <definedName name="FBancaria">#REF!</definedName>
    <definedName name="fchart31" localSheetId="3">#REF!</definedName>
    <definedName name="fchart31" localSheetId="13">#REF!</definedName>
    <definedName name="fchart31" localSheetId="0">#REF!</definedName>
    <definedName name="fchart31">#REF!</definedName>
    <definedName name="fddhght" localSheetId="9">{#N/A,#N/A,FALSE,"Plan1";#N/A,#N/A,FALSE,"Plan2"}</definedName>
    <definedName name="fddhght" localSheetId="6">{#N/A,#N/A,FALSE,"Plan1";#N/A,#N/A,FALSE,"Plan2"}</definedName>
    <definedName name="fddhght" localSheetId="3">{#N/A,#N/A,FALSE,"Plan1";#N/A,#N/A,FALSE,"Plan2"}</definedName>
    <definedName name="fddhght" localSheetId="8">{#N/A,#N/A,FALSE,"Plan1";#N/A,#N/A,FALSE,"Plan2"}</definedName>
    <definedName name="fddhght" localSheetId="5">{#N/A,#N/A,FALSE,"Plan1";#N/A,#N/A,FALSE,"Plan2"}</definedName>
    <definedName name="fddhght" localSheetId="4">{#N/A,#N/A,FALSE,"Plan1";#N/A,#N/A,FALSE,"Plan2"}</definedName>
    <definedName name="fddhght" localSheetId="13">{#N/A,#N/A,FALSE,"Plan1";#N/A,#N/A,FALSE,"Plan2"}</definedName>
    <definedName name="fddhght" localSheetId="17">{#N/A,#N/A,FALSE,"Plan1";#N/A,#N/A,FALSE,"Plan2"}</definedName>
    <definedName name="fddhght" localSheetId="0">{#N/A,#N/A,FALSE,"Plan1";#N/A,#N/A,FALSE,"Plan2"}</definedName>
    <definedName name="fddhght" localSheetId="19">{#N/A,#N/A,FALSE,"Plan1";#N/A,#N/A,FALSE,"Plan2"}</definedName>
    <definedName name="fddhght" localSheetId="16">{#N/A,#N/A,FALSE,"Plan1";#N/A,#N/A,FALSE,"Plan2"}</definedName>
    <definedName name="fddhght" localSheetId="18">{#N/A,#N/A,FALSE,"Plan1";#N/A,#N/A,FALSE,"Plan2"}</definedName>
    <definedName name="fddhght" localSheetId="10">{#N/A,#N/A,FALSE,"Plan1";#N/A,#N/A,FALSE,"Plan2"}</definedName>
    <definedName name="fddhght">{#N/A,#N/A,FALSE,"Plan1";#N/A,#N/A,FALSE,"Plan2"}</definedName>
    <definedName name="fdfgd" localSheetId="9">{#N/A,#N/A,FALSE,"Plan1";#N/A,#N/A,FALSE,"Plan2"}</definedName>
    <definedName name="fdfgd" localSheetId="6">{#N/A,#N/A,FALSE,"Plan1";#N/A,#N/A,FALSE,"Plan2"}</definedName>
    <definedName name="fdfgd" localSheetId="3">{#N/A,#N/A,FALSE,"Plan1";#N/A,#N/A,FALSE,"Plan2"}</definedName>
    <definedName name="fdfgd" localSheetId="8">{#N/A,#N/A,FALSE,"Plan1";#N/A,#N/A,FALSE,"Plan2"}</definedName>
    <definedName name="fdfgd" localSheetId="5">{#N/A,#N/A,FALSE,"Plan1";#N/A,#N/A,FALSE,"Plan2"}</definedName>
    <definedName name="fdfgd" localSheetId="4">{#N/A,#N/A,FALSE,"Plan1";#N/A,#N/A,FALSE,"Plan2"}</definedName>
    <definedName name="fdfgd" localSheetId="13">{#N/A,#N/A,FALSE,"Plan1";#N/A,#N/A,FALSE,"Plan2"}</definedName>
    <definedName name="fdfgd" localSheetId="17">{#N/A,#N/A,FALSE,"Plan1";#N/A,#N/A,FALSE,"Plan2"}</definedName>
    <definedName name="fdfgd" localSheetId="0">{#N/A,#N/A,FALSE,"Plan1";#N/A,#N/A,FALSE,"Plan2"}</definedName>
    <definedName name="fdfgd" localSheetId="19">{#N/A,#N/A,FALSE,"Plan1";#N/A,#N/A,FALSE,"Plan2"}</definedName>
    <definedName name="fdfgd" localSheetId="16">{#N/A,#N/A,FALSE,"Plan1";#N/A,#N/A,FALSE,"Plan2"}</definedName>
    <definedName name="fdfgd" localSheetId="18">{#N/A,#N/A,FALSE,"Plan1";#N/A,#N/A,FALSE,"Plan2"}</definedName>
    <definedName name="fdfgd" localSheetId="10">{#N/A,#N/A,FALSE,"Plan1";#N/A,#N/A,FALSE,"Plan2"}</definedName>
    <definedName name="fdfgd">{#N/A,#N/A,FALSE,"Plan1";#N/A,#N/A,FALSE,"Plan2"}</definedName>
    <definedName name="fdfn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9">{#N/A,#N/A,FALSE,"Plan1";#N/A,#N/A,FALSE,"Plan2"}</definedName>
    <definedName name="fdgaf" localSheetId="6">{#N/A,#N/A,FALSE,"Plan1";#N/A,#N/A,FALSE,"Plan2"}</definedName>
    <definedName name="fdgaf" localSheetId="3">{#N/A,#N/A,FALSE,"Plan1";#N/A,#N/A,FALSE,"Plan2"}</definedName>
    <definedName name="fdgaf" localSheetId="8">{#N/A,#N/A,FALSE,"Plan1";#N/A,#N/A,FALSE,"Plan2"}</definedName>
    <definedName name="fdgaf" localSheetId="5">{#N/A,#N/A,FALSE,"Plan1";#N/A,#N/A,FALSE,"Plan2"}</definedName>
    <definedName name="fdgaf" localSheetId="4">{#N/A,#N/A,FALSE,"Plan1";#N/A,#N/A,FALSE,"Plan2"}</definedName>
    <definedName name="fdgaf" localSheetId="13">{#N/A,#N/A,FALSE,"Plan1";#N/A,#N/A,FALSE,"Plan2"}</definedName>
    <definedName name="fdgaf" localSheetId="17">{#N/A,#N/A,FALSE,"Plan1";#N/A,#N/A,FALSE,"Plan2"}</definedName>
    <definedName name="fdgaf" localSheetId="0">{#N/A,#N/A,FALSE,"Plan1";#N/A,#N/A,FALSE,"Plan2"}</definedName>
    <definedName name="fdgaf" localSheetId="19">{#N/A,#N/A,FALSE,"Plan1";#N/A,#N/A,FALSE,"Plan2"}</definedName>
    <definedName name="fdgaf" localSheetId="16">{#N/A,#N/A,FALSE,"Plan1";#N/A,#N/A,FALSE,"Plan2"}</definedName>
    <definedName name="fdgaf" localSheetId="18">{#N/A,#N/A,FALSE,"Plan1";#N/A,#N/A,FALSE,"Plan2"}</definedName>
    <definedName name="fdgaf" localSheetId="10">{#N/A,#N/A,FALSE,"Plan1";#N/A,#N/A,FALSE,"Plan2"}</definedName>
    <definedName name="fdgaf">{#N/A,#N/A,FALSE,"Plan1";#N/A,#N/A,FALSE,"Plan2"}</definedName>
    <definedName name="fdgdf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9">{#N/A,#N/A,FALSE,"Plan1";#N/A,#N/A,FALSE,"Plan2"}</definedName>
    <definedName name="FDGFDJHGZEDR" localSheetId="6">{#N/A,#N/A,FALSE,"Plan1";#N/A,#N/A,FALSE,"Plan2"}</definedName>
    <definedName name="FDGFDJHGZEDR" localSheetId="3">{#N/A,#N/A,FALSE,"Plan1";#N/A,#N/A,FALSE,"Plan2"}</definedName>
    <definedName name="FDGFDJHGZEDR" localSheetId="8">{#N/A,#N/A,FALSE,"Plan1";#N/A,#N/A,FALSE,"Plan2"}</definedName>
    <definedName name="FDGFDJHGZEDR" localSheetId="5">{#N/A,#N/A,FALSE,"Plan1";#N/A,#N/A,FALSE,"Plan2"}</definedName>
    <definedName name="FDGFDJHGZEDR" localSheetId="4">{#N/A,#N/A,FALSE,"Plan1";#N/A,#N/A,FALSE,"Plan2"}</definedName>
    <definedName name="FDGFDJHGZEDR" localSheetId="13">{#N/A,#N/A,FALSE,"Plan1";#N/A,#N/A,FALSE,"Plan2"}</definedName>
    <definedName name="FDGFDJHGZEDR" localSheetId="17">{#N/A,#N/A,FALSE,"Plan1";#N/A,#N/A,FALSE,"Plan2"}</definedName>
    <definedName name="FDGFDJHGZEDR" localSheetId="0">{#N/A,#N/A,FALSE,"Plan1";#N/A,#N/A,FALSE,"Plan2"}</definedName>
    <definedName name="FDGFDJHGZEDR" localSheetId="19">{#N/A,#N/A,FALSE,"Plan1";#N/A,#N/A,FALSE,"Plan2"}</definedName>
    <definedName name="FDGFDJHGZEDR" localSheetId="16">{#N/A,#N/A,FALSE,"Plan1";#N/A,#N/A,FALSE,"Plan2"}</definedName>
    <definedName name="FDGFDJHGZEDR" localSheetId="18">{#N/A,#N/A,FALSE,"Plan1";#N/A,#N/A,FALSE,"Plan2"}</definedName>
    <definedName name="FDGFDJHGZEDR" localSheetId="10">{#N/A,#N/A,FALSE,"Plan1";#N/A,#N/A,FALSE,"Plan2"}</definedName>
    <definedName name="FDGFDJHGZEDR">{#N/A,#N/A,FALSE,"Plan1";#N/A,#N/A,FALSE,"Plan2"}</definedName>
    <definedName name="fdgfyhygfuj" localSheetId="9">{#N/A,#N/A,FALSE,"Plan1";#N/A,#N/A,FALSE,"Plan2"}</definedName>
    <definedName name="fdgfyhygfuj" localSheetId="6">{#N/A,#N/A,FALSE,"Plan1";#N/A,#N/A,FALSE,"Plan2"}</definedName>
    <definedName name="fdgfyhygfuj" localSheetId="3">{#N/A,#N/A,FALSE,"Plan1";#N/A,#N/A,FALSE,"Plan2"}</definedName>
    <definedName name="fdgfyhygfuj" localSheetId="8">{#N/A,#N/A,FALSE,"Plan1";#N/A,#N/A,FALSE,"Plan2"}</definedName>
    <definedName name="fdgfyhygfuj" localSheetId="5">{#N/A,#N/A,FALSE,"Plan1";#N/A,#N/A,FALSE,"Plan2"}</definedName>
    <definedName name="fdgfyhygfuj" localSheetId="4">{#N/A,#N/A,FALSE,"Plan1";#N/A,#N/A,FALSE,"Plan2"}</definedName>
    <definedName name="fdgfyhygfuj" localSheetId="13">{#N/A,#N/A,FALSE,"Plan1";#N/A,#N/A,FALSE,"Plan2"}</definedName>
    <definedName name="fdgfyhygfuj" localSheetId="17">{#N/A,#N/A,FALSE,"Plan1";#N/A,#N/A,FALSE,"Plan2"}</definedName>
    <definedName name="fdgfyhygfuj" localSheetId="0">{#N/A,#N/A,FALSE,"Plan1";#N/A,#N/A,FALSE,"Plan2"}</definedName>
    <definedName name="fdgfyhygfuj" localSheetId="19">{#N/A,#N/A,FALSE,"Plan1";#N/A,#N/A,FALSE,"Plan2"}</definedName>
    <definedName name="fdgfyhygfuj" localSheetId="16">{#N/A,#N/A,FALSE,"Plan1";#N/A,#N/A,FALSE,"Plan2"}</definedName>
    <definedName name="fdgfyhygfuj" localSheetId="18">{#N/A,#N/A,FALSE,"Plan1";#N/A,#N/A,FALSE,"Plan2"}</definedName>
    <definedName name="fdgfyhygfuj" localSheetId="10">{#N/A,#N/A,FALSE,"Plan1";#N/A,#N/A,FALSE,"Plan2"}</definedName>
    <definedName name="fdgfyhygfuj">{#N/A,#N/A,FALSE,"Plan1";#N/A,#N/A,FALSE,"Plan2"}</definedName>
    <definedName name="fdhgfdf" localSheetId="9">{#N/A,#N/A,FALSE,"Plan1";#N/A,#N/A,FALSE,"Plan2"}</definedName>
    <definedName name="fdhgfdf" localSheetId="6">{#N/A,#N/A,FALSE,"Plan1";#N/A,#N/A,FALSE,"Plan2"}</definedName>
    <definedName name="fdhgfdf" localSheetId="3">{#N/A,#N/A,FALSE,"Plan1";#N/A,#N/A,FALSE,"Plan2"}</definedName>
    <definedName name="fdhgfdf" localSheetId="8">{#N/A,#N/A,FALSE,"Plan1";#N/A,#N/A,FALSE,"Plan2"}</definedName>
    <definedName name="fdhgfdf" localSheetId="5">{#N/A,#N/A,FALSE,"Plan1";#N/A,#N/A,FALSE,"Plan2"}</definedName>
    <definedName name="fdhgfdf" localSheetId="4">{#N/A,#N/A,FALSE,"Plan1";#N/A,#N/A,FALSE,"Plan2"}</definedName>
    <definedName name="fdhgfdf" localSheetId="13">{#N/A,#N/A,FALSE,"Plan1";#N/A,#N/A,FALSE,"Plan2"}</definedName>
    <definedName name="fdhgfdf" localSheetId="17">{#N/A,#N/A,FALSE,"Plan1";#N/A,#N/A,FALSE,"Plan2"}</definedName>
    <definedName name="fdhgfdf" localSheetId="0">{#N/A,#N/A,FALSE,"Plan1";#N/A,#N/A,FALSE,"Plan2"}</definedName>
    <definedName name="fdhgfdf" localSheetId="19">{#N/A,#N/A,FALSE,"Plan1";#N/A,#N/A,FALSE,"Plan2"}</definedName>
    <definedName name="fdhgfdf" localSheetId="16">{#N/A,#N/A,FALSE,"Plan1";#N/A,#N/A,FALSE,"Plan2"}</definedName>
    <definedName name="fdhgfdf" localSheetId="18">{#N/A,#N/A,FALSE,"Plan1";#N/A,#N/A,FALSE,"Plan2"}</definedName>
    <definedName name="fdhgfdf" localSheetId="10">{#N/A,#N/A,FALSE,"Plan1";#N/A,#N/A,FALSE,"Plan2"}</definedName>
    <definedName name="fdhgfdf">{#N/A,#N/A,FALSE,"Plan1";#N/A,#N/A,FALSE,"Plan2"}</definedName>
    <definedName name="fdjfgdfjg" localSheetId="9">{#N/A,#N/A,FALSE,"Plan1";#N/A,#N/A,FALSE,"Plan2"}</definedName>
    <definedName name="fdjfgdfjg" localSheetId="6">{#N/A,#N/A,FALSE,"Plan1";#N/A,#N/A,FALSE,"Plan2"}</definedName>
    <definedName name="fdjfgdfjg" localSheetId="3">{#N/A,#N/A,FALSE,"Plan1";#N/A,#N/A,FALSE,"Plan2"}</definedName>
    <definedName name="fdjfgdfjg" localSheetId="8">{#N/A,#N/A,FALSE,"Plan1";#N/A,#N/A,FALSE,"Plan2"}</definedName>
    <definedName name="fdjfgdfjg" localSheetId="5">{#N/A,#N/A,FALSE,"Plan1";#N/A,#N/A,FALSE,"Plan2"}</definedName>
    <definedName name="fdjfgdfjg" localSheetId="4">{#N/A,#N/A,FALSE,"Plan1";#N/A,#N/A,FALSE,"Plan2"}</definedName>
    <definedName name="fdjfgdfjg" localSheetId="13">{#N/A,#N/A,FALSE,"Plan1";#N/A,#N/A,FALSE,"Plan2"}</definedName>
    <definedName name="fdjfgdfjg" localSheetId="17">{#N/A,#N/A,FALSE,"Plan1";#N/A,#N/A,FALSE,"Plan2"}</definedName>
    <definedName name="fdjfgdfjg" localSheetId="0">{#N/A,#N/A,FALSE,"Plan1";#N/A,#N/A,FALSE,"Plan2"}</definedName>
    <definedName name="fdjfgdfjg" localSheetId="19">{#N/A,#N/A,FALSE,"Plan1";#N/A,#N/A,FALSE,"Plan2"}</definedName>
    <definedName name="fdjfgdfjg" localSheetId="16">{#N/A,#N/A,FALSE,"Plan1";#N/A,#N/A,FALSE,"Plan2"}</definedName>
    <definedName name="fdjfgdfjg" localSheetId="18">{#N/A,#N/A,FALSE,"Plan1";#N/A,#N/A,FALSE,"Plan2"}</definedName>
    <definedName name="fdjfgdfjg" localSheetId="10">{#N/A,#N/A,FALSE,"Plan1";#N/A,#N/A,FALSE,"Plan2"}</definedName>
    <definedName name="fdjfgdfjg">{#N/A,#N/A,FALSE,"Plan1";#N/A,#N/A,FALSE,"Plan2"}</definedName>
    <definedName name="fdjghkshtygt" localSheetId="9">{#N/A,#N/A,FALSE,"Plan1";#N/A,#N/A,FALSE,"Plan2"}</definedName>
    <definedName name="fdjghkshtygt" localSheetId="6">{#N/A,#N/A,FALSE,"Plan1";#N/A,#N/A,FALSE,"Plan2"}</definedName>
    <definedName name="fdjghkshtygt" localSheetId="3">{#N/A,#N/A,FALSE,"Plan1";#N/A,#N/A,FALSE,"Plan2"}</definedName>
    <definedName name="fdjghkshtygt" localSheetId="8">{#N/A,#N/A,FALSE,"Plan1";#N/A,#N/A,FALSE,"Plan2"}</definedName>
    <definedName name="fdjghkshtygt" localSheetId="5">{#N/A,#N/A,FALSE,"Plan1";#N/A,#N/A,FALSE,"Plan2"}</definedName>
    <definedName name="fdjghkshtygt" localSheetId="4">{#N/A,#N/A,FALSE,"Plan1";#N/A,#N/A,FALSE,"Plan2"}</definedName>
    <definedName name="fdjghkshtygt" localSheetId="13">{#N/A,#N/A,FALSE,"Plan1";#N/A,#N/A,FALSE,"Plan2"}</definedName>
    <definedName name="fdjghkshtygt" localSheetId="17">{#N/A,#N/A,FALSE,"Plan1";#N/A,#N/A,FALSE,"Plan2"}</definedName>
    <definedName name="fdjghkshtygt" localSheetId="0">{#N/A,#N/A,FALSE,"Plan1";#N/A,#N/A,FALSE,"Plan2"}</definedName>
    <definedName name="fdjghkshtygt" localSheetId="19">{#N/A,#N/A,FALSE,"Plan1";#N/A,#N/A,FALSE,"Plan2"}</definedName>
    <definedName name="fdjghkshtygt" localSheetId="16">{#N/A,#N/A,FALSE,"Plan1";#N/A,#N/A,FALSE,"Plan2"}</definedName>
    <definedName name="fdjghkshtygt" localSheetId="18">{#N/A,#N/A,FALSE,"Plan1";#N/A,#N/A,FALSE,"Plan2"}</definedName>
    <definedName name="fdjghkshtygt" localSheetId="10">{#N/A,#N/A,FALSE,"Plan1";#N/A,#N/A,FALSE,"Plan2"}</definedName>
    <definedName name="fdjghkshtygt">{#N/A,#N/A,FALSE,"Plan1";#N/A,#N/A,FALSE,"Plan2"}</definedName>
    <definedName name="fdnhgf" localSheetId="9">{"'Estimativa de Lançamento-JAN'!$A$1:$AI$85"}</definedName>
    <definedName name="fdnhgf" localSheetId="6">{"'Estimativa de Lançamento-JAN'!$A$1:$AI$85"}</definedName>
    <definedName name="fdnhgf" localSheetId="3">{"'Estimativa de Lançamento-JAN'!$A$1:$AI$85"}</definedName>
    <definedName name="fdnhgf" localSheetId="8">{"'Estimativa de Lançamento-JAN'!$A$1:$AI$85"}</definedName>
    <definedName name="fdnhgf" localSheetId="5">{"'Estimativa de Lançamento-JAN'!$A$1:$AI$85"}</definedName>
    <definedName name="fdnhgf" localSheetId="4">{"'Estimativa de Lançamento-JAN'!$A$1:$AI$85"}</definedName>
    <definedName name="fdnhgf" localSheetId="13">{"'Estimativa de Lançamento-JAN'!$A$1:$AI$85"}</definedName>
    <definedName name="fdnhgf" localSheetId="17">{"'Estimativa de Lançamento-JAN'!$A$1:$AI$85"}</definedName>
    <definedName name="fdnhgf" localSheetId="0">{"'Estimativa de Lançamento-JAN'!$A$1:$AI$85"}</definedName>
    <definedName name="fdnhgf" localSheetId="19">{"'Estimativa de Lançamento-JAN'!$A$1:$AI$85"}</definedName>
    <definedName name="fdnhgf" localSheetId="16">{"'Estimativa de Lançamento-JAN'!$A$1:$AI$85"}</definedName>
    <definedName name="fdnhgf" localSheetId="18">{"'Estimativa de Lançamento-JAN'!$A$1:$AI$85"}</definedName>
    <definedName name="fdnhgf" localSheetId="10">{"'Estimativa de Lançamento-JAN'!$A$1:$AI$85"}</definedName>
    <definedName name="fdnhgf">{"'Estimativa de Lançamento-JAN'!$A$1:$AI$85"}</definedName>
    <definedName name="fdsf" localSheetId="9">{#N/A,#N/A,FALSE,"Plan1";#N/A,#N/A,FALSE,"Plan2"}</definedName>
    <definedName name="fdsf" localSheetId="6">{#N/A,#N/A,FALSE,"Plan1";#N/A,#N/A,FALSE,"Plan2"}</definedName>
    <definedName name="fdsf" localSheetId="3">{#N/A,#N/A,FALSE,"Plan1";#N/A,#N/A,FALSE,"Plan2"}</definedName>
    <definedName name="fdsf" localSheetId="8">{#N/A,#N/A,FALSE,"Plan1";#N/A,#N/A,FALSE,"Plan2"}</definedName>
    <definedName name="fdsf" localSheetId="5">{#N/A,#N/A,FALSE,"Plan1";#N/A,#N/A,FALSE,"Plan2"}</definedName>
    <definedName name="fdsf" localSheetId="4">{#N/A,#N/A,FALSE,"Plan1";#N/A,#N/A,FALSE,"Plan2"}</definedName>
    <definedName name="fdsf" localSheetId="13">{#N/A,#N/A,FALSE,"Plan1";#N/A,#N/A,FALSE,"Plan2"}</definedName>
    <definedName name="fdsf" localSheetId="17">{#N/A,#N/A,FALSE,"Plan1";#N/A,#N/A,FALSE,"Plan2"}</definedName>
    <definedName name="fdsf" localSheetId="0">{#N/A,#N/A,FALSE,"Plan1";#N/A,#N/A,FALSE,"Plan2"}</definedName>
    <definedName name="fdsf" localSheetId="19">{#N/A,#N/A,FALSE,"Plan1";#N/A,#N/A,FALSE,"Plan2"}</definedName>
    <definedName name="fdsf" localSheetId="16">{#N/A,#N/A,FALSE,"Plan1";#N/A,#N/A,FALSE,"Plan2"}</definedName>
    <definedName name="fdsf" localSheetId="18">{#N/A,#N/A,FALSE,"Plan1";#N/A,#N/A,FALSE,"Plan2"}</definedName>
    <definedName name="fdsf" localSheetId="10">{#N/A,#N/A,FALSE,"Plan1";#N/A,#N/A,FALSE,"Plan2"}</definedName>
    <definedName name="fdsf">{#N/A,#N/A,FALSE,"Plan1";#N/A,#N/A,FALSE,"Plan2"}</definedName>
    <definedName name="FE" localSheetId="3">#REF!</definedName>
    <definedName name="FE" localSheetId="5">#REF!</definedName>
    <definedName name="FE" localSheetId="13">#REF!</definedName>
    <definedName name="FE" localSheetId="26">#REF!</definedName>
    <definedName name="FE">#REF!</definedName>
    <definedName name="fefefefe" localSheetId="3">#REF!</definedName>
    <definedName name="fefefefe" localSheetId="5">#REF!</definedName>
    <definedName name="fefefefe" localSheetId="13">#REF!</definedName>
    <definedName name="fefefefe" localSheetId="26">#REF!</definedName>
    <definedName name="fefefefe">#REF!</definedName>
    <definedName name="FER" localSheetId="3">#REF!</definedName>
    <definedName name="FER" localSheetId="13">#REF!</definedName>
    <definedName name="FER" localSheetId="0">#REF!</definedName>
    <definedName name="FER">#REF!</definedName>
    <definedName name="fev17RJ" localSheetId="3">#REF!</definedName>
    <definedName name="fev17RJ" localSheetId="5">#REF!</definedName>
    <definedName name="fev17RJ" localSheetId="13">#REF!</definedName>
    <definedName name="fev17RJ" localSheetId="26">#REF!</definedName>
    <definedName name="fev17RJ">#REF!</definedName>
    <definedName name="FEVEREIRO2001" localSheetId="3">#REF!</definedName>
    <definedName name="FEVEREIRO2001" localSheetId="5">#REF!</definedName>
    <definedName name="FEVEREIRO2001" localSheetId="13">#REF!</definedName>
    <definedName name="FEVEREIRO2001" localSheetId="26">#REF!</definedName>
    <definedName name="FEVEREIRO2001">#REF!</definedName>
    <definedName name="ff" localSheetId="3">#REF!</definedName>
    <definedName name="ff" localSheetId="5">#REF!</definedName>
    <definedName name="ff" localSheetId="13">#REF!</definedName>
    <definedName name="ff" localSheetId="26">#REF!</definedName>
    <definedName name="ff">#REF!</definedName>
    <definedName name="fffefes" localSheetId="3">#REF!</definedName>
    <definedName name="fffefes" localSheetId="5">#REF!</definedName>
    <definedName name="fffefes" localSheetId="13">#REF!</definedName>
    <definedName name="fffefes" localSheetId="26">#REF!</definedName>
    <definedName name="fffefes">#REF!</definedName>
    <definedName name="fffff" localSheetId="9">{#N/A,#N/A,FALSE,"Plan1";#N/A,#N/A,FALSE,"Plan2"}</definedName>
    <definedName name="fffff" localSheetId="6">{#N/A,#N/A,FALSE,"Plan1";#N/A,#N/A,FALSE,"Plan2"}</definedName>
    <definedName name="fffff" localSheetId="3">{#N/A,#N/A,FALSE,"Plan1";#N/A,#N/A,FALSE,"Plan2"}</definedName>
    <definedName name="fffff" localSheetId="8">{#N/A,#N/A,FALSE,"Plan1";#N/A,#N/A,FALSE,"Plan2"}</definedName>
    <definedName name="fffff" localSheetId="5">{#N/A,#N/A,FALSE,"Plan1";#N/A,#N/A,FALSE,"Plan2"}</definedName>
    <definedName name="fffff" localSheetId="4">{#N/A,#N/A,FALSE,"Plan1";#N/A,#N/A,FALSE,"Plan2"}</definedName>
    <definedName name="fffff" localSheetId="13">{#N/A,#N/A,FALSE,"Plan1";#N/A,#N/A,FALSE,"Plan2"}</definedName>
    <definedName name="fffff" localSheetId="17">{#N/A,#N/A,FALSE,"Plan1";#N/A,#N/A,FALSE,"Plan2"}</definedName>
    <definedName name="fffff" localSheetId="0">{#N/A,#N/A,FALSE,"Plan1";#N/A,#N/A,FALSE,"Plan2"}</definedName>
    <definedName name="fffff" localSheetId="19">{#N/A,#N/A,FALSE,"Plan1";#N/A,#N/A,FALSE,"Plan2"}</definedName>
    <definedName name="fffff" localSheetId="16">{#N/A,#N/A,FALSE,"Plan1";#N/A,#N/A,FALSE,"Plan2"}</definedName>
    <definedName name="fffff" localSheetId="18">{#N/A,#N/A,FALSE,"Plan1";#N/A,#N/A,FALSE,"Plan2"}</definedName>
    <definedName name="fffff" localSheetId="10">{#N/A,#N/A,FALSE,"Plan1";#N/A,#N/A,FALSE,"Plan2"}</definedName>
    <definedName name="fffff">{#N/A,#N/A,FALSE,"Plan1";#N/A,#N/A,FALSE,"Plan2"}</definedName>
    <definedName name="FFFFFFF" localSheetId="3">#REF!</definedName>
    <definedName name="FFFFFFF" localSheetId="1">#REF!</definedName>
    <definedName name="FFFFFFF" localSheetId="5">#REF!</definedName>
    <definedName name="FFFFFFF" localSheetId="21">#REF!</definedName>
    <definedName name="FFFFFFF" localSheetId="22">#REF!</definedName>
    <definedName name="FFFFFFF" localSheetId="13">#REF!</definedName>
    <definedName name="FFFFFFF" localSheetId="26">#REF!</definedName>
    <definedName name="FFFFFFF" localSheetId="0">#REF!</definedName>
    <definedName name="FFFFFFF">#REF!</definedName>
    <definedName name="FFTY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9">{#N/A,#N/A,FALSE,"Plan1";#N/A,#N/A,FALSE,"Plan2"}</definedName>
    <definedName name="fg" localSheetId="6">{#N/A,#N/A,FALSE,"Plan1";#N/A,#N/A,FALSE,"Plan2"}</definedName>
    <definedName name="fg" localSheetId="3">{#N/A,#N/A,FALSE,"Plan1";#N/A,#N/A,FALSE,"Plan2"}</definedName>
    <definedName name="fg" localSheetId="8">{#N/A,#N/A,FALSE,"Plan1";#N/A,#N/A,FALSE,"Plan2"}</definedName>
    <definedName name="fg" localSheetId="5">{#N/A,#N/A,FALSE,"Plan1";#N/A,#N/A,FALSE,"Plan2"}</definedName>
    <definedName name="fg" localSheetId="4">{#N/A,#N/A,FALSE,"Plan1";#N/A,#N/A,FALSE,"Plan2"}</definedName>
    <definedName name="fg" localSheetId="13">{#N/A,#N/A,FALSE,"Plan1";#N/A,#N/A,FALSE,"Plan2"}</definedName>
    <definedName name="fg" localSheetId="17">{#N/A,#N/A,FALSE,"Plan1";#N/A,#N/A,FALSE,"Plan2"}</definedName>
    <definedName name="fg" localSheetId="0">{#N/A,#N/A,FALSE,"Plan1";#N/A,#N/A,FALSE,"Plan2"}</definedName>
    <definedName name="fg" localSheetId="19">{#N/A,#N/A,FALSE,"Plan1";#N/A,#N/A,FALSE,"Plan2"}</definedName>
    <definedName name="fg" localSheetId="16">{#N/A,#N/A,FALSE,"Plan1";#N/A,#N/A,FALSE,"Plan2"}</definedName>
    <definedName name="fg" localSheetId="18">{#N/A,#N/A,FALSE,"Plan1";#N/A,#N/A,FALSE,"Plan2"}</definedName>
    <definedName name="fg" localSheetId="10">{#N/A,#N/A,FALSE,"Plan1";#N/A,#N/A,FALSE,"Plan2"}</definedName>
    <definedName name="fg">{#N/A,#N/A,FALSE,"Plan1";#N/A,#N/A,FALSE,"Plan2"}</definedName>
    <definedName name="fgg" localSheetId="9">{"'장비'!$A$3:$M$12"}</definedName>
    <definedName name="fgg" localSheetId="6">{"'장비'!$A$3:$M$12"}</definedName>
    <definedName name="fgg" localSheetId="3">{"'장비'!$A$3:$M$12"}</definedName>
    <definedName name="fgg" localSheetId="8">{"'장비'!$A$3:$M$12"}</definedName>
    <definedName name="fgg" localSheetId="5">{"'장비'!$A$3:$M$12"}</definedName>
    <definedName name="fgg" localSheetId="4">{"'장비'!$A$3:$M$12"}</definedName>
    <definedName name="fgg" localSheetId="13">{"'장비'!$A$3:$M$12"}</definedName>
    <definedName name="fgg" localSheetId="17">{"'장비'!$A$3:$M$12"}</definedName>
    <definedName name="fgg" localSheetId="0">{"'장비'!$A$3:$M$12"}</definedName>
    <definedName name="fgg" localSheetId="19">{"'장비'!$A$3:$M$12"}</definedName>
    <definedName name="fgg" localSheetId="16">{"'장비'!$A$3:$M$12"}</definedName>
    <definedName name="fgg" localSheetId="18">{"'장비'!$A$3:$M$12"}</definedName>
    <definedName name="fgg" localSheetId="10">{"'장비'!$A$3:$M$12"}</definedName>
    <definedName name="fgg">{"'장비'!$A$3:$M$12"}</definedName>
    <definedName name="fghfh" localSheetId="9">{"'Estimativa de Lançamento-JAN'!$A$1:$AI$85"}</definedName>
    <definedName name="fghfh" localSheetId="6">{"'Estimativa de Lançamento-JAN'!$A$1:$AI$85"}</definedName>
    <definedName name="fghfh" localSheetId="3">{"'Estimativa de Lançamento-JAN'!$A$1:$AI$85"}</definedName>
    <definedName name="fghfh" localSheetId="8">{"'Estimativa de Lançamento-JAN'!$A$1:$AI$85"}</definedName>
    <definedName name="fghfh" localSheetId="5">{"'Estimativa de Lançamento-JAN'!$A$1:$AI$85"}</definedName>
    <definedName name="fghfh" localSheetId="4">{"'Estimativa de Lançamento-JAN'!$A$1:$AI$85"}</definedName>
    <definedName name="fghfh" localSheetId="13">{"'Estimativa de Lançamento-JAN'!$A$1:$AI$85"}</definedName>
    <definedName name="fghfh" localSheetId="17">{"'Estimativa de Lançamento-JAN'!$A$1:$AI$85"}</definedName>
    <definedName name="fghfh" localSheetId="0">{"'Estimativa de Lançamento-JAN'!$A$1:$AI$85"}</definedName>
    <definedName name="fghfh" localSheetId="19">{"'Estimativa de Lançamento-JAN'!$A$1:$AI$85"}</definedName>
    <definedName name="fghfh" localSheetId="16">{"'Estimativa de Lançamento-JAN'!$A$1:$AI$85"}</definedName>
    <definedName name="fghfh" localSheetId="18">{"'Estimativa de Lançamento-JAN'!$A$1:$AI$85"}</definedName>
    <definedName name="fghfh" localSheetId="10">{"'Estimativa de Lançamento-JAN'!$A$1:$AI$85"}</definedName>
    <definedName name="fghfh">{"'Estimativa de Lançamento-JAN'!$A$1:$AI$85"}</definedName>
    <definedName name="fghgfh" localSheetId="9">{#N/A,#N/A,FALSE,"Plan1";#N/A,#N/A,FALSE,"Plan2"}</definedName>
    <definedName name="fghgfh" localSheetId="6">{#N/A,#N/A,FALSE,"Plan1";#N/A,#N/A,FALSE,"Plan2"}</definedName>
    <definedName name="fghgfh" localSheetId="3">{#N/A,#N/A,FALSE,"Plan1";#N/A,#N/A,FALSE,"Plan2"}</definedName>
    <definedName name="fghgfh" localSheetId="8">{#N/A,#N/A,FALSE,"Plan1";#N/A,#N/A,FALSE,"Plan2"}</definedName>
    <definedName name="fghgfh" localSheetId="5">{#N/A,#N/A,FALSE,"Plan1";#N/A,#N/A,FALSE,"Plan2"}</definedName>
    <definedName name="fghgfh" localSheetId="4">{#N/A,#N/A,FALSE,"Plan1";#N/A,#N/A,FALSE,"Plan2"}</definedName>
    <definedName name="fghgfh" localSheetId="13">{#N/A,#N/A,FALSE,"Plan1";#N/A,#N/A,FALSE,"Plan2"}</definedName>
    <definedName name="fghgfh" localSheetId="17">{#N/A,#N/A,FALSE,"Plan1";#N/A,#N/A,FALSE,"Plan2"}</definedName>
    <definedName name="fghgfh" localSheetId="0">{#N/A,#N/A,FALSE,"Plan1";#N/A,#N/A,FALSE,"Plan2"}</definedName>
    <definedName name="fghgfh" localSheetId="19">{#N/A,#N/A,FALSE,"Plan1";#N/A,#N/A,FALSE,"Plan2"}</definedName>
    <definedName name="fghgfh" localSheetId="16">{#N/A,#N/A,FALSE,"Plan1";#N/A,#N/A,FALSE,"Plan2"}</definedName>
    <definedName name="fghgfh" localSheetId="18">{#N/A,#N/A,FALSE,"Plan1";#N/A,#N/A,FALSE,"Plan2"}</definedName>
    <definedName name="fghgfh" localSheetId="10">{#N/A,#N/A,FALSE,"Plan1";#N/A,#N/A,FALSE,"Plan2"}</definedName>
    <definedName name="fghgfh">{#N/A,#N/A,FALSE,"Plan1";#N/A,#N/A,FALSE,"Plan2"}</definedName>
    <definedName name="FGJHFGK" localSheetId="9">{#N/A,#N/A,FALSE,"Plan1";#N/A,#N/A,FALSE,"Plan2"}</definedName>
    <definedName name="FGJHFGK" localSheetId="6">{#N/A,#N/A,FALSE,"Plan1";#N/A,#N/A,FALSE,"Plan2"}</definedName>
    <definedName name="FGJHFGK" localSheetId="3">{#N/A,#N/A,FALSE,"Plan1";#N/A,#N/A,FALSE,"Plan2"}</definedName>
    <definedName name="FGJHFGK" localSheetId="8">{#N/A,#N/A,FALSE,"Plan1";#N/A,#N/A,FALSE,"Plan2"}</definedName>
    <definedName name="FGJHFGK" localSheetId="5">{#N/A,#N/A,FALSE,"Plan1";#N/A,#N/A,FALSE,"Plan2"}</definedName>
    <definedName name="FGJHFGK" localSheetId="4">{#N/A,#N/A,FALSE,"Plan1";#N/A,#N/A,FALSE,"Plan2"}</definedName>
    <definedName name="FGJHFGK" localSheetId="13">{#N/A,#N/A,FALSE,"Plan1";#N/A,#N/A,FALSE,"Plan2"}</definedName>
    <definedName name="FGJHFGK" localSheetId="17">{#N/A,#N/A,FALSE,"Plan1";#N/A,#N/A,FALSE,"Plan2"}</definedName>
    <definedName name="FGJHFGK" localSheetId="0">{#N/A,#N/A,FALSE,"Plan1";#N/A,#N/A,FALSE,"Plan2"}</definedName>
    <definedName name="FGJHFGK" localSheetId="19">{#N/A,#N/A,FALSE,"Plan1";#N/A,#N/A,FALSE,"Plan2"}</definedName>
    <definedName name="FGJHFGK" localSheetId="16">{#N/A,#N/A,FALSE,"Plan1";#N/A,#N/A,FALSE,"Plan2"}</definedName>
    <definedName name="FGJHFGK" localSheetId="18">{#N/A,#N/A,FALSE,"Plan1";#N/A,#N/A,FALSE,"Plan2"}</definedName>
    <definedName name="FGJHFGK" localSheetId="10">{#N/A,#N/A,FALSE,"Plan1";#N/A,#N/A,FALSE,"Plan2"}</definedName>
    <definedName name="FGJHFGK">{#N/A,#N/A,FALSE,"Plan1";#N/A,#N/A,FALSE,"Plan2"}</definedName>
    <definedName name="fgktyhd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9">{#N/A,#N/A,FALSE,"Plan1";#N/A,#N/A,FALSE,"Plan2"}</definedName>
    <definedName name="fgtrgty" localSheetId="6">{#N/A,#N/A,FALSE,"Plan1";#N/A,#N/A,FALSE,"Plan2"}</definedName>
    <definedName name="fgtrgty" localSheetId="3">{#N/A,#N/A,FALSE,"Plan1";#N/A,#N/A,FALSE,"Plan2"}</definedName>
    <definedName name="fgtrgty" localSheetId="8">{#N/A,#N/A,FALSE,"Plan1";#N/A,#N/A,FALSE,"Plan2"}</definedName>
    <definedName name="fgtrgty" localSheetId="5">{#N/A,#N/A,FALSE,"Plan1";#N/A,#N/A,FALSE,"Plan2"}</definedName>
    <definedName name="fgtrgty" localSheetId="4">{#N/A,#N/A,FALSE,"Plan1";#N/A,#N/A,FALSE,"Plan2"}</definedName>
    <definedName name="fgtrgty" localSheetId="13">{#N/A,#N/A,FALSE,"Plan1";#N/A,#N/A,FALSE,"Plan2"}</definedName>
    <definedName name="fgtrgty" localSheetId="17">{#N/A,#N/A,FALSE,"Plan1";#N/A,#N/A,FALSE,"Plan2"}</definedName>
    <definedName name="fgtrgty" localSheetId="0">{#N/A,#N/A,FALSE,"Plan1";#N/A,#N/A,FALSE,"Plan2"}</definedName>
    <definedName name="fgtrgty" localSheetId="19">{#N/A,#N/A,FALSE,"Plan1";#N/A,#N/A,FALSE,"Plan2"}</definedName>
    <definedName name="fgtrgty" localSheetId="16">{#N/A,#N/A,FALSE,"Plan1";#N/A,#N/A,FALSE,"Plan2"}</definedName>
    <definedName name="fgtrgty" localSheetId="18">{#N/A,#N/A,FALSE,"Plan1";#N/A,#N/A,FALSE,"Plan2"}</definedName>
    <definedName name="fgtrgty" localSheetId="10">{#N/A,#N/A,FALSE,"Plan1";#N/A,#N/A,FALSE,"Plan2"}</definedName>
    <definedName name="fgtrgty">{#N/A,#N/A,FALSE,"Plan1";#N/A,#N/A,FALSE,"Plan2"}</definedName>
    <definedName name="fgty" localSheetId="3">#REF!</definedName>
    <definedName name="fgty" localSheetId="5">#REF!</definedName>
    <definedName name="fgty" localSheetId="13">#REF!</definedName>
    <definedName name="fgty" localSheetId="26">#REF!</definedName>
    <definedName name="fgty" localSheetId="0">#REF!</definedName>
    <definedName name="fgty">#REF!</definedName>
    <definedName name="fhgjfgyt" localSheetId="9">{#N/A,#N/A,FALSE,"Plan1";#N/A,#N/A,FALSE,"Plan2"}</definedName>
    <definedName name="fhgjfgyt" localSheetId="6">{#N/A,#N/A,FALSE,"Plan1";#N/A,#N/A,FALSE,"Plan2"}</definedName>
    <definedName name="fhgjfgyt" localSheetId="3">{#N/A,#N/A,FALSE,"Plan1";#N/A,#N/A,FALSE,"Plan2"}</definedName>
    <definedName name="fhgjfgyt" localSheetId="8">{#N/A,#N/A,FALSE,"Plan1";#N/A,#N/A,FALSE,"Plan2"}</definedName>
    <definedName name="fhgjfgyt" localSheetId="5">{#N/A,#N/A,FALSE,"Plan1";#N/A,#N/A,FALSE,"Plan2"}</definedName>
    <definedName name="fhgjfgyt" localSheetId="4">{#N/A,#N/A,FALSE,"Plan1";#N/A,#N/A,FALSE,"Plan2"}</definedName>
    <definedName name="fhgjfgyt" localSheetId="13">{#N/A,#N/A,FALSE,"Plan1";#N/A,#N/A,FALSE,"Plan2"}</definedName>
    <definedName name="fhgjfgyt" localSheetId="17">{#N/A,#N/A,FALSE,"Plan1";#N/A,#N/A,FALSE,"Plan2"}</definedName>
    <definedName name="fhgjfgyt" localSheetId="0">{#N/A,#N/A,FALSE,"Plan1";#N/A,#N/A,FALSE,"Plan2"}</definedName>
    <definedName name="fhgjfgyt" localSheetId="19">{#N/A,#N/A,FALSE,"Plan1";#N/A,#N/A,FALSE,"Plan2"}</definedName>
    <definedName name="fhgjfgyt" localSheetId="16">{#N/A,#N/A,FALSE,"Plan1";#N/A,#N/A,FALSE,"Plan2"}</definedName>
    <definedName name="fhgjfgyt" localSheetId="18">{#N/A,#N/A,FALSE,"Plan1";#N/A,#N/A,FALSE,"Plan2"}</definedName>
    <definedName name="fhgjfgyt" localSheetId="10">{#N/A,#N/A,FALSE,"Plan1";#N/A,#N/A,FALSE,"Plan2"}</definedName>
    <definedName name="fhgjfgyt">{#N/A,#N/A,FALSE,"Plan1";#N/A,#N/A,FALSE,"Plan2"}</definedName>
    <definedName name="fhgjkhtrfg" localSheetId="9">{#N/A,#N/A,FALSE,"Plan1";#N/A,#N/A,FALSE,"Plan2"}</definedName>
    <definedName name="fhgjkhtrfg" localSheetId="6">{#N/A,#N/A,FALSE,"Plan1";#N/A,#N/A,FALSE,"Plan2"}</definedName>
    <definedName name="fhgjkhtrfg" localSheetId="3">{#N/A,#N/A,FALSE,"Plan1";#N/A,#N/A,FALSE,"Plan2"}</definedName>
    <definedName name="fhgjkhtrfg" localSheetId="8">{#N/A,#N/A,FALSE,"Plan1";#N/A,#N/A,FALSE,"Plan2"}</definedName>
    <definedName name="fhgjkhtrfg" localSheetId="5">{#N/A,#N/A,FALSE,"Plan1";#N/A,#N/A,FALSE,"Plan2"}</definedName>
    <definedName name="fhgjkhtrfg" localSheetId="4">{#N/A,#N/A,FALSE,"Plan1";#N/A,#N/A,FALSE,"Plan2"}</definedName>
    <definedName name="fhgjkhtrfg" localSheetId="13">{#N/A,#N/A,FALSE,"Plan1";#N/A,#N/A,FALSE,"Plan2"}</definedName>
    <definedName name="fhgjkhtrfg" localSheetId="17">{#N/A,#N/A,FALSE,"Plan1";#N/A,#N/A,FALSE,"Plan2"}</definedName>
    <definedName name="fhgjkhtrfg" localSheetId="0">{#N/A,#N/A,FALSE,"Plan1";#N/A,#N/A,FALSE,"Plan2"}</definedName>
    <definedName name="fhgjkhtrfg" localSheetId="19">{#N/A,#N/A,FALSE,"Plan1";#N/A,#N/A,FALSE,"Plan2"}</definedName>
    <definedName name="fhgjkhtrfg" localSheetId="16">{#N/A,#N/A,FALSE,"Plan1";#N/A,#N/A,FALSE,"Plan2"}</definedName>
    <definedName name="fhgjkhtrfg" localSheetId="18">{#N/A,#N/A,FALSE,"Plan1";#N/A,#N/A,FALSE,"Plan2"}</definedName>
    <definedName name="fhgjkhtrfg" localSheetId="10">{#N/A,#N/A,FALSE,"Plan1";#N/A,#N/A,FALSE,"Plan2"}</definedName>
    <definedName name="fhgjkhtrfg">{#N/A,#N/A,FALSE,"Plan1";#N/A,#N/A,FALSE,"Plan2"}</definedName>
    <definedName name="FHGTGSRSG" localSheetId="9">{#N/A,#N/A,FALSE,"Plan1";#N/A,#N/A,FALSE,"Plan2"}</definedName>
    <definedName name="FHGTGSRSG" localSheetId="6">{#N/A,#N/A,FALSE,"Plan1";#N/A,#N/A,FALSE,"Plan2"}</definedName>
    <definedName name="FHGTGSRSG" localSheetId="3">{#N/A,#N/A,FALSE,"Plan1";#N/A,#N/A,FALSE,"Plan2"}</definedName>
    <definedName name="FHGTGSRSG" localSheetId="8">{#N/A,#N/A,FALSE,"Plan1";#N/A,#N/A,FALSE,"Plan2"}</definedName>
    <definedName name="FHGTGSRSG" localSheetId="5">{#N/A,#N/A,FALSE,"Plan1";#N/A,#N/A,FALSE,"Plan2"}</definedName>
    <definedName name="FHGTGSRSG" localSheetId="4">{#N/A,#N/A,FALSE,"Plan1";#N/A,#N/A,FALSE,"Plan2"}</definedName>
    <definedName name="FHGTGSRSG" localSheetId="13">{#N/A,#N/A,FALSE,"Plan1";#N/A,#N/A,FALSE,"Plan2"}</definedName>
    <definedName name="FHGTGSRSG" localSheetId="17">{#N/A,#N/A,FALSE,"Plan1";#N/A,#N/A,FALSE,"Plan2"}</definedName>
    <definedName name="FHGTGSRSG" localSheetId="0">{#N/A,#N/A,FALSE,"Plan1";#N/A,#N/A,FALSE,"Plan2"}</definedName>
    <definedName name="FHGTGSRSG" localSheetId="19">{#N/A,#N/A,FALSE,"Plan1";#N/A,#N/A,FALSE,"Plan2"}</definedName>
    <definedName name="FHGTGSRSG" localSheetId="16">{#N/A,#N/A,FALSE,"Plan1";#N/A,#N/A,FALSE,"Plan2"}</definedName>
    <definedName name="FHGTGSRSG" localSheetId="18">{#N/A,#N/A,FALSE,"Plan1";#N/A,#N/A,FALSE,"Plan2"}</definedName>
    <definedName name="FHGTGSRSG" localSheetId="10">{#N/A,#N/A,FALSE,"Plan1";#N/A,#N/A,FALSE,"Plan2"}</definedName>
    <definedName name="FHGTGSRSG">{#N/A,#N/A,FALSE,"Plan1";#N/A,#N/A,FALSE,"Plan2"}</definedName>
    <definedName name="FIELD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9">{#N/A,#N/A,TRUE,"Quinzena 01 à 15-04-98 "}</definedName>
    <definedName name="FILTRO" localSheetId="6">{#N/A,#N/A,TRUE,"Quinzena 01 à 15-04-98 "}</definedName>
    <definedName name="FILTRO" localSheetId="3">{#N/A,#N/A,TRUE,"Quinzena 01 à 15-04-98 "}</definedName>
    <definedName name="FILTRO" localSheetId="8">{#N/A,#N/A,TRUE,"Quinzena 01 à 15-04-98 "}</definedName>
    <definedName name="FILTRO" localSheetId="5">{#N/A,#N/A,TRUE,"Quinzena 01 à 15-04-98 "}</definedName>
    <definedName name="FILTRO" localSheetId="4">{#N/A,#N/A,TRUE,"Quinzena 01 à 15-04-98 "}</definedName>
    <definedName name="FILTRO" localSheetId="13">{#N/A,#N/A,TRUE,"Quinzena 01 à 15-04-98 "}</definedName>
    <definedName name="FILTRO" localSheetId="17">{#N/A,#N/A,TRUE,"Quinzena 01 à 15-04-98 "}</definedName>
    <definedName name="FILTRO" localSheetId="0">{#N/A,#N/A,TRUE,"Quinzena 01 à 15-04-98 "}</definedName>
    <definedName name="FILTRO" localSheetId="19">{#N/A,#N/A,TRUE,"Quinzena 01 à 15-04-98 "}</definedName>
    <definedName name="FILTRO" localSheetId="16">{#N/A,#N/A,TRUE,"Quinzena 01 à 15-04-98 "}</definedName>
    <definedName name="FILTRO" localSheetId="18">{#N/A,#N/A,TRUE,"Quinzena 01 à 15-04-98 "}</definedName>
    <definedName name="FILTRO" localSheetId="10">{#N/A,#N/A,TRUE,"Quinzena 01 à 15-04-98 "}</definedName>
    <definedName name="FILTRO">{#N/A,#N/A,TRUE,"Quinzena 01 à 15-04-98 "}</definedName>
    <definedName name="Filtro_Rel_Sienge" localSheetId="3">#REF!</definedName>
    <definedName name="Filtro_Rel_Sienge" localSheetId="5">#REF!</definedName>
    <definedName name="Filtro_Rel_Sienge" localSheetId="13">#REF!</definedName>
    <definedName name="Filtro_Rel_Sienge" localSheetId="26">#REF!</definedName>
    <definedName name="Filtro_Rel_Sienge">#REF!</definedName>
    <definedName name="Firs_hist" localSheetId="3">#REF!</definedName>
    <definedName name="Firs_hist" localSheetId="5">#REF!</definedName>
    <definedName name="Firs_hist" localSheetId="13">#REF!</definedName>
    <definedName name="Firs_hist" localSheetId="26">#REF!</definedName>
    <definedName name="Firs_hist">#REF!</definedName>
    <definedName name="First_cdi" localSheetId="3">#REF!</definedName>
    <definedName name="First_cdi" localSheetId="5">#REF!</definedName>
    <definedName name="First_cdi" localSheetId="13">#REF!</definedName>
    <definedName name="First_cdi" localSheetId="26">#REF!</definedName>
    <definedName name="First_cdi">#REF!</definedName>
    <definedName name="First_uss" localSheetId="3">#REF!</definedName>
    <definedName name="First_uss" localSheetId="5">#REF!</definedName>
    <definedName name="First_uss" localSheetId="13">#REF!</definedName>
    <definedName name="First_uss" localSheetId="26">#REF!</definedName>
    <definedName name="First_uss">#REF!</definedName>
    <definedName name="fjdhfgjdhtgu" localSheetId="9">{#N/A,#N/A,FALSE,"Plan1";#N/A,#N/A,FALSE,"Plan2"}</definedName>
    <definedName name="fjdhfgjdhtgu" localSheetId="6">{#N/A,#N/A,FALSE,"Plan1";#N/A,#N/A,FALSE,"Plan2"}</definedName>
    <definedName name="fjdhfgjdhtgu" localSheetId="3">{#N/A,#N/A,FALSE,"Plan1";#N/A,#N/A,FALSE,"Plan2"}</definedName>
    <definedName name="fjdhfgjdhtgu" localSheetId="8">{#N/A,#N/A,FALSE,"Plan1";#N/A,#N/A,FALSE,"Plan2"}</definedName>
    <definedName name="fjdhfgjdhtgu" localSheetId="5">{#N/A,#N/A,FALSE,"Plan1";#N/A,#N/A,FALSE,"Plan2"}</definedName>
    <definedName name="fjdhfgjdhtgu" localSheetId="4">{#N/A,#N/A,FALSE,"Plan1";#N/A,#N/A,FALSE,"Plan2"}</definedName>
    <definedName name="fjdhfgjdhtgu" localSheetId="13">{#N/A,#N/A,FALSE,"Plan1";#N/A,#N/A,FALSE,"Plan2"}</definedName>
    <definedName name="fjdhfgjdhtgu" localSheetId="17">{#N/A,#N/A,FALSE,"Plan1";#N/A,#N/A,FALSE,"Plan2"}</definedName>
    <definedName name="fjdhfgjdhtgu" localSheetId="0">{#N/A,#N/A,FALSE,"Plan1";#N/A,#N/A,FALSE,"Plan2"}</definedName>
    <definedName name="fjdhfgjdhtgu" localSheetId="19">{#N/A,#N/A,FALSE,"Plan1";#N/A,#N/A,FALSE,"Plan2"}</definedName>
    <definedName name="fjdhfgjdhtgu" localSheetId="16">{#N/A,#N/A,FALSE,"Plan1";#N/A,#N/A,FALSE,"Plan2"}</definedName>
    <definedName name="fjdhfgjdhtgu" localSheetId="18">{#N/A,#N/A,FALSE,"Plan1";#N/A,#N/A,FALSE,"Plan2"}</definedName>
    <definedName name="fjdhfgjdhtgu" localSheetId="10">{#N/A,#N/A,FALSE,"Plan1";#N/A,#N/A,FALSE,"Plan2"}</definedName>
    <definedName name="fjdhfgjdhtgu">{#N/A,#N/A,FALSE,"Plan1";#N/A,#N/A,FALSE,"Plan2"}</definedName>
    <definedName name="fjfjg" localSheetId="9">{#N/A,#N/A,FALSE,"명세표"}</definedName>
    <definedName name="fjfjg" localSheetId="6">{#N/A,#N/A,FALSE,"명세표"}</definedName>
    <definedName name="fjfjg" localSheetId="3">{#N/A,#N/A,FALSE,"명세표"}</definedName>
    <definedName name="fjfjg" localSheetId="8">{#N/A,#N/A,FALSE,"명세표"}</definedName>
    <definedName name="fjfjg" localSheetId="5">{#N/A,#N/A,FALSE,"명세표"}</definedName>
    <definedName name="fjfjg" localSheetId="4">{#N/A,#N/A,FALSE,"명세표"}</definedName>
    <definedName name="fjfjg" localSheetId="13">{#N/A,#N/A,FALSE,"명세표"}</definedName>
    <definedName name="fjfjg" localSheetId="17">{#N/A,#N/A,FALSE,"명세표"}</definedName>
    <definedName name="fjfjg" localSheetId="0">{#N/A,#N/A,FALSE,"명세표"}</definedName>
    <definedName name="fjfjg" localSheetId="19">{#N/A,#N/A,FALSE,"명세표"}</definedName>
    <definedName name="fjfjg" localSheetId="16">{#N/A,#N/A,FALSE,"명세표"}</definedName>
    <definedName name="fjfjg" localSheetId="18">{#N/A,#N/A,FALSE,"명세표"}</definedName>
    <definedName name="fjfjg" localSheetId="10">{#N/A,#N/A,FALSE,"명세표"}</definedName>
    <definedName name="fjfjg">{#N/A,#N/A,FALSE,"명세표"}</definedName>
    <definedName name="FJG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9">{#N/A,#N/A,FALSE,"Plan1";#N/A,#N/A,FALSE,"Plan2"}</definedName>
    <definedName name="FJHJHG" localSheetId="6">{#N/A,#N/A,FALSE,"Plan1";#N/A,#N/A,FALSE,"Plan2"}</definedName>
    <definedName name="FJHJHG" localSheetId="3">{#N/A,#N/A,FALSE,"Plan1";#N/A,#N/A,FALSE,"Plan2"}</definedName>
    <definedName name="FJHJHG" localSheetId="8">{#N/A,#N/A,FALSE,"Plan1";#N/A,#N/A,FALSE,"Plan2"}</definedName>
    <definedName name="FJHJHG" localSheetId="5">{#N/A,#N/A,FALSE,"Plan1";#N/A,#N/A,FALSE,"Plan2"}</definedName>
    <definedName name="FJHJHG" localSheetId="4">{#N/A,#N/A,FALSE,"Plan1";#N/A,#N/A,FALSE,"Plan2"}</definedName>
    <definedName name="FJHJHG" localSheetId="13">{#N/A,#N/A,FALSE,"Plan1";#N/A,#N/A,FALSE,"Plan2"}</definedName>
    <definedName name="FJHJHG" localSheetId="17">{#N/A,#N/A,FALSE,"Plan1";#N/A,#N/A,FALSE,"Plan2"}</definedName>
    <definedName name="FJHJHG" localSheetId="0">{#N/A,#N/A,FALSE,"Plan1";#N/A,#N/A,FALSE,"Plan2"}</definedName>
    <definedName name="FJHJHG" localSheetId="19">{#N/A,#N/A,FALSE,"Plan1";#N/A,#N/A,FALSE,"Plan2"}</definedName>
    <definedName name="FJHJHG" localSheetId="16">{#N/A,#N/A,FALSE,"Plan1";#N/A,#N/A,FALSE,"Plan2"}</definedName>
    <definedName name="FJHJHG" localSheetId="18">{#N/A,#N/A,FALSE,"Plan1";#N/A,#N/A,FALSE,"Plan2"}</definedName>
    <definedName name="FJHJHG" localSheetId="10">{#N/A,#N/A,FALSE,"Plan1";#N/A,#N/A,FALSE,"Plan2"}</definedName>
    <definedName name="FJHJHG">{#N/A,#N/A,FALSE,"Plan1";#N/A,#N/A,FALSE,"Plan2"}</definedName>
    <definedName name="fjtgfh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9">{#N/A,#N/A,FALSE,"Plan1";#N/A,#N/A,FALSE,"Plan2"}</definedName>
    <definedName name="fkfw" localSheetId="6">{#N/A,#N/A,FALSE,"Plan1";#N/A,#N/A,FALSE,"Plan2"}</definedName>
    <definedName name="fkfw" localSheetId="3">{#N/A,#N/A,FALSE,"Plan1";#N/A,#N/A,FALSE,"Plan2"}</definedName>
    <definedName name="fkfw" localSheetId="8">{#N/A,#N/A,FALSE,"Plan1";#N/A,#N/A,FALSE,"Plan2"}</definedName>
    <definedName name="fkfw" localSheetId="5">{#N/A,#N/A,FALSE,"Plan1";#N/A,#N/A,FALSE,"Plan2"}</definedName>
    <definedName name="fkfw" localSheetId="4">{#N/A,#N/A,FALSE,"Plan1";#N/A,#N/A,FALSE,"Plan2"}</definedName>
    <definedName name="fkfw" localSheetId="13">{#N/A,#N/A,FALSE,"Plan1";#N/A,#N/A,FALSE,"Plan2"}</definedName>
    <definedName name="fkfw" localSheetId="17">{#N/A,#N/A,FALSE,"Plan1";#N/A,#N/A,FALSE,"Plan2"}</definedName>
    <definedName name="fkfw" localSheetId="0">{#N/A,#N/A,FALSE,"Plan1";#N/A,#N/A,FALSE,"Plan2"}</definedName>
    <definedName name="fkfw" localSheetId="19">{#N/A,#N/A,FALSE,"Plan1";#N/A,#N/A,FALSE,"Plan2"}</definedName>
    <definedName name="fkfw" localSheetId="16">{#N/A,#N/A,FALSE,"Plan1";#N/A,#N/A,FALSE,"Plan2"}</definedName>
    <definedName name="fkfw" localSheetId="18">{#N/A,#N/A,FALSE,"Plan1";#N/A,#N/A,FALSE,"Plan2"}</definedName>
    <definedName name="fkfw" localSheetId="10">{#N/A,#N/A,FALSE,"Plan1";#N/A,#N/A,FALSE,"Plan2"}</definedName>
    <definedName name="fkfw">{#N/A,#N/A,FALSE,"Plan1";#N/A,#N/A,FALSE,"Plan2"}</definedName>
    <definedName name="f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5">#REF!</definedName>
    <definedName name="fl" localSheetId="13">#REF!</definedName>
    <definedName name="fl" localSheetId="17">#REF!</definedName>
    <definedName name="f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3">#REF!</definedName>
    <definedName name="FL_1" localSheetId="8">#REF!</definedName>
    <definedName name="FL_1" localSheetId="5">#REF!</definedName>
    <definedName name="FL_1" localSheetId="13">#REF!</definedName>
    <definedName name="FL_1" localSheetId="26">#REF!</definedName>
    <definedName name="FL_1">#REF!</definedName>
    <definedName name="FL_2" localSheetId="3">#REF!</definedName>
    <definedName name="FL_2" localSheetId="5">#REF!</definedName>
    <definedName name="FL_2" localSheetId="13">#REF!</definedName>
    <definedName name="FL_2" localSheetId="26">#REF!</definedName>
    <definedName name="FL_2">#REF!</definedName>
    <definedName name="FL_3" localSheetId="3">#REF!</definedName>
    <definedName name="FL_3" localSheetId="5">#REF!</definedName>
    <definedName name="FL_3" localSheetId="13">#REF!</definedName>
    <definedName name="FL_3" localSheetId="26">#REF!</definedName>
    <definedName name="FL_3">#REF!</definedName>
    <definedName name="Fluxo_captação" localSheetId="3">#REF!</definedName>
    <definedName name="Fluxo_captação" localSheetId="5">#REF!</definedName>
    <definedName name="Fluxo_captação" localSheetId="13">#REF!</definedName>
    <definedName name="Fluxo_captação" localSheetId="26">#REF!</definedName>
    <definedName name="Fluxo_captação">#REF!</definedName>
    <definedName name="FOLHA2" localSheetId="3">#REF!</definedName>
    <definedName name="FOLHA2" localSheetId="5">#REF!</definedName>
    <definedName name="FOLHA2" localSheetId="13">#REF!</definedName>
    <definedName name="FOLHA2" localSheetId="26">#REF!</definedName>
    <definedName name="FOLHA2">#REF!</definedName>
    <definedName name="Format" localSheetId="3">#REF!</definedName>
    <definedName name="Format" localSheetId="5">#REF!</definedName>
    <definedName name="Format" localSheetId="13">#REF!</definedName>
    <definedName name="Format" localSheetId="26">#REF!</definedName>
    <definedName name="Format">#REF!</definedName>
    <definedName name="Formato_da_Loja" localSheetId="3">#REF!</definedName>
    <definedName name="Formato_da_Loja" localSheetId="5">#REF!</definedName>
    <definedName name="Formato_da_Loja" localSheetId="13">#REF!</definedName>
    <definedName name="Formato_da_Loja" localSheetId="26">#REF!</definedName>
    <definedName name="Formato_da_Loja">#REF!</definedName>
    <definedName name="FORMULA" localSheetId="3">#REF!</definedName>
    <definedName name="FORMULA" localSheetId="5">#REF!</definedName>
    <definedName name="FORMULA" localSheetId="13">#REF!</definedName>
    <definedName name="FORMULA" localSheetId="26">#REF!</definedName>
    <definedName name="FORMULA">#REF!</definedName>
    <definedName name="FORNECEDOR" localSheetId="6">OFFSET(#REF!,6,0,COUNTA(#REF!))</definedName>
    <definedName name="FORNECEDOR" localSheetId="4">OFFSET(#REF!,6,0,COUNTA(#REF!))</definedName>
    <definedName name="FORNECEDOR" localSheetId="13">OFFSET(#REF!,6,0,COUNTA(#REF!))</definedName>
    <definedName name="FORNECEDOR" localSheetId="19">OFFSET(#REF!,6,0,COUNTA(#REF!))</definedName>
    <definedName name="FORNECEDOR">OFFSET(#REF!,6,0,COUNTA(#REF!))</definedName>
    <definedName name="FORNECEDOR_2" localSheetId="6">OFFSET(#REF!,6,0,COUNTA(#REF!))</definedName>
    <definedName name="FORNECEDOR_2" localSheetId="4">OFFSET(#REF!,6,0,COUNTA(#REF!))</definedName>
    <definedName name="FORNECEDOR_2" localSheetId="13">OFFSET(#REF!,6,0,COUNTA(#REF!))</definedName>
    <definedName name="FORNECEDOR_2" localSheetId="19">OFFSET(#REF!,6,0,COUNTA(#REF!))</definedName>
    <definedName name="FORNECEDOR_2">OFFSET(#REF!,6,0,COUNTA(#REF!))</definedName>
    <definedName name="FORNECEDOR_3" localSheetId="6">OFFSET(#REF!,6,0,COUNTA(#REF!))</definedName>
    <definedName name="FORNECEDOR_3" localSheetId="4">OFFSET(#REF!,6,0,COUNTA(#REF!))</definedName>
    <definedName name="FORNECEDOR_3" localSheetId="13">OFFSET(#REF!,6,0,COUNTA(#REF!))</definedName>
    <definedName name="FORNECEDOR_3" localSheetId="19">OFFSET(#REF!,6,0,COUNTA(#REF!))</definedName>
    <definedName name="FORNECEDOR_3">OFFSET(#REF!,6,0,COUNTA(#REF!))</definedName>
    <definedName name="FORNECEDOR_4" localSheetId="6">OFFSET(#REF!,6,0,COUNTA(#REF!))</definedName>
    <definedName name="FORNECEDOR_4" localSheetId="4">OFFSET(#REF!,6,0,COUNTA(#REF!))</definedName>
    <definedName name="FORNECEDOR_4" localSheetId="13">OFFSET(#REF!,6,0,COUNTA(#REF!))</definedName>
    <definedName name="FORNECEDOR_4" localSheetId="19">OFFSET(#REF!,6,0,COUNTA(#REF!))</definedName>
    <definedName name="FORNECEDOR_4">OFFSET(#REF!,6,0,COUNTA(#REF!))</definedName>
    <definedName name="FORNECEDOR_5" localSheetId="6">OFFSET(#REF!,6,0,COUNTA(#REF!))</definedName>
    <definedName name="FORNECEDOR_5" localSheetId="4">OFFSET(#REF!,6,0,COUNTA(#REF!))</definedName>
    <definedName name="FORNECEDOR_5" localSheetId="13">OFFSET(#REF!,6,0,COUNTA(#REF!))</definedName>
    <definedName name="FORNECEDOR_5" localSheetId="19">OFFSET(#REF!,6,0,COUNTA(#REF!))</definedName>
    <definedName name="FORNECEDOR_5">OFFSET(#REF!,6,0,COUNTA(#REF!))</definedName>
    <definedName name="FORNECEDOR_7" localSheetId="6">OFFSET(#REF!,6,0,COUNTA(#REF!))</definedName>
    <definedName name="FORNECEDOR_7" localSheetId="4">OFFSET(#REF!,6,0,COUNTA(#REF!))</definedName>
    <definedName name="FORNECEDOR_7" localSheetId="13">OFFSET(#REF!,6,0,COUNTA(#REF!))</definedName>
    <definedName name="FORNECEDOR_7" localSheetId="19">OFFSET(#REF!,6,0,COUNTA(#REF!))</definedName>
    <definedName name="FORNECEDOR_7">OFFSET(#REF!,6,0,COUNTA(#REF!))</definedName>
    <definedName name="FORNECEDOR_8" localSheetId="6">OFFSET(#REF!,6,0,COUNTA(#REF!))</definedName>
    <definedName name="FORNECEDOR_8" localSheetId="4">OFFSET(#REF!,6,0,COUNTA(#REF!))</definedName>
    <definedName name="FORNECEDOR_8" localSheetId="13">OFFSET(#REF!,6,0,COUNTA(#REF!))</definedName>
    <definedName name="FORNECEDOR_8" localSheetId="19">OFFSET(#REF!,6,0,COUNTA(#REF!))</definedName>
    <definedName name="FORNECEDOR_8">OFFSET(#REF!,6,0,COUNTA(#REF!))</definedName>
    <definedName name="frçt4r" localSheetId="9">{#N/A,#N/A,FALSE,"Plan1";#N/A,#N/A,FALSE,"Plan2"}</definedName>
    <definedName name="frçt4r" localSheetId="6">{#N/A,#N/A,FALSE,"Plan1";#N/A,#N/A,FALSE,"Plan2"}</definedName>
    <definedName name="frçt4r" localSheetId="3">{#N/A,#N/A,FALSE,"Plan1";#N/A,#N/A,FALSE,"Plan2"}</definedName>
    <definedName name="frçt4r" localSheetId="8">{#N/A,#N/A,FALSE,"Plan1";#N/A,#N/A,FALSE,"Plan2"}</definedName>
    <definedName name="frçt4r" localSheetId="5">{#N/A,#N/A,FALSE,"Plan1";#N/A,#N/A,FALSE,"Plan2"}</definedName>
    <definedName name="frçt4r" localSheetId="4">{#N/A,#N/A,FALSE,"Plan1";#N/A,#N/A,FALSE,"Plan2"}</definedName>
    <definedName name="frçt4r" localSheetId="13">{#N/A,#N/A,FALSE,"Plan1";#N/A,#N/A,FALSE,"Plan2"}</definedName>
    <definedName name="frçt4r" localSheetId="17">{#N/A,#N/A,FALSE,"Plan1";#N/A,#N/A,FALSE,"Plan2"}</definedName>
    <definedName name="frçt4r" localSheetId="0">{#N/A,#N/A,FALSE,"Plan1";#N/A,#N/A,FALSE,"Plan2"}</definedName>
    <definedName name="frçt4r" localSheetId="19">{#N/A,#N/A,FALSE,"Plan1";#N/A,#N/A,FALSE,"Plan2"}</definedName>
    <definedName name="frçt4r" localSheetId="16">{#N/A,#N/A,FALSE,"Plan1";#N/A,#N/A,FALSE,"Plan2"}</definedName>
    <definedName name="frçt4r" localSheetId="18">{#N/A,#N/A,FALSE,"Plan1";#N/A,#N/A,FALSE,"Plan2"}</definedName>
    <definedName name="frçt4r" localSheetId="10">{#N/A,#N/A,FALSE,"Plan1";#N/A,#N/A,FALSE,"Plan2"}</definedName>
    <definedName name="frçt4r">{#N/A,#N/A,FALSE,"Plan1";#N/A,#N/A,FALSE,"Plan2"}</definedName>
    <definedName name="frdtty" localSheetId="9">{#N/A,#N/A,FALSE,"Plan1";#N/A,#N/A,FALSE,"Plan2"}</definedName>
    <definedName name="frdtty" localSheetId="6">{#N/A,#N/A,FALSE,"Plan1";#N/A,#N/A,FALSE,"Plan2"}</definedName>
    <definedName name="frdtty" localSheetId="3">{#N/A,#N/A,FALSE,"Plan1";#N/A,#N/A,FALSE,"Plan2"}</definedName>
    <definedName name="frdtty" localSheetId="8">{#N/A,#N/A,FALSE,"Plan1";#N/A,#N/A,FALSE,"Plan2"}</definedName>
    <definedName name="frdtty" localSheetId="5">{#N/A,#N/A,FALSE,"Plan1";#N/A,#N/A,FALSE,"Plan2"}</definedName>
    <definedName name="frdtty" localSheetId="4">{#N/A,#N/A,FALSE,"Plan1";#N/A,#N/A,FALSE,"Plan2"}</definedName>
    <definedName name="frdtty" localSheetId="13">{#N/A,#N/A,FALSE,"Plan1";#N/A,#N/A,FALSE,"Plan2"}</definedName>
    <definedName name="frdtty" localSheetId="17">{#N/A,#N/A,FALSE,"Plan1";#N/A,#N/A,FALSE,"Plan2"}</definedName>
    <definedName name="frdtty" localSheetId="0">{#N/A,#N/A,FALSE,"Plan1";#N/A,#N/A,FALSE,"Plan2"}</definedName>
    <definedName name="frdtty" localSheetId="19">{#N/A,#N/A,FALSE,"Plan1";#N/A,#N/A,FALSE,"Plan2"}</definedName>
    <definedName name="frdtty" localSheetId="16">{#N/A,#N/A,FALSE,"Plan1";#N/A,#N/A,FALSE,"Plan2"}</definedName>
    <definedName name="frdtty" localSheetId="18">{#N/A,#N/A,FALSE,"Plan1";#N/A,#N/A,FALSE,"Plan2"}</definedName>
    <definedName name="frdtty" localSheetId="10">{#N/A,#N/A,FALSE,"Plan1";#N/A,#N/A,FALSE,"Plan2"}</definedName>
    <definedName name="frdtty">{#N/A,#N/A,FALSE,"Plan1";#N/A,#N/A,FALSE,"Plan2"}</definedName>
    <definedName name="fsdfsf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9">{#N/A,#N/A,FALSE,"Plan1";#N/A,#N/A,FALSE,"Plan2"}</definedName>
    <definedName name="fuihgjk" localSheetId="6">{#N/A,#N/A,FALSE,"Plan1";#N/A,#N/A,FALSE,"Plan2"}</definedName>
    <definedName name="fuihgjk" localSheetId="3">{#N/A,#N/A,FALSE,"Plan1";#N/A,#N/A,FALSE,"Plan2"}</definedName>
    <definedName name="fuihgjk" localSheetId="8">{#N/A,#N/A,FALSE,"Plan1";#N/A,#N/A,FALSE,"Plan2"}</definedName>
    <definedName name="fuihgjk" localSheetId="5">{#N/A,#N/A,FALSE,"Plan1";#N/A,#N/A,FALSE,"Plan2"}</definedName>
    <definedName name="fuihgjk" localSheetId="4">{#N/A,#N/A,FALSE,"Plan1";#N/A,#N/A,FALSE,"Plan2"}</definedName>
    <definedName name="fuihgjk" localSheetId="13">{#N/A,#N/A,FALSE,"Plan1";#N/A,#N/A,FALSE,"Plan2"}</definedName>
    <definedName name="fuihgjk" localSheetId="17">{#N/A,#N/A,FALSE,"Plan1";#N/A,#N/A,FALSE,"Plan2"}</definedName>
    <definedName name="fuihgjk" localSheetId="0">{#N/A,#N/A,FALSE,"Plan1";#N/A,#N/A,FALSE,"Plan2"}</definedName>
    <definedName name="fuihgjk" localSheetId="19">{#N/A,#N/A,FALSE,"Plan1";#N/A,#N/A,FALSE,"Plan2"}</definedName>
    <definedName name="fuihgjk" localSheetId="16">{#N/A,#N/A,FALSE,"Plan1";#N/A,#N/A,FALSE,"Plan2"}</definedName>
    <definedName name="fuihgjk" localSheetId="18">{#N/A,#N/A,FALSE,"Plan1";#N/A,#N/A,FALSE,"Plan2"}</definedName>
    <definedName name="fuihgjk" localSheetId="10">{#N/A,#N/A,FALSE,"Plan1";#N/A,#N/A,FALSE,"Plan2"}</definedName>
    <definedName name="fuihgjk">{#N/A,#N/A,FALSE,"Plan1";#N/A,#N/A,FALSE,"Plan2"}</definedName>
    <definedName name="fuste" localSheetId="3">#REF!</definedName>
    <definedName name="fuste" localSheetId="5">#REF!</definedName>
    <definedName name="fuste" localSheetId="13">#REF!</definedName>
    <definedName name="fuste" localSheetId="26">#REF!</definedName>
    <definedName name="fuste">#REF!</definedName>
    <definedName name="fxjghkfg" localSheetId="9">{#N/A,#N/A,FALSE,"Plan1";#N/A,#N/A,FALSE,"Plan2"}</definedName>
    <definedName name="fxjghkfg" localSheetId="6">{#N/A,#N/A,FALSE,"Plan1";#N/A,#N/A,FALSE,"Plan2"}</definedName>
    <definedName name="fxjghkfg" localSheetId="3">{#N/A,#N/A,FALSE,"Plan1";#N/A,#N/A,FALSE,"Plan2"}</definedName>
    <definedName name="fxjghkfg" localSheetId="8">{#N/A,#N/A,FALSE,"Plan1";#N/A,#N/A,FALSE,"Plan2"}</definedName>
    <definedName name="fxjghkfg" localSheetId="5">{#N/A,#N/A,FALSE,"Plan1";#N/A,#N/A,FALSE,"Plan2"}</definedName>
    <definedName name="fxjghkfg" localSheetId="4">{#N/A,#N/A,FALSE,"Plan1";#N/A,#N/A,FALSE,"Plan2"}</definedName>
    <definedName name="fxjghkfg" localSheetId="13">{#N/A,#N/A,FALSE,"Plan1";#N/A,#N/A,FALSE,"Plan2"}</definedName>
    <definedName name="fxjghkfg" localSheetId="17">{#N/A,#N/A,FALSE,"Plan1";#N/A,#N/A,FALSE,"Plan2"}</definedName>
    <definedName name="fxjghkfg" localSheetId="0">{#N/A,#N/A,FALSE,"Plan1";#N/A,#N/A,FALSE,"Plan2"}</definedName>
    <definedName name="fxjghkfg" localSheetId="19">{#N/A,#N/A,FALSE,"Plan1";#N/A,#N/A,FALSE,"Plan2"}</definedName>
    <definedName name="fxjghkfg" localSheetId="16">{#N/A,#N/A,FALSE,"Plan1";#N/A,#N/A,FALSE,"Plan2"}</definedName>
    <definedName name="fxjghkfg" localSheetId="18">{#N/A,#N/A,FALSE,"Plan1";#N/A,#N/A,FALSE,"Plan2"}</definedName>
    <definedName name="fxjghkfg" localSheetId="10">{#N/A,#N/A,FALSE,"Plan1";#N/A,#N/A,FALSE,"Plan2"}</definedName>
    <definedName name="fxjghkfg">{#N/A,#N/A,FALSE,"Plan1";#N/A,#N/A,FALSE,"Plan2"}</definedName>
    <definedName name="g_10" localSheetId="3">#REF!</definedName>
    <definedName name="g_10" localSheetId="5">#REF!</definedName>
    <definedName name="g_10" localSheetId="13">#REF!</definedName>
    <definedName name="g_10" localSheetId="26">#REF!</definedName>
    <definedName name="g_10">#REF!</definedName>
    <definedName name="g_11" localSheetId="3">#REF!</definedName>
    <definedName name="g_11" localSheetId="5">#REF!</definedName>
    <definedName name="g_11" localSheetId="13">#REF!</definedName>
    <definedName name="g_11" localSheetId="26">#REF!</definedName>
    <definedName name="g_11">#REF!</definedName>
    <definedName name="g_12" localSheetId="3">#REF!</definedName>
    <definedName name="g_12" localSheetId="5">#REF!</definedName>
    <definedName name="g_12" localSheetId="13">#REF!</definedName>
    <definedName name="g_12" localSheetId="26">#REF!</definedName>
    <definedName name="g_12">#REF!</definedName>
    <definedName name="g_13" localSheetId="3">#REF!</definedName>
    <definedName name="g_13" localSheetId="5">#REF!</definedName>
    <definedName name="g_13" localSheetId="13">#REF!</definedName>
    <definedName name="g_13" localSheetId="26">#REF!</definedName>
    <definedName name="g_13">#REF!</definedName>
    <definedName name="g_15" localSheetId="3">#REF!</definedName>
    <definedName name="g_15" localSheetId="5">#REF!</definedName>
    <definedName name="g_15" localSheetId="13">#REF!</definedName>
    <definedName name="g_15" localSheetId="26">#REF!</definedName>
    <definedName name="g_15">#REF!</definedName>
    <definedName name="g_16" localSheetId="3">#REF!</definedName>
    <definedName name="g_16" localSheetId="5">#REF!</definedName>
    <definedName name="g_16" localSheetId="13">#REF!</definedName>
    <definedName name="g_16" localSheetId="26">#REF!</definedName>
    <definedName name="g_16">#REF!</definedName>
    <definedName name="g_17" localSheetId="3">#REF!</definedName>
    <definedName name="g_17" localSheetId="5">#REF!</definedName>
    <definedName name="g_17" localSheetId="13">#REF!</definedName>
    <definedName name="g_17" localSheetId="26">#REF!</definedName>
    <definedName name="g_17">#REF!</definedName>
    <definedName name="g_19" localSheetId="3">#REF!</definedName>
    <definedName name="g_19" localSheetId="5">#REF!</definedName>
    <definedName name="g_19" localSheetId="13">#REF!</definedName>
    <definedName name="g_19" localSheetId="26">#REF!</definedName>
    <definedName name="g_19">#REF!</definedName>
    <definedName name="g_21" localSheetId="3">#REF!</definedName>
    <definedName name="g_21" localSheetId="5">#REF!</definedName>
    <definedName name="g_21" localSheetId="13">#REF!</definedName>
    <definedName name="g_21" localSheetId="26">#REF!</definedName>
    <definedName name="g_21">#REF!</definedName>
    <definedName name="g_25" localSheetId="3">#REF!</definedName>
    <definedName name="g_25" localSheetId="5">#REF!</definedName>
    <definedName name="g_25" localSheetId="13">#REF!</definedName>
    <definedName name="g_25" localSheetId="26">#REF!</definedName>
    <definedName name="g_25">#REF!</definedName>
    <definedName name="g_27" localSheetId="3">#REF!</definedName>
    <definedName name="g_27" localSheetId="5">#REF!</definedName>
    <definedName name="g_27" localSheetId="13">#REF!</definedName>
    <definedName name="g_27" localSheetId="26">#REF!</definedName>
    <definedName name="g_27">#REF!</definedName>
    <definedName name="g_31" localSheetId="3">#REF!</definedName>
    <definedName name="g_31" localSheetId="5">#REF!</definedName>
    <definedName name="g_31" localSheetId="13">#REF!</definedName>
    <definedName name="g_31" localSheetId="26">#REF!</definedName>
    <definedName name="g_31">#REF!</definedName>
    <definedName name="g_32" localSheetId="3">#REF!</definedName>
    <definedName name="g_32" localSheetId="5">#REF!</definedName>
    <definedName name="g_32" localSheetId="13">#REF!</definedName>
    <definedName name="g_32" localSheetId="26">#REF!</definedName>
    <definedName name="g_32">#REF!</definedName>
    <definedName name="g_33" localSheetId="3">#REF!</definedName>
    <definedName name="g_33" localSheetId="5">#REF!</definedName>
    <definedName name="g_33" localSheetId="13">#REF!</definedName>
    <definedName name="g_33" localSheetId="26">#REF!</definedName>
    <definedName name="g_33">#REF!</definedName>
    <definedName name="g_34" localSheetId="3">#REF!</definedName>
    <definedName name="g_34" localSheetId="5">#REF!</definedName>
    <definedName name="g_34" localSheetId="13">#REF!</definedName>
    <definedName name="g_34" localSheetId="26">#REF!</definedName>
    <definedName name="g_34">#REF!</definedName>
    <definedName name="G_35" localSheetId="3">#REF!</definedName>
    <definedName name="G_35" localSheetId="5">#REF!</definedName>
    <definedName name="G_35" localSheetId="13">#REF!</definedName>
    <definedName name="G_35" localSheetId="26">#REF!</definedName>
    <definedName name="G_35">#REF!</definedName>
    <definedName name="g_37" localSheetId="3">#REF!</definedName>
    <definedName name="g_37" localSheetId="5">#REF!</definedName>
    <definedName name="g_37" localSheetId="13">#REF!</definedName>
    <definedName name="g_37" localSheetId="26">#REF!</definedName>
    <definedName name="g_37">#REF!</definedName>
    <definedName name="g_41" localSheetId="3">#REF!</definedName>
    <definedName name="g_41" localSheetId="5">#REF!</definedName>
    <definedName name="g_41" localSheetId="13">#REF!</definedName>
    <definedName name="g_41" localSheetId="26">#REF!</definedName>
    <definedName name="g_41">#REF!</definedName>
    <definedName name="g_42" localSheetId="3">#REF!</definedName>
    <definedName name="g_42" localSheetId="5">#REF!</definedName>
    <definedName name="g_42" localSheetId="13">#REF!</definedName>
    <definedName name="g_42" localSheetId="26">#REF!</definedName>
    <definedName name="g_42">#REF!</definedName>
    <definedName name="g_45" localSheetId="3">#REF!</definedName>
    <definedName name="g_45" localSheetId="5">#REF!</definedName>
    <definedName name="g_45" localSheetId="13">#REF!</definedName>
    <definedName name="g_45" localSheetId="26">#REF!</definedName>
    <definedName name="g_45">#REF!</definedName>
    <definedName name="g_47" localSheetId="3">#REF!</definedName>
    <definedName name="g_47" localSheetId="5">#REF!</definedName>
    <definedName name="g_47" localSheetId="13">#REF!</definedName>
    <definedName name="g_47" localSheetId="26">#REF!</definedName>
    <definedName name="g_47">#REF!</definedName>
    <definedName name="g_51" localSheetId="3">#REF!</definedName>
    <definedName name="g_51" localSheetId="5">#REF!</definedName>
    <definedName name="g_51" localSheetId="13">#REF!</definedName>
    <definedName name="g_51" localSheetId="26">#REF!</definedName>
    <definedName name="g_51">#REF!</definedName>
    <definedName name="g_52" localSheetId="3">#REF!</definedName>
    <definedName name="g_52" localSheetId="5">#REF!</definedName>
    <definedName name="g_52" localSheetId="13">#REF!</definedName>
    <definedName name="g_52" localSheetId="26">#REF!</definedName>
    <definedName name="g_52">#REF!</definedName>
    <definedName name="g_53" localSheetId="3">#REF!</definedName>
    <definedName name="g_53" localSheetId="5">#REF!</definedName>
    <definedName name="g_53" localSheetId="13">#REF!</definedName>
    <definedName name="g_53" localSheetId="26">#REF!</definedName>
    <definedName name="g_53">#REF!</definedName>
    <definedName name="G_54" localSheetId="3">#REF!</definedName>
    <definedName name="G_54" localSheetId="5">#REF!</definedName>
    <definedName name="G_54" localSheetId="13">#REF!</definedName>
    <definedName name="G_54" localSheetId="26">#REF!</definedName>
    <definedName name="G_54">#REF!</definedName>
    <definedName name="G_55" localSheetId="3">#REF!</definedName>
    <definedName name="G_55" localSheetId="5">#REF!</definedName>
    <definedName name="G_55" localSheetId="13">#REF!</definedName>
    <definedName name="G_55" localSheetId="26">#REF!</definedName>
    <definedName name="G_55">#REF!</definedName>
    <definedName name="G_56" localSheetId="3">#REF!</definedName>
    <definedName name="G_56" localSheetId="5">#REF!</definedName>
    <definedName name="G_56" localSheetId="13">#REF!</definedName>
    <definedName name="G_56" localSheetId="26">#REF!</definedName>
    <definedName name="G_56">#REF!</definedName>
    <definedName name="G_57" localSheetId="3">#REF!</definedName>
    <definedName name="G_57" localSheetId="5">#REF!</definedName>
    <definedName name="G_57" localSheetId="13">#REF!</definedName>
    <definedName name="G_57" localSheetId="26">#REF!</definedName>
    <definedName name="G_57">#REF!</definedName>
    <definedName name="G_58" localSheetId="3">#REF!</definedName>
    <definedName name="G_58" localSheetId="5">#REF!</definedName>
    <definedName name="G_58" localSheetId="13">#REF!</definedName>
    <definedName name="G_58" localSheetId="26">#REF!</definedName>
    <definedName name="G_58">#REF!</definedName>
    <definedName name="G_59" localSheetId="3">#REF!</definedName>
    <definedName name="G_59" localSheetId="5">#REF!</definedName>
    <definedName name="G_59" localSheetId="13">#REF!</definedName>
    <definedName name="G_59" localSheetId="26">#REF!</definedName>
    <definedName name="G_59">#REF!</definedName>
    <definedName name="G_61" localSheetId="3">#REF!</definedName>
    <definedName name="G_61" localSheetId="5">#REF!</definedName>
    <definedName name="G_61" localSheetId="13">#REF!</definedName>
    <definedName name="G_61" localSheetId="26">#REF!</definedName>
    <definedName name="G_61">#REF!</definedName>
    <definedName name="G_63" localSheetId="3">#REF!</definedName>
    <definedName name="G_63" localSheetId="5">#REF!</definedName>
    <definedName name="G_63" localSheetId="13">#REF!</definedName>
    <definedName name="G_63" localSheetId="26">#REF!</definedName>
    <definedName name="G_63">#REF!</definedName>
    <definedName name="G_65" localSheetId="3">#REF!</definedName>
    <definedName name="G_65" localSheetId="5">#REF!</definedName>
    <definedName name="G_65" localSheetId="13">#REF!</definedName>
    <definedName name="G_65" localSheetId="26">#REF!</definedName>
    <definedName name="G_65">#REF!</definedName>
    <definedName name="G_67" localSheetId="3">#REF!</definedName>
    <definedName name="G_67" localSheetId="5">#REF!</definedName>
    <definedName name="G_67" localSheetId="13">#REF!</definedName>
    <definedName name="G_67" localSheetId="26">#REF!</definedName>
    <definedName name="G_67">#REF!</definedName>
    <definedName name="g_68" localSheetId="3">#REF!</definedName>
    <definedName name="g_68" localSheetId="5">#REF!</definedName>
    <definedName name="g_68" localSheetId="13">#REF!</definedName>
    <definedName name="g_68" localSheetId="26">#REF!</definedName>
    <definedName name="g_68">#REF!</definedName>
    <definedName name="g_69" localSheetId="3">#REF!</definedName>
    <definedName name="g_69" localSheetId="5">#REF!</definedName>
    <definedName name="g_69" localSheetId="13">#REF!</definedName>
    <definedName name="g_69" localSheetId="26">#REF!</definedName>
    <definedName name="g_69">#REF!</definedName>
    <definedName name="G_71" localSheetId="3">#REF!</definedName>
    <definedName name="G_71" localSheetId="5">#REF!</definedName>
    <definedName name="G_71" localSheetId="13">#REF!</definedName>
    <definedName name="G_71" localSheetId="26">#REF!</definedName>
    <definedName name="G_71">#REF!</definedName>
    <definedName name="G_73" localSheetId="3">#REF!</definedName>
    <definedName name="G_73" localSheetId="5">#REF!</definedName>
    <definedName name="G_73" localSheetId="13">#REF!</definedName>
    <definedName name="G_73" localSheetId="26">#REF!</definedName>
    <definedName name="G_73">#REF!</definedName>
    <definedName name="G_75" localSheetId="3">#REF!</definedName>
    <definedName name="G_75" localSheetId="5">#REF!</definedName>
    <definedName name="G_75" localSheetId="13">#REF!</definedName>
    <definedName name="G_75" localSheetId="26">#REF!</definedName>
    <definedName name="G_75">#REF!</definedName>
    <definedName name="G_77" localSheetId="3">#REF!</definedName>
    <definedName name="G_77" localSheetId="5">#REF!</definedName>
    <definedName name="G_77" localSheetId="13">#REF!</definedName>
    <definedName name="G_77" localSheetId="26">#REF!</definedName>
    <definedName name="G_77">#REF!</definedName>
    <definedName name="G_78" localSheetId="3">#REF!</definedName>
    <definedName name="G_78" localSheetId="5">#REF!</definedName>
    <definedName name="G_78" localSheetId="13">#REF!</definedName>
    <definedName name="G_78" localSheetId="26">#REF!</definedName>
    <definedName name="G_78">#REF!</definedName>
    <definedName name="G_81" localSheetId="3">#REF!</definedName>
    <definedName name="G_81" localSheetId="5">#REF!</definedName>
    <definedName name="G_81" localSheetId="13">#REF!</definedName>
    <definedName name="G_81" localSheetId="26">#REF!</definedName>
    <definedName name="G_81">#REF!</definedName>
    <definedName name="G_83" localSheetId="3">#REF!</definedName>
    <definedName name="G_83" localSheetId="5">#REF!</definedName>
    <definedName name="G_83" localSheetId="13">#REF!</definedName>
    <definedName name="G_83" localSheetId="26">#REF!</definedName>
    <definedName name="G_83">#REF!</definedName>
    <definedName name="G_85" localSheetId="3">#REF!</definedName>
    <definedName name="G_85" localSheetId="5">#REF!</definedName>
    <definedName name="G_85" localSheetId="13">#REF!</definedName>
    <definedName name="G_85" localSheetId="26">#REF!</definedName>
    <definedName name="G_85">#REF!</definedName>
    <definedName name="G_87" localSheetId="3">#REF!</definedName>
    <definedName name="G_87" localSheetId="5">#REF!</definedName>
    <definedName name="G_87" localSheetId="13">#REF!</definedName>
    <definedName name="G_87" localSheetId="26">#REF!</definedName>
    <definedName name="G_87">#REF!</definedName>
    <definedName name="G_90" localSheetId="3">#REF!</definedName>
    <definedName name="G_90" localSheetId="5">#REF!</definedName>
    <definedName name="G_90" localSheetId="13">#REF!</definedName>
    <definedName name="G_90" localSheetId="26">#REF!</definedName>
    <definedName name="G_90">#REF!</definedName>
    <definedName name="G_91" localSheetId="3">#REF!</definedName>
    <definedName name="G_91" localSheetId="5">#REF!</definedName>
    <definedName name="G_91" localSheetId="13">#REF!</definedName>
    <definedName name="G_91" localSheetId="26">#REF!</definedName>
    <definedName name="G_91">#REF!</definedName>
    <definedName name="G_92" localSheetId="3">#REF!</definedName>
    <definedName name="G_92" localSheetId="5">#REF!</definedName>
    <definedName name="G_92" localSheetId="13">#REF!</definedName>
    <definedName name="G_92" localSheetId="26">#REF!</definedName>
    <definedName name="G_92">#REF!</definedName>
    <definedName name="G_94" localSheetId="3">#REF!</definedName>
    <definedName name="G_94" localSheetId="5">#REF!</definedName>
    <definedName name="G_94" localSheetId="13">#REF!</definedName>
    <definedName name="G_94" localSheetId="26">#REF!</definedName>
    <definedName name="G_94">#REF!</definedName>
    <definedName name="G_95" localSheetId="3">#REF!</definedName>
    <definedName name="G_95" localSheetId="5">#REF!</definedName>
    <definedName name="G_95" localSheetId="13">#REF!</definedName>
    <definedName name="G_95" localSheetId="26">#REF!</definedName>
    <definedName name="G_95">#REF!</definedName>
    <definedName name="G_96" localSheetId="3">#REF!</definedName>
    <definedName name="G_96" localSheetId="5">#REF!</definedName>
    <definedName name="G_96" localSheetId="13">#REF!</definedName>
    <definedName name="G_96" localSheetId="26">#REF!</definedName>
    <definedName name="G_96">#REF!</definedName>
    <definedName name="gal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3">#REF!</definedName>
    <definedName name="GARAGEM" localSheetId="5">#REF!</definedName>
    <definedName name="GARAGEM" localSheetId="13">#REF!</definedName>
    <definedName name="GARAGEM" localSheetId="26">#REF!</definedName>
    <definedName name="GARAGEM">#REF!</definedName>
    <definedName name="garcia" localSheetId="3">#REF!</definedName>
    <definedName name="garcia" localSheetId="5">#REF!</definedName>
    <definedName name="garcia" localSheetId="13">#REF!</definedName>
    <definedName name="garcia" localSheetId="26">#REF!</definedName>
    <definedName name="garcia">#REF!</definedName>
    <definedName name="GASTOS_JULHO" localSheetId="3">#REF!</definedName>
    <definedName name="GASTOS_JULHO" localSheetId="5">#REF!</definedName>
    <definedName name="GASTOS_JULHO" localSheetId="13">#REF!</definedName>
    <definedName name="GASTOS_JULHO" localSheetId="26">#REF!</definedName>
    <definedName name="GASTOS_JULHO">#REF!</definedName>
    <definedName name="gbdjkvhgd" localSheetId="9">{#N/A,#N/A,FALSE,"Plan1";#N/A,#N/A,FALSE,"Plan2"}</definedName>
    <definedName name="gbdjkvhgd" localSheetId="6">{#N/A,#N/A,FALSE,"Plan1";#N/A,#N/A,FALSE,"Plan2"}</definedName>
    <definedName name="gbdjkvhgd" localSheetId="3">{#N/A,#N/A,FALSE,"Plan1";#N/A,#N/A,FALSE,"Plan2"}</definedName>
    <definedName name="gbdjkvhgd" localSheetId="8">{#N/A,#N/A,FALSE,"Plan1";#N/A,#N/A,FALSE,"Plan2"}</definedName>
    <definedName name="gbdjkvhgd" localSheetId="5">{#N/A,#N/A,FALSE,"Plan1";#N/A,#N/A,FALSE,"Plan2"}</definedName>
    <definedName name="gbdjkvhgd" localSheetId="4">{#N/A,#N/A,FALSE,"Plan1";#N/A,#N/A,FALSE,"Plan2"}</definedName>
    <definedName name="gbdjkvhgd" localSheetId="13">{#N/A,#N/A,FALSE,"Plan1";#N/A,#N/A,FALSE,"Plan2"}</definedName>
    <definedName name="gbdjkvhgd" localSheetId="17">{#N/A,#N/A,FALSE,"Plan1";#N/A,#N/A,FALSE,"Plan2"}</definedName>
    <definedName name="gbdjkvhgd" localSheetId="0">{#N/A,#N/A,FALSE,"Plan1";#N/A,#N/A,FALSE,"Plan2"}</definedName>
    <definedName name="gbdjkvhgd" localSheetId="19">{#N/A,#N/A,FALSE,"Plan1";#N/A,#N/A,FALSE,"Plan2"}</definedName>
    <definedName name="gbdjkvhgd" localSheetId="16">{#N/A,#N/A,FALSE,"Plan1";#N/A,#N/A,FALSE,"Plan2"}</definedName>
    <definedName name="gbdjkvhgd" localSheetId="18">{#N/A,#N/A,FALSE,"Plan1";#N/A,#N/A,FALSE,"Plan2"}</definedName>
    <definedName name="gbdjkvhgd" localSheetId="10">{#N/A,#N/A,FALSE,"Plan1";#N/A,#N/A,FALSE,"Plan2"}</definedName>
    <definedName name="gbdjkvhgd">{#N/A,#N/A,FALSE,"Plan1";#N/A,#N/A,FALSE,"Plan2"}</definedName>
    <definedName name="gbdsjgsjfdgj" localSheetId="9">{#N/A,#N/A,FALSE,"Plan1";#N/A,#N/A,FALSE,"Plan2"}</definedName>
    <definedName name="gbdsjgsjfdgj" localSheetId="6">{#N/A,#N/A,FALSE,"Plan1";#N/A,#N/A,FALSE,"Plan2"}</definedName>
    <definedName name="gbdsjgsjfdgj" localSheetId="3">{#N/A,#N/A,FALSE,"Plan1";#N/A,#N/A,FALSE,"Plan2"}</definedName>
    <definedName name="gbdsjgsjfdgj" localSheetId="8">{#N/A,#N/A,FALSE,"Plan1";#N/A,#N/A,FALSE,"Plan2"}</definedName>
    <definedName name="gbdsjgsjfdgj" localSheetId="5">{#N/A,#N/A,FALSE,"Plan1";#N/A,#N/A,FALSE,"Plan2"}</definedName>
    <definedName name="gbdsjgsjfdgj" localSheetId="4">{#N/A,#N/A,FALSE,"Plan1";#N/A,#N/A,FALSE,"Plan2"}</definedName>
    <definedName name="gbdsjgsjfdgj" localSheetId="13">{#N/A,#N/A,FALSE,"Plan1";#N/A,#N/A,FALSE,"Plan2"}</definedName>
    <definedName name="gbdsjgsjfdgj" localSheetId="17">{#N/A,#N/A,FALSE,"Plan1";#N/A,#N/A,FALSE,"Plan2"}</definedName>
    <definedName name="gbdsjgsjfdgj" localSheetId="0">{#N/A,#N/A,FALSE,"Plan1";#N/A,#N/A,FALSE,"Plan2"}</definedName>
    <definedName name="gbdsjgsjfdgj" localSheetId="19">{#N/A,#N/A,FALSE,"Plan1";#N/A,#N/A,FALSE,"Plan2"}</definedName>
    <definedName name="gbdsjgsjfdgj" localSheetId="16">{#N/A,#N/A,FALSE,"Plan1";#N/A,#N/A,FALSE,"Plan2"}</definedName>
    <definedName name="gbdsjgsjfdgj" localSheetId="18">{#N/A,#N/A,FALSE,"Plan1";#N/A,#N/A,FALSE,"Plan2"}</definedName>
    <definedName name="gbdsjgsjfdgj" localSheetId="10">{#N/A,#N/A,FALSE,"Plan1";#N/A,#N/A,FALSE,"Plan2"}</definedName>
    <definedName name="gbdsjgsjfdgj">{#N/A,#N/A,FALSE,"Plan1";#N/A,#N/A,FALSE,"Plan2"}</definedName>
    <definedName name="gdfdhgfjgj" localSheetId="9">{#N/A,#N/A,FALSE,"Plan1";#N/A,#N/A,FALSE,"Plan2"}</definedName>
    <definedName name="gdfdhgfjgj" localSheetId="6">{#N/A,#N/A,FALSE,"Plan1";#N/A,#N/A,FALSE,"Plan2"}</definedName>
    <definedName name="gdfdhgfjgj" localSheetId="3">{#N/A,#N/A,FALSE,"Plan1";#N/A,#N/A,FALSE,"Plan2"}</definedName>
    <definedName name="gdfdhgfjgj" localSheetId="8">{#N/A,#N/A,FALSE,"Plan1";#N/A,#N/A,FALSE,"Plan2"}</definedName>
    <definedName name="gdfdhgfjgj" localSheetId="5">{#N/A,#N/A,FALSE,"Plan1";#N/A,#N/A,FALSE,"Plan2"}</definedName>
    <definedName name="gdfdhgfjgj" localSheetId="4">{#N/A,#N/A,FALSE,"Plan1";#N/A,#N/A,FALSE,"Plan2"}</definedName>
    <definedName name="gdfdhgfjgj" localSheetId="13">{#N/A,#N/A,FALSE,"Plan1";#N/A,#N/A,FALSE,"Plan2"}</definedName>
    <definedName name="gdfdhgfjgj" localSheetId="17">{#N/A,#N/A,FALSE,"Plan1";#N/A,#N/A,FALSE,"Plan2"}</definedName>
    <definedName name="gdfdhgfjgj" localSheetId="0">{#N/A,#N/A,FALSE,"Plan1";#N/A,#N/A,FALSE,"Plan2"}</definedName>
    <definedName name="gdfdhgfjgj" localSheetId="19">{#N/A,#N/A,FALSE,"Plan1";#N/A,#N/A,FALSE,"Plan2"}</definedName>
    <definedName name="gdfdhgfjgj" localSheetId="16">{#N/A,#N/A,FALSE,"Plan1";#N/A,#N/A,FALSE,"Plan2"}</definedName>
    <definedName name="gdfdhgfjgj" localSheetId="18">{#N/A,#N/A,FALSE,"Plan1";#N/A,#N/A,FALSE,"Plan2"}</definedName>
    <definedName name="gdfdhgfjgj" localSheetId="10">{#N/A,#N/A,FALSE,"Plan1";#N/A,#N/A,FALSE,"Plan2"}</definedName>
    <definedName name="gdfdhgfjgj">{#N/A,#N/A,FALSE,"Plan1";#N/A,#N/A,FALSE,"Plan2"}</definedName>
    <definedName name="gdfgdstggt" localSheetId="9">{#N/A,#N/A,FALSE,"Plan1";#N/A,#N/A,FALSE,"Plan2"}</definedName>
    <definedName name="gdfgdstggt" localSheetId="6">{#N/A,#N/A,FALSE,"Plan1";#N/A,#N/A,FALSE,"Plan2"}</definedName>
    <definedName name="gdfgdstggt" localSheetId="3">{#N/A,#N/A,FALSE,"Plan1";#N/A,#N/A,FALSE,"Plan2"}</definedName>
    <definedName name="gdfgdstggt" localSheetId="8">{#N/A,#N/A,FALSE,"Plan1";#N/A,#N/A,FALSE,"Plan2"}</definedName>
    <definedName name="gdfgdstggt" localSheetId="5">{#N/A,#N/A,FALSE,"Plan1";#N/A,#N/A,FALSE,"Plan2"}</definedName>
    <definedName name="gdfgdstggt" localSheetId="4">{#N/A,#N/A,FALSE,"Plan1";#N/A,#N/A,FALSE,"Plan2"}</definedName>
    <definedName name="gdfgdstggt" localSheetId="13">{#N/A,#N/A,FALSE,"Plan1";#N/A,#N/A,FALSE,"Plan2"}</definedName>
    <definedName name="gdfgdstggt" localSheetId="17">{#N/A,#N/A,FALSE,"Plan1";#N/A,#N/A,FALSE,"Plan2"}</definedName>
    <definedName name="gdfgdstggt" localSheetId="0">{#N/A,#N/A,FALSE,"Plan1";#N/A,#N/A,FALSE,"Plan2"}</definedName>
    <definedName name="gdfgdstggt" localSheetId="19">{#N/A,#N/A,FALSE,"Plan1";#N/A,#N/A,FALSE,"Plan2"}</definedName>
    <definedName name="gdfgdstggt" localSheetId="16">{#N/A,#N/A,FALSE,"Plan1";#N/A,#N/A,FALSE,"Plan2"}</definedName>
    <definedName name="gdfgdstggt" localSheetId="18">{#N/A,#N/A,FALSE,"Plan1";#N/A,#N/A,FALSE,"Plan2"}</definedName>
    <definedName name="gdfgdstggt" localSheetId="10">{#N/A,#N/A,FALSE,"Plan1";#N/A,#N/A,FALSE,"Plan2"}</definedName>
    <definedName name="gdfgdstggt">{#N/A,#N/A,FALSE,"Plan1";#N/A,#N/A,FALSE,"Plan2"}</definedName>
    <definedName name="GDFHGRJGFJDRF" localSheetId="9">{"Econ Consolidado",#N/A,FALSE,"Econ Consol";"Fluxo de Caixa",#N/A,FALSE,"Fluxo Caixa";"Investimentos",#N/A,FALSE,"Investimentos"}</definedName>
    <definedName name="GDFHGRJGFJDRF" localSheetId="6">{"Econ Consolidado",#N/A,FALSE,"Econ Consol";"Fluxo de Caixa",#N/A,FALSE,"Fluxo Caixa";"Investimentos",#N/A,FALSE,"Investimentos"}</definedName>
    <definedName name="GDFHGRJGFJDRF" localSheetId="3">{"Econ Consolidado",#N/A,FALSE,"Econ Consol";"Fluxo de Caixa",#N/A,FALSE,"Fluxo Caixa";"Investimentos",#N/A,FALSE,"Investimentos"}</definedName>
    <definedName name="GDFHGRJGFJDRF" localSheetId="8">{"Econ Consolidado",#N/A,FALSE,"Econ Consol";"Fluxo de Caixa",#N/A,FALSE,"Fluxo Caixa";"Investimentos",#N/A,FALSE,"Investimentos"}</definedName>
    <definedName name="GDFHGRJGFJDRF" localSheetId="5">{"Econ Consolidado",#N/A,FALSE,"Econ Consol";"Fluxo de Caixa",#N/A,FALSE,"Fluxo Caixa";"Investimentos",#N/A,FALSE,"Investimentos"}</definedName>
    <definedName name="GDFHGRJGFJDRF" localSheetId="4">{"Econ Consolidado",#N/A,FALSE,"Econ Consol";"Fluxo de Caixa",#N/A,FALSE,"Fluxo Caixa";"Investimentos",#N/A,FALSE,"Investimentos"}</definedName>
    <definedName name="GDFHGRJGFJDRF" localSheetId="13">{"Econ Consolidado",#N/A,FALSE,"Econ Consol";"Fluxo de Caixa",#N/A,FALSE,"Fluxo Caixa";"Investimentos",#N/A,FALSE,"Investimentos"}</definedName>
    <definedName name="GDFHGRJGFJDRF" localSheetId="17">{"Econ Consolidado",#N/A,FALSE,"Econ Consol";"Fluxo de Caixa",#N/A,FALSE,"Fluxo Caixa";"Investimentos",#N/A,FALSE,"Investimentos"}</definedName>
    <definedName name="GDFHGRJGFJDRF" localSheetId="0">{"Econ Consolidado",#N/A,FALSE,"Econ Consol";"Fluxo de Caixa",#N/A,FALSE,"Fluxo Caixa";"Investimentos",#N/A,FALSE,"Investimentos"}</definedName>
    <definedName name="GDFHGRJGFJDRF" localSheetId="19">{"Econ Consolidado",#N/A,FALSE,"Econ Consol";"Fluxo de Caixa",#N/A,FALSE,"Fluxo Caixa";"Investimentos",#N/A,FALSE,"Investimentos"}</definedName>
    <definedName name="GDFHGRJGFJDRF" localSheetId="16">{"Econ Consolidado",#N/A,FALSE,"Econ Consol";"Fluxo de Caixa",#N/A,FALSE,"Fluxo Caixa";"Investimentos",#N/A,FALSE,"Investimentos"}</definedName>
    <definedName name="GDFHGRJGFJDRF" localSheetId="18">{"Econ Consolidado",#N/A,FALSE,"Econ Consol";"Fluxo de Caixa",#N/A,FALSE,"Fluxo Caixa";"Investimentos",#N/A,FALSE,"Investimentos"}</definedName>
    <definedName name="GDFHGRJGFJDRF" localSheetId="10">{"Econ Consolidado",#N/A,FALSE,"Econ Consol";"Fluxo de Caixa",#N/A,FALSE,"Fluxo Caixa";"Investimentos",#N/A,FALSE,"Investimentos"}</definedName>
    <definedName name="GDFHGRJGFJDRF">{"Econ Consolidado",#N/A,FALSE,"Econ Consol";"Fluxo de Caixa",#N/A,FALSE,"Fluxo Caixa";"Investimentos",#N/A,FALSE,"Investimentos"}</definedName>
    <definedName name="gdfigfhuyuy" localSheetId="9">{#N/A,#N/A,FALSE,"Plan1";#N/A,#N/A,FALSE,"Plan2"}</definedName>
    <definedName name="gdfigfhuyuy" localSheetId="6">{#N/A,#N/A,FALSE,"Plan1";#N/A,#N/A,FALSE,"Plan2"}</definedName>
    <definedName name="gdfigfhuyuy" localSheetId="3">{#N/A,#N/A,FALSE,"Plan1";#N/A,#N/A,FALSE,"Plan2"}</definedName>
    <definedName name="gdfigfhuyuy" localSheetId="8">{#N/A,#N/A,FALSE,"Plan1";#N/A,#N/A,FALSE,"Plan2"}</definedName>
    <definedName name="gdfigfhuyuy" localSheetId="5">{#N/A,#N/A,FALSE,"Plan1";#N/A,#N/A,FALSE,"Plan2"}</definedName>
    <definedName name="gdfigfhuyuy" localSheetId="4">{#N/A,#N/A,FALSE,"Plan1";#N/A,#N/A,FALSE,"Plan2"}</definedName>
    <definedName name="gdfigfhuyuy" localSheetId="13">{#N/A,#N/A,FALSE,"Plan1";#N/A,#N/A,FALSE,"Plan2"}</definedName>
    <definedName name="gdfigfhuyuy" localSheetId="17">{#N/A,#N/A,FALSE,"Plan1";#N/A,#N/A,FALSE,"Plan2"}</definedName>
    <definedName name="gdfigfhuyuy" localSheetId="0">{#N/A,#N/A,FALSE,"Plan1";#N/A,#N/A,FALSE,"Plan2"}</definedName>
    <definedName name="gdfigfhuyuy" localSheetId="19">{#N/A,#N/A,FALSE,"Plan1";#N/A,#N/A,FALSE,"Plan2"}</definedName>
    <definedName name="gdfigfhuyuy" localSheetId="16">{#N/A,#N/A,FALSE,"Plan1";#N/A,#N/A,FALSE,"Plan2"}</definedName>
    <definedName name="gdfigfhuyuy" localSheetId="18">{#N/A,#N/A,FALSE,"Plan1";#N/A,#N/A,FALSE,"Plan2"}</definedName>
    <definedName name="gdfigfhuyuy" localSheetId="10">{#N/A,#N/A,FALSE,"Plan1";#N/A,#N/A,FALSE,"Plan2"}</definedName>
    <definedName name="gdfigfhuyuy">{#N/A,#N/A,FALSE,"Plan1";#N/A,#N/A,FALSE,"Plan2"}</definedName>
    <definedName name="gdfsgfew" localSheetId="9">{#N/A,#N/A,FALSE,"Plan1";#N/A,#N/A,FALSE,"Plan2"}</definedName>
    <definedName name="gdfsgfew" localSheetId="6">{#N/A,#N/A,FALSE,"Plan1";#N/A,#N/A,FALSE,"Plan2"}</definedName>
    <definedName name="gdfsgfew" localSheetId="3">{#N/A,#N/A,FALSE,"Plan1";#N/A,#N/A,FALSE,"Plan2"}</definedName>
    <definedName name="gdfsgfew" localSheetId="8">{#N/A,#N/A,FALSE,"Plan1";#N/A,#N/A,FALSE,"Plan2"}</definedName>
    <definedName name="gdfsgfew" localSheetId="5">{#N/A,#N/A,FALSE,"Plan1";#N/A,#N/A,FALSE,"Plan2"}</definedName>
    <definedName name="gdfsgfew" localSheetId="4">{#N/A,#N/A,FALSE,"Plan1";#N/A,#N/A,FALSE,"Plan2"}</definedName>
    <definedName name="gdfsgfew" localSheetId="13">{#N/A,#N/A,FALSE,"Plan1";#N/A,#N/A,FALSE,"Plan2"}</definedName>
    <definedName name="gdfsgfew" localSheetId="17">{#N/A,#N/A,FALSE,"Plan1";#N/A,#N/A,FALSE,"Plan2"}</definedName>
    <definedName name="gdfsgfew" localSheetId="0">{#N/A,#N/A,FALSE,"Plan1";#N/A,#N/A,FALSE,"Plan2"}</definedName>
    <definedName name="gdfsgfew" localSheetId="19">{#N/A,#N/A,FALSE,"Plan1";#N/A,#N/A,FALSE,"Plan2"}</definedName>
    <definedName name="gdfsgfew" localSheetId="16">{#N/A,#N/A,FALSE,"Plan1";#N/A,#N/A,FALSE,"Plan2"}</definedName>
    <definedName name="gdfsgfew" localSheetId="18">{#N/A,#N/A,FALSE,"Plan1";#N/A,#N/A,FALSE,"Plan2"}</definedName>
    <definedName name="gdfsgfew" localSheetId="10">{#N/A,#N/A,FALSE,"Plan1";#N/A,#N/A,FALSE,"Plan2"}</definedName>
    <definedName name="gdfsgfew">{#N/A,#N/A,FALSE,"Plan1";#N/A,#N/A,FALSE,"Plan2"}</definedName>
    <definedName name="gdhfgdhfgf" localSheetId="9">{#N/A,#N/A,FALSE,"Plan1";#N/A,#N/A,FALSE,"Plan2"}</definedName>
    <definedName name="gdhfgdhfgf" localSheetId="6">{#N/A,#N/A,FALSE,"Plan1";#N/A,#N/A,FALSE,"Plan2"}</definedName>
    <definedName name="gdhfgdhfgf" localSheetId="3">{#N/A,#N/A,FALSE,"Plan1";#N/A,#N/A,FALSE,"Plan2"}</definedName>
    <definedName name="gdhfgdhfgf" localSheetId="8">{#N/A,#N/A,FALSE,"Plan1";#N/A,#N/A,FALSE,"Plan2"}</definedName>
    <definedName name="gdhfgdhfgf" localSheetId="5">{#N/A,#N/A,FALSE,"Plan1";#N/A,#N/A,FALSE,"Plan2"}</definedName>
    <definedName name="gdhfgdhfgf" localSheetId="4">{#N/A,#N/A,FALSE,"Plan1";#N/A,#N/A,FALSE,"Plan2"}</definedName>
    <definedName name="gdhfgdhfgf" localSheetId="13">{#N/A,#N/A,FALSE,"Plan1";#N/A,#N/A,FALSE,"Plan2"}</definedName>
    <definedName name="gdhfgdhfgf" localSheetId="17">{#N/A,#N/A,FALSE,"Plan1";#N/A,#N/A,FALSE,"Plan2"}</definedName>
    <definedName name="gdhfgdhfgf" localSheetId="0">{#N/A,#N/A,FALSE,"Plan1";#N/A,#N/A,FALSE,"Plan2"}</definedName>
    <definedName name="gdhfgdhfgf" localSheetId="19">{#N/A,#N/A,FALSE,"Plan1";#N/A,#N/A,FALSE,"Plan2"}</definedName>
    <definedName name="gdhfgdhfgf" localSheetId="16">{#N/A,#N/A,FALSE,"Plan1";#N/A,#N/A,FALSE,"Plan2"}</definedName>
    <definedName name="gdhfgdhfgf" localSheetId="18">{#N/A,#N/A,FALSE,"Plan1";#N/A,#N/A,FALSE,"Plan2"}</definedName>
    <definedName name="gdhfgdhfgf" localSheetId="10">{#N/A,#N/A,FALSE,"Plan1";#N/A,#N/A,FALSE,"Plan2"}</definedName>
    <definedName name="gdhfgdhfgf">{#N/A,#N/A,FALSE,"Plan1";#N/A,#N/A,FALSE,"Plan2"}</definedName>
    <definedName name="gdsfhefrwrw" localSheetId="9">{#N/A,#N/A,FALSE,"Plan1";#N/A,#N/A,FALSE,"Plan2"}</definedName>
    <definedName name="gdsfhefrwrw" localSheetId="6">{#N/A,#N/A,FALSE,"Plan1";#N/A,#N/A,FALSE,"Plan2"}</definedName>
    <definedName name="gdsfhefrwrw" localSheetId="3">{#N/A,#N/A,FALSE,"Plan1";#N/A,#N/A,FALSE,"Plan2"}</definedName>
    <definedName name="gdsfhefrwrw" localSheetId="8">{#N/A,#N/A,FALSE,"Plan1";#N/A,#N/A,FALSE,"Plan2"}</definedName>
    <definedName name="gdsfhefrwrw" localSheetId="5">{#N/A,#N/A,FALSE,"Plan1";#N/A,#N/A,FALSE,"Plan2"}</definedName>
    <definedName name="gdsfhefrwrw" localSheetId="4">{#N/A,#N/A,FALSE,"Plan1";#N/A,#N/A,FALSE,"Plan2"}</definedName>
    <definedName name="gdsfhefrwrw" localSheetId="13">{#N/A,#N/A,FALSE,"Plan1";#N/A,#N/A,FALSE,"Plan2"}</definedName>
    <definedName name="gdsfhefrwrw" localSheetId="17">{#N/A,#N/A,FALSE,"Plan1";#N/A,#N/A,FALSE,"Plan2"}</definedName>
    <definedName name="gdsfhefrwrw" localSheetId="0">{#N/A,#N/A,FALSE,"Plan1";#N/A,#N/A,FALSE,"Plan2"}</definedName>
    <definedName name="gdsfhefrwrw" localSheetId="19">{#N/A,#N/A,FALSE,"Plan1";#N/A,#N/A,FALSE,"Plan2"}</definedName>
    <definedName name="gdsfhefrwrw" localSheetId="16">{#N/A,#N/A,FALSE,"Plan1";#N/A,#N/A,FALSE,"Plan2"}</definedName>
    <definedName name="gdsfhefrwrw" localSheetId="18">{#N/A,#N/A,FALSE,"Plan1";#N/A,#N/A,FALSE,"Plan2"}</definedName>
    <definedName name="gdsfhefrwrw" localSheetId="10">{#N/A,#N/A,FALSE,"Plan1";#N/A,#N/A,FALSE,"Plan2"}</definedName>
    <definedName name="gdsfhefrwrw">{#N/A,#N/A,FALSE,"Plan1";#N/A,#N/A,FALSE,"Plan2"}</definedName>
    <definedName name="GER_TECNICO" localSheetId="3">#REF!</definedName>
    <definedName name="GER_TECNICO" localSheetId="5">#REF!</definedName>
    <definedName name="GER_TECNICO" localSheetId="13">#REF!</definedName>
    <definedName name="GER_TECNICO" localSheetId="26">#REF!</definedName>
    <definedName name="GER_TECNICO">#REF!</definedName>
    <definedName name="Gerentes" localSheetId="3">#REF!</definedName>
    <definedName name="Gerentes" localSheetId="5">#REF!</definedName>
    <definedName name="Gerentes" localSheetId="13">#REF!</definedName>
    <definedName name="Gerentes" localSheetId="26">#REF!</definedName>
    <definedName name="Gerentes">#REF!</definedName>
    <definedName name="geshrjhed" localSheetId="9">{#N/A,#N/A,FALSE,"Plan1";#N/A,#N/A,FALSE,"Plan2"}</definedName>
    <definedName name="geshrjhed" localSheetId="6">{#N/A,#N/A,FALSE,"Plan1";#N/A,#N/A,FALSE,"Plan2"}</definedName>
    <definedName name="geshrjhed" localSheetId="3">{#N/A,#N/A,FALSE,"Plan1";#N/A,#N/A,FALSE,"Plan2"}</definedName>
    <definedName name="geshrjhed" localSheetId="8">{#N/A,#N/A,FALSE,"Plan1";#N/A,#N/A,FALSE,"Plan2"}</definedName>
    <definedName name="geshrjhed" localSheetId="5">{#N/A,#N/A,FALSE,"Plan1";#N/A,#N/A,FALSE,"Plan2"}</definedName>
    <definedName name="geshrjhed" localSheetId="4">{#N/A,#N/A,FALSE,"Plan1";#N/A,#N/A,FALSE,"Plan2"}</definedName>
    <definedName name="geshrjhed" localSheetId="13">{#N/A,#N/A,FALSE,"Plan1";#N/A,#N/A,FALSE,"Plan2"}</definedName>
    <definedName name="geshrjhed" localSheetId="17">{#N/A,#N/A,FALSE,"Plan1";#N/A,#N/A,FALSE,"Plan2"}</definedName>
    <definedName name="geshrjhed" localSheetId="0">{#N/A,#N/A,FALSE,"Plan1";#N/A,#N/A,FALSE,"Plan2"}</definedName>
    <definedName name="geshrjhed" localSheetId="19">{#N/A,#N/A,FALSE,"Plan1";#N/A,#N/A,FALSE,"Plan2"}</definedName>
    <definedName name="geshrjhed" localSheetId="16">{#N/A,#N/A,FALSE,"Plan1";#N/A,#N/A,FALSE,"Plan2"}</definedName>
    <definedName name="geshrjhed" localSheetId="18">{#N/A,#N/A,FALSE,"Plan1";#N/A,#N/A,FALSE,"Plan2"}</definedName>
    <definedName name="geshrjhed" localSheetId="10">{#N/A,#N/A,FALSE,"Plan1";#N/A,#N/A,FALSE,"Plan2"}</definedName>
    <definedName name="geshrjhed">{#N/A,#N/A,FALSE,"Plan1";#N/A,#N/A,FALSE,"Plan2"}</definedName>
    <definedName name="gestao" localSheetId="6">OFFSET(INDEX(#REF!,MATCH(#REF!,#REF!,0)),1,0,COUNTA(#REF!)-1)</definedName>
    <definedName name="gestao" localSheetId="4">OFFSET(INDEX(#REF!,MATCH(#REF!,#REF!,0)),1,0,COUNTA(#REF!)-1)</definedName>
    <definedName name="gestao" localSheetId="13">OFFSET(INDEX(#REF!,MATCH(#REF!,#REF!,0)),1,0,COUNTA(#REF!)-1)</definedName>
    <definedName name="gestao" localSheetId="0">OFFSET(INDEX(#REF!,MATCH(#REF!,#REF!,0)),1,0,COUNTA(#REF!)-1)</definedName>
    <definedName name="gestao" localSheetId="19">OFFSET(INDEX(#REF!,MATCH(#REF!,#REF!,0)),1,0,COUNTA(#REF!)-1)</definedName>
    <definedName name="gestao">OFFSET(INDEX(#REF!,MATCH(#REF!,#REF!,0)),1,0,COUNTA(#REF!)-1)</definedName>
    <definedName name="gfdcgnkf" localSheetId="9">{#N/A,#N/A,FALSE,"Plan1";#N/A,#N/A,FALSE,"Plan2"}</definedName>
    <definedName name="gfdcgnkf" localSheetId="6">{#N/A,#N/A,FALSE,"Plan1";#N/A,#N/A,FALSE,"Plan2"}</definedName>
    <definedName name="gfdcgnkf" localSheetId="3">{#N/A,#N/A,FALSE,"Plan1";#N/A,#N/A,FALSE,"Plan2"}</definedName>
    <definedName name="gfdcgnkf" localSheetId="8">{#N/A,#N/A,FALSE,"Plan1";#N/A,#N/A,FALSE,"Plan2"}</definedName>
    <definedName name="gfdcgnkf" localSheetId="5">{#N/A,#N/A,FALSE,"Plan1";#N/A,#N/A,FALSE,"Plan2"}</definedName>
    <definedName name="gfdcgnkf" localSheetId="4">{#N/A,#N/A,FALSE,"Plan1";#N/A,#N/A,FALSE,"Plan2"}</definedName>
    <definedName name="gfdcgnkf" localSheetId="13">{#N/A,#N/A,FALSE,"Plan1";#N/A,#N/A,FALSE,"Plan2"}</definedName>
    <definedName name="gfdcgnkf" localSheetId="17">{#N/A,#N/A,FALSE,"Plan1";#N/A,#N/A,FALSE,"Plan2"}</definedName>
    <definedName name="gfdcgnkf" localSheetId="0">{#N/A,#N/A,FALSE,"Plan1";#N/A,#N/A,FALSE,"Plan2"}</definedName>
    <definedName name="gfdcgnkf" localSheetId="19">{#N/A,#N/A,FALSE,"Plan1";#N/A,#N/A,FALSE,"Plan2"}</definedName>
    <definedName name="gfdcgnkf" localSheetId="16">{#N/A,#N/A,FALSE,"Plan1";#N/A,#N/A,FALSE,"Plan2"}</definedName>
    <definedName name="gfdcgnkf" localSheetId="18">{#N/A,#N/A,FALSE,"Plan1";#N/A,#N/A,FALSE,"Plan2"}</definedName>
    <definedName name="gfdcgnkf" localSheetId="10">{#N/A,#N/A,FALSE,"Plan1";#N/A,#N/A,FALSE,"Plan2"}</definedName>
    <definedName name="gfdcgnkf">{#N/A,#N/A,FALSE,"Plan1";#N/A,#N/A,FALSE,"Plan2"}</definedName>
    <definedName name="gfdjtgur" localSheetId="9">{#N/A,#N/A,FALSE,"Plan1";#N/A,#N/A,FALSE,"Plan2"}</definedName>
    <definedName name="gfdjtgur" localSheetId="6">{#N/A,#N/A,FALSE,"Plan1";#N/A,#N/A,FALSE,"Plan2"}</definedName>
    <definedName name="gfdjtgur" localSheetId="3">{#N/A,#N/A,FALSE,"Plan1";#N/A,#N/A,FALSE,"Plan2"}</definedName>
    <definedName name="gfdjtgur" localSheetId="8">{#N/A,#N/A,FALSE,"Plan1";#N/A,#N/A,FALSE,"Plan2"}</definedName>
    <definedName name="gfdjtgur" localSheetId="5">{#N/A,#N/A,FALSE,"Plan1";#N/A,#N/A,FALSE,"Plan2"}</definedName>
    <definedName name="gfdjtgur" localSheetId="4">{#N/A,#N/A,FALSE,"Plan1";#N/A,#N/A,FALSE,"Plan2"}</definedName>
    <definedName name="gfdjtgur" localSheetId="13">{#N/A,#N/A,FALSE,"Plan1";#N/A,#N/A,FALSE,"Plan2"}</definedName>
    <definedName name="gfdjtgur" localSheetId="17">{#N/A,#N/A,FALSE,"Plan1";#N/A,#N/A,FALSE,"Plan2"}</definedName>
    <definedName name="gfdjtgur" localSheetId="0">{#N/A,#N/A,FALSE,"Plan1";#N/A,#N/A,FALSE,"Plan2"}</definedName>
    <definedName name="gfdjtgur" localSheetId="19">{#N/A,#N/A,FALSE,"Plan1";#N/A,#N/A,FALSE,"Plan2"}</definedName>
    <definedName name="gfdjtgur" localSheetId="16">{#N/A,#N/A,FALSE,"Plan1";#N/A,#N/A,FALSE,"Plan2"}</definedName>
    <definedName name="gfdjtgur" localSheetId="18">{#N/A,#N/A,FALSE,"Plan1";#N/A,#N/A,FALSE,"Plan2"}</definedName>
    <definedName name="gfdjtgur" localSheetId="10">{#N/A,#N/A,FALSE,"Plan1";#N/A,#N/A,FALSE,"Plan2"}</definedName>
    <definedName name="gfdjtgur">{#N/A,#N/A,FALSE,"Plan1";#N/A,#N/A,FALSE,"Plan2"}</definedName>
    <definedName name="gfdrtg" localSheetId="3">#REF!</definedName>
    <definedName name="gfdrtg" localSheetId="5">#REF!</definedName>
    <definedName name="gfdrtg" localSheetId="13">#REF!</definedName>
    <definedName name="gfdrtg" localSheetId="26">#REF!</definedName>
    <definedName name="gfdrtg" localSheetId="0">#REF!</definedName>
    <definedName name="gfdrtg">#REF!</definedName>
    <definedName name="gfgdhxgfdhf" localSheetId="9">{#N/A,#N/A,FALSE,"Plan1";#N/A,#N/A,FALSE,"Plan2"}</definedName>
    <definedName name="gfgdhxgfdhf" localSheetId="6">{#N/A,#N/A,FALSE,"Plan1";#N/A,#N/A,FALSE,"Plan2"}</definedName>
    <definedName name="gfgdhxgfdhf" localSheetId="3">{#N/A,#N/A,FALSE,"Plan1";#N/A,#N/A,FALSE,"Plan2"}</definedName>
    <definedName name="gfgdhxgfdhf" localSheetId="8">{#N/A,#N/A,FALSE,"Plan1";#N/A,#N/A,FALSE,"Plan2"}</definedName>
    <definedName name="gfgdhxgfdhf" localSheetId="5">{#N/A,#N/A,FALSE,"Plan1";#N/A,#N/A,FALSE,"Plan2"}</definedName>
    <definedName name="gfgdhxgfdhf" localSheetId="4">{#N/A,#N/A,FALSE,"Plan1";#N/A,#N/A,FALSE,"Plan2"}</definedName>
    <definedName name="gfgdhxgfdhf" localSheetId="13">{#N/A,#N/A,FALSE,"Plan1";#N/A,#N/A,FALSE,"Plan2"}</definedName>
    <definedName name="gfgdhxgfdhf" localSheetId="17">{#N/A,#N/A,FALSE,"Plan1";#N/A,#N/A,FALSE,"Plan2"}</definedName>
    <definedName name="gfgdhxgfdhf" localSheetId="0">{#N/A,#N/A,FALSE,"Plan1";#N/A,#N/A,FALSE,"Plan2"}</definedName>
    <definedName name="gfgdhxgfdhf" localSheetId="19">{#N/A,#N/A,FALSE,"Plan1";#N/A,#N/A,FALSE,"Plan2"}</definedName>
    <definedName name="gfgdhxgfdhf" localSheetId="16">{#N/A,#N/A,FALSE,"Plan1";#N/A,#N/A,FALSE,"Plan2"}</definedName>
    <definedName name="gfgdhxgfdhf" localSheetId="18">{#N/A,#N/A,FALSE,"Plan1";#N/A,#N/A,FALSE,"Plan2"}</definedName>
    <definedName name="gfgdhxgfdhf" localSheetId="10">{#N/A,#N/A,FALSE,"Plan1";#N/A,#N/A,FALSE,"Plan2"}</definedName>
    <definedName name="gfgdhxgfdhf">{#N/A,#N/A,FALSE,"Plan1";#N/A,#N/A,FALSE,"Plan2"}</definedName>
    <definedName name="gfhfdtgjb" localSheetId="9">{#N/A,#N/A,FALSE,"Plan1";#N/A,#N/A,FALSE,"Plan2"}</definedName>
    <definedName name="gfhfdtgjb" localSheetId="6">{#N/A,#N/A,FALSE,"Plan1";#N/A,#N/A,FALSE,"Plan2"}</definedName>
    <definedName name="gfhfdtgjb" localSheetId="3">{#N/A,#N/A,FALSE,"Plan1";#N/A,#N/A,FALSE,"Plan2"}</definedName>
    <definedName name="gfhfdtgjb" localSheetId="8">{#N/A,#N/A,FALSE,"Plan1";#N/A,#N/A,FALSE,"Plan2"}</definedName>
    <definedName name="gfhfdtgjb" localSheetId="5">{#N/A,#N/A,FALSE,"Plan1";#N/A,#N/A,FALSE,"Plan2"}</definedName>
    <definedName name="gfhfdtgjb" localSheetId="4">{#N/A,#N/A,FALSE,"Plan1";#N/A,#N/A,FALSE,"Plan2"}</definedName>
    <definedName name="gfhfdtgjb" localSheetId="13">{#N/A,#N/A,FALSE,"Plan1";#N/A,#N/A,FALSE,"Plan2"}</definedName>
    <definedName name="gfhfdtgjb" localSheetId="17">{#N/A,#N/A,FALSE,"Plan1";#N/A,#N/A,FALSE,"Plan2"}</definedName>
    <definedName name="gfhfdtgjb" localSheetId="0">{#N/A,#N/A,FALSE,"Plan1";#N/A,#N/A,FALSE,"Plan2"}</definedName>
    <definedName name="gfhfdtgjb" localSheetId="19">{#N/A,#N/A,FALSE,"Plan1";#N/A,#N/A,FALSE,"Plan2"}</definedName>
    <definedName name="gfhfdtgjb" localSheetId="16">{#N/A,#N/A,FALSE,"Plan1";#N/A,#N/A,FALSE,"Plan2"}</definedName>
    <definedName name="gfhfdtgjb" localSheetId="18">{#N/A,#N/A,FALSE,"Plan1";#N/A,#N/A,FALSE,"Plan2"}</definedName>
    <definedName name="gfhfdtgjb" localSheetId="10">{#N/A,#N/A,FALSE,"Plan1";#N/A,#N/A,FALSE,"Plan2"}</definedName>
    <definedName name="gfhfdtgjb">{#N/A,#N/A,FALSE,"Plan1";#N/A,#N/A,FALSE,"Plan2"}</definedName>
    <definedName name="gfjdshrtjhtged" localSheetId="9">{#N/A,#N/A,FALSE,"Plan1";#N/A,#N/A,FALSE,"Plan2"}</definedName>
    <definedName name="gfjdshrtjhtged" localSheetId="6">{#N/A,#N/A,FALSE,"Plan1";#N/A,#N/A,FALSE,"Plan2"}</definedName>
    <definedName name="gfjdshrtjhtged" localSheetId="3">{#N/A,#N/A,FALSE,"Plan1";#N/A,#N/A,FALSE,"Plan2"}</definedName>
    <definedName name="gfjdshrtjhtged" localSheetId="8">{#N/A,#N/A,FALSE,"Plan1";#N/A,#N/A,FALSE,"Plan2"}</definedName>
    <definedName name="gfjdshrtjhtged" localSheetId="5">{#N/A,#N/A,FALSE,"Plan1";#N/A,#N/A,FALSE,"Plan2"}</definedName>
    <definedName name="gfjdshrtjhtged" localSheetId="4">{#N/A,#N/A,FALSE,"Plan1";#N/A,#N/A,FALSE,"Plan2"}</definedName>
    <definedName name="gfjdshrtjhtged" localSheetId="13">{#N/A,#N/A,FALSE,"Plan1";#N/A,#N/A,FALSE,"Plan2"}</definedName>
    <definedName name="gfjdshrtjhtged" localSheetId="17">{#N/A,#N/A,FALSE,"Plan1";#N/A,#N/A,FALSE,"Plan2"}</definedName>
    <definedName name="gfjdshrtjhtged" localSheetId="0">{#N/A,#N/A,FALSE,"Plan1";#N/A,#N/A,FALSE,"Plan2"}</definedName>
    <definedName name="gfjdshrtjhtged" localSheetId="19">{#N/A,#N/A,FALSE,"Plan1";#N/A,#N/A,FALSE,"Plan2"}</definedName>
    <definedName name="gfjdshrtjhtged" localSheetId="16">{#N/A,#N/A,FALSE,"Plan1";#N/A,#N/A,FALSE,"Plan2"}</definedName>
    <definedName name="gfjdshrtjhtged" localSheetId="18">{#N/A,#N/A,FALSE,"Plan1";#N/A,#N/A,FALSE,"Plan2"}</definedName>
    <definedName name="gfjdshrtjhtged" localSheetId="10">{#N/A,#N/A,FALSE,"Plan1";#N/A,#N/A,FALSE,"Plan2"}</definedName>
    <definedName name="gfjdshrtjhtged">{#N/A,#N/A,FALSE,"Plan1";#N/A,#N/A,FALSE,"Plan2"}</definedName>
    <definedName name="gfjgkddgfd" localSheetId="9">{#N/A,#N/A,FALSE,"Plan1";#N/A,#N/A,FALSE,"Plan2"}</definedName>
    <definedName name="gfjgkddgfd" localSheetId="6">{#N/A,#N/A,FALSE,"Plan1";#N/A,#N/A,FALSE,"Plan2"}</definedName>
    <definedName name="gfjgkddgfd" localSheetId="3">{#N/A,#N/A,FALSE,"Plan1";#N/A,#N/A,FALSE,"Plan2"}</definedName>
    <definedName name="gfjgkddgfd" localSheetId="8">{#N/A,#N/A,FALSE,"Plan1";#N/A,#N/A,FALSE,"Plan2"}</definedName>
    <definedName name="gfjgkddgfd" localSheetId="5">{#N/A,#N/A,FALSE,"Plan1";#N/A,#N/A,FALSE,"Plan2"}</definedName>
    <definedName name="gfjgkddgfd" localSheetId="4">{#N/A,#N/A,FALSE,"Plan1";#N/A,#N/A,FALSE,"Plan2"}</definedName>
    <definedName name="gfjgkddgfd" localSheetId="13">{#N/A,#N/A,FALSE,"Plan1";#N/A,#N/A,FALSE,"Plan2"}</definedName>
    <definedName name="gfjgkddgfd" localSheetId="17">{#N/A,#N/A,FALSE,"Plan1";#N/A,#N/A,FALSE,"Plan2"}</definedName>
    <definedName name="gfjgkddgfd" localSheetId="0">{#N/A,#N/A,FALSE,"Plan1";#N/A,#N/A,FALSE,"Plan2"}</definedName>
    <definedName name="gfjgkddgfd" localSheetId="19">{#N/A,#N/A,FALSE,"Plan1";#N/A,#N/A,FALSE,"Plan2"}</definedName>
    <definedName name="gfjgkddgfd" localSheetId="16">{#N/A,#N/A,FALSE,"Plan1";#N/A,#N/A,FALSE,"Plan2"}</definedName>
    <definedName name="gfjgkddgfd" localSheetId="18">{#N/A,#N/A,FALSE,"Plan1";#N/A,#N/A,FALSE,"Plan2"}</definedName>
    <definedName name="gfjgkddgfd" localSheetId="10">{#N/A,#N/A,FALSE,"Plan1";#N/A,#N/A,FALSE,"Plan2"}</definedName>
    <definedName name="gfjgkddgfd">{#N/A,#N/A,FALSE,"Plan1";#N/A,#N/A,FALSE,"Plan2"}</definedName>
    <definedName name="gfsghjdgygr" localSheetId="9">{#N/A,#N/A,FALSE,"Plan1";#N/A,#N/A,FALSE,"Plan2"}</definedName>
    <definedName name="gfsghjdgygr" localSheetId="6">{#N/A,#N/A,FALSE,"Plan1";#N/A,#N/A,FALSE,"Plan2"}</definedName>
    <definedName name="gfsghjdgygr" localSheetId="3">{#N/A,#N/A,FALSE,"Plan1";#N/A,#N/A,FALSE,"Plan2"}</definedName>
    <definedName name="gfsghjdgygr" localSheetId="8">{#N/A,#N/A,FALSE,"Plan1";#N/A,#N/A,FALSE,"Plan2"}</definedName>
    <definedName name="gfsghjdgygr" localSheetId="5">{#N/A,#N/A,FALSE,"Plan1";#N/A,#N/A,FALSE,"Plan2"}</definedName>
    <definedName name="gfsghjdgygr" localSheetId="4">{#N/A,#N/A,FALSE,"Plan1";#N/A,#N/A,FALSE,"Plan2"}</definedName>
    <definedName name="gfsghjdgygr" localSheetId="13">{#N/A,#N/A,FALSE,"Plan1";#N/A,#N/A,FALSE,"Plan2"}</definedName>
    <definedName name="gfsghjdgygr" localSheetId="17">{#N/A,#N/A,FALSE,"Plan1";#N/A,#N/A,FALSE,"Plan2"}</definedName>
    <definedName name="gfsghjdgygr" localSheetId="0">{#N/A,#N/A,FALSE,"Plan1";#N/A,#N/A,FALSE,"Plan2"}</definedName>
    <definedName name="gfsghjdgygr" localSheetId="19">{#N/A,#N/A,FALSE,"Plan1";#N/A,#N/A,FALSE,"Plan2"}</definedName>
    <definedName name="gfsghjdgygr" localSheetId="16">{#N/A,#N/A,FALSE,"Plan1";#N/A,#N/A,FALSE,"Plan2"}</definedName>
    <definedName name="gfsghjdgygr" localSheetId="18">{#N/A,#N/A,FALSE,"Plan1";#N/A,#N/A,FALSE,"Plan2"}</definedName>
    <definedName name="gfsghjdgygr" localSheetId="10">{#N/A,#N/A,FALSE,"Plan1";#N/A,#N/A,FALSE,"Plan2"}</definedName>
    <definedName name="gfsghjdgygr">{#N/A,#N/A,FALSE,"Plan1";#N/A,#N/A,FALSE,"Plan2"}</definedName>
    <definedName name="gftfy" localSheetId="9">{#N/A,#N/A,FALSE,"Plan1";#N/A,#N/A,FALSE,"Plan2"}</definedName>
    <definedName name="gftfy" localSheetId="6">{#N/A,#N/A,FALSE,"Plan1";#N/A,#N/A,FALSE,"Plan2"}</definedName>
    <definedName name="gftfy" localSheetId="3">{#N/A,#N/A,FALSE,"Plan1";#N/A,#N/A,FALSE,"Plan2"}</definedName>
    <definedName name="gftfy" localSheetId="8">{#N/A,#N/A,FALSE,"Plan1";#N/A,#N/A,FALSE,"Plan2"}</definedName>
    <definedName name="gftfy" localSheetId="5">{#N/A,#N/A,FALSE,"Plan1";#N/A,#N/A,FALSE,"Plan2"}</definedName>
    <definedName name="gftfy" localSheetId="4">{#N/A,#N/A,FALSE,"Plan1";#N/A,#N/A,FALSE,"Plan2"}</definedName>
    <definedName name="gftfy" localSheetId="13">{#N/A,#N/A,FALSE,"Plan1";#N/A,#N/A,FALSE,"Plan2"}</definedName>
    <definedName name="gftfy" localSheetId="17">{#N/A,#N/A,FALSE,"Plan1";#N/A,#N/A,FALSE,"Plan2"}</definedName>
    <definedName name="gftfy" localSheetId="0">{#N/A,#N/A,FALSE,"Plan1";#N/A,#N/A,FALSE,"Plan2"}</definedName>
    <definedName name="gftfy" localSheetId="19">{#N/A,#N/A,FALSE,"Plan1";#N/A,#N/A,FALSE,"Plan2"}</definedName>
    <definedName name="gftfy" localSheetId="16">{#N/A,#N/A,FALSE,"Plan1";#N/A,#N/A,FALSE,"Plan2"}</definedName>
    <definedName name="gftfy" localSheetId="18">{#N/A,#N/A,FALSE,"Plan1";#N/A,#N/A,FALSE,"Plan2"}</definedName>
    <definedName name="gftfy" localSheetId="10">{#N/A,#N/A,FALSE,"Plan1";#N/A,#N/A,FALSE,"Plan2"}</definedName>
    <definedName name="gftfy">{#N/A,#N/A,FALSE,"Plan1";#N/A,#N/A,FALSE,"Plan2"}</definedName>
    <definedName name="gfty" localSheetId="9">{#N/A,#N/A,FALSE,"Plan1";#N/A,#N/A,FALSE,"Plan2"}</definedName>
    <definedName name="gfty" localSheetId="6">{#N/A,#N/A,FALSE,"Plan1";#N/A,#N/A,FALSE,"Plan2"}</definedName>
    <definedName name="gfty" localSheetId="3">{#N/A,#N/A,FALSE,"Plan1";#N/A,#N/A,FALSE,"Plan2"}</definedName>
    <definedName name="gfty" localSheetId="8">{#N/A,#N/A,FALSE,"Plan1";#N/A,#N/A,FALSE,"Plan2"}</definedName>
    <definedName name="gfty" localSheetId="5">{#N/A,#N/A,FALSE,"Plan1";#N/A,#N/A,FALSE,"Plan2"}</definedName>
    <definedName name="gfty" localSheetId="4">{#N/A,#N/A,FALSE,"Plan1";#N/A,#N/A,FALSE,"Plan2"}</definedName>
    <definedName name="gfty" localSheetId="13">{#N/A,#N/A,FALSE,"Plan1";#N/A,#N/A,FALSE,"Plan2"}</definedName>
    <definedName name="gfty" localSheetId="17">{#N/A,#N/A,FALSE,"Plan1";#N/A,#N/A,FALSE,"Plan2"}</definedName>
    <definedName name="gfty" localSheetId="0">{#N/A,#N/A,FALSE,"Plan1";#N/A,#N/A,FALSE,"Plan2"}</definedName>
    <definedName name="gfty" localSheetId="19">{#N/A,#N/A,FALSE,"Plan1";#N/A,#N/A,FALSE,"Plan2"}</definedName>
    <definedName name="gfty" localSheetId="16">{#N/A,#N/A,FALSE,"Plan1";#N/A,#N/A,FALSE,"Plan2"}</definedName>
    <definedName name="gfty" localSheetId="18">{#N/A,#N/A,FALSE,"Plan1";#N/A,#N/A,FALSE,"Plan2"}</definedName>
    <definedName name="gfty" localSheetId="10">{#N/A,#N/A,FALSE,"Plan1";#N/A,#N/A,FALSE,"Plan2"}</definedName>
    <definedName name="gfty">{#N/A,#N/A,FALSE,"Plan1";#N/A,#N/A,FALSE,"Plan2"}</definedName>
    <definedName name="GFUJU9" localSheetId="9">{#N/A,#N/A,FALSE,"Plan1";#N/A,#N/A,FALSE,"Plan2"}</definedName>
    <definedName name="GFUJU9" localSheetId="6">{#N/A,#N/A,FALSE,"Plan1";#N/A,#N/A,FALSE,"Plan2"}</definedName>
    <definedName name="GFUJU9" localSheetId="3">{#N/A,#N/A,FALSE,"Plan1";#N/A,#N/A,FALSE,"Plan2"}</definedName>
    <definedName name="GFUJU9" localSheetId="8">{#N/A,#N/A,FALSE,"Plan1";#N/A,#N/A,FALSE,"Plan2"}</definedName>
    <definedName name="GFUJU9" localSheetId="5">{#N/A,#N/A,FALSE,"Plan1";#N/A,#N/A,FALSE,"Plan2"}</definedName>
    <definedName name="GFUJU9" localSheetId="4">{#N/A,#N/A,FALSE,"Plan1";#N/A,#N/A,FALSE,"Plan2"}</definedName>
    <definedName name="GFUJU9" localSheetId="13">{#N/A,#N/A,FALSE,"Plan1";#N/A,#N/A,FALSE,"Plan2"}</definedName>
    <definedName name="GFUJU9" localSheetId="17">{#N/A,#N/A,FALSE,"Plan1";#N/A,#N/A,FALSE,"Plan2"}</definedName>
    <definedName name="GFUJU9" localSheetId="0">{#N/A,#N/A,FALSE,"Plan1";#N/A,#N/A,FALSE,"Plan2"}</definedName>
    <definedName name="GFUJU9" localSheetId="19">{#N/A,#N/A,FALSE,"Plan1";#N/A,#N/A,FALSE,"Plan2"}</definedName>
    <definedName name="GFUJU9" localSheetId="16">{#N/A,#N/A,FALSE,"Plan1";#N/A,#N/A,FALSE,"Plan2"}</definedName>
    <definedName name="GFUJU9" localSheetId="18">{#N/A,#N/A,FALSE,"Plan1";#N/A,#N/A,FALSE,"Plan2"}</definedName>
    <definedName name="GFUJU9" localSheetId="10">{#N/A,#N/A,FALSE,"Plan1";#N/A,#N/A,FALSE,"Plan2"}</definedName>
    <definedName name="GFUJU9">{#N/A,#N/A,FALSE,"Plan1";#N/A,#N/A,FALSE,"Plan2"}</definedName>
    <definedName name="ggg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9">{#N/A,#N/A,FALSE,"Plan1";#N/A,#N/A,FALSE,"Plan2"}</definedName>
    <definedName name="GGGG" localSheetId="6">{#N/A,#N/A,FALSE,"Plan1";#N/A,#N/A,FALSE,"Plan2"}</definedName>
    <definedName name="GGGG" localSheetId="3">{#N/A,#N/A,FALSE,"Plan1";#N/A,#N/A,FALSE,"Plan2"}</definedName>
    <definedName name="gggg" localSheetId="8">{"'장비'!$A$3:$M$12"}</definedName>
    <definedName name="gggg" localSheetId="5">{"'장비'!$A$3:$M$12"}</definedName>
    <definedName name="GGGG" localSheetId="4">{#N/A,#N/A,FALSE,"Plan1";#N/A,#N/A,FALSE,"Plan2"}</definedName>
    <definedName name="GGGG" localSheetId="13">{#N/A,#N/A,FALSE,"Plan1";#N/A,#N/A,FALSE,"Plan2"}</definedName>
    <definedName name="GGGG" localSheetId="17">{#N/A,#N/A,FALSE,"Plan1";#N/A,#N/A,FALSE,"Plan2"}</definedName>
    <definedName name="GGGG" localSheetId="0">{#N/A,#N/A,FALSE,"Plan1";#N/A,#N/A,FALSE,"Plan2"}</definedName>
    <definedName name="gggg" localSheetId="19">{"'장비'!$A$3:$M$12"}</definedName>
    <definedName name="GGGG" localSheetId="16">{#N/A,#N/A,FALSE,"Plan1";#N/A,#N/A,FALSE,"Plan2"}</definedName>
    <definedName name="GGGG" localSheetId="18">{#N/A,#N/A,FALSE,"Plan1";#N/A,#N/A,FALSE,"Plan2"}</definedName>
    <definedName name="GGGG" localSheetId="10">{#N/A,#N/A,FALSE,"Plan1";#N/A,#N/A,FALSE,"Plan2"}</definedName>
    <definedName name="GGGG">{#N/A,#N/A,FALSE,"Plan1";#N/A,#N/A,FALSE,"Plan2"}</definedName>
    <definedName name="ggggggggg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9">{"'장비'!$A$3:$M$12"}</definedName>
    <definedName name="gh" localSheetId="6">{"'장비'!$A$3:$M$12"}</definedName>
    <definedName name="gh" localSheetId="3">{"'장비'!$A$3:$M$12"}</definedName>
    <definedName name="gh" localSheetId="8">{"'장비'!$A$3:$M$12"}</definedName>
    <definedName name="gh" localSheetId="5">{"'장비'!$A$3:$M$12"}</definedName>
    <definedName name="gh" localSheetId="4">{"'장비'!$A$3:$M$12"}</definedName>
    <definedName name="gh" localSheetId="13">{"'장비'!$A$3:$M$12"}</definedName>
    <definedName name="gh" localSheetId="17">{"'장비'!$A$3:$M$12"}</definedName>
    <definedName name="gh" localSheetId="0">{"'장비'!$A$3:$M$12"}</definedName>
    <definedName name="gh" localSheetId="19">{"'장비'!$A$3:$M$12"}</definedName>
    <definedName name="gh" localSheetId="16">{"'장비'!$A$3:$M$12"}</definedName>
    <definedName name="gh" localSheetId="18">{"'장비'!$A$3:$M$12"}</definedName>
    <definedName name="gh" localSheetId="10">{"'장비'!$A$3:$M$12"}</definedName>
    <definedName name="gh">{"'장비'!$A$3:$M$12"}</definedName>
    <definedName name="ghfgdfrtert" localSheetId="9">{#N/A,#N/A,FALSE,"Plan1";#N/A,#N/A,FALSE,"Plan2"}</definedName>
    <definedName name="ghfgdfrtert" localSheetId="6">{#N/A,#N/A,FALSE,"Plan1";#N/A,#N/A,FALSE,"Plan2"}</definedName>
    <definedName name="ghfgdfrtert" localSheetId="3">{#N/A,#N/A,FALSE,"Plan1";#N/A,#N/A,FALSE,"Plan2"}</definedName>
    <definedName name="ghfgdfrtert" localSheetId="8">{#N/A,#N/A,FALSE,"Plan1";#N/A,#N/A,FALSE,"Plan2"}</definedName>
    <definedName name="ghfgdfrtert" localSheetId="5">{#N/A,#N/A,FALSE,"Plan1";#N/A,#N/A,FALSE,"Plan2"}</definedName>
    <definedName name="ghfgdfrtert" localSheetId="4">{#N/A,#N/A,FALSE,"Plan1";#N/A,#N/A,FALSE,"Plan2"}</definedName>
    <definedName name="ghfgdfrtert" localSheetId="13">{#N/A,#N/A,FALSE,"Plan1";#N/A,#N/A,FALSE,"Plan2"}</definedName>
    <definedName name="ghfgdfrtert" localSheetId="17">{#N/A,#N/A,FALSE,"Plan1";#N/A,#N/A,FALSE,"Plan2"}</definedName>
    <definedName name="ghfgdfrtert" localSheetId="0">{#N/A,#N/A,FALSE,"Plan1";#N/A,#N/A,FALSE,"Plan2"}</definedName>
    <definedName name="ghfgdfrtert" localSheetId="19">{#N/A,#N/A,FALSE,"Plan1";#N/A,#N/A,FALSE,"Plan2"}</definedName>
    <definedName name="ghfgdfrtert" localSheetId="16">{#N/A,#N/A,FALSE,"Plan1";#N/A,#N/A,FALSE,"Plan2"}</definedName>
    <definedName name="ghfgdfrtert" localSheetId="18">{#N/A,#N/A,FALSE,"Plan1";#N/A,#N/A,FALSE,"Plan2"}</definedName>
    <definedName name="ghfgdfrtert" localSheetId="10">{#N/A,#N/A,FALSE,"Plan1";#N/A,#N/A,FALSE,"Plan2"}</definedName>
    <definedName name="ghfgdfrtert">{#N/A,#N/A,FALSE,"Plan1";#N/A,#N/A,FALSE,"Plan2"}</definedName>
    <definedName name="ghfhghft" localSheetId="9">{#N/A,#N/A,FALSE,"Plan1";#N/A,#N/A,FALSE,"Plan2"}</definedName>
    <definedName name="ghfhghft" localSheetId="6">{#N/A,#N/A,FALSE,"Plan1";#N/A,#N/A,FALSE,"Plan2"}</definedName>
    <definedName name="ghfhghft" localSheetId="3">{#N/A,#N/A,FALSE,"Plan1";#N/A,#N/A,FALSE,"Plan2"}</definedName>
    <definedName name="ghfhghft" localSheetId="8">{#N/A,#N/A,FALSE,"Plan1";#N/A,#N/A,FALSE,"Plan2"}</definedName>
    <definedName name="ghfhghft" localSheetId="5">{#N/A,#N/A,FALSE,"Plan1";#N/A,#N/A,FALSE,"Plan2"}</definedName>
    <definedName name="ghfhghft" localSheetId="4">{#N/A,#N/A,FALSE,"Plan1";#N/A,#N/A,FALSE,"Plan2"}</definedName>
    <definedName name="ghfhghft" localSheetId="13">{#N/A,#N/A,FALSE,"Plan1";#N/A,#N/A,FALSE,"Plan2"}</definedName>
    <definedName name="ghfhghft" localSheetId="17">{#N/A,#N/A,FALSE,"Plan1";#N/A,#N/A,FALSE,"Plan2"}</definedName>
    <definedName name="ghfhghft" localSheetId="0">{#N/A,#N/A,FALSE,"Plan1";#N/A,#N/A,FALSE,"Plan2"}</definedName>
    <definedName name="ghfhghft" localSheetId="19">{#N/A,#N/A,FALSE,"Plan1";#N/A,#N/A,FALSE,"Plan2"}</definedName>
    <definedName name="ghfhghft" localSheetId="16">{#N/A,#N/A,FALSE,"Plan1";#N/A,#N/A,FALSE,"Plan2"}</definedName>
    <definedName name="ghfhghft" localSheetId="18">{#N/A,#N/A,FALSE,"Plan1";#N/A,#N/A,FALSE,"Plan2"}</definedName>
    <definedName name="ghfhghft" localSheetId="10">{#N/A,#N/A,FALSE,"Plan1";#N/A,#N/A,FALSE,"Plan2"}</definedName>
    <definedName name="ghfhghft">{#N/A,#N/A,FALSE,"Plan1";#N/A,#N/A,FALSE,"Plan2"}</definedName>
    <definedName name="ghjg" localSheetId="9">{"'Estimativa de Lançamento-JAN'!$A$1:$AI$85"}</definedName>
    <definedName name="ghjg" localSheetId="6">{"'Estimativa de Lançamento-JAN'!$A$1:$AI$85"}</definedName>
    <definedName name="ghjg" localSheetId="3">{"'Estimativa de Lançamento-JAN'!$A$1:$AI$85"}</definedName>
    <definedName name="ghjg" localSheetId="8">{"'Estimativa de Lançamento-JAN'!$A$1:$AI$85"}</definedName>
    <definedName name="ghjg" localSheetId="5">{"'Estimativa de Lançamento-JAN'!$A$1:$AI$85"}</definedName>
    <definedName name="ghjg" localSheetId="4">{"'Estimativa de Lançamento-JAN'!$A$1:$AI$85"}</definedName>
    <definedName name="ghjg" localSheetId="13">{"'Estimativa de Lançamento-JAN'!$A$1:$AI$85"}</definedName>
    <definedName name="ghjg" localSheetId="17">{"'Estimativa de Lançamento-JAN'!$A$1:$AI$85"}</definedName>
    <definedName name="ghjg" localSheetId="0">{"'Estimativa de Lançamento-JAN'!$A$1:$AI$85"}</definedName>
    <definedName name="ghjg" localSheetId="19">{"'Estimativa de Lançamento-JAN'!$A$1:$AI$85"}</definedName>
    <definedName name="ghjg" localSheetId="16">{"'Estimativa de Lançamento-JAN'!$A$1:$AI$85"}</definedName>
    <definedName name="ghjg" localSheetId="18">{"'Estimativa de Lançamento-JAN'!$A$1:$AI$85"}</definedName>
    <definedName name="ghjg" localSheetId="10">{"'Estimativa de Lançamento-JAN'!$A$1:$AI$85"}</definedName>
    <definedName name="ghjg">{"'Estimativa de Lançamento-JAN'!$A$1:$AI$85"}</definedName>
    <definedName name="ghkfhgh" localSheetId="9">{#N/A,#N/A,FALSE,"Plan1";#N/A,#N/A,FALSE,"Plan2"}</definedName>
    <definedName name="ghkfhgh" localSheetId="6">{#N/A,#N/A,FALSE,"Plan1";#N/A,#N/A,FALSE,"Plan2"}</definedName>
    <definedName name="ghkfhgh" localSheetId="3">{#N/A,#N/A,FALSE,"Plan1";#N/A,#N/A,FALSE,"Plan2"}</definedName>
    <definedName name="ghkfhgh" localSheetId="8">{#N/A,#N/A,FALSE,"Plan1";#N/A,#N/A,FALSE,"Plan2"}</definedName>
    <definedName name="ghkfhgh" localSheetId="5">{#N/A,#N/A,FALSE,"Plan1";#N/A,#N/A,FALSE,"Plan2"}</definedName>
    <definedName name="ghkfhgh" localSheetId="4">{#N/A,#N/A,FALSE,"Plan1";#N/A,#N/A,FALSE,"Plan2"}</definedName>
    <definedName name="ghkfhgh" localSheetId="13">{#N/A,#N/A,FALSE,"Plan1";#N/A,#N/A,FALSE,"Plan2"}</definedName>
    <definedName name="ghkfhgh" localSheetId="17">{#N/A,#N/A,FALSE,"Plan1";#N/A,#N/A,FALSE,"Plan2"}</definedName>
    <definedName name="ghkfhgh" localSheetId="0">{#N/A,#N/A,FALSE,"Plan1";#N/A,#N/A,FALSE,"Plan2"}</definedName>
    <definedName name="ghkfhgh" localSheetId="19">{#N/A,#N/A,FALSE,"Plan1";#N/A,#N/A,FALSE,"Plan2"}</definedName>
    <definedName name="ghkfhgh" localSheetId="16">{#N/A,#N/A,FALSE,"Plan1";#N/A,#N/A,FALSE,"Plan2"}</definedName>
    <definedName name="ghkfhgh" localSheetId="18">{#N/A,#N/A,FALSE,"Plan1";#N/A,#N/A,FALSE,"Plan2"}</definedName>
    <definedName name="ghkfhgh" localSheetId="10">{#N/A,#N/A,FALSE,"Plan1";#N/A,#N/A,FALSE,"Plan2"}</definedName>
    <definedName name="ghkfhgh">{#N/A,#N/A,FALSE,"Plan1";#N/A,#N/A,FALSE,"Plan2"}</definedName>
    <definedName name="ghkjh" localSheetId="9">{#N/A,#N/A,FALSE,"ENG'G(보호계전기)"}</definedName>
    <definedName name="ghkjh" localSheetId="6">{#N/A,#N/A,FALSE,"ENG'G(보호계전기)"}</definedName>
    <definedName name="ghkjh" localSheetId="3">{#N/A,#N/A,FALSE,"ENG'G(보호계전기)"}</definedName>
    <definedName name="ghkjh" localSheetId="8">{#N/A,#N/A,FALSE,"ENG'G(보호계전기)"}</definedName>
    <definedName name="ghkjh" localSheetId="5">{#N/A,#N/A,FALSE,"ENG'G(보호계전기)"}</definedName>
    <definedName name="ghkjh" localSheetId="4">{#N/A,#N/A,FALSE,"ENG'G(보호계전기)"}</definedName>
    <definedName name="ghkjh" localSheetId="13">{#N/A,#N/A,FALSE,"ENG'G(보호계전기)"}</definedName>
    <definedName name="ghkjh" localSheetId="17">{#N/A,#N/A,FALSE,"ENG'G(보호계전기)"}</definedName>
    <definedName name="ghkjh" localSheetId="0">{#N/A,#N/A,FALSE,"ENG'G(보호계전기)"}</definedName>
    <definedName name="ghkjh" localSheetId="19">{#N/A,#N/A,FALSE,"ENG'G(보호계전기)"}</definedName>
    <definedName name="ghkjh" localSheetId="16">{#N/A,#N/A,FALSE,"ENG'G(보호계전기)"}</definedName>
    <definedName name="ghkjh" localSheetId="18">{#N/A,#N/A,FALSE,"ENG'G(보호계전기)"}</definedName>
    <definedName name="ghkjh" localSheetId="10">{#N/A,#N/A,FALSE,"ENG'G(보호계전기)"}</definedName>
    <definedName name="ghkjh">{#N/A,#N/A,FALSE,"ENG'G(보호계전기)"}</definedName>
    <definedName name="GJ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9">{#N/A,#N/A,FALSE,"Plan1";#N/A,#N/A,FALSE,"Plan2"}</definedName>
    <definedName name="gjfhjktgcf" localSheetId="6">{#N/A,#N/A,FALSE,"Plan1";#N/A,#N/A,FALSE,"Plan2"}</definedName>
    <definedName name="gjfhjktgcf" localSheetId="3">{#N/A,#N/A,FALSE,"Plan1";#N/A,#N/A,FALSE,"Plan2"}</definedName>
    <definedName name="gjfhjktgcf" localSheetId="8">{#N/A,#N/A,FALSE,"Plan1";#N/A,#N/A,FALSE,"Plan2"}</definedName>
    <definedName name="gjfhjktgcf" localSheetId="5">{#N/A,#N/A,FALSE,"Plan1";#N/A,#N/A,FALSE,"Plan2"}</definedName>
    <definedName name="gjfhjktgcf" localSheetId="4">{#N/A,#N/A,FALSE,"Plan1";#N/A,#N/A,FALSE,"Plan2"}</definedName>
    <definedName name="gjfhjktgcf" localSheetId="13">{#N/A,#N/A,FALSE,"Plan1";#N/A,#N/A,FALSE,"Plan2"}</definedName>
    <definedName name="gjfhjktgcf" localSheetId="17">{#N/A,#N/A,FALSE,"Plan1";#N/A,#N/A,FALSE,"Plan2"}</definedName>
    <definedName name="gjfhjktgcf" localSheetId="0">{#N/A,#N/A,FALSE,"Plan1";#N/A,#N/A,FALSE,"Plan2"}</definedName>
    <definedName name="gjfhjktgcf" localSheetId="19">{#N/A,#N/A,FALSE,"Plan1";#N/A,#N/A,FALSE,"Plan2"}</definedName>
    <definedName name="gjfhjktgcf" localSheetId="16">{#N/A,#N/A,FALSE,"Plan1";#N/A,#N/A,FALSE,"Plan2"}</definedName>
    <definedName name="gjfhjktgcf" localSheetId="18">{#N/A,#N/A,FALSE,"Plan1";#N/A,#N/A,FALSE,"Plan2"}</definedName>
    <definedName name="gjfhjktgcf" localSheetId="10">{#N/A,#N/A,FALSE,"Plan1";#N/A,#N/A,FALSE,"Plan2"}</definedName>
    <definedName name="gjfhjktgcf">{#N/A,#N/A,FALSE,"Plan1";#N/A,#N/A,FALSE,"Plan2"}</definedName>
    <definedName name="GJ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9">{#N/A,#N/A,FALSE,"Plan1";#N/A,#N/A,FALSE,"Plan2"}</definedName>
    <definedName name="gjkhgjhjfggfjhfg" localSheetId="6">{#N/A,#N/A,FALSE,"Plan1";#N/A,#N/A,FALSE,"Plan2"}</definedName>
    <definedName name="gjkhgjhjfggfjhfg" localSheetId="3">{#N/A,#N/A,FALSE,"Plan1";#N/A,#N/A,FALSE,"Plan2"}</definedName>
    <definedName name="gjkhgjhjfggfjhfg" localSheetId="8">{#N/A,#N/A,FALSE,"Plan1";#N/A,#N/A,FALSE,"Plan2"}</definedName>
    <definedName name="gjkhgjhjfggfjhfg" localSheetId="5">{#N/A,#N/A,FALSE,"Plan1";#N/A,#N/A,FALSE,"Plan2"}</definedName>
    <definedName name="gjkhgjhjfggfjhfg" localSheetId="4">{#N/A,#N/A,FALSE,"Plan1";#N/A,#N/A,FALSE,"Plan2"}</definedName>
    <definedName name="gjkhgjhjfggfjhfg" localSheetId="13">{#N/A,#N/A,FALSE,"Plan1";#N/A,#N/A,FALSE,"Plan2"}</definedName>
    <definedName name="gjkhgjhjfggfjhfg" localSheetId="17">{#N/A,#N/A,FALSE,"Plan1";#N/A,#N/A,FALSE,"Plan2"}</definedName>
    <definedName name="gjkhgjhjfggfjhfg" localSheetId="0">{#N/A,#N/A,FALSE,"Plan1";#N/A,#N/A,FALSE,"Plan2"}</definedName>
    <definedName name="gjkhgjhjfggfjhfg" localSheetId="19">{#N/A,#N/A,FALSE,"Plan1";#N/A,#N/A,FALSE,"Plan2"}</definedName>
    <definedName name="gjkhgjhjfggfjhfg" localSheetId="16">{#N/A,#N/A,FALSE,"Plan1";#N/A,#N/A,FALSE,"Plan2"}</definedName>
    <definedName name="gjkhgjhjfggfjhfg" localSheetId="18">{#N/A,#N/A,FALSE,"Plan1";#N/A,#N/A,FALSE,"Plan2"}</definedName>
    <definedName name="gjkhgjhjfggfjhfg" localSheetId="10">{#N/A,#N/A,FALSE,"Plan1";#N/A,#N/A,FALSE,"Plan2"}</definedName>
    <definedName name="gjkhgjhjfggfjhfg">{#N/A,#N/A,FALSE,"Plan1";#N/A,#N/A,FALSE,"Plan2"}</definedName>
    <definedName name="glgl" localSheetId="9">{#N/A,#N/A,FALSE,"Plan1";#N/A,#N/A,FALSE,"Plan2"}</definedName>
    <definedName name="glgl" localSheetId="6">{#N/A,#N/A,FALSE,"Plan1";#N/A,#N/A,FALSE,"Plan2"}</definedName>
    <definedName name="glgl" localSheetId="3">{#N/A,#N/A,FALSE,"Plan1";#N/A,#N/A,FALSE,"Plan2"}</definedName>
    <definedName name="glgl" localSheetId="8">{#N/A,#N/A,FALSE,"Plan1";#N/A,#N/A,FALSE,"Plan2"}</definedName>
    <definedName name="glgl" localSheetId="5">{#N/A,#N/A,FALSE,"Plan1";#N/A,#N/A,FALSE,"Plan2"}</definedName>
    <definedName name="glgl" localSheetId="4">{#N/A,#N/A,FALSE,"Plan1";#N/A,#N/A,FALSE,"Plan2"}</definedName>
    <definedName name="glgl" localSheetId="13">{#N/A,#N/A,FALSE,"Plan1";#N/A,#N/A,FALSE,"Plan2"}</definedName>
    <definedName name="glgl" localSheetId="17">{#N/A,#N/A,FALSE,"Plan1";#N/A,#N/A,FALSE,"Plan2"}</definedName>
    <definedName name="glgl" localSheetId="0">{#N/A,#N/A,FALSE,"Plan1";#N/A,#N/A,FALSE,"Plan2"}</definedName>
    <definedName name="glgl" localSheetId="19">{#N/A,#N/A,FALSE,"Plan1";#N/A,#N/A,FALSE,"Plan2"}</definedName>
    <definedName name="glgl" localSheetId="16">{#N/A,#N/A,FALSE,"Plan1";#N/A,#N/A,FALSE,"Plan2"}</definedName>
    <definedName name="glgl" localSheetId="18">{#N/A,#N/A,FALSE,"Plan1";#N/A,#N/A,FALSE,"Plan2"}</definedName>
    <definedName name="glgl" localSheetId="10">{#N/A,#N/A,FALSE,"Plan1";#N/A,#N/A,FALSE,"Plan2"}</definedName>
    <definedName name="glgl">{#N/A,#N/A,FALSE,"Plan1";#N/A,#N/A,FALSE,"Plan2"}</definedName>
    <definedName name="global" localSheetId="6">{"'Estimativa de Lançamento-JAN'!$A$1:$AI$85"}</definedName>
    <definedName name="global" localSheetId="8">{"'Estimativa de Lançamento-JAN'!$A$1:$AI$85"}</definedName>
    <definedName name="GLOBAL" localSheetId="5">#REF!</definedName>
    <definedName name="GLOBAL" localSheetId="13">#REF!</definedName>
    <definedName name="global" localSheetId="0">{"'Estimativa de Lançamento-JAN'!$A$1:$AI$85"}</definedName>
    <definedName name="global" localSheetId="19">{"'Estimativa de Lançamento-JAN'!$A$1:$AI$85"}</definedName>
    <definedName name="GLOBAL">#REF!</definedName>
    <definedName name="gnfrt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3">#REF!</definedName>
    <definedName name="grec_cdi" localSheetId="5">#REF!</definedName>
    <definedName name="grec_cdi" localSheetId="13">#REF!</definedName>
    <definedName name="grec_cdi" localSheetId="26">#REF!</definedName>
    <definedName name="grec_cdi">#REF!</definedName>
    <definedName name="grec_hist" localSheetId="3">#REF!</definedName>
    <definedName name="grec_hist" localSheetId="5">#REF!</definedName>
    <definedName name="grec_hist" localSheetId="13">#REF!</definedName>
    <definedName name="grec_hist" localSheetId="26">#REF!</definedName>
    <definedName name="grec_hist">#REF!</definedName>
    <definedName name="grec_uss" localSheetId="3">#REF!</definedName>
    <definedName name="grec_uss" localSheetId="5">#REF!</definedName>
    <definedName name="grec_uss" localSheetId="13">#REF!</definedName>
    <definedName name="grec_uss" localSheetId="26">#REF!</definedName>
    <definedName name="grec_uss">#REF!</definedName>
    <definedName name="grua" localSheetId="3">#REF!</definedName>
    <definedName name="grua" localSheetId="5">#REF!</definedName>
    <definedName name="grua" localSheetId="13">#REF!</definedName>
    <definedName name="grua" localSheetId="26">#REF!</definedName>
    <definedName name="grua">#REF!</definedName>
    <definedName name="GSDWJSTG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9">{#N/A,#N/A,FALSE,"Plan1";#N/A,#N/A,FALSE,"Plan2"}</definedName>
    <definedName name="gtuigsdyugsdf" localSheetId="6">{#N/A,#N/A,FALSE,"Plan1";#N/A,#N/A,FALSE,"Plan2"}</definedName>
    <definedName name="gtuigsdyugsdf" localSheetId="3">{#N/A,#N/A,FALSE,"Plan1";#N/A,#N/A,FALSE,"Plan2"}</definedName>
    <definedName name="gtuigsdyugsdf" localSheetId="8">{#N/A,#N/A,FALSE,"Plan1";#N/A,#N/A,FALSE,"Plan2"}</definedName>
    <definedName name="gtuigsdyugsdf" localSheetId="5">{#N/A,#N/A,FALSE,"Plan1";#N/A,#N/A,FALSE,"Plan2"}</definedName>
    <definedName name="gtuigsdyugsdf" localSheetId="4">{#N/A,#N/A,FALSE,"Plan1";#N/A,#N/A,FALSE,"Plan2"}</definedName>
    <definedName name="gtuigsdyugsdf" localSheetId="13">{#N/A,#N/A,FALSE,"Plan1";#N/A,#N/A,FALSE,"Plan2"}</definedName>
    <definedName name="gtuigsdyugsdf" localSheetId="17">{#N/A,#N/A,FALSE,"Plan1";#N/A,#N/A,FALSE,"Plan2"}</definedName>
    <definedName name="gtuigsdyugsdf" localSheetId="0">{#N/A,#N/A,FALSE,"Plan1";#N/A,#N/A,FALSE,"Plan2"}</definedName>
    <definedName name="gtuigsdyugsdf" localSheetId="19">{#N/A,#N/A,FALSE,"Plan1";#N/A,#N/A,FALSE,"Plan2"}</definedName>
    <definedName name="gtuigsdyugsdf" localSheetId="16">{#N/A,#N/A,FALSE,"Plan1";#N/A,#N/A,FALSE,"Plan2"}</definedName>
    <definedName name="gtuigsdyugsdf" localSheetId="18">{#N/A,#N/A,FALSE,"Plan1";#N/A,#N/A,FALSE,"Plan2"}</definedName>
    <definedName name="gtuigsdyugsdf" localSheetId="10">{#N/A,#N/A,FALSE,"Plan1";#N/A,#N/A,FALSE,"Plan2"}</definedName>
    <definedName name="gtuigsdyugsdf">{#N/A,#N/A,FALSE,"Plan1";#N/A,#N/A,FALSE,"Plan2"}</definedName>
    <definedName name="GUI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9">{#N/A,#N/A,FALSE,"CCTV"}</definedName>
    <definedName name="GV" localSheetId="6">{#N/A,#N/A,FALSE,"CCTV"}</definedName>
    <definedName name="GV" localSheetId="3">{#N/A,#N/A,FALSE,"CCTV"}</definedName>
    <definedName name="GV" localSheetId="8">{#N/A,#N/A,FALSE,"CCTV"}</definedName>
    <definedName name="GV" localSheetId="5">{#N/A,#N/A,FALSE,"CCTV"}</definedName>
    <definedName name="GV" localSheetId="4">{#N/A,#N/A,FALSE,"CCTV"}</definedName>
    <definedName name="GV" localSheetId="13">{#N/A,#N/A,FALSE,"CCTV"}</definedName>
    <definedName name="GV" localSheetId="17">{#N/A,#N/A,FALSE,"CCTV"}</definedName>
    <definedName name="GV" localSheetId="0">{#N/A,#N/A,FALSE,"CCTV"}</definedName>
    <definedName name="GV" localSheetId="19">{#N/A,#N/A,FALSE,"CCTV"}</definedName>
    <definedName name="GV" localSheetId="16">{#N/A,#N/A,FALSE,"CCTV"}</definedName>
    <definedName name="GV" localSheetId="18">{#N/A,#N/A,FALSE,"CCTV"}</definedName>
    <definedName name="GV" localSheetId="10">{#N/A,#N/A,FALSE,"CCTV"}</definedName>
    <definedName name="GV">{#N/A,#N/A,FALSE,"CCTV"}</definedName>
    <definedName name="h" localSheetId="3">#REF!</definedName>
    <definedName name="h" localSheetId="5">#REF!</definedName>
    <definedName name="h" localSheetId="13">#REF!</definedName>
    <definedName name="h" localSheetId="26">#REF!</definedName>
    <definedName name="h">#REF!</definedName>
    <definedName name="hbjgjuae" localSheetId="3">#REF!</definedName>
    <definedName name="hbjgjuae" localSheetId="5">#REF!</definedName>
    <definedName name="hbjgjuae" localSheetId="13">#REF!</definedName>
    <definedName name="hbjgjuae" localSheetId="26">#REF!</definedName>
    <definedName name="hbjgjuae">#REF!</definedName>
    <definedName name="hcjfkhdghfktg" localSheetId="9">{#N/A,#N/A,FALSE,"Plan1";#N/A,#N/A,FALSE,"Plan2"}</definedName>
    <definedName name="hcjfkhdghfktg" localSheetId="6">{#N/A,#N/A,FALSE,"Plan1";#N/A,#N/A,FALSE,"Plan2"}</definedName>
    <definedName name="hcjfkhdghfktg" localSheetId="3">{#N/A,#N/A,FALSE,"Plan1";#N/A,#N/A,FALSE,"Plan2"}</definedName>
    <definedName name="hcjfkhdghfktg" localSheetId="8">{#N/A,#N/A,FALSE,"Plan1";#N/A,#N/A,FALSE,"Plan2"}</definedName>
    <definedName name="hcjfkhdghfktg" localSheetId="5">{#N/A,#N/A,FALSE,"Plan1";#N/A,#N/A,FALSE,"Plan2"}</definedName>
    <definedName name="hcjfkhdghfktg" localSheetId="4">{#N/A,#N/A,FALSE,"Plan1";#N/A,#N/A,FALSE,"Plan2"}</definedName>
    <definedName name="hcjfkhdghfktg" localSheetId="13">{#N/A,#N/A,FALSE,"Plan1";#N/A,#N/A,FALSE,"Plan2"}</definedName>
    <definedName name="hcjfkhdghfktg" localSheetId="17">{#N/A,#N/A,FALSE,"Plan1";#N/A,#N/A,FALSE,"Plan2"}</definedName>
    <definedName name="hcjfkhdghfktg" localSheetId="0">{#N/A,#N/A,FALSE,"Plan1";#N/A,#N/A,FALSE,"Plan2"}</definedName>
    <definedName name="hcjfkhdghfktg" localSheetId="19">{#N/A,#N/A,FALSE,"Plan1";#N/A,#N/A,FALSE,"Plan2"}</definedName>
    <definedName name="hcjfkhdghfktg" localSheetId="16">{#N/A,#N/A,FALSE,"Plan1";#N/A,#N/A,FALSE,"Plan2"}</definedName>
    <definedName name="hcjfkhdghfktg" localSheetId="18">{#N/A,#N/A,FALSE,"Plan1";#N/A,#N/A,FALSE,"Plan2"}</definedName>
    <definedName name="hcjfkhdghfktg" localSheetId="10">{#N/A,#N/A,FALSE,"Plan1";#N/A,#N/A,FALSE,"Plan2"}</definedName>
    <definedName name="hcjfkhdghfktg">{#N/A,#N/A,FALSE,"Plan1";#N/A,#N/A,FALSE,"Plan2"}</definedName>
    <definedName name="hckhjfdkgfdg" localSheetId="3">#REF!</definedName>
    <definedName name="hckhjfdkgfdg" localSheetId="5">#REF!</definedName>
    <definedName name="hckhjfdkgfdg" localSheetId="13">#REF!</definedName>
    <definedName name="hckhjfdkgfdg" localSheetId="26">#REF!</definedName>
    <definedName name="hckhjfdkgfdg" localSheetId="0">#REF!</definedName>
    <definedName name="hckhjfdkgfdg">#REF!</definedName>
    <definedName name="hddfndgdf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9">{#N/A,#N/A,FALSE,"Plan1";#N/A,#N/A,FALSE,"Plan2"}</definedName>
    <definedName name="HDFGHGST" localSheetId="6">{#N/A,#N/A,FALSE,"Plan1";#N/A,#N/A,FALSE,"Plan2"}</definedName>
    <definedName name="HDFGHGST" localSheetId="3">{#N/A,#N/A,FALSE,"Plan1";#N/A,#N/A,FALSE,"Plan2"}</definedName>
    <definedName name="HDFGHGST" localSheetId="8">{#N/A,#N/A,FALSE,"Plan1";#N/A,#N/A,FALSE,"Plan2"}</definedName>
    <definedName name="HDFGHGST" localSheetId="5">{#N/A,#N/A,FALSE,"Plan1";#N/A,#N/A,FALSE,"Plan2"}</definedName>
    <definedName name="HDFGHGST" localSheetId="4">{#N/A,#N/A,FALSE,"Plan1";#N/A,#N/A,FALSE,"Plan2"}</definedName>
    <definedName name="HDFGHGST" localSheetId="13">{#N/A,#N/A,FALSE,"Plan1";#N/A,#N/A,FALSE,"Plan2"}</definedName>
    <definedName name="HDFGHGST" localSheetId="17">{#N/A,#N/A,FALSE,"Plan1";#N/A,#N/A,FALSE,"Plan2"}</definedName>
    <definedName name="HDFGHGST" localSheetId="0">{#N/A,#N/A,FALSE,"Plan1";#N/A,#N/A,FALSE,"Plan2"}</definedName>
    <definedName name="HDFGHGST" localSheetId="19">{#N/A,#N/A,FALSE,"Plan1";#N/A,#N/A,FALSE,"Plan2"}</definedName>
    <definedName name="HDFGHGST" localSheetId="16">{#N/A,#N/A,FALSE,"Plan1";#N/A,#N/A,FALSE,"Plan2"}</definedName>
    <definedName name="HDFGHGST" localSheetId="18">{#N/A,#N/A,FALSE,"Plan1";#N/A,#N/A,FALSE,"Plan2"}</definedName>
    <definedName name="HDFGHGST" localSheetId="10">{#N/A,#N/A,FALSE,"Plan1";#N/A,#N/A,FALSE,"Plan2"}</definedName>
    <definedName name="HDFGHGST">{#N/A,#N/A,FALSE,"Plan1";#N/A,#N/A,FALSE,"Plan2"}</definedName>
    <definedName name="HDFGJKHKFDHTY" localSheetId="9">{#N/A,#N/A,FALSE,"Plan1";#N/A,#N/A,FALSE,"Plan2"}</definedName>
    <definedName name="HDFGJKHKFDHTY" localSheetId="6">{#N/A,#N/A,FALSE,"Plan1";#N/A,#N/A,FALSE,"Plan2"}</definedName>
    <definedName name="HDFGJKHKFDHTY" localSheetId="3">{#N/A,#N/A,FALSE,"Plan1";#N/A,#N/A,FALSE,"Plan2"}</definedName>
    <definedName name="HDFGJKHKFDHTY" localSheetId="8">{#N/A,#N/A,FALSE,"Plan1";#N/A,#N/A,FALSE,"Plan2"}</definedName>
    <definedName name="HDFGJKHKFDHTY" localSheetId="5">{#N/A,#N/A,FALSE,"Plan1";#N/A,#N/A,FALSE,"Plan2"}</definedName>
    <definedName name="HDFGJKHKFDHTY" localSheetId="4">{#N/A,#N/A,FALSE,"Plan1";#N/A,#N/A,FALSE,"Plan2"}</definedName>
    <definedName name="HDFGJKHKFDHTY" localSheetId="13">{#N/A,#N/A,FALSE,"Plan1";#N/A,#N/A,FALSE,"Plan2"}</definedName>
    <definedName name="HDFGJKHKFDHTY" localSheetId="17">{#N/A,#N/A,FALSE,"Plan1";#N/A,#N/A,FALSE,"Plan2"}</definedName>
    <definedName name="HDFGJKHKFDHTY" localSheetId="0">{#N/A,#N/A,FALSE,"Plan1";#N/A,#N/A,FALSE,"Plan2"}</definedName>
    <definedName name="HDFGJKHKFDHTY" localSheetId="19">{#N/A,#N/A,FALSE,"Plan1";#N/A,#N/A,FALSE,"Plan2"}</definedName>
    <definedName name="HDFGJKHKFDHTY" localSheetId="16">{#N/A,#N/A,FALSE,"Plan1";#N/A,#N/A,FALSE,"Plan2"}</definedName>
    <definedName name="HDFGJKHKFDHTY" localSheetId="18">{#N/A,#N/A,FALSE,"Plan1";#N/A,#N/A,FALSE,"Plan2"}</definedName>
    <definedName name="HDFGJKHKFDHTY" localSheetId="10">{#N/A,#N/A,FALSE,"Plan1";#N/A,#N/A,FALSE,"Plan2"}</definedName>
    <definedName name="HDFGJKHKFDHTY">{#N/A,#N/A,FALSE,"Plan1";#N/A,#N/A,FALSE,"Plan2"}</definedName>
    <definedName name="hdfhdhrtgd" localSheetId="9">{#N/A,#N/A,FALSE,"Plan1";#N/A,#N/A,FALSE,"Plan2"}</definedName>
    <definedName name="hdfhdhrtgd" localSheetId="6">{#N/A,#N/A,FALSE,"Plan1";#N/A,#N/A,FALSE,"Plan2"}</definedName>
    <definedName name="hdfhdhrtgd" localSheetId="3">{#N/A,#N/A,FALSE,"Plan1";#N/A,#N/A,FALSE,"Plan2"}</definedName>
    <definedName name="hdfhdhrtgd" localSheetId="8">{#N/A,#N/A,FALSE,"Plan1";#N/A,#N/A,FALSE,"Plan2"}</definedName>
    <definedName name="hdfhdhrtgd" localSheetId="5">{#N/A,#N/A,FALSE,"Plan1";#N/A,#N/A,FALSE,"Plan2"}</definedName>
    <definedName name="hdfhdhrtgd" localSheetId="4">{#N/A,#N/A,FALSE,"Plan1";#N/A,#N/A,FALSE,"Plan2"}</definedName>
    <definedName name="hdfhdhrtgd" localSheetId="13">{#N/A,#N/A,FALSE,"Plan1";#N/A,#N/A,FALSE,"Plan2"}</definedName>
    <definedName name="hdfhdhrtgd" localSheetId="17">{#N/A,#N/A,FALSE,"Plan1";#N/A,#N/A,FALSE,"Plan2"}</definedName>
    <definedName name="hdfhdhrtgd" localSheetId="0">{#N/A,#N/A,FALSE,"Plan1";#N/A,#N/A,FALSE,"Plan2"}</definedName>
    <definedName name="hdfhdhrtgd" localSheetId="19">{#N/A,#N/A,FALSE,"Plan1";#N/A,#N/A,FALSE,"Plan2"}</definedName>
    <definedName name="hdfhdhrtgd" localSheetId="16">{#N/A,#N/A,FALSE,"Plan1";#N/A,#N/A,FALSE,"Plan2"}</definedName>
    <definedName name="hdfhdhrtgd" localSheetId="18">{#N/A,#N/A,FALSE,"Plan1";#N/A,#N/A,FALSE,"Plan2"}</definedName>
    <definedName name="hdfhdhrtgd" localSheetId="10">{#N/A,#N/A,FALSE,"Plan1";#N/A,#N/A,FALSE,"Plan2"}</definedName>
    <definedName name="hdfhdhrtgd">{#N/A,#N/A,FALSE,"Plan1";#N/A,#N/A,FALSE,"Plan2"}</definedName>
    <definedName name="hdfhftde" localSheetId="9">{#N/A,#N/A,FALSE,"Plan1";#N/A,#N/A,FALSE,"Plan2"}</definedName>
    <definedName name="hdfhftde" localSheetId="6">{#N/A,#N/A,FALSE,"Plan1";#N/A,#N/A,FALSE,"Plan2"}</definedName>
    <definedName name="hdfhftde" localSheetId="3">{#N/A,#N/A,FALSE,"Plan1";#N/A,#N/A,FALSE,"Plan2"}</definedName>
    <definedName name="hdfhftde" localSheetId="8">{#N/A,#N/A,FALSE,"Plan1";#N/A,#N/A,FALSE,"Plan2"}</definedName>
    <definedName name="hdfhftde" localSheetId="5">{#N/A,#N/A,FALSE,"Plan1";#N/A,#N/A,FALSE,"Plan2"}</definedName>
    <definedName name="hdfhftde" localSheetId="4">{#N/A,#N/A,FALSE,"Plan1";#N/A,#N/A,FALSE,"Plan2"}</definedName>
    <definedName name="hdfhftde" localSheetId="13">{#N/A,#N/A,FALSE,"Plan1";#N/A,#N/A,FALSE,"Plan2"}</definedName>
    <definedName name="hdfhftde" localSheetId="17">{#N/A,#N/A,FALSE,"Plan1";#N/A,#N/A,FALSE,"Plan2"}</definedName>
    <definedName name="hdfhftde" localSheetId="0">{#N/A,#N/A,FALSE,"Plan1";#N/A,#N/A,FALSE,"Plan2"}</definedName>
    <definedName name="hdfhftde" localSheetId="19">{#N/A,#N/A,FALSE,"Plan1";#N/A,#N/A,FALSE,"Plan2"}</definedName>
    <definedName name="hdfhftde" localSheetId="16">{#N/A,#N/A,FALSE,"Plan1";#N/A,#N/A,FALSE,"Plan2"}</definedName>
    <definedName name="hdfhftde" localSheetId="18">{#N/A,#N/A,FALSE,"Plan1";#N/A,#N/A,FALSE,"Plan2"}</definedName>
    <definedName name="hdfhftde" localSheetId="10">{#N/A,#N/A,FALSE,"Plan1";#N/A,#N/A,FALSE,"Plan2"}</definedName>
    <definedName name="hdfhftde">{#N/A,#N/A,FALSE,"Plan1";#N/A,#N/A,FALSE,"Plan2"}</definedName>
    <definedName name="hdfhgkdhgtrf" localSheetId="9">{#N/A,#N/A,FALSE,"Plan1";#N/A,#N/A,FALSE,"Plan2"}</definedName>
    <definedName name="hdfhgkdhgtrf" localSheetId="6">{#N/A,#N/A,FALSE,"Plan1";#N/A,#N/A,FALSE,"Plan2"}</definedName>
    <definedName name="hdfhgkdhgtrf" localSheetId="3">{#N/A,#N/A,FALSE,"Plan1";#N/A,#N/A,FALSE,"Plan2"}</definedName>
    <definedName name="hdfhgkdhgtrf" localSheetId="8">{#N/A,#N/A,FALSE,"Plan1";#N/A,#N/A,FALSE,"Plan2"}</definedName>
    <definedName name="hdfhgkdhgtrf" localSheetId="5">{#N/A,#N/A,FALSE,"Plan1";#N/A,#N/A,FALSE,"Plan2"}</definedName>
    <definedName name="hdfhgkdhgtrf" localSheetId="4">{#N/A,#N/A,FALSE,"Plan1";#N/A,#N/A,FALSE,"Plan2"}</definedName>
    <definedName name="hdfhgkdhgtrf" localSheetId="13">{#N/A,#N/A,FALSE,"Plan1";#N/A,#N/A,FALSE,"Plan2"}</definedName>
    <definedName name="hdfhgkdhgtrf" localSheetId="17">{#N/A,#N/A,FALSE,"Plan1";#N/A,#N/A,FALSE,"Plan2"}</definedName>
    <definedName name="hdfhgkdhgtrf" localSheetId="0">{#N/A,#N/A,FALSE,"Plan1";#N/A,#N/A,FALSE,"Plan2"}</definedName>
    <definedName name="hdfhgkdhgtrf" localSheetId="19">{#N/A,#N/A,FALSE,"Plan1";#N/A,#N/A,FALSE,"Plan2"}</definedName>
    <definedName name="hdfhgkdhgtrf" localSheetId="16">{#N/A,#N/A,FALSE,"Plan1";#N/A,#N/A,FALSE,"Plan2"}</definedName>
    <definedName name="hdfhgkdhgtrf" localSheetId="18">{#N/A,#N/A,FALSE,"Plan1";#N/A,#N/A,FALSE,"Plan2"}</definedName>
    <definedName name="hdfhgkdhgtrf" localSheetId="10">{#N/A,#N/A,FALSE,"Plan1";#N/A,#N/A,FALSE,"Plan2"}</definedName>
    <definedName name="hdfhgkdhgtrf">{#N/A,#N/A,FALSE,"Plan1";#N/A,#N/A,FALSE,"Plan2"}</definedName>
    <definedName name="hdfjhdkzhgdr" localSheetId="9">{#N/A,#N/A,FALSE,"Plan1";#N/A,#N/A,FALSE,"Plan2"}</definedName>
    <definedName name="hdfjhdkzhgdr" localSheetId="6">{#N/A,#N/A,FALSE,"Plan1";#N/A,#N/A,FALSE,"Plan2"}</definedName>
    <definedName name="hdfjhdkzhgdr" localSheetId="3">{#N/A,#N/A,FALSE,"Plan1";#N/A,#N/A,FALSE,"Plan2"}</definedName>
    <definedName name="hdfjhdkzhgdr" localSheetId="8">{#N/A,#N/A,FALSE,"Plan1";#N/A,#N/A,FALSE,"Plan2"}</definedName>
    <definedName name="hdfjhdkzhgdr" localSheetId="5">{#N/A,#N/A,FALSE,"Plan1";#N/A,#N/A,FALSE,"Plan2"}</definedName>
    <definedName name="hdfjhdkzhgdr" localSheetId="4">{#N/A,#N/A,FALSE,"Plan1";#N/A,#N/A,FALSE,"Plan2"}</definedName>
    <definedName name="hdfjhdkzhgdr" localSheetId="13">{#N/A,#N/A,FALSE,"Plan1";#N/A,#N/A,FALSE,"Plan2"}</definedName>
    <definedName name="hdfjhdkzhgdr" localSheetId="17">{#N/A,#N/A,FALSE,"Plan1";#N/A,#N/A,FALSE,"Plan2"}</definedName>
    <definedName name="hdfjhdkzhgdr" localSheetId="0">{#N/A,#N/A,FALSE,"Plan1";#N/A,#N/A,FALSE,"Plan2"}</definedName>
    <definedName name="hdfjhdkzhgdr" localSheetId="19">{#N/A,#N/A,FALSE,"Plan1";#N/A,#N/A,FALSE,"Plan2"}</definedName>
    <definedName name="hdfjhdkzhgdr" localSheetId="16">{#N/A,#N/A,FALSE,"Plan1";#N/A,#N/A,FALSE,"Plan2"}</definedName>
    <definedName name="hdfjhdkzhgdr" localSheetId="18">{#N/A,#N/A,FALSE,"Plan1";#N/A,#N/A,FALSE,"Plan2"}</definedName>
    <definedName name="hdfjhdkzhgdr" localSheetId="10">{#N/A,#N/A,FALSE,"Plan1";#N/A,#N/A,FALSE,"Plan2"}</definedName>
    <definedName name="hdfjhdkzhgdr">{#N/A,#N/A,FALSE,"Plan1";#N/A,#N/A,FALSE,"Plan2"}</definedName>
    <definedName name="hdfjkgvjgtd" localSheetId="9">{#N/A,#N/A,FALSE,"Plan1";#N/A,#N/A,FALSE,"Plan2"}</definedName>
    <definedName name="hdfjkgvjgtd" localSheetId="6">{#N/A,#N/A,FALSE,"Plan1";#N/A,#N/A,FALSE,"Plan2"}</definedName>
    <definedName name="hdfjkgvjgtd" localSheetId="3">{#N/A,#N/A,FALSE,"Plan1";#N/A,#N/A,FALSE,"Plan2"}</definedName>
    <definedName name="hdfjkgvjgtd" localSheetId="8">{#N/A,#N/A,FALSE,"Plan1";#N/A,#N/A,FALSE,"Plan2"}</definedName>
    <definedName name="hdfjkgvjgtd" localSheetId="5">{#N/A,#N/A,FALSE,"Plan1";#N/A,#N/A,FALSE,"Plan2"}</definedName>
    <definedName name="hdfjkgvjgtd" localSheetId="4">{#N/A,#N/A,FALSE,"Plan1";#N/A,#N/A,FALSE,"Plan2"}</definedName>
    <definedName name="hdfjkgvjgtd" localSheetId="13">{#N/A,#N/A,FALSE,"Plan1";#N/A,#N/A,FALSE,"Plan2"}</definedName>
    <definedName name="hdfjkgvjgtd" localSheetId="17">{#N/A,#N/A,FALSE,"Plan1";#N/A,#N/A,FALSE,"Plan2"}</definedName>
    <definedName name="hdfjkgvjgtd" localSheetId="0">{#N/A,#N/A,FALSE,"Plan1";#N/A,#N/A,FALSE,"Plan2"}</definedName>
    <definedName name="hdfjkgvjgtd" localSheetId="19">{#N/A,#N/A,FALSE,"Plan1";#N/A,#N/A,FALSE,"Plan2"}</definedName>
    <definedName name="hdfjkgvjgtd" localSheetId="16">{#N/A,#N/A,FALSE,"Plan1";#N/A,#N/A,FALSE,"Plan2"}</definedName>
    <definedName name="hdfjkgvjgtd" localSheetId="18">{#N/A,#N/A,FALSE,"Plan1";#N/A,#N/A,FALSE,"Plan2"}</definedName>
    <definedName name="hdfjkgvjgtd" localSheetId="10">{#N/A,#N/A,FALSE,"Plan1";#N/A,#N/A,FALSE,"Plan2"}</definedName>
    <definedName name="hdfjkgvjgtd">{#N/A,#N/A,FALSE,"Plan1";#N/A,#N/A,FALSE,"Plan2"}</definedName>
    <definedName name="hdfjkhdhrute" localSheetId="9">{#N/A,#N/A,FALSE,"Plan1";#N/A,#N/A,FALSE,"Plan2"}</definedName>
    <definedName name="hdfjkhdhrute" localSheetId="6">{#N/A,#N/A,FALSE,"Plan1";#N/A,#N/A,FALSE,"Plan2"}</definedName>
    <definedName name="hdfjkhdhrute" localSheetId="3">{#N/A,#N/A,FALSE,"Plan1";#N/A,#N/A,FALSE,"Plan2"}</definedName>
    <definedName name="hdfjkhdhrute" localSheetId="8">{#N/A,#N/A,FALSE,"Plan1";#N/A,#N/A,FALSE,"Plan2"}</definedName>
    <definedName name="hdfjkhdhrute" localSheetId="5">{#N/A,#N/A,FALSE,"Plan1";#N/A,#N/A,FALSE,"Plan2"}</definedName>
    <definedName name="hdfjkhdhrute" localSheetId="4">{#N/A,#N/A,FALSE,"Plan1";#N/A,#N/A,FALSE,"Plan2"}</definedName>
    <definedName name="hdfjkhdhrute" localSheetId="13">{#N/A,#N/A,FALSE,"Plan1";#N/A,#N/A,FALSE,"Plan2"}</definedName>
    <definedName name="hdfjkhdhrute" localSheetId="17">{#N/A,#N/A,FALSE,"Plan1";#N/A,#N/A,FALSE,"Plan2"}</definedName>
    <definedName name="hdfjkhdhrute" localSheetId="0">{#N/A,#N/A,FALSE,"Plan1";#N/A,#N/A,FALSE,"Plan2"}</definedName>
    <definedName name="hdfjkhdhrute" localSheetId="19">{#N/A,#N/A,FALSE,"Plan1";#N/A,#N/A,FALSE,"Plan2"}</definedName>
    <definedName name="hdfjkhdhrute" localSheetId="16">{#N/A,#N/A,FALSE,"Plan1";#N/A,#N/A,FALSE,"Plan2"}</definedName>
    <definedName name="hdfjkhdhrute" localSheetId="18">{#N/A,#N/A,FALSE,"Plan1";#N/A,#N/A,FALSE,"Plan2"}</definedName>
    <definedName name="hdfjkhdhrute" localSheetId="10">{#N/A,#N/A,FALSE,"Plan1";#N/A,#N/A,FALSE,"Plan2"}</definedName>
    <definedName name="hdfjkhdhrute">{#N/A,#N/A,FALSE,"Plan1";#N/A,#N/A,FALSE,"Plan2"}</definedName>
    <definedName name="HDFKGVF" localSheetId="9">{#N/A,#N/A,FALSE,"Plan1";#N/A,#N/A,FALSE,"Plan2"}</definedName>
    <definedName name="HDFKGVF" localSheetId="6">{#N/A,#N/A,FALSE,"Plan1";#N/A,#N/A,FALSE,"Plan2"}</definedName>
    <definedName name="HDFKGVF" localSheetId="3">{#N/A,#N/A,FALSE,"Plan1";#N/A,#N/A,FALSE,"Plan2"}</definedName>
    <definedName name="HDFKGVF" localSheetId="8">{#N/A,#N/A,FALSE,"Plan1";#N/A,#N/A,FALSE,"Plan2"}</definedName>
    <definedName name="HDFKGVF" localSheetId="5">{#N/A,#N/A,FALSE,"Plan1";#N/A,#N/A,FALSE,"Plan2"}</definedName>
    <definedName name="HDFKGVF" localSheetId="4">{#N/A,#N/A,FALSE,"Plan1";#N/A,#N/A,FALSE,"Plan2"}</definedName>
    <definedName name="HDFKGVF" localSheetId="13">{#N/A,#N/A,FALSE,"Plan1";#N/A,#N/A,FALSE,"Plan2"}</definedName>
    <definedName name="HDFKGVF" localSheetId="17">{#N/A,#N/A,FALSE,"Plan1";#N/A,#N/A,FALSE,"Plan2"}</definedName>
    <definedName name="HDFKGVF" localSheetId="0">{#N/A,#N/A,FALSE,"Plan1";#N/A,#N/A,FALSE,"Plan2"}</definedName>
    <definedName name="HDFKGVF" localSheetId="19">{#N/A,#N/A,FALSE,"Plan1";#N/A,#N/A,FALSE,"Plan2"}</definedName>
    <definedName name="HDFKGVF" localSheetId="16">{#N/A,#N/A,FALSE,"Plan1";#N/A,#N/A,FALSE,"Plan2"}</definedName>
    <definedName name="HDFKGVF" localSheetId="18">{#N/A,#N/A,FALSE,"Plan1";#N/A,#N/A,FALSE,"Plan2"}</definedName>
    <definedName name="HDFKGVF" localSheetId="10">{#N/A,#N/A,FALSE,"Plan1";#N/A,#N/A,FALSE,"Plan2"}</definedName>
    <definedName name="HDFKGVF">{#N/A,#N/A,FALSE,"Plan1";#N/A,#N/A,FALSE,"Plan2"}</definedName>
    <definedName name="hdgfhdgtdrt" localSheetId="9">{#N/A,#N/A,FALSE,"Plan1";#N/A,#N/A,FALSE,"Plan2"}</definedName>
    <definedName name="hdgfhdgtdrt" localSheetId="6">{#N/A,#N/A,FALSE,"Plan1";#N/A,#N/A,FALSE,"Plan2"}</definedName>
    <definedName name="hdgfhdgtdrt" localSheetId="3">{#N/A,#N/A,FALSE,"Plan1";#N/A,#N/A,FALSE,"Plan2"}</definedName>
    <definedName name="hdgfhdgtdrt" localSheetId="8">{#N/A,#N/A,FALSE,"Plan1";#N/A,#N/A,FALSE,"Plan2"}</definedName>
    <definedName name="hdgfhdgtdrt" localSheetId="5">{#N/A,#N/A,FALSE,"Plan1";#N/A,#N/A,FALSE,"Plan2"}</definedName>
    <definedName name="hdgfhdgtdrt" localSheetId="4">{#N/A,#N/A,FALSE,"Plan1";#N/A,#N/A,FALSE,"Plan2"}</definedName>
    <definedName name="hdgfhdgtdrt" localSheetId="13">{#N/A,#N/A,FALSE,"Plan1";#N/A,#N/A,FALSE,"Plan2"}</definedName>
    <definedName name="hdgfhdgtdrt" localSheetId="17">{#N/A,#N/A,FALSE,"Plan1";#N/A,#N/A,FALSE,"Plan2"}</definedName>
    <definedName name="hdgfhdgtdrt" localSheetId="0">{#N/A,#N/A,FALSE,"Plan1";#N/A,#N/A,FALSE,"Plan2"}</definedName>
    <definedName name="hdgfhdgtdrt" localSheetId="19">{#N/A,#N/A,FALSE,"Plan1";#N/A,#N/A,FALSE,"Plan2"}</definedName>
    <definedName name="hdgfhdgtdrt" localSheetId="16">{#N/A,#N/A,FALSE,"Plan1";#N/A,#N/A,FALSE,"Plan2"}</definedName>
    <definedName name="hdgfhdgtdrt" localSheetId="18">{#N/A,#N/A,FALSE,"Plan1";#N/A,#N/A,FALSE,"Plan2"}</definedName>
    <definedName name="hdgfhdgtdrt" localSheetId="10">{#N/A,#N/A,FALSE,"Plan1";#N/A,#N/A,FALSE,"Plan2"}</definedName>
    <definedName name="hdgfhdgtdrt">{#N/A,#N/A,FALSE,"Plan1";#N/A,#N/A,FALSE,"Plan2"}</definedName>
    <definedName name="hdghgtgtrgd" localSheetId="9">{#N/A,#N/A,FALSE,"Plan1";#N/A,#N/A,FALSE,"Plan2"}</definedName>
    <definedName name="hdghgtgtrgd" localSheetId="6">{#N/A,#N/A,FALSE,"Plan1";#N/A,#N/A,FALSE,"Plan2"}</definedName>
    <definedName name="hdghgtgtrgd" localSheetId="3">{#N/A,#N/A,FALSE,"Plan1";#N/A,#N/A,FALSE,"Plan2"}</definedName>
    <definedName name="hdghgtgtrgd" localSheetId="8">{#N/A,#N/A,FALSE,"Plan1";#N/A,#N/A,FALSE,"Plan2"}</definedName>
    <definedName name="hdghgtgtrgd" localSheetId="5">{#N/A,#N/A,FALSE,"Plan1";#N/A,#N/A,FALSE,"Plan2"}</definedName>
    <definedName name="hdghgtgtrgd" localSheetId="4">{#N/A,#N/A,FALSE,"Plan1";#N/A,#N/A,FALSE,"Plan2"}</definedName>
    <definedName name="hdghgtgtrgd" localSheetId="13">{#N/A,#N/A,FALSE,"Plan1";#N/A,#N/A,FALSE,"Plan2"}</definedName>
    <definedName name="hdghgtgtrgd" localSheetId="17">{#N/A,#N/A,FALSE,"Plan1";#N/A,#N/A,FALSE,"Plan2"}</definedName>
    <definedName name="hdghgtgtrgd" localSheetId="0">{#N/A,#N/A,FALSE,"Plan1";#N/A,#N/A,FALSE,"Plan2"}</definedName>
    <definedName name="hdghgtgtrgd" localSheetId="19">{#N/A,#N/A,FALSE,"Plan1";#N/A,#N/A,FALSE,"Plan2"}</definedName>
    <definedName name="hdghgtgtrgd" localSheetId="16">{#N/A,#N/A,FALSE,"Plan1";#N/A,#N/A,FALSE,"Plan2"}</definedName>
    <definedName name="hdghgtgtrgd" localSheetId="18">{#N/A,#N/A,FALSE,"Plan1";#N/A,#N/A,FALSE,"Plan2"}</definedName>
    <definedName name="hdghgtgtrgd" localSheetId="10">{#N/A,#N/A,FALSE,"Plan1";#N/A,#N/A,FALSE,"Plan2"}</definedName>
    <definedName name="hdghgtgtrgd">{#N/A,#N/A,FALSE,"Plan1";#N/A,#N/A,FALSE,"Plan2"}</definedName>
    <definedName name="HDHDGHTUHDTG" localSheetId="9">{#N/A,#N/A,FALSE,"Plan1";#N/A,#N/A,FALSE,"Plan2"}</definedName>
    <definedName name="HDHDGHTUHDTG" localSheetId="6">{#N/A,#N/A,FALSE,"Plan1";#N/A,#N/A,FALSE,"Plan2"}</definedName>
    <definedName name="HDHDGHTUHDTG" localSheetId="3">{#N/A,#N/A,FALSE,"Plan1";#N/A,#N/A,FALSE,"Plan2"}</definedName>
    <definedName name="HDHDGHTUHDTG" localSheetId="8">{#N/A,#N/A,FALSE,"Plan1";#N/A,#N/A,FALSE,"Plan2"}</definedName>
    <definedName name="HDHDGHTUHDTG" localSheetId="5">{#N/A,#N/A,FALSE,"Plan1";#N/A,#N/A,FALSE,"Plan2"}</definedName>
    <definedName name="HDHDGHTUHDTG" localSheetId="4">{#N/A,#N/A,FALSE,"Plan1";#N/A,#N/A,FALSE,"Plan2"}</definedName>
    <definedName name="HDHDGHTUHDTG" localSheetId="13">{#N/A,#N/A,FALSE,"Plan1";#N/A,#N/A,FALSE,"Plan2"}</definedName>
    <definedName name="HDHDGHTUHDTG" localSheetId="17">{#N/A,#N/A,FALSE,"Plan1";#N/A,#N/A,FALSE,"Plan2"}</definedName>
    <definedName name="HDHDGHTUHDTG" localSheetId="0">{#N/A,#N/A,FALSE,"Plan1";#N/A,#N/A,FALSE,"Plan2"}</definedName>
    <definedName name="HDHDGHTUHDTG" localSheetId="19">{#N/A,#N/A,FALSE,"Plan1";#N/A,#N/A,FALSE,"Plan2"}</definedName>
    <definedName name="HDHDGHTUHDTG" localSheetId="16">{#N/A,#N/A,FALSE,"Plan1";#N/A,#N/A,FALSE,"Plan2"}</definedName>
    <definedName name="HDHDGHTUHDTG" localSheetId="18">{#N/A,#N/A,FALSE,"Plan1";#N/A,#N/A,FALSE,"Plan2"}</definedName>
    <definedName name="HDHDGHTUHDTG" localSheetId="10">{#N/A,#N/A,FALSE,"Plan1";#N/A,#N/A,FALSE,"Plan2"}</definedName>
    <definedName name="HDHDGHTUHDTG">{#N/A,#N/A,FALSE,"Plan1";#N/A,#N/A,FALSE,"Plan2"}</definedName>
    <definedName name="hdhghfthrrhy" localSheetId="9">{#N/A,#N/A,FALSE,"Plan1";#N/A,#N/A,FALSE,"Plan2"}</definedName>
    <definedName name="hdhghfthrrhy" localSheetId="6">{#N/A,#N/A,FALSE,"Plan1";#N/A,#N/A,FALSE,"Plan2"}</definedName>
    <definedName name="hdhghfthrrhy" localSheetId="3">{#N/A,#N/A,FALSE,"Plan1";#N/A,#N/A,FALSE,"Plan2"}</definedName>
    <definedName name="hdhghfthrrhy" localSheetId="8">{#N/A,#N/A,FALSE,"Plan1";#N/A,#N/A,FALSE,"Plan2"}</definedName>
    <definedName name="hdhghfthrrhy" localSheetId="5">{#N/A,#N/A,FALSE,"Plan1";#N/A,#N/A,FALSE,"Plan2"}</definedName>
    <definedName name="hdhghfthrrhy" localSheetId="4">{#N/A,#N/A,FALSE,"Plan1";#N/A,#N/A,FALSE,"Plan2"}</definedName>
    <definedName name="hdhghfthrrhy" localSheetId="13">{#N/A,#N/A,FALSE,"Plan1";#N/A,#N/A,FALSE,"Plan2"}</definedName>
    <definedName name="hdhghfthrrhy" localSheetId="17">{#N/A,#N/A,FALSE,"Plan1";#N/A,#N/A,FALSE,"Plan2"}</definedName>
    <definedName name="hdhghfthrrhy" localSheetId="0">{#N/A,#N/A,FALSE,"Plan1";#N/A,#N/A,FALSE,"Plan2"}</definedName>
    <definedName name="hdhghfthrrhy" localSheetId="19">{#N/A,#N/A,FALSE,"Plan1";#N/A,#N/A,FALSE,"Plan2"}</definedName>
    <definedName name="hdhghfthrrhy" localSheetId="16">{#N/A,#N/A,FALSE,"Plan1";#N/A,#N/A,FALSE,"Plan2"}</definedName>
    <definedName name="hdhghfthrrhy" localSheetId="18">{#N/A,#N/A,FALSE,"Plan1";#N/A,#N/A,FALSE,"Plan2"}</definedName>
    <definedName name="hdhghfthrrhy" localSheetId="10">{#N/A,#N/A,FALSE,"Plan1";#N/A,#N/A,FALSE,"Plan2"}</definedName>
    <definedName name="hdhghfthrrhy">{#N/A,#N/A,FALSE,"Plan1";#N/A,#N/A,FALSE,"Plan2"}</definedName>
    <definedName name="hdkfjhydjh" localSheetId="9">{#N/A,#N/A,FALSE,"Plan1";#N/A,#N/A,FALSE,"Plan2"}</definedName>
    <definedName name="hdkfjhydjh" localSheetId="6">{#N/A,#N/A,FALSE,"Plan1";#N/A,#N/A,FALSE,"Plan2"}</definedName>
    <definedName name="hdkfjhydjh" localSheetId="3">{#N/A,#N/A,FALSE,"Plan1";#N/A,#N/A,FALSE,"Plan2"}</definedName>
    <definedName name="hdkfjhydjh" localSheetId="8">{#N/A,#N/A,FALSE,"Plan1";#N/A,#N/A,FALSE,"Plan2"}</definedName>
    <definedName name="hdkfjhydjh" localSheetId="5">{#N/A,#N/A,FALSE,"Plan1";#N/A,#N/A,FALSE,"Plan2"}</definedName>
    <definedName name="hdkfjhydjh" localSheetId="4">{#N/A,#N/A,FALSE,"Plan1";#N/A,#N/A,FALSE,"Plan2"}</definedName>
    <definedName name="hdkfjhydjh" localSheetId="13">{#N/A,#N/A,FALSE,"Plan1";#N/A,#N/A,FALSE,"Plan2"}</definedName>
    <definedName name="hdkfjhydjh" localSheetId="17">{#N/A,#N/A,FALSE,"Plan1";#N/A,#N/A,FALSE,"Plan2"}</definedName>
    <definedName name="hdkfjhydjh" localSheetId="0">{#N/A,#N/A,FALSE,"Plan1";#N/A,#N/A,FALSE,"Plan2"}</definedName>
    <definedName name="hdkfjhydjh" localSheetId="19">{#N/A,#N/A,FALSE,"Plan1";#N/A,#N/A,FALSE,"Plan2"}</definedName>
    <definedName name="hdkfjhydjh" localSheetId="16">{#N/A,#N/A,FALSE,"Plan1";#N/A,#N/A,FALSE,"Plan2"}</definedName>
    <definedName name="hdkfjhydjh" localSheetId="18">{#N/A,#N/A,FALSE,"Plan1";#N/A,#N/A,FALSE,"Plan2"}</definedName>
    <definedName name="hdkfjhydjh" localSheetId="10">{#N/A,#N/A,FALSE,"Plan1";#N/A,#N/A,FALSE,"Plan2"}</definedName>
    <definedName name="hdkfjhydjh">{#N/A,#N/A,FALSE,"Plan1";#N/A,#N/A,FALSE,"Plan2"}</definedName>
    <definedName name="hdsgfgrrdgr" localSheetId="9">{#N/A,#N/A,FALSE,"Plan1";#N/A,#N/A,FALSE,"Plan2"}</definedName>
    <definedName name="hdsgfgrrdgr" localSheetId="6">{#N/A,#N/A,FALSE,"Plan1";#N/A,#N/A,FALSE,"Plan2"}</definedName>
    <definedName name="hdsgfgrrdgr" localSheetId="3">{#N/A,#N/A,FALSE,"Plan1";#N/A,#N/A,FALSE,"Plan2"}</definedName>
    <definedName name="hdsgfgrrdgr" localSheetId="8">{#N/A,#N/A,FALSE,"Plan1";#N/A,#N/A,FALSE,"Plan2"}</definedName>
    <definedName name="hdsgfgrrdgr" localSheetId="5">{#N/A,#N/A,FALSE,"Plan1";#N/A,#N/A,FALSE,"Plan2"}</definedName>
    <definedName name="hdsgfgrrdgr" localSheetId="4">{#N/A,#N/A,FALSE,"Plan1";#N/A,#N/A,FALSE,"Plan2"}</definedName>
    <definedName name="hdsgfgrrdgr" localSheetId="13">{#N/A,#N/A,FALSE,"Plan1";#N/A,#N/A,FALSE,"Plan2"}</definedName>
    <definedName name="hdsgfgrrdgr" localSheetId="17">{#N/A,#N/A,FALSE,"Plan1";#N/A,#N/A,FALSE,"Plan2"}</definedName>
    <definedName name="hdsgfgrrdgr" localSheetId="0">{#N/A,#N/A,FALSE,"Plan1";#N/A,#N/A,FALSE,"Plan2"}</definedName>
    <definedName name="hdsgfgrrdgr" localSheetId="19">{#N/A,#N/A,FALSE,"Plan1";#N/A,#N/A,FALSE,"Plan2"}</definedName>
    <definedName name="hdsgfgrrdgr" localSheetId="16">{#N/A,#N/A,FALSE,"Plan1";#N/A,#N/A,FALSE,"Plan2"}</definedName>
    <definedName name="hdsgfgrrdgr" localSheetId="18">{#N/A,#N/A,FALSE,"Plan1";#N/A,#N/A,FALSE,"Plan2"}</definedName>
    <definedName name="hdsgfgrrdgr" localSheetId="10">{#N/A,#N/A,FALSE,"Plan1";#N/A,#N/A,FALSE,"Plan2"}</definedName>
    <definedName name="hdsgfgrrdgr">{#N/A,#N/A,FALSE,"Plan1";#N/A,#N/A,FALSE,"Plan2"}</definedName>
    <definedName name="hdtertkkdsa" localSheetId="9">{#N/A,#N/A,FALSE,"Plan1";#N/A,#N/A,FALSE,"Plan2"}</definedName>
    <definedName name="hdtertkkdsa" localSheetId="6">{#N/A,#N/A,FALSE,"Plan1";#N/A,#N/A,FALSE,"Plan2"}</definedName>
    <definedName name="hdtertkkdsa" localSheetId="3">{#N/A,#N/A,FALSE,"Plan1";#N/A,#N/A,FALSE,"Plan2"}</definedName>
    <definedName name="hdtertkkdsa" localSheetId="8">{#N/A,#N/A,FALSE,"Plan1";#N/A,#N/A,FALSE,"Plan2"}</definedName>
    <definedName name="hdtertkkdsa" localSheetId="5">{#N/A,#N/A,FALSE,"Plan1";#N/A,#N/A,FALSE,"Plan2"}</definedName>
    <definedName name="hdtertkkdsa" localSheetId="4">{#N/A,#N/A,FALSE,"Plan1";#N/A,#N/A,FALSE,"Plan2"}</definedName>
    <definedName name="hdtertkkdsa" localSheetId="13">{#N/A,#N/A,FALSE,"Plan1";#N/A,#N/A,FALSE,"Plan2"}</definedName>
    <definedName name="hdtertkkdsa" localSheetId="17">{#N/A,#N/A,FALSE,"Plan1";#N/A,#N/A,FALSE,"Plan2"}</definedName>
    <definedName name="hdtertkkdsa" localSheetId="0">{#N/A,#N/A,FALSE,"Plan1";#N/A,#N/A,FALSE,"Plan2"}</definedName>
    <definedName name="hdtertkkdsa" localSheetId="19">{#N/A,#N/A,FALSE,"Plan1";#N/A,#N/A,FALSE,"Plan2"}</definedName>
    <definedName name="hdtertkkdsa" localSheetId="16">{#N/A,#N/A,FALSE,"Plan1";#N/A,#N/A,FALSE,"Plan2"}</definedName>
    <definedName name="hdtertkkdsa" localSheetId="18">{#N/A,#N/A,FALSE,"Plan1";#N/A,#N/A,FALSE,"Plan2"}</definedName>
    <definedName name="hdtertkkdsa" localSheetId="10">{#N/A,#N/A,FALSE,"Plan1";#N/A,#N/A,FALSE,"Plan2"}</definedName>
    <definedName name="hdtertkkdsa">{#N/A,#N/A,FALSE,"Plan1";#N/A,#N/A,FALSE,"Plan2"}</definedName>
    <definedName name="Header" localSheetId="3">#REF!</definedName>
    <definedName name="Header" localSheetId="5">#REF!</definedName>
    <definedName name="Header" localSheetId="13">#REF!</definedName>
    <definedName name="Header" localSheetId="26">#REF!</definedName>
    <definedName name="Header">#REF!</definedName>
    <definedName name="HEDHA" localSheetId="9">{#N/A,#N/A,FALSE,"Plan1";#N/A,#N/A,FALSE,"Plan2"}</definedName>
    <definedName name="HEDHA" localSheetId="6">{#N/A,#N/A,FALSE,"Plan1";#N/A,#N/A,FALSE,"Plan2"}</definedName>
    <definedName name="HEDHA" localSheetId="3">{#N/A,#N/A,FALSE,"Plan1";#N/A,#N/A,FALSE,"Plan2"}</definedName>
    <definedName name="HEDHA" localSheetId="8">{#N/A,#N/A,FALSE,"Plan1";#N/A,#N/A,FALSE,"Plan2"}</definedName>
    <definedName name="HEDHA" localSheetId="5">{#N/A,#N/A,FALSE,"Plan1";#N/A,#N/A,FALSE,"Plan2"}</definedName>
    <definedName name="HEDHA" localSheetId="4">{#N/A,#N/A,FALSE,"Plan1";#N/A,#N/A,FALSE,"Plan2"}</definedName>
    <definedName name="HEDHA" localSheetId="13">{#N/A,#N/A,FALSE,"Plan1";#N/A,#N/A,FALSE,"Plan2"}</definedName>
    <definedName name="HEDHA" localSheetId="17">{#N/A,#N/A,FALSE,"Plan1";#N/A,#N/A,FALSE,"Plan2"}</definedName>
    <definedName name="HEDHA" localSheetId="0">{#N/A,#N/A,FALSE,"Plan1";#N/A,#N/A,FALSE,"Plan2"}</definedName>
    <definedName name="HEDHA" localSheetId="19">{#N/A,#N/A,FALSE,"Plan1";#N/A,#N/A,FALSE,"Plan2"}</definedName>
    <definedName name="HEDHA" localSheetId="16">{#N/A,#N/A,FALSE,"Plan1";#N/A,#N/A,FALSE,"Plan2"}</definedName>
    <definedName name="HEDHA" localSheetId="18">{#N/A,#N/A,FALSE,"Plan1";#N/A,#N/A,FALSE,"Plan2"}</definedName>
    <definedName name="HEDHA" localSheetId="10">{#N/A,#N/A,FALSE,"Plan1";#N/A,#N/A,FALSE,"Plan2"}</definedName>
    <definedName name="HEDHA">{#N/A,#N/A,FALSE,"Plan1";#N/A,#N/A,FALSE,"Plan2"}</definedName>
    <definedName name="heif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3">#REF!</definedName>
    <definedName name="HELP" localSheetId="5">#REF!</definedName>
    <definedName name="HELP" localSheetId="13">#REF!</definedName>
    <definedName name="HELP" localSheetId="26">#REF!</definedName>
    <definedName name="HELP">#REF!</definedName>
    <definedName name="herkfdshfker" localSheetId="9">{#N/A,#N/A,FALSE,"Plan1";#N/A,#N/A,FALSE,"Plan2"}</definedName>
    <definedName name="herkfdshfker" localSheetId="6">{#N/A,#N/A,FALSE,"Plan1";#N/A,#N/A,FALSE,"Plan2"}</definedName>
    <definedName name="herkfdshfker" localSheetId="3">{#N/A,#N/A,FALSE,"Plan1";#N/A,#N/A,FALSE,"Plan2"}</definedName>
    <definedName name="herkfdshfker" localSheetId="8">{#N/A,#N/A,FALSE,"Plan1";#N/A,#N/A,FALSE,"Plan2"}</definedName>
    <definedName name="herkfdshfker" localSheetId="5">{#N/A,#N/A,FALSE,"Plan1";#N/A,#N/A,FALSE,"Plan2"}</definedName>
    <definedName name="herkfdshfker" localSheetId="4">{#N/A,#N/A,FALSE,"Plan1";#N/A,#N/A,FALSE,"Plan2"}</definedName>
    <definedName name="herkfdshfker" localSheetId="13">{#N/A,#N/A,FALSE,"Plan1";#N/A,#N/A,FALSE,"Plan2"}</definedName>
    <definedName name="herkfdshfker" localSheetId="17">{#N/A,#N/A,FALSE,"Plan1";#N/A,#N/A,FALSE,"Plan2"}</definedName>
    <definedName name="herkfdshfker" localSheetId="0">{#N/A,#N/A,FALSE,"Plan1";#N/A,#N/A,FALSE,"Plan2"}</definedName>
    <definedName name="herkfdshfker" localSheetId="19">{#N/A,#N/A,FALSE,"Plan1";#N/A,#N/A,FALSE,"Plan2"}</definedName>
    <definedName name="herkfdshfker" localSheetId="16">{#N/A,#N/A,FALSE,"Plan1";#N/A,#N/A,FALSE,"Plan2"}</definedName>
    <definedName name="herkfdshfker" localSheetId="18">{#N/A,#N/A,FALSE,"Plan1";#N/A,#N/A,FALSE,"Plan2"}</definedName>
    <definedName name="herkfdshfker" localSheetId="10">{#N/A,#N/A,FALSE,"Plan1";#N/A,#N/A,FALSE,"Plan2"}</definedName>
    <definedName name="herkfdshfker">{#N/A,#N/A,FALSE,"Plan1";#N/A,#N/A,FALSE,"Plan2"}</definedName>
    <definedName name="hersdtretyt" localSheetId="9">{#N/A,#N/A,FALSE,"Plan1";#N/A,#N/A,FALSE,"Plan2"}</definedName>
    <definedName name="hersdtretyt" localSheetId="6">{#N/A,#N/A,FALSE,"Plan1";#N/A,#N/A,FALSE,"Plan2"}</definedName>
    <definedName name="hersdtretyt" localSheetId="3">{#N/A,#N/A,FALSE,"Plan1";#N/A,#N/A,FALSE,"Plan2"}</definedName>
    <definedName name="hersdtretyt" localSheetId="8">{#N/A,#N/A,FALSE,"Plan1";#N/A,#N/A,FALSE,"Plan2"}</definedName>
    <definedName name="hersdtretyt" localSheetId="5">{#N/A,#N/A,FALSE,"Plan1";#N/A,#N/A,FALSE,"Plan2"}</definedName>
    <definedName name="hersdtretyt" localSheetId="4">{#N/A,#N/A,FALSE,"Plan1";#N/A,#N/A,FALSE,"Plan2"}</definedName>
    <definedName name="hersdtretyt" localSheetId="13">{#N/A,#N/A,FALSE,"Plan1";#N/A,#N/A,FALSE,"Plan2"}</definedName>
    <definedName name="hersdtretyt" localSheetId="17">{#N/A,#N/A,FALSE,"Plan1";#N/A,#N/A,FALSE,"Plan2"}</definedName>
    <definedName name="hersdtretyt" localSheetId="0">{#N/A,#N/A,FALSE,"Plan1";#N/A,#N/A,FALSE,"Plan2"}</definedName>
    <definedName name="hersdtretyt" localSheetId="19">{#N/A,#N/A,FALSE,"Plan1";#N/A,#N/A,FALSE,"Plan2"}</definedName>
    <definedName name="hersdtretyt" localSheetId="16">{#N/A,#N/A,FALSE,"Plan1";#N/A,#N/A,FALSE,"Plan2"}</definedName>
    <definedName name="hersdtretyt" localSheetId="18">{#N/A,#N/A,FALSE,"Plan1";#N/A,#N/A,FALSE,"Plan2"}</definedName>
    <definedName name="hersdtretyt" localSheetId="10">{#N/A,#N/A,FALSE,"Plan1";#N/A,#N/A,FALSE,"Plan2"}</definedName>
    <definedName name="hersdtretyt">{#N/A,#N/A,FALSE,"Plan1";#N/A,#N/A,FALSE,"Plan2"}</definedName>
    <definedName name="HFDJTHTRS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9">{#N/A,#N/A,FALSE,"Plan1";#N/A,#N/A,FALSE,"Plan2"}</definedName>
    <definedName name="HFDKHGFR" localSheetId="6">{#N/A,#N/A,FALSE,"Plan1";#N/A,#N/A,FALSE,"Plan2"}</definedName>
    <definedName name="HFDKHGFR" localSheetId="3">{#N/A,#N/A,FALSE,"Plan1";#N/A,#N/A,FALSE,"Plan2"}</definedName>
    <definedName name="HFDKHGFR" localSheetId="8">{#N/A,#N/A,FALSE,"Plan1";#N/A,#N/A,FALSE,"Plan2"}</definedName>
    <definedName name="HFDKHGFR" localSheetId="5">{#N/A,#N/A,FALSE,"Plan1";#N/A,#N/A,FALSE,"Plan2"}</definedName>
    <definedName name="HFDKHGFR" localSheetId="4">{#N/A,#N/A,FALSE,"Plan1";#N/A,#N/A,FALSE,"Plan2"}</definedName>
    <definedName name="HFDKHGFR" localSheetId="13">{#N/A,#N/A,FALSE,"Plan1";#N/A,#N/A,FALSE,"Plan2"}</definedName>
    <definedName name="HFDKHGFR" localSheetId="17">{#N/A,#N/A,FALSE,"Plan1";#N/A,#N/A,FALSE,"Plan2"}</definedName>
    <definedName name="HFDKHGFR" localSheetId="0">{#N/A,#N/A,FALSE,"Plan1";#N/A,#N/A,FALSE,"Plan2"}</definedName>
    <definedName name="HFDKHGFR" localSheetId="19">{#N/A,#N/A,FALSE,"Plan1";#N/A,#N/A,FALSE,"Plan2"}</definedName>
    <definedName name="HFDKHGFR" localSheetId="16">{#N/A,#N/A,FALSE,"Plan1";#N/A,#N/A,FALSE,"Plan2"}</definedName>
    <definedName name="HFDKHGFR" localSheetId="18">{#N/A,#N/A,FALSE,"Plan1";#N/A,#N/A,FALSE,"Plan2"}</definedName>
    <definedName name="HFDKHGFR" localSheetId="10">{#N/A,#N/A,FALSE,"Plan1";#N/A,#N/A,FALSE,"Plan2"}</definedName>
    <definedName name="HFDKHGFR">{#N/A,#N/A,FALSE,"Plan1";#N/A,#N/A,FALSE,"Plan2"}</definedName>
    <definedName name="hfdkhgkfdhtj" localSheetId="9">{#N/A,#N/A,FALSE,"Plan1";#N/A,#N/A,FALSE,"Plan2"}</definedName>
    <definedName name="hfdkhgkfdhtj" localSheetId="6">{#N/A,#N/A,FALSE,"Plan1";#N/A,#N/A,FALSE,"Plan2"}</definedName>
    <definedName name="hfdkhgkfdhtj" localSheetId="3">{#N/A,#N/A,FALSE,"Plan1";#N/A,#N/A,FALSE,"Plan2"}</definedName>
    <definedName name="hfdkhgkfdhtj" localSheetId="8">{#N/A,#N/A,FALSE,"Plan1";#N/A,#N/A,FALSE,"Plan2"}</definedName>
    <definedName name="hfdkhgkfdhtj" localSheetId="5">{#N/A,#N/A,FALSE,"Plan1";#N/A,#N/A,FALSE,"Plan2"}</definedName>
    <definedName name="hfdkhgkfdhtj" localSheetId="4">{#N/A,#N/A,FALSE,"Plan1";#N/A,#N/A,FALSE,"Plan2"}</definedName>
    <definedName name="hfdkhgkfdhtj" localSheetId="13">{#N/A,#N/A,FALSE,"Plan1";#N/A,#N/A,FALSE,"Plan2"}</definedName>
    <definedName name="hfdkhgkfdhtj" localSheetId="17">{#N/A,#N/A,FALSE,"Plan1";#N/A,#N/A,FALSE,"Plan2"}</definedName>
    <definedName name="hfdkhgkfdhtj" localSheetId="0">{#N/A,#N/A,FALSE,"Plan1";#N/A,#N/A,FALSE,"Plan2"}</definedName>
    <definedName name="hfdkhgkfdhtj" localSheetId="19">{#N/A,#N/A,FALSE,"Plan1";#N/A,#N/A,FALSE,"Plan2"}</definedName>
    <definedName name="hfdkhgkfdhtj" localSheetId="16">{#N/A,#N/A,FALSE,"Plan1";#N/A,#N/A,FALSE,"Plan2"}</definedName>
    <definedName name="hfdkhgkfdhtj" localSheetId="18">{#N/A,#N/A,FALSE,"Plan1";#N/A,#N/A,FALSE,"Plan2"}</definedName>
    <definedName name="hfdkhgkfdhtj" localSheetId="10">{#N/A,#N/A,FALSE,"Plan1";#N/A,#N/A,FALSE,"Plan2"}</definedName>
    <definedName name="hfdkhgkfdhtj">{#N/A,#N/A,FALSE,"Plan1";#N/A,#N/A,FALSE,"Plan2"}</definedName>
    <definedName name="hfgfktgkhyt" localSheetId="9">{#N/A,#N/A,FALSE,"Plan1";#N/A,#N/A,FALSE,"Plan2"}</definedName>
    <definedName name="hfgfktgkhyt" localSheetId="6">{#N/A,#N/A,FALSE,"Plan1";#N/A,#N/A,FALSE,"Plan2"}</definedName>
    <definedName name="hfgfktgkhyt" localSheetId="3">{#N/A,#N/A,FALSE,"Plan1";#N/A,#N/A,FALSE,"Plan2"}</definedName>
    <definedName name="hfgfktgkhyt" localSheetId="8">{#N/A,#N/A,FALSE,"Plan1";#N/A,#N/A,FALSE,"Plan2"}</definedName>
    <definedName name="hfgfktgkhyt" localSheetId="5">{#N/A,#N/A,FALSE,"Plan1";#N/A,#N/A,FALSE,"Plan2"}</definedName>
    <definedName name="hfgfktgkhyt" localSheetId="4">{#N/A,#N/A,FALSE,"Plan1";#N/A,#N/A,FALSE,"Plan2"}</definedName>
    <definedName name="hfgfktgkhyt" localSheetId="13">{#N/A,#N/A,FALSE,"Plan1";#N/A,#N/A,FALSE,"Plan2"}</definedName>
    <definedName name="hfgfktgkhyt" localSheetId="17">{#N/A,#N/A,FALSE,"Plan1";#N/A,#N/A,FALSE,"Plan2"}</definedName>
    <definedName name="hfgfktgkhyt" localSheetId="0">{#N/A,#N/A,FALSE,"Plan1";#N/A,#N/A,FALSE,"Plan2"}</definedName>
    <definedName name="hfgfktgkhyt" localSheetId="19">{#N/A,#N/A,FALSE,"Plan1";#N/A,#N/A,FALSE,"Plan2"}</definedName>
    <definedName name="hfgfktgkhyt" localSheetId="16">{#N/A,#N/A,FALSE,"Plan1";#N/A,#N/A,FALSE,"Plan2"}</definedName>
    <definedName name="hfgfktgkhyt" localSheetId="18">{#N/A,#N/A,FALSE,"Plan1";#N/A,#N/A,FALSE,"Plan2"}</definedName>
    <definedName name="hfgfktgkhyt" localSheetId="10">{#N/A,#N/A,FALSE,"Plan1";#N/A,#N/A,FALSE,"Plan2"}</definedName>
    <definedName name="hfgfktgkhyt">{#N/A,#N/A,FALSE,"Plan1";#N/A,#N/A,FALSE,"Plan2"}</definedName>
    <definedName name="hfghdkhrgkjg" localSheetId="9">{#N/A,#N/A,FALSE,"Plan1";#N/A,#N/A,FALSE,"Plan2"}</definedName>
    <definedName name="hfghdkhrgkjg" localSheetId="6">{#N/A,#N/A,FALSE,"Plan1";#N/A,#N/A,FALSE,"Plan2"}</definedName>
    <definedName name="hfghdkhrgkjg" localSheetId="3">{#N/A,#N/A,FALSE,"Plan1";#N/A,#N/A,FALSE,"Plan2"}</definedName>
    <definedName name="hfghdkhrgkjg" localSheetId="8">{#N/A,#N/A,FALSE,"Plan1";#N/A,#N/A,FALSE,"Plan2"}</definedName>
    <definedName name="hfghdkhrgkjg" localSheetId="5">{#N/A,#N/A,FALSE,"Plan1";#N/A,#N/A,FALSE,"Plan2"}</definedName>
    <definedName name="hfghdkhrgkjg" localSheetId="4">{#N/A,#N/A,FALSE,"Plan1";#N/A,#N/A,FALSE,"Plan2"}</definedName>
    <definedName name="hfghdkhrgkjg" localSheetId="13">{#N/A,#N/A,FALSE,"Plan1";#N/A,#N/A,FALSE,"Plan2"}</definedName>
    <definedName name="hfghdkhrgkjg" localSheetId="17">{#N/A,#N/A,FALSE,"Plan1";#N/A,#N/A,FALSE,"Plan2"}</definedName>
    <definedName name="hfghdkhrgkjg" localSheetId="0">{#N/A,#N/A,FALSE,"Plan1";#N/A,#N/A,FALSE,"Plan2"}</definedName>
    <definedName name="hfghdkhrgkjg" localSheetId="19">{#N/A,#N/A,FALSE,"Plan1";#N/A,#N/A,FALSE,"Plan2"}</definedName>
    <definedName name="hfghdkhrgkjg" localSheetId="16">{#N/A,#N/A,FALSE,"Plan1";#N/A,#N/A,FALSE,"Plan2"}</definedName>
    <definedName name="hfghdkhrgkjg" localSheetId="18">{#N/A,#N/A,FALSE,"Plan1";#N/A,#N/A,FALSE,"Plan2"}</definedName>
    <definedName name="hfghdkhrgkjg" localSheetId="10">{#N/A,#N/A,FALSE,"Plan1";#N/A,#N/A,FALSE,"Plan2"}</definedName>
    <definedName name="hfghdkhrgkjg">{#N/A,#N/A,FALSE,"Plan1";#N/A,#N/A,FALSE,"Plan2"}</definedName>
    <definedName name="hfighfth" localSheetId="9">{#N/A,#N/A,FALSE,"Plan1";#N/A,#N/A,FALSE,"Plan2"}</definedName>
    <definedName name="hfighfth" localSheetId="6">{#N/A,#N/A,FALSE,"Plan1";#N/A,#N/A,FALSE,"Plan2"}</definedName>
    <definedName name="hfighfth" localSheetId="3">{#N/A,#N/A,FALSE,"Plan1";#N/A,#N/A,FALSE,"Plan2"}</definedName>
    <definedName name="hfighfth" localSheetId="8">{#N/A,#N/A,FALSE,"Plan1";#N/A,#N/A,FALSE,"Plan2"}</definedName>
    <definedName name="hfighfth" localSheetId="5">{#N/A,#N/A,FALSE,"Plan1";#N/A,#N/A,FALSE,"Plan2"}</definedName>
    <definedName name="hfighfth" localSheetId="4">{#N/A,#N/A,FALSE,"Plan1";#N/A,#N/A,FALSE,"Plan2"}</definedName>
    <definedName name="hfighfth" localSheetId="13">{#N/A,#N/A,FALSE,"Plan1";#N/A,#N/A,FALSE,"Plan2"}</definedName>
    <definedName name="hfighfth" localSheetId="17">{#N/A,#N/A,FALSE,"Plan1";#N/A,#N/A,FALSE,"Plan2"}</definedName>
    <definedName name="hfighfth" localSheetId="0">{#N/A,#N/A,FALSE,"Plan1";#N/A,#N/A,FALSE,"Plan2"}</definedName>
    <definedName name="hfighfth" localSheetId="19">{#N/A,#N/A,FALSE,"Plan1";#N/A,#N/A,FALSE,"Plan2"}</definedName>
    <definedName name="hfighfth" localSheetId="16">{#N/A,#N/A,FALSE,"Plan1";#N/A,#N/A,FALSE,"Plan2"}</definedName>
    <definedName name="hfighfth" localSheetId="18">{#N/A,#N/A,FALSE,"Plan1";#N/A,#N/A,FALSE,"Plan2"}</definedName>
    <definedName name="hfighfth" localSheetId="10">{#N/A,#N/A,FALSE,"Plan1";#N/A,#N/A,FALSE,"Plan2"}</definedName>
    <definedName name="hfighfth">{#N/A,#N/A,FALSE,"Plan1";#N/A,#N/A,FALSE,"Plan2"}</definedName>
    <definedName name="hfjghtfuyrf" localSheetId="9">{#N/A,#N/A,FALSE,"Plan1";#N/A,#N/A,FALSE,"Plan2"}</definedName>
    <definedName name="hfjghtfuyrf" localSheetId="6">{#N/A,#N/A,FALSE,"Plan1";#N/A,#N/A,FALSE,"Plan2"}</definedName>
    <definedName name="hfjghtfuyrf" localSheetId="3">{#N/A,#N/A,FALSE,"Plan1";#N/A,#N/A,FALSE,"Plan2"}</definedName>
    <definedName name="hfjghtfuyrf" localSheetId="8">{#N/A,#N/A,FALSE,"Plan1";#N/A,#N/A,FALSE,"Plan2"}</definedName>
    <definedName name="hfjghtfuyrf" localSheetId="5">{#N/A,#N/A,FALSE,"Plan1";#N/A,#N/A,FALSE,"Plan2"}</definedName>
    <definedName name="hfjghtfuyrf" localSheetId="4">{#N/A,#N/A,FALSE,"Plan1";#N/A,#N/A,FALSE,"Plan2"}</definedName>
    <definedName name="hfjghtfuyrf" localSheetId="13">{#N/A,#N/A,FALSE,"Plan1";#N/A,#N/A,FALSE,"Plan2"}</definedName>
    <definedName name="hfjghtfuyrf" localSheetId="17">{#N/A,#N/A,FALSE,"Plan1";#N/A,#N/A,FALSE,"Plan2"}</definedName>
    <definedName name="hfjghtfuyrf" localSheetId="0">{#N/A,#N/A,FALSE,"Plan1";#N/A,#N/A,FALSE,"Plan2"}</definedName>
    <definedName name="hfjghtfuyrf" localSheetId="19">{#N/A,#N/A,FALSE,"Plan1";#N/A,#N/A,FALSE,"Plan2"}</definedName>
    <definedName name="hfjghtfuyrf" localSheetId="16">{#N/A,#N/A,FALSE,"Plan1";#N/A,#N/A,FALSE,"Plan2"}</definedName>
    <definedName name="hfjghtfuyrf" localSheetId="18">{#N/A,#N/A,FALSE,"Plan1";#N/A,#N/A,FALSE,"Plan2"}</definedName>
    <definedName name="hfjghtfuyrf" localSheetId="10">{#N/A,#N/A,FALSE,"Plan1";#N/A,#N/A,FALSE,"Plan2"}</definedName>
    <definedName name="hfjghtfuyrf">{#N/A,#N/A,FALSE,"Plan1";#N/A,#N/A,FALSE,"Plan2"}</definedName>
    <definedName name="HFKJHDJGHFJ" localSheetId="9">{#N/A,#N/A,FALSE,"Plan1";#N/A,#N/A,FALSE,"Plan2"}</definedName>
    <definedName name="HFKJHDJGHFJ" localSheetId="6">{#N/A,#N/A,FALSE,"Plan1";#N/A,#N/A,FALSE,"Plan2"}</definedName>
    <definedName name="HFKJHDJGHFJ" localSheetId="3">{#N/A,#N/A,FALSE,"Plan1";#N/A,#N/A,FALSE,"Plan2"}</definedName>
    <definedName name="HFKJHDJGHFJ" localSheetId="8">{#N/A,#N/A,FALSE,"Plan1";#N/A,#N/A,FALSE,"Plan2"}</definedName>
    <definedName name="HFKJHDJGHFJ" localSheetId="5">{#N/A,#N/A,FALSE,"Plan1";#N/A,#N/A,FALSE,"Plan2"}</definedName>
    <definedName name="HFKJHDJGHFJ" localSheetId="4">{#N/A,#N/A,FALSE,"Plan1";#N/A,#N/A,FALSE,"Plan2"}</definedName>
    <definedName name="HFKJHDJGHFJ" localSheetId="13">{#N/A,#N/A,FALSE,"Plan1";#N/A,#N/A,FALSE,"Plan2"}</definedName>
    <definedName name="HFKJHDJGHFJ" localSheetId="17">{#N/A,#N/A,FALSE,"Plan1";#N/A,#N/A,FALSE,"Plan2"}</definedName>
    <definedName name="HFKJHDJGHFJ" localSheetId="0">{#N/A,#N/A,FALSE,"Plan1";#N/A,#N/A,FALSE,"Plan2"}</definedName>
    <definedName name="HFKJHDJGHFJ" localSheetId="19">{#N/A,#N/A,FALSE,"Plan1";#N/A,#N/A,FALSE,"Plan2"}</definedName>
    <definedName name="HFKJHDJGHFJ" localSheetId="16">{#N/A,#N/A,FALSE,"Plan1";#N/A,#N/A,FALSE,"Plan2"}</definedName>
    <definedName name="HFKJHDJGHFJ" localSheetId="18">{#N/A,#N/A,FALSE,"Plan1";#N/A,#N/A,FALSE,"Plan2"}</definedName>
    <definedName name="HFKJHDJGHFJ" localSheetId="10">{#N/A,#N/A,FALSE,"Plan1";#N/A,#N/A,FALSE,"Plan2"}</definedName>
    <definedName name="HFKJHDJGHFJ">{#N/A,#N/A,FALSE,"Plan1";#N/A,#N/A,FALSE,"Plan2"}</definedName>
    <definedName name="hgdesgfgsj" localSheetId="9">{#N/A,#N/A,FALSE,"Plan1";#N/A,#N/A,FALSE,"Plan2"}</definedName>
    <definedName name="hgdesgfgsj" localSheetId="6">{#N/A,#N/A,FALSE,"Plan1";#N/A,#N/A,FALSE,"Plan2"}</definedName>
    <definedName name="hgdesgfgsj" localSheetId="3">{#N/A,#N/A,FALSE,"Plan1";#N/A,#N/A,FALSE,"Plan2"}</definedName>
    <definedName name="hgdesgfgsj" localSheetId="8">{#N/A,#N/A,FALSE,"Plan1";#N/A,#N/A,FALSE,"Plan2"}</definedName>
    <definedName name="hgdesgfgsj" localSheetId="5">{#N/A,#N/A,FALSE,"Plan1";#N/A,#N/A,FALSE,"Plan2"}</definedName>
    <definedName name="hgdesgfgsj" localSheetId="4">{#N/A,#N/A,FALSE,"Plan1";#N/A,#N/A,FALSE,"Plan2"}</definedName>
    <definedName name="hgdesgfgsj" localSheetId="13">{#N/A,#N/A,FALSE,"Plan1";#N/A,#N/A,FALSE,"Plan2"}</definedName>
    <definedName name="hgdesgfgsj" localSheetId="17">{#N/A,#N/A,FALSE,"Plan1";#N/A,#N/A,FALSE,"Plan2"}</definedName>
    <definedName name="hgdesgfgsj" localSheetId="0">{#N/A,#N/A,FALSE,"Plan1";#N/A,#N/A,FALSE,"Plan2"}</definedName>
    <definedName name="hgdesgfgsj" localSheetId="19">{#N/A,#N/A,FALSE,"Plan1";#N/A,#N/A,FALSE,"Plan2"}</definedName>
    <definedName name="hgdesgfgsj" localSheetId="16">{#N/A,#N/A,FALSE,"Plan1";#N/A,#N/A,FALSE,"Plan2"}</definedName>
    <definedName name="hgdesgfgsj" localSheetId="18">{#N/A,#N/A,FALSE,"Plan1";#N/A,#N/A,FALSE,"Plan2"}</definedName>
    <definedName name="hgdesgfgsj" localSheetId="10">{#N/A,#N/A,FALSE,"Plan1";#N/A,#N/A,FALSE,"Plan2"}</definedName>
    <definedName name="hgdesgfgsj">{#N/A,#N/A,FALSE,"Plan1";#N/A,#N/A,FALSE,"Plan2"}</definedName>
    <definedName name="hgdgfd" localSheetId="9">{#N/A,#N/A,FALSE,"Plan1";#N/A,#N/A,FALSE,"Plan2"}</definedName>
    <definedName name="hgdgfd" localSheetId="6">{#N/A,#N/A,FALSE,"Plan1";#N/A,#N/A,FALSE,"Plan2"}</definedName>
    <definedName name="hgdgfd" localSheetId="3">{#N/A,#N/A,FALSE,"Plan1";#N/A,#N/A,FALSE,"Plan2"}</definedName>
    <definedName name="hgdgfd" localSheetId="8">{#N/A,#N/A,FALSE,"Plan1";#N/A,#N/A,FALSE,"Plan2"}</definedName>
    <definedName name="hgdgfd" localSheetId="5">{#N/A,#N/A,FALSE,"Plan1";#N/A,#N/A,FALSE,"Plan2"}</definedName>
    <definedName name="hgdgfd" localSheetId="4">{#N/A,#N/A,FALSE,"Plan1";#N/A,#N/A,FALSE,"Plan2"}</definedName>
    <definedName name="hgdgfd" localSheetId="13">{#N/A,#N/A,FALSE,"Plan1";#N/A,#N/A,FALSE,"Plan2"}</definedName>
    <definedName name="hgdgfd" localSheetId="17">{#N/A,#N/A,FALSE,"Plan1";#N/A,#N/A,FALSE,"Plan2"}</definedName>
    <definedName name="hgdgfd" localSheetId="0">{#N/A,#N/A,FALSE,"Plan1";#N/A,#N/A,FALSE,"Plan2"}</definedName>
    <definedName name="hgdgfd" localSheetId="19">{#N/A,#N/A,FALSE,"Plan1";#N/A,#N/A,FALSE,"Plan2"}</definedName>
    <definedName name="hgdgfd" localSheetId="16">{#N/A,#N/A,FALSE,"Plan1";#N/A,#N/A,FALSE,"Plan2"}</definedName>
    <definedName name="hgdgfd" localSheetId="18">{#N/A,#N/A,FALSE,"Plan1";#N/A,#N/A,FALSE,"Plan2"}</definedName>
    <definedName name="hgdgfd" localSheetId="10">{#N/A,#N/A,FALSE,"Plan1";#N/A,#N/A,FALSE,"Plan2"}</definedName>
    <definedName name="hgdgfd">{#N/A,#N/A,FALSE,"Plan1";#N/A,#N/A,FALSE,"Plan2"}</definedName>
    <definedName name="hgfhjkdfhj" localSheetId="9">{#N/A,#N/A,FALSE,"Plan1";#N/A,#N/A,FALSE,"Plan2"}</definedName>
    <definedName name="hgfhjkdfhj" localSheetId="6">{#N/A,#N/A,FALSE,"Plan1";#N/A,#N/A,FALSE,"Plan2"}</definedName>
    <definedName name="hgfhjkdfhj" localSheetId="3">{#N/A,#N/A,FALSE,"Plan1";#N/A,#N/A,FALSE,"Plan2"}</definedName>
    <definedName name="hgfhjkdfhj" localSheetId="8">{#N/A,#N/A,FALSE,"Plan1";#N/A,#N/A,FALSE,"Plan2"}</definedName>
    <definedName name="hgfhjkdfhj" localSheetId="5">{#N/A,#N/A,FALSE,"Plan1";#N/A,#N/A,FALSE,"Plan2"}</definedName>
    <definedName name="hgfhjkdfhj" localSheetId="4">{#N/A,#N/A,FALSE,"Plan1";#N/A,#N/A,FALSE,"Plan2"}</definedName>
    <definedName name="hgfhjkdfhj" localSheetId="13">{#N/A,#N/A,FALSE,"Plan1";#N/A,#N/A,FALSE,"Plan2"}</definedName>
    <definedName name="hgfhjkdfhj" localSheetId="17">{#N/A,#N/A,FALSE,"Plan1";#N/A,#N/A,FALSE,"Plan2"}</definedName>
    <definedName name="hgfhjkdfhj" localSheetId="0">{#N/A,#N/A,FALSE,"Plan1";#N/A,#N/A,FALSE,"Plan2"}</definedName>
    <definedName name="hgfhjkdfhj" localSheetId="19">{#N/A,#N/A,FALSE,"Plan1";#N/A,#N/A,FALSE,"Plan2"}</definedName>
    <definedName name="hgfhjkdfhj" localSheetId="16">{#N/A,#N/A,FALSE,"Plan1";#N/A,#N/A,FALSE,"Plan2"}</definedName>
    <definedName name="hgfhjkdfhj" localSheetId="18">{#N/A,#N/A,FALSE,"Plan1";#N/A,#N/A,FALSE,"Plan2"}</definedName>
    <definedName name="hgfhjkdfhj" localSheetId="10">{#N/A,#N/A,FALSE,"Plan1";#N/A,#N/A,FALSE,"Plan2"}</definedName>
    <definedName name="hgfhjkdfhj">{#N/A,#N/A,FALSE,"Plan1";#N/A,#N/A,FALSE,"Plan2"}</definedName>
    <definedName name="hgg" localSheetId="9">{#N/A,#N/A,FALSE,"Plan1";#N/A,#N/A,FALSE,"Plan2"}</definedName>
    <definedName name="hgg" localSheetId="6">{#N/A,#N/A,FALSE,"Plan1";#N/A,#N/A,FALSE,"Plan2"}</definedName>
    <definedName name="hgg" localSheetId="3">{#N/A,#N/A,FALSE,"Plan1";#N/A,#N/A,FALSE,"Plan2"}</definedName>
    <definedName name="hgg" localSheetId="8">{#N/A,#N/A,FALSE,"Plan1";#N/A,#N/A,FALSE,"Plan2"}</definedName>
    <definedName name="hgg" localSheetId="5">{#N/A,#N/A,FALSE,"Plan1";#N/A,#N/A,FALSE,"Plan2"}</definedName>
    <definedName name="hgg" localSheetId="4">{#N/A,#N/A,FALSE,"Plan1";#N/A,#N/A,FALSE,"Plan2"}</definedName>
    <definedName name="hgg" localSheetId="13">{#N/A,#N/A,FALSE,"Plan1";#N/A,#N/A,FALSE,"Plan2"}</definedName>
    <definedName name="hgg" localSheetId="17">{#N/A,#N/A,FALSE,"Plan1";#N/A,#N/A,FALSE,"Plan2"}</definedName>
    <definedName name="hgg" localSheetId="0">{#N/A,#N/A,FALSE,"Plan1";#N/A,#N/A,FALSE,"Plan2"}</definedName>
    <definedName name="hgg" localSheetId="19">{#N/A,#N/A,FALSE,"Plan1";#N/A,#N/A,FALSE,"Plan2"}</definedName>
    <definedName name="hgg" localSheetId="16">{#N/A,#N/A,FALSE,"Plan1";#N/A,#N/A,FALSE,"Plan2"}</definedName>
    <definedName name="hgg" localSheetId="18">{#N/A,#N/A,FALSE,"Plan1";#N/A,#N/A,FALSE,"Plan2"}</definedName>
    <definedName name="hgg" localSheetId="10">{#N/A,#N/A,FALSE,"Plan1";#N/A,#N/A,FALSE,"Plan2"}</definedName>
    <definedName name="hgg">{#N/A,#N/A,FALSE,"Plan1";#N/A,#N/A,FALSE,"Plan2"}</definedName>
    <definedName name="hgjdfgghg" localSheetId="9">{#N/A,#N/A,FALSE,"Plan1";#N/A,#N/A,FALSE,"Plan2"}</definedName>
    <definedName name="hgjdfgghg" localSheetId="6">{#N/A,#N/A,FALSE,"Plan1";#N/A,#N/A,FALSE,"Plan2"}</definedName>
    <definedName name="hgjdfgghg" localSheetId="3">{#N/A,#N/A,FALSE,"Plan1";#N/A,#N/A,FALSE,"Plan2"}</definedName>
    <definedName name="hgjdfgghg" localSheetId="8">{#N/A,#N/A,FALSE,"Plan1";#N/A,#N/A,FALSE,"Plan2"}</definedName>
    <definedName name="hgjdfgghg" localSheetId="5">{#N/A,#N/A,FALSE,"Plan1";#N/A,#N/A,FALSE,"Plan2"}</definedName>
    <definedName name="hgjdfgghg" localSheetId="4">{#N/A,#N/A,FALSE,"Plan1";#N/A,#N/A,FALSE,"Plan2"}</definedName>
    <definedName name="hgjdfgghg" localSheetId="13">{#N/A,#N/A,FALSE,"Plan1";#N/A,#N/A,FALSE,"Plan2"}</definedName>
    <definedName name="hgjdfgghg" localSheetId="17">{#N/A,#N/A,FALSE,"Plan1";#N/A,#N/A,FALSE,"Plan2"}</definedName>
    <definedName name="hgjdfgghg" localSheetId="0">{#N/A,#N/A,FALSE,"Plan1";#N/A,#N/A,FALSE,"Plan2"}</definedName>
    <definedName name="hgjdfgghg" localSheetId="19">{#N/A,#N/A,FALSE,"Plan1";#N/A,#N/A,FALSE,"Plan2"}</definedName>
    <definedName name="hgjdfgghg" localSheetId="16">{#N/A,#N/A,FALSE,"Plan1";#N/A,#N/A,FALSE,"Plan2"}</definedName>
    <definedName name="hgjdfgghg" localSheetId="18">{#N/A,#N/A,FALSE,"Plan1";#N/A,#N/A,FALSE,"Plan2"}</definedName>
    <definedName name="hgjdfgghg" localSheetId="10">{#N/A,#N/A,FALSE,"Plan1";#N/A,#N/A,FALSE,"Plan2"}</definedName>
    <definedName name="hgjdfgghg">{#N/A,#N/A,FALSE,"Plan1";#N/A,#N/A,FALSE,"Plan2"}</definedName>
    <definedName name="hgjkfdhg" localSheetId="9">{#N/A,#N/A,FALSE,"Plan1";#N/A,#N/A,FALSE,"Plan2"}</definedName>
    <definedName name="hgjkfdhg" localSheetId="6">{#N/A,#N/A,FALSE,"Plan1";#N/A,#N/A,FALSE,"Plan2"}</definedName>
    <definedName name="hgjkfdhg" localSheetId="3">{#N/A,#N/A,FALSE,"Plan1";#N/A,#N/A,FALSE,"Plan2"}</definedName>
    <definedName name="hgjkfdhg" localSheetId="8">{#N/A,#N/A,FALSE,"Plan1";#N/A,#N/A,FALSE,"Plan2"}</definedName>
    <definedName name="hgjkfdhg" localSheetId="5">{#N/A,#N/A,FALSE,"Plan1";#N/A,#N/A,FALSE,"Plan2"}</definedName>
    <definedName name="hgjkfdhg" localSheetId="4">{#N/A,#N/A,FALSE,"Plan1";#N/A,#N/A,FALSE,"Plan2"}</definedName>
    <definedName name="hgjkfdhg" localSheetId="13">{#N/A,#N/A,FALSE,"Plan1";#N/A,#N/A,FALSE,"Plan2"}</definedName>
    <definedName name="hgjkfdhg" localSheetId="17">{#N/A,#N/A,FALSE,"Plan1";#N/A,#N/A,FALSE,"Plan2"}</definedName>
    <definedName name="hgjkfdhg" localSheetId="0">{#N/A,#N/A,FALSE,"Plan1";#N/A,#N/A,FALSE,"Plan2"}</definedName>
    <definedName name="hgjkfdhg" localSheetId="19">{#N/A,#N/A,FALSE,"Plan1";#N/A,#N/A,FALSE,"Plan2"}</definedName>
    <definedName name="hgjkfdhg" localSheetId="16">{#N/A,#N/A,FALSE,"Plan1";#N/A,#N/A,FALSE,"Plan2"}</definedName>
    <definedName name="hgjkfdhg" localSheetId="18">{#N/A,#N/A,FALSE,"Plan1";#N/A,#N/A,FALSE,"Plan2"}</definedName>
    <definedName name="hgjkfdhg" localSheetId="10">{#N/A,#N/A,FALSE,"Plan1";#N/A,#N/A,FALSE,"Plan2"}</definedName>
    <definedName name="hgjkfdhg">{#N/A,#N/A,FALSE,"Plan1";#N/A,#N/A,FALSE,"Plan2"}</definedName>
    <definedName name="hgkdfhkfk" localSheetId="9">{#N/A,#N/A,FALSE,"Plan1";#N/A,#N/A,FALSE,"Plan2"}</definedName>
    <definedName name="hgkdfhkfk" localSheetId="6">{#N/A,#N/A,FALSE,"Plan1";#N/A,#N/A,FALSE,"Plan2"}</definedName>
    <definedName name="hgkdfhkfk" localSheetId="3">{#N/A,#N/A,FALSE,"Plan1";#N/A,#N/A,FALSE,"Plan2"}</definedName>
    <definedName name="hgkdfhkfk" localSheetId="8">{#N/A,#N/A,FALSE,"Plan1";#N/A,#N/A,FALSE,"Plan2"}</definedName>
    <definedName name="hgkdfhkfk" localSheetId="5">{#N/A,#N/A,FALSE,"Plan1";#N/A,#N/A,FALSE,"Plan2"}</definedName>
    <definedName name="hgkdfhkfk" localSheetId="4">{#N/A,#N/A,FALSE,"Plan1";#N/A,#N/A,FALSE,"Plan2"}</definedName>
    <definedName name="hgkdfhkfk" localSheetId="13">{#N/A,#N/A,FALSE,"Plan1";#N/A,#N/A,FALSE,"Plan2"}</definedName>
    <definedName name="hgkdfhkfk" localSheetId="17">{#N/A,#N/A,FALSE,"Plan1";#N/A,#N/A,FALSE,"Plan2"}</definedName>
    <definedName name="hgkdfhkfk" localSheetId="0">{#N/A,#N/A,FALSE,"Plan1";#N/A,#N/A,FALSE,"Plan2"}</definedName>
    <definedName name="hgkdfhkfk" localSheetId="19">{#N/A,#N/A,FALSE,"Plan1";#N/A,#N/A,FALSE,"Plan2"}</definedName>
    <definedName name="hgkdfhkfk" localSheetId="16">{#N/A,#N/A,FALSE,"Plan1";#N/A,#N/A,FALSE,"Plan2"}</definedName>
    <definedName name="hgkdfhkfk" localSheetId="18">{#N/A,#N/A,FALSE,"Plan1";#N/A,#N/A,FALSE,"Plan2"}</definedName>
    <definedName name="hgkdfhkfk" localSheetId="10">{#N/A,#N/A,FALSE,"Plan1";#N/A,#N/A,FALSE,"Plan2"}</definedName>
    <definedName name="hgkdfhkfk">{#N/A,#N/A,FALSE,"Plan1";#N/A,#N/A,FALSE,"Plan2"}</definedName>
    <definedName name="hgkjhdfhtrdyt" localSheetId="9">{#N/A,#N/A,FALSE,"Plan1";#N/A,#N/A,FALSE,"Plan2"}</definedName>
    <definedName name="hgkjhdfhtrdyt" localSheetId="6">{#N/A,#N/A,FALSE,"Plan1";#N/A,#N/A,FALSE,"Plan2"}</definedName>
    <definedName name="hgkjhdfhtrdyt" localSheetId="3">{#N/A,#N/A,FALSE,"Plan1";#N/A,#N/A,FALSE,"Plan2"}</definedName>
    <definedName name="hgkjhdfhtrdyt" localSheetId="8">{#N/A,#N/A,FALSE,"Plan1";#N/A,#N/A,FALSE,"Plan2"}</definedName>
    <definedName name="hgkjhdfhtrdyt" localSheetId="5">{#N/A,#N/A,FALSE,"Plan1";#N/A,#N/A,FALSE,"Plan2"}</definedName>
    <definedName name="hgkjhdfhtrdyt" localSheetId="4">{#N/A,#N/A,FALSE,"Plan1";#N/A,#N/A,FALSE,"Plan2"}</definedName>
    <definedName name="hgkjhdfhtrdyt" localSheetId="13">{#N/A,#N/A,FALSE,"Plan1";#N/A,#N/A,FALSE,"Plan2"}</definedName>
    <definedName name="hgkjhdfhtrdyt" localSheetId="17">{#N/A,#N/A,FALSE,"Plan1";#N/A,#N/A,FALSE,"Plan2"}</definedName>
    <definedName name="hgkjhdfhtrdyt" localSheetId="0">{#N/A,#N/A,FALSE,"Plan1";#N/A,#N/A,FALSE,"Plan2"}</definedName>
    <definedName name="hgkjhdfhtrdyt" localSheetId="19">{#N/A,#N/A,FALSE,"Plan1";#N/A,#N/A,FALSE,"Plan2"}</definedName>
    <definedName name="hgkjhdfhtrdyt" localSheetId="16">{#N/A,#N/A,FALSE,"Plan1";#N/A,#N/A,FALSE,"Plan2"}</definedName>
    <definedName name="hgkjhdfhtrdyt" localSheetId="18">{#N/A,#N/A,FALSE,"Plan1";#N/A,#N/A,FALSE,"Plan2"}</definedName>
    <definedName name="hgkjhdfhtrdyt" localSheetId="10">{#N/A,#N/A,FALSE,"Plan1";#N/A,#N/A,FALSE,"Plan2"}</definedName>
    <definedName name="hgkjhdfhtrdyt">{#N/A,#N/A,FALSE,"Plan1";#N/A,#N/A,FALSE,"Plan2"}</definedName>
    <definedName name="hgkjhdfkhgtfhg" localSheetId="9">{#N/A,#N/A,FALSE,"Plan1";#N/A,#N/A,FALSE,"Plan2"}</definedName>
    <definedName name="hgkjhdfkhgtfhg" localSheetId="6">{#N/A,#N/A,FALSE,"Plan1";#N/A,#N/A,FALSE,"Plan2"}</definedName>
    <definedName name="hgkjhdfkhgtfhg" localSheetId="3">{#N/A,#N/A,FALSE,"Plan1";#N/A,#N/A,FALSE,"Plan2"}</definedName>
    <definedName name="hgkjhdfkhgtfhg" localSheetId="8">{#N/A,#N/A,FALSE,"Plan1";#N/A,#N/A,FALSE,"Plan2"}</definedName>
    <definedName name="hgkjhdfkhgtfhg" localSheetId="5">{#N/A,#N/A,FALSE,"Plan1";#N/A,#N/A,FALSE,"Plan2"}</definedName>
    <definedName name="hgkjhdfkhgtfhg" localSheetId="4">{#N/A,#N/A,FALSE,"Plan1";#N/A,#N/A,FALSE,"Plan2"}</definedName>
    <definedName name="hgkjhdfkhgtfhg" localSheetId="13">{#N/A,#N/A,FALSE,"Plan1";#N/A,#N/A,FALSE,"Plan2"}</definedName>
    <definedName name="hgkjhdfkhgtfhg" localSheetId="17">{#N/A,#N/A,FALSE,"Plan1";#N/A,#N/A,FALSE,"Plan2"}</definedName>
    <definedName name="hgkjhdfkhgtfhg" localSheetId="0">{#N/A,#N/A,FALSE,"Plan1";#N/A,#N/A,FALSE,"Plan2"}</definedName>
    <definedName name="hgkjhdfkhgtfhg" localSheetId="19">{#N/A,#N/A,FALSE,"Plan1";#N/A,#N/A,FALSE,"Plan2"}</definedName>
    <definedName name="hgkjhdfkhgtfhg" localSheetId="16">{#N/A,#N/A,FALSE,"Plan1";#N/A,#N/A,FALSE,"Plan2"}</definedName>
    <definedName name="hgkjhdfkhgtfhg" localSheetId="18">{#N/A,#N/A,FALSE,"Plan1";#N/A,#N/A,FALSE,"Plan2"}</definedName>
    <definedName name="hgkjhdfkhgtfhg" localSheetId="10">{#N/A,#N/A,FALSE,"Plan1";#N/A,#N/A,FALSE,"Plan2"}</definedName>
    <definedName name="hgkjhdfkhgtfhg">{#N/A,#N/A,FALSE,"Plan1";#N/A,#N/A,FALSE,"Plan2"}</definedName>
    <definedName name="hgkjhkfhsdkdhgk" localSheetId="9">{#N/A,#N/A,FALSE,"Plan1";#N/A,#N/A,FALSE,"Plan2"}</definedName>
    <definedName name="hgkjhkfhsdkdhgk" localSheetId="6">{#N/A,#N/A,FALSE,"Plan1";#N/A,#N/A,FALSE,"Plan2"}</definedName>
    <definedName name="hgkjhkfhsdkdhgk" localSheetId="3">{#N/A,#N/A,FALSE,"Plan1";#N/A,#N/A,FALSE,"Plan2"}</definedName>
    <definedName name="hgkjhkfhsdkdhgk" localSheetId="8">{#N/A,#N/A,FALSE,"Plan1";#N/A,#N/A,FALSE,"Plan2"}</definedName>
    <definedName name="hgkjhkfhsdkdhgk" localSheetId="5">{#N/A,#N/A,FALSE,"Plan1";#N/A,#N/A,FALSE,"Plan2"}</definedName>
    <definedName name="hgkjhkfhsdkdhgk" localSheetId="4">{#N/A,#N/A,FALSE,"Plan1";#N/A,#N/A,FALSE,"Plan2"}</definedName>
    <definedName name="hgkjhkfhsdkdhgk" localSheetId="13">{#N/A,#N/A,FALSE,"Plan1";#N/A,#N/A,FALSE,"Plan2"}</definedName>
    <definedName name="hgkjhkfhsdkdhgk" localSheetId="17">{#N/A,#N/A,FALSE,"Plan1";#N/A,#N/A,FALSE,"Plan2"}</definedName>
    <definedName name="hgkjhkfhsdkdhgk" localSheetId="0">{#N/A,#N/A,FALSE,"Plan1";#N/A,#N/A,FALSE,"Plan2"}</definedName>
    <definedName name="hgkjhkfhsdkdhgk" localSheetId="19">{#N/A,#N/A,FALSE,"Plan1";#N/A,#N/A,FALSE,"Plan2"}</definedName>
    <definedName name="hgkjhkfhsdkdhgk" localSheetId="16">{#N/A,#N/A,FALSE,"Plan1";#N/A,#N/A,FALSE,"Plan2"}</definedName>
    <definedName name="hgkjhkfhsdkdhgk" localSheetId="18">{#N/A,#N/A,FALSE,"Plan1";#N/A,#N/A,FALSE,"Plan2"}</definedName>
    <definedName name="hgkjhkfhsdkdhgk" localSheetId="10">{#N/A,#N/A,FALSE,"Plan1";#N/A,#N/A,FALSE,"Plan2"}</definedName>
    <definedName name="hgkjhkfhsdkdhgk">{#N/A,#N/A,FALSE,"Plan1";#N/A,#N/A,FALSE,"Plan2"}</definedName>
    <definedName name="hgsufgdhghd" localSheetId="9">{#N/A,#N/A,FALSE,"Plan1";#N/A,#N/A,FALSE,"Plan2"}</definedName>
    <definedName name="hgsufgdhghd" localSheetId="6">{#N/A,#N/A,FALSE,"Plan1";#N/A,#N/A,FALSE,"Plan2"}</definedName>
    <definedName name="hgsufgdhghd" localSheetId="3">{#N/A,#N/A,FALSE,"Plan1";#N/A,#N/A,FALSE,"Plan2"}</definedName>
    <definedName name="hgsufgdhghd" localSheetId="8">{#N/A,#N/A,FALSE,"Plan1";#N/A,#N/A,FALSE,"Plan2"}</definedName>
    <definedName name="hgsufgdhghd" localSheetId="5">{#N/A,#N/A,FALSE,"Plan1";#N/A,#N/A,FALSE,"Plan2"}</definedName>
    <definedName name="hgsufgdhghd" localSheetId="4">{#N/A,#N/A,FALSE,"Plan1";#N/A,#N/A,FALSE,"Plan2"}</definedName>
    <definedName name="hgsufgdhghd" localSheetId="13">{#N/A,#N/A,FALSE,"Plan1";#N/A,#N/A,FALSE,"Plan2"}</definedName>
    <definedName name="hgsufgdhghd" localSheetId="17">{#N/A,#N/A,FALSE,"Plan1";#N/A,#N/A,FALSE,"Plan2"}</definedName>
    <definedName name="hgsufgdhghd" localSheetId="0">{#N/A,#N/A,FALSE,"Plan1";#N/A,#N/A,FALSE,"Plan2"}</definedName>
    <definedName name="hgsufgdhghd" localSheetId="19">{#N/A,#N/A,FALSE,"Plan1";#N/A,#N/A,FALSE,"Plan2"}</definedName>
    <definedName name="hgsufgdhghd" localSheetId="16">{#N/A,#N/A,FALSE,"Plan1";#N/A,#N/A,FALSE,"Plan2"}</definedName>
    <definedName name="hgsufgdhghd" localSheetId="18">{#N/A,#N/A,FALSE,"Plan1";#N/A,#N/A,FALSE,"Plan2"}</definedName>
    <definedName name="hgsufgdhghd" localSheetId="10">{#N/A,#N/A,FALSE,"Plan1";#N/A,#N/A,FALSE,"Plan2"}</definedName>
    <definedName name="hgsufgdhghd">{#N/A,#N/A,FALSE,"Plan1";#N/A,#N/A,FALSE,"Plan2"}</definedName>
    <definedName name="HHGFHTYUT" localSheetId="9">{#N/A,#N/A,FALSE,"Plan1";#N/A,#N/A,FALSE,"Plan2"}</definedName>
    <definedName name="HHGFHTYUT" localSheetId="6">{#N/A,#N/A,FALSE,"Plan1";#N/A,#N/A,FALSE,"Plan2"}</definedName>
    <definedName name="HHGFHTYUT" localSheetId="3">{#N/A,#N/A,FALSE,"Plan1";#N/A,#N/A,FALSE,"Plan2"}</definedName>
    <definedName name="HHGFHTYUT" localSheetId="8">{#N/A,#N/A,FALSE,"Plan1";#N/A,#N/A,FALSE,"Plan2"}</definedName>
    <definedName name="HHGFHTYUT" localSheetId="5">{#N/A,#N/A,FALSE,"Plan1";#N/A,#N/A,FALSE,"Plan2"}</definedName>
    <definedName name="HHGFHTYUT" localSheetId="4">{#N/A,#N/A,FALSE,"Plan1";#N/A,#N/A,FALSE,"Plan2"}</definedName>
    <definedName name="HHGFHTYUT" localSheetId="13">{#N/A,#N/A,FALSE,"Plan1";#N/A,#N/A,FALSE,"Plan2"}</definedName>
    <definedName name="HHGFHTYUT" localSheetId="17">{#N/A,#N/A,FALSE,"Plan1";#N/A,#N/A,FALSE,"Plan2"}</definedName>
    <definedName name="HHGFHTYUT" localSheetId="0">{#N/A,#N/A,FALSE,"Plan1";#N/A,#N/A,FALSE,"Plan2"}</definedName>
    <definedName name="HHGFHTYUT" localSheetId="19">{#N/A,#N/A,FALSE,"Plan1";#N/A,#N/A,FALSE,"Plan2"}</definedName>
    <definedName name="HHGFHTYUT" localSheetId="16">{#N/A,#N/A,FALSE,"Plan1";#N/A,#N/A,FALSE,"Plan2"}</definedName>
    <definedName name="HHGFHTYUT" localSheetId="18">{#N/A,#N/A,FALSE,"Plan1";#N/A,#N/A,FALSE,"Plan2"}</definedName>
    <definedName name="HHGFHTYUT" localSheetId="10">{#N/A,#N/A,FALSE,"Plan1";#N/A,#N/A,FALSE,"Plan2"}</definedName>
    <definedName name="HHGFHTYUT">{#N/A,#N/A,FALSE,"Plan1";#N/A,#N/A,FALSE,"Plan2"}</definedName>
    <definedName name="hhh" localSheetId="9">{"'Total'!$A$1","'Total'!$A$3"}</definedName>
    <definedName name="hhh" localSheetId="6">{"'Total'!$A$1","'Total'!$A$3"}</definedName>
    <definedName name="hhh" localSheetId="3">{"'Total'!$A$1","'Total'!$A$3"}</definedName>
    <definedName name="hhh" localSheetId="8">{"'Total'!$A$1","'Total'!$A$3"}</definedName>
    <definedName name="hhh" localSheetId="5">{"'Total'!$A$1","'Total'!$A$3"}</definedName>
    <definedName name="hhh" localSheetId="4">{"'Total'!$A$1","'Total'!$A$3"}</definedName>
    <definedName name="hhh" localSheetId="13">{"'Total'!$A$1","'Total'!$A$3"}</definedName>
    <definedName name="hhh" localSheetId="17">{"'Total'!$A$1","'Total'!$A$3"}</definedName>
    <definedName name="hhh" localSheetId="0">{"'Total'!$A$1","'Total'!$A$3"}</definedName>
    <definedName name="hhh" localSheetId="19">{"'Total'!$A$1","'Total'!$A$3"}</definedName>
    <definedName name="hhh" localSheetId="16">{"'Total'!$A$1","'Total'!$A$3"}</definedName>
    <definedName name="hhh" localSheetId="18">{"'Total'!$A$1","'Total'!$A$3"}</definedName>
    <definedName name="hhh" localSheetId="10">{"'Total'!$A$1","'Total'!$A$3"}</definedName>
    <definedName name="hhh">{"'Total'!$A$1","'Total'!$A$3"}</definedName>
    <definedName name="HHIHLK" localSheetId="3">#REF!</definedName>
    <definedName name="HHIHLK" localSheetId="5">#REF!</definedName>
    <definedName name="HHIHLK" localSheetId="13">#REF!</definedName>
    <definedName name="HHIHLK" localSheetId="26">#REF!</definedName>
    <definedName name="HHIHLK" localSheetId="0">#REF!</definedName>
    <definedName name="HHIHLK">#REF!</definedName>
    <definedName name="hik" localSheetId="9">{#N/A,#N/A,FALSE,"TABLE"}</definedName>
    <definedName name="hik" localSheetId="6">{#N/A,#N/A,FALSE,"TABLE"}</definedName>
    <definedName name="hik" localSheetId="3">{#N/A,#N/A,FALSE,"TABLE"}</definedName>
    <definedName name="hik" localSheetId="8">{#N/A,#N/A,FALSE,"TABLE"}</definedName>
    <definedName name="hik" localSheetId="5">{#N/A,#N/A,FALSE,"TABLE"}</definedName>
    <definedName name="hik" localSheetId="4">{#N/A,#N/A,FALSE,"TABLE"}</definedName>
    <definedName name="hik" localSheetId="13">{#N/A,#N/A,FALSE,"TABLE"}</definedName>
    <definedName name="hik" localSheetId="17">{#N/A,#N/A,FALSE,"TABLE"}</definedName>
    <definedName name="hik" localSheetId="0">{#N/A,#N/A,FALSE,"TABLE"}</definedName>
    <definedName name="hik" localSheetId="19">{#N/A,#N/A,FALSE,"TABLE"}</definedName>
    <definedName name="hik" localSheetId="16">{#N/A,#N/A,FALSE,"TABLE"}</definedName>
    <definedName name="hik" localSheetId="18">{#N/A,#N/A,FALSE,"TABLE"}</definedName>
    <definedName name="hik" localSheetId="10">{#N/A,#N/A,FALSE,"TABLE"}</definedName>
    <definedName name="hik">{#N/A,#N/A,FALSE,"TABLE"}</definedName>
    <definedName name="hist" localSheetId="3">#REF!</definedName>
    <definedName name="hist" localSheetId="5">#REF!</definedName>
    <definedName name="hist" localSheetId="13">#REF!</definedName>
    <definedName name="hist" localSheetId="26">#REF!</definedName>
    <definedName name="hist">#REF!</definedName>
    <definedName name="HIST1" localSheetId="3">#REF!</definedName>
    <definedName name="HIST1" localSheetId="5">#REF!</definedName>
    <definedName name="HIST1" localSheetId="13">#REF!</definedName>
    <definedName name="HIST1" localSheetId="26">#REF!</definedName>
    <definedName name="HIST1">#REF!</definedName>
    <definedName name="HISTEQ" localSheetId="3">#REF!</definedName>
    <definedName name="HISTEQ" localSheetId="5">#REF!</definedName>
    <definedName name="HISTEQ" localSheetId="13">#REF!</definedName>
    <definedName name="HISTEQ" localSheetId="26">#REF!</definedName>
    <definedName name="HISTEQ">#REF!</definedName>
    <definedName name="HISTOGRAMA" localSheetId="3">#REF!</definedName>
    <definedName name="HISTOGRAMA" localSheetId="5">#REF!</definedName>
    <definedName name="HISTOGRAMA" localSheetId="13">#REF!</definedName>
    <definedName name="HISTOGRAMA" localSheetId="26">#REF!</definedName>
    <definedName name="HISTOGRAMA">#REF!</definedName>
    <definedName name="hjdgtjdjxrfg" localSheetId="9">{#N/A,#N/A,FALSE,"Plan1";#N/A,#N/A,FALSE,"Plan2"}</definedName>
    <definedName name="hjdgtjdjxrfg" localSheetId="6">{#N/A,#N/A,FALSE,"Plan1";#N/A,#N/A,FALSE,"Plan2"}</definedName>
    <definedName name="hjdgtjdjxrfg" localSheetId="3">{#N/A,#N/A,FALSE,"Plan1";#N/A,#N/A,FALSE,"Plan2"}</definedName>
    <definedName name="hjdgtjdjxrfg" localSheetId="8">{#N/A,#N/A,FALSE,"Plan1";#N/A,#N/A,FALSE,"Plan2"}</definedName>
    <definedName name="hjdgtjdjxrfg" localSheetId="5">{#N/A,#N/A,FALSE,"Plan1";#N/A,#N/A,FALSE,"Plan2"}</definedName>
    <definedName name="hjdgtjdjxrfg" localSheetId="4">{#N/A,#N/A,FALSE,"Plan1";#N/A,#N/A,FALSE,"Plan2"}</definedName>
    <definedName name="hjdgtjdjxrfg" localSheetId="13">{#N/A,#N/A,FALSE,"Plan1";#N/A,#N/A,FALSE,"Plan2"}</definedName>
    <definedName name="hjdgtjdjxrfg" localSheetId="17">{#N/A,#N/A,FALSE,"Plan1";#N/A,#N/A,FALSE,"Plan2"}</definedName>
    <definedName name="hjdgtjdjxrfg" localSheetId="0">{#N/A,#N/A,FALSE,"Plan1";#N/A,#N/A,FALSE,"Plan2"}</definedName>
    <definedName name="hjdgtjdjxrfg" localSheetId="19">{#N/A,#N/A,FALSE,"Plan1";#N/A,#N/A,FALSE,"Plan2"}</definedName>
    <definedName name="hjdgtjdjxrfg" localSheetId="16">{#N/A,#N/A,FALSE,"Plan1";#N/A,#N/A,FALSE,"Plan2"}</definedName>
    <definedName name="hjdgtjdjxrfg" localSheetId="18">{#N/A,#N/A,FALSE,"Plan1";#N/A,#N/A,FALSE,"Plan2"}</definedName>
    <definedName name="hjdgtjdjxrfg" localSheetId="10">{#N/A,#N/A,FALSE,"Plan1";#N/A,#N/A,FALSE,"Plan2"}</definedName>
    <definedName name="hjdgtjdjxrfg">{#N/A,#N/A,FALSE,"Plan1";#N/A,#N/A,FALSE,"Plan2"}</definedName>
    <definedName name="HJFDGD" localSheetId="9">{#N/A,#N/A,FALSE,"Plan1";#N/A,#N/A,FALSE,"Plan2"}</definedName>
    <definedName name="HJFDGD" localSheetId="6">{#N/A,#N/A,FALSE,"Plan1";#N/A,#N/A,FALSE,"Plan2"}</definedName>
    <definedName name="HJFDGD" localSheetId="3">{#N/A,#N/A,FALSE,"Plan1";#N/A,#N/A,FALSE,"Plan2"}</definedName>
    <definedName name="HJFDGD" localSheetId="8">{#N/A,#N/A,FALSE,"Plan1";#N/A,#N/A,FALSE,"Plan2"}</definedName>
    <definedName name="HJFDGD" localSheetId="5">{#N/A,#N/A,FALSE,"Plan1";#N/A,#N/A,FALSE,"Plan2"}</definedName>
    <definedName name="HJFDGD" localSheetId="4">{#N/A,#N/A,FALSE,"Plan1";#N/A,#N/A,FALSE,"Plan2"}</definedName>
    <definedName name="HJFDGD" localSheetId="13">{#N/A,#N/A,FALSE,"Plan1";#N/A,#N/A,FALSE,"Plan2"}</definedName>
    <definedName name="HJFDGD" localSheetId="17">{#N/A,#N/A,FALSE,"Plan1";#N/A,#N/A,FALSE,"Plan2"}</definedName>
    <definedName name="HJFDGD" localSheetId="0">{#N/A,#N/A,FALSE,"Plan1";#N/A,#N/A,FALSE,"Plan2"}</definedName>
    <definedName name="HJFDGD" localSheetId="19">{#N/A,#N/A,FALSE,"Plan1";#N/A,#N/A,FALSE,"Plan2"}</definedName>
    <definedName name="HJFDGD" localSheetId="16">{#N/A,#N/A,FALSE,"Plan1";#N/A,#N/A,FALSE,"Plan2"}</definedName>
    <definedName name="HJFDGD" localSheetId="18">{#N/A,#N/A,FALSE,"Plan1";#N/A,#N/A,FALSE,"Plan2"}</definedName>
    <definedName name="HJFDGD" localSheetId="10">{#N/A,#N/A,FALSE,"Plan1";#N/A,#N/A,FALSE,"Plan2"}</definedName>
    <definedName name="HJFDGD">{#N/A,#N/A,FALSE,"Plan1";#N/A,#N/A,FALSE,"Plan2"}</definedName>
    <definedName name="HJGASD" localSheetId="9">{#N/A,#N/A,FALSE,"Plan1";#N/A,#N/A,FALSE,"Plan2"}</definedName>
    <definedName name="HJGASD" localSheetId="6">{#N/A,#N/A,FALSE,"Plan1";#N/A,#N/A,FALSE,"Plan2"}</definedName>
    <definedName name="HJGASD" localSheetId="3">{#N/A,#N/A,FALSE,"Plan1";#N/A,#N/A,FALSE,"Plan2"}</definedName>
    <definedName name="HJGASD" localSheetId="8">{#N/A,#N/A,FALSE,"Plan1";#N/A,#N/A,FALSE,"Plan2"}</definedName>
    <definedName name="HJGASD" localSheetId="5">{#N/A,#N/A,FALSE,"Plan1";#N/A,#N/A,FALSE,"Plan2"}</definedName>
    <definedName name="HJGASD" localSheetId="4">{#N/A,#N/A,FALSE,"Plan1";#N/A,#N/A,FALSE,"Plan2"}</definedName>
    <definedName name="HJGASD" localSheetId="13">{#N/A,#N/A,FALSE,"Plan1";#N/A,#N/A,FALSE,"Plan2"}</definedName>
    <definedName name="HJGASD" localSheetId="17">{#N/A,#N/A,FALSE,"Plan1";#N/A,#N/A,FALSE,"Plan2"}</definedName>
    <definedName name="HJGASD" localSheetId="0">{#N/A,#N/A,FALSE,"Plan1";#N/A,#N/A,FALSE,"Plan2"}</definedName>
    <definedName name="HJGASD" localSheetId="19">{#N/A,#N/A,FALSE,"Plan1";#N/A,#N/A,FALSE,"Plan2"}</definedName>
    <definedName name="HJGASD" localSheetId="16">{#N/A,#N/A,FALSE,"Plan1";#N/A,#N/A,FALSE,"Plan2"}</definedName>
    <definedName name="HJGASD" localSheetId="18">{#N/A,#N/A,FALSE,"Plan1";#N/A,#N/A,FALSE,"Plan2"}</definedName>
    <definedName name="HJGASD" localSheetId="10">{#N/A,#N/A,FALSE,"Plan1";#N/A,#N/A,FALSE,"Plan2"}</definedName>
    <definedName name="HJGASD">{#N/A,#N/A,FALSE,"Plan1";#N/A,#N/A,FALSE,"Plan2"}</definedName>
    <definedName name="HJGFGTFDG" localSheetId="9">{#N/A,#N/A,FALSE,"Plan1";#N/A,#N/A,FALSE,"Plan2"}</definedName>
    <definedName name="HJGFGTFDG" localSheetId="6">{#N/A,#N/A,FALSE,"Plan1";#N/A,#N/A,FALSE,"Plan2"}</definedName>
    <definedName name="HJGFGTFDG" localSheetId="3">{#N/A,#N/A,FALSE,"Plan1";#N/A,#N/A,FALSE,"Plan2"}</definedName>
    <definedName name="HJGFGTFDG" localSheetId="8">{#N/A,#N/A,FALSE,"Plan1";#N/A,#N/A,FALSE,"Plan2"}</definedName>
    <definedName name="HJGFGTFDG" localSheetId="5">{#N/A,#N/A,FALSE,"Plan1";#N/A,#N/A,FALSE,"Plan2"}</definedName>
    <definedName name="HJGFGTFDG" localSheetId="4">{#N/A,#N/A,FALSE,"Plan1";#N/A,#N/A,FALSE,"Plan2"}</definedName>
    <definedName name="HJGFGTFDG" localSheetId="13">{#N/A,#N/A,FALSE,"Plan1";#N/A,#N/A,FALSE,"Plan2"}</definedName>
    <definedName name="HJGFGTFDG" localSheetId="17">{#N/A,#N/A,FALSE,"Plan1";#N/A,#N/A,FALSE,"Plan2"}</definedName>
    <definedName name="HJGFGTFDG" localSheetId="0">{#N/A,#N/A,FALSE,"Plan1";#N/A,#N/A,FALSE,"Plan2"}</definedName>
    <definedName name="HJGFGTFDG" localSheetId="19">{#N/A,#N/A,FALSE,"Plan1";#N/A,#N/A,FALSE,"Plan2"}</definedName>
    <definedName name="HJGFGTFDG" localSheetId="16">{#N/A,#N/A,FALSE,"Plan1";#N/A,#N/A,FALSE,"Plan2"}</definedName>
    <definedName name="HJGFGTFDG" localSheetId="18">{#N/A,#N/A,FALSE,"Plan1";#N/A,#N/A,FALSE,"Plan2"}</definedName>
    <definedName name="HJGFGTFDG" localSheetId="10">{#N/A,#N/A,FALSE,"Plan1";#N/A,#N/A,FALSE,"Plan2"}</definedName>
    <definedName name="HJGFGTFDG">{#N/A,#N/A,FALSE,"Plan1";#N/A,#N/A,FALSE,"Plan2"}</definedName>
    <definedName name="hjgfhdsgfhsd" localSheetId="9">{#N/A,#N/A,FALSE,"Plan1";#N/A,#N/A,FALSE,"Plan2"}</definedName>
    <definedName name="hjgfhdsgfhsd" localSheetId="6">{#N/A,#N/A,FALSE,"Plan1";#N/A,#N/A,FALSE,"Plan2"}</definedName>
    <definedName name="hjgfhdsgfhsd" localSheetId="3">{#N/A,#N/A,FALSE,"Plan1";#N/A,#N/A,FALSE,"Plan2"}</definedName>
    <definedName name="hjgfhdsgfhsd" localSheetId="8">{#N/A,#N/A,FALSE,"Plan1";#N/A,#N/A,FALSE,"Plan2"}</definedName>
    <definedName name="hjgfhdsgfhsd" localSheetId="5">{#N/A,#N/A,FALSE,"Plan1";#N/A,#N/A,FALSE,"Plan2"}</definedName>
    <definedName name="hjgfhdsgfhsd" localSheetId="4">{#N/A,#N/A,FALSE,"Plan1";#N/A,#N/A,FALSE,"Plan2"}</definedName>
    <definedName name="hjgfhdsgfhsd" localSheetId="13">{#N/A,#N/A,FALSE,"Plan1";#N/A,#N/A,FALSE,"Plan2"}</definedName>
    <definedName name="hjgfhdsgfhsd" localSheetId="17">{#N/A,#N/A,FALSE,"Plan1";#N/A,#N/A,FALSE,"Plan2"}</definedName>
    <definedName name="hjgfhdsgfhsd" localSheetId="0">{#N/A,#N/A,FALSE,"Plan1";#N/A,#N/A,FALSE,"Plan2"}</definedName>
    <definedName name="hjgfhdsgfhsd" localSheetId="19">{#N/A,#N/A,FALSE,"Plan1";#N/A,#N/A,FALSE,"Plan2"}</definedName>
    <definedName name="hjgfhdsgfhsd" localSheetId="16">{#N/A,#N/A,FALSE,"Plan1";#N/A,#N/A,FALSE,"Plan2"}</definedName>
    <definedName name="hjgfhdsgfhsd" localSheetId="18">{#N/A,#N/A,FALSE,"Plan1";#N/A,#N/A,FALSE,"Plan2"}</definedName>
    <definedName name="hjgfhdsgfhsd" localSheetId="10">{#N/A,#N/A,FALSE,"Plan1";#N/A,#N/A,FALSE,"Plan2"}</definedName>
    <definedName name="hjgfhdsgfhsd">{#N/A,#N/A,FALSE,"Plan1";#N/A,#N/A,FALSE,"Plan2"}</definedName>
    <definedName name="hjgxfjgdjyftr" localSheetId="9">{#N/A,#N/A,FALSE,"Plan1";#N/A,#N/A,FALSE,"Plan2"}</definedName>
    <definedName name="hjgxfjgdjyftr" localSheetId="6">{#N/A,#N/A,FALSE,"Plan1";#N/A,#N/A,FALSE,"Plan2"}</definedName>
    <definedName name="hjgxfjgdjyftr" localSheetId="3">{#N/A,#N/A,FALSE,"Plan1";#N/A,#N/A,FALSE,"Plan2"}</definedName>
    <definedName name="hjgxfjgdjyftr" localSheetId="8">{#N/A,#N/A,FALSE,"Plan1";#N/A,#N/A,FALSE,"Plan2"}</definedName>
    <definedName name="hjgxfjgdjyftr" localSheetId="5">{#N/A,#N/A,FALSE,"Plan1";#N/A,#N/A,FALSE,"Plan2"}</definedName>
    <definedName name="hjgxfjgdjyftr" localSheetId="4">{#N/A,#N/A,FALSE,"Plan1";#N/A,#N/A,FALSE,"Plan2"}</definedName>
    <definedName name="hjgxfjgdjyftr" localSheetId="13">{#N/A,#N/A,FALSE,"Plan1";#N/A,#N/A,FALSE,"Plan2"}</definedName>
    <definedName name="hjgxfjgdjyftr" localSheetId="17">{#N/A,#N/A,FALSE,"Plan1";#N/A,#N/A,FALSE,"Plan2"}</definedName>
    <definedName name="hjgxfjgdjyftr" localSheetId="0">{#N/A,#N/A,FALSE,"Plan1";#N/A,#N/A,FALSE,"Plan2"}</definedName>
    <definedName name="hjgxfjgdjyftr" localSheetId="19">{#N/A,#N/A,FALSE,"Plan1";#N/A,#N/A,FALSE,"Plan2"}</definedName>
    <definedName name="hjgxfjgdjyftr" localSheetId="16">{#N/A,#N/A,FALSE,"Plan1";#N/A,#N/A,FALSE,"Plan2"}</definedName>
    <definedName name="hjgxfjgdjyftr" localSheetId="18">{#N/A,#N/A,FALSE,"Plan1";#N/A,#N/A,FALSE,"Plan2"}</definedName>
    <definedName name="hjgxfjgdjyftr" localSheetId="10">{#N/A,#N/A,FALSE,"Plan1";#N/A,#N/A,FALSE,"Plan2"}</definedName>
    <definedName name="hjgxfjgdjyftr">{#N/A,#N/A,FALSE,"Plan1";#N/A,#N/A,FALSE,"Plan2"}</definedName>
    <definedName name="hjgyugasd" localSheetId="9">{#N/A,#N/A,FALSE,"Plan1";#N/A,#N/A,FALSE,"Plan2"}</definedName>
    <definedName name="hjgyugasd" localSheetId="6">{#N/A,#N/A,FALSE,"Plan1";#N/A,#N/A,FALSE,"Plan2"}</definedName>
    <definedName name="hjgyugasd" localSheetId="3">{#N/A,#N/A,FALSE,"Plan1";#N/A,#N/A,FALSE,"Plan2"}</definedName>
    <definedName name="hjgyugasd" localSheetId="8">{#N/A,#N/A,FALSE,"Plan1";#N/A,#N/A,FALSE,"Plan2"}</definedName>
    <definedName name="hjgyugasd" localSheetId="5">{#N/A,#N/A,FALSE,"Plan1";#N/A,#N/A,FALSE,"Plan2"}</definedName>
    <definedName name="hjgyugasd" localSheetId="4">{#N/A,#N/A,FALSE,"Plan1";#N/A,#N/A,FALSE,"Plan2"}</definedName>
    <definedName name="hjgyugasd" localSheetId="13">{#N/A,#N/A,FALSE,"Plan1";#N/A,#N/A,FALSE,"Plan2"}</definedName>
    <definedName name="hjgyugasd" localSheetId="17">{#N/A,#N/A,FALSE,"Plan1";#N/A,#N/A,FALSE,"Plan2"}</definedName>
    <definedName name="hjgyugasd" localSheetId="0">{#N/A,#N/A,FALSE,"Plan1";#N/A,#N/A,FALSE,"Plan2"}</definedName>
    <definedName name="hjgyugasd" localSheetId="19">{#N/A,#N/A,FALSE,"Plan1";#N/A,#N/A,FALSE,"Plan2"}</definedName>
    <definedName name="hjgyugasd" localSheetId="16">{#N/A,#N/A,FALSE,"Plan1";#N/A,#N/A,FALSE,"Plan2"}</definedName>
    <definedName name="hjgyugasd" localSheetId="18">{#N/A,#N/A,FALSE,"Plan1";#N/A,#N/A,FALSE,"Plan2"}</definedName>
    <definedName name="hjgyugasd" localSheetId="10">{#N/A,#N/A,FALSE,"Plan1";#N/A,#N/A,FALSE,"Plan2"}</definedName>
    <definedName name="hjgyugasd">{#N/A,#N/A,FALSE,"Plan1";#N/A,#N/A,FALSE,"Plan2"}</definedName>
    <definedName name="hjjfyfy" localSheetId="9">{#N/A,#N/A,FALSE,"Plan1";#N/A,#N/A,FALSE,"Plan2"}</definedName>
    <definedName name="hjjfyfy" localSheetId="6">{#N/A,#N/A,FALSE,"Plan1";#N/A,#N/A,FALSE,"Plan2"}</definedName>
    <definedName name="hjjfyfy" localSheetId="3">{#N/A,#N/A,FALSE,"Plan1";#N/A,#N/A,FALSE,"Plan2"}</definedName>
    <definedName name="hjjfyfy" localSheetId="8">{#N/A,#N/A,FALSE,"Plan1";#N/A,#N/A,FALSE,"Plan2"}</definedName>
    <definedName name="hjjfyfy" localSheetId="5">{#N/A,#N/A,FALSE,"Plan1";#N/A,#N/A,FALSE,"Plan2"}</definedName>
    <definedName name="hjjfyfy" localSheetId="4">{#N/A,#N/A,FALSE,"Plan1";#N/A,#N/A,FALSE,"Plan2"}</definedName>
    <definedName name="hjjfyfy" localSheetId="13">{#N/A,#N/A,FALSE,"Plan1";#N/A,#N/A,FALSE,"Plan2"}</definedName>
    <definedName name="hjjfyfy" localSheetId="17">{#N/A,#N/A,FALSE,"Plan1";#N/A,#N/A,FALSE,"Plan2"}</definedName>
    <definedName name="hjjfyfy" localSheetId="0">{#N/A,#N/A,FALSE,"Plan1";#N/A,#N/A,FALSE,"Plan2"}</definedName>
    <definedName name="hjjfyfy" localSheetId="19">{#N/A,#N/A,FALSE,"Plan1";#N/A,#N/A,FALSE,"Plan2"}</definedName>
    <definedName name="hjjfyfy" localSheetId="16">{#N/A,#N/A,FALSE,"Plan1";#N/A,#N/A,FALSE,"Plan2"}</definedName>
    <definedName name="hjjfyfy" localSheetId="18">{#N/A,#N/A,FALSE,"Plan1";#N/A,#N/A,FALSE,"Plan2"}</definedName>
    <definedName name="hjjfyfy" localSheetId="10">{#N/A,#N/A,FALSE,"Plan1";#N/A,#N/A,FALSE,"Plan2"}</definedName>
    <definedName name="hjjfyfy">{#N/A,#N/A,FALSE,"Plan1";#N/A,#N/A,FALSE,"Plan2"}</definedName>
    <definedName name="hjkchkvjhdjkgh" localSheetId="9">{#N/A,#N/A,FALSE,"Plan1";#N/A,#N/A,FALSE,"Plan2"}</definedName>
    <definedName name="hjkchkvjhdjkgh" localSheetId="6">{#N/A,#N/A,FALSE,"Plan1";#N/A,#N/A,FALSE,"Plan2"}</definedName>
    <definedName name="hjkchkvjhdjkgh" localSheetId="3">{#N/A,#N/A,FALSE,"Plan1";#N/A,#N/A,FALSE,"Plan2"}</definedName>
    <definedName name="hjkchkvjhdjkgh" localSheetId="8">{#N/A,#N/A,FALSE,"Plan1";#N/A,#N/A,FALSE,"Plan2"}</definedName>
    <definedName name="hjkchkvjhdjkgh" localSheetId="5">{#N/A,#N/A,FALSE,"Plan1";#N/A,#N/A,FALSE,"Plan2"}</definedName>
    <definedName name="hjkchkvjhdjkgh" localSheetId="4">{#N/A,#N/A,FALSE,"Plan1";#N/A,#N/A,FALSE,"Plan2"}</definedName>
    <definedName name="hjkchkvjhdjkgh" localSheetId="13">{#N/A,#N/A,FALSE,"Plan1";#N/A,#N/A,FALSE,"Plan2"}</definedName>
    <definedName name="hjkchkvjhdjkgh" localSheetId="17">{#N/A,#N/A,FALSE,"Plan1";#N/A,#N/A,FALSE,"Plan2"}</definedName>
    <definedName name="hjkchkvjhdjkgh" localSheetId="0">{#N/A,#N/A,FALSE,"Plan1";#N/A,#N/A,FALSE,"Plan2"}</definedName>
    <definedName name="hjkchkvjhdjkgh" localSheetId="19">{#N/A,#N/A,FALSE,"Plan1";#N/A,#N/A,FALSE,"Plan2"}</definedName>
    <definedName name="hjkchkvjhdjkgh" localSheetId="16">{#N/A,#N/A,FALSE,"Plan1";#N/A,#N/A,FALSE,"Plan2"}</definedName>
    <definedName name="hjkchkvjhdjkgh" localSheetId="18">{#N/A,#N/A,FALSE,"Plan1";#N/A,#N/A,FALSE,"Plan2"}</definedName>
    <definedName name="hjkchkvjhdjkgh" localSheetId="10">{#N/A,#N/A,FALSE,"Plan1";#N/A,#N/A,FALSE,"Plan2"}</definedName>
    <definedName name="hjkchkvjhdjkgh">{#N/A,#N/A,FALSE,"Plan1";#N/A,#N/A,FALSE,"Plan2"}</definedName>
    <definedName name="hjkfjdyht" localSheetId="9">{#N/A,#N/A,FALSE,"Plan1";#N/A,#N/A,FALSE,"Plan2"}</definedName>
    <definedName name="hjkfjdyht" localSheetId="6">{#N/A,#N/A,FALSE,"Plan1";#N/A,#N/A,FALSE,"Plan2"}</definedName>
    <definedName name="hjkfjdyht" localSheetId="3">{#N/A,#N/A,FALSE,"Plan1";#N/A,#N/A,FALSE,"Plan2"}</definedName>
    <definedName name="hjkfjdyht" localSheetId="8">{#N/A,#N/A,FALSE,"Plan1";#N/A,#N/A,FALSE,"Plan2"}</definedName>
    <definedName name="hjkfjdyht" localSheetId="5">{#N/A,#N/A,FALSE,"Plan1";#N/A,#N/A,FALSE,"Plan2"}</definedName>
    <definedName name="hjkfjdyht" localSheetId="4">{#N/A,#N/A,FALSE,"Plan1";#N/A,#N/A,FALSE,"Plan2"}</definedName>
    <definedName name="hjkfjdyht" localSheetId="13">{#N/A,#N/A,FALSE,"Plan1";#N/A,#N/A,FALSE,"Plan2"}</definedName>
    <definedName name="hjkfjdyht" localSheetId="17">{#N/A,#N/A,FALSE,"Plan1";#N/A,#N/A,FALSE,"Plan2"}</definedName>
    <definedName name="hjkfjdyht" localSheetId="0">{#N/A,#N/A,FALSE,"Plan1";#N/A,#N/A,FALSE,"Plan2"}</definedName>
    <definedName name="hjkfjdyht" localSheetId="19">{#N/A,#N/A,FALSE,"Plan1";#N/A,#N/A,FALSE,"Plan2"}</definedName>
    <definedName name="hjkfjdyht" localSheetId="16">{#N/A,#N/A,FALSE,"Plan1";#N/A,#N/A,FALSE,"Plan2"}</definedName>
    <definedName name="hjkfjdyht" localSheetId="18">{#N/A,#N/A,FALSE,"Plan1";#N/A,#N/A,FALSE,"Plan2"}</definedName>
    <definedName name="hjkfjdyht" localSheetId="10">{#N/A,#N/A,FALSE,"Plan1";#N/A,#N/A,FALSE,"Plan2"}</definedName>
    <definedName name="hjkfjdyht">{#N/A,#N/A,FALSE,"Plan1";#N/A,#N/A,FALSE,"Plan2"}</definedName>
    <definedName name="hjsdff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9">{#N/A,#N/A,FALSE,"Plan1";#N/A,#N/A,FALSE,"Plan2"}</definedName>
    <definedName name="hjsdkhk" localSheetId="6">{#N/A,#N/A,FALSE,"Plan1";#N/A,#N/A,FALSE,"Plan2"}</definedName>
    <definedName name="hjsdkhk" localSheetId="3">{#N/A,#N/A,FALSE,"Plan1";#N/A,#N/A,FALSE,"Plan2"}</definedName>
    <definedName name="hjsdkhk" localSheetId="8">{#N/A,#N/A,FALSE,"Plan1";#N/A,#N/A,FALSE,"Plan2"}</definedName>
    <definedName name="hjsdkhk" localSheetId="5">{#N/A,#N/A,FALSE,"Plan1";#N/A,#N/A,FALSE,"Plan2"}</definedName>
    <definedName name="hjsdkhk" localSheetId="4">{#N/A,#N/A,FALSE,"Plan1";#N/A,#N/A,FALSE,"Plan2"}</definedName>
    <definedName name="hjsdkhk" localSheetId="13">{#N/A,#N/A,FALSE,"Plan1";#N/A,#N/A,FALSE,"Plan2"}</definedName>
    <definedName name="hjsdkhk" localSheetId="17">{#N/A,#N/A,FALSE,"Plan1";#N/A,#N/A,FALSE,"Plan2"}</definedName>
    <definedName name="hjsdkhk" localSheetId="0">{#N/A,#N/A,FALSE,"Plan1";#N/A,#N/A,FALSE,"Plan2"}</definedName>
    <definedName name="hjsdkhk" localSheetId="19">{#N/A,#N/A,FALSE,"Plan1";#N/A,#N/A,FALSE,"Plan2"}</definedName>
    <definedName name="hjsdkhk" localSheetId="16">{#N/A,#N/A,FALSE,"Plan1";#N/A,#N/A,FALSE,"Plan2"}</definedName>
    <definedName name="hjsdkhk" localSheetId="18">{#N/A,#N/A,FALSE,"Plan1";#N/A,#N/A,FALSE,"Plan2"}</definedName>
    <definedName name="hjsdkhk" localSheetId="10">{#N/A,#N/A,FALSE,"Plan1";#N/A,#N/A,FALSE,"Plan2"}</definedName>
    <definedName name="hjsdkhk">{#N/A,#N/A,FALSE,"Plan1";#N/A,#N/A,FALSE,"Plan2"}</definedName>
    <definedName name="hjsdsdrjfrh">2</definedName>
    <definedName name="hjsrdfre" localSheetId="9">{"Econ Consolidado",#N/A,FALSE,"Econ Consol";"Fluxo de Caixa",#N/A,FALSE,"Fluxo Caixa";"Investimentos",#N/A,FALSE,"Investimentos"}</definedName>
    <definedName name="hjsrdfre" localSheetId="6">{"Econ Consolidado",#N/A,FALSE,"Econ Consol";"Fluxo de Caixa",#N/A,FALSE,"Fluxo Caixa";"Investimentos",#N/A,FALSE,"Investimentos"}</definedName>
    <definedName name="hjsrdfre" localSheetId="3">{"Econ Consolidado",#N/A,FALSE,"Econ Consol";"Fluxo de Caixa",#N/A,FALSE,"Fluxo Caixa";"Investimentos",#N/A,FALSE,"Investimentos"}</definedName>
    <definedName name="hjsrdfre" localSheetId="8">{"Econ Consolidado",#N/A,FALSE,"Econ Consol";"Fluxo de Caixa",#N/A,FALSE,"Fluxo Caixa";"Investimentos",#N/A,FALSE,"Investimentos"}</definedName>
    <definedName name="hjsrdfre" localSheetId="5">{"Econ Consolidado",#N/A,FALSE,"Econ Consol";"Fluxo de Caixa",#N/A,FALSE,"Fluxo Caixa";"Investimentos",#N/A,FALSE,"Investimentos"}</definedName>
    <definedName name="hjsrdfre" localSheetId="4">{"Econ Consolidado",#N/A,FALSE,"Econ Consol";"Fluxo de Caixa",#N/A,FALSE,"Fluxo Caixa";"Investimentos",#N/A,FALSE,"Investimentos"}</definedName>
    <definedName name="hjsrdfre" localSheetId="13">{"Econ Consolidado",#N/A,FALSE,"Econ Consol";"Fluxo de Caixa",#N/A,FALSE,"Fluxo Caixa";"Investimentos",#N/A,FALSE,"Investimentos"}</definedName>
    <definedName name="hjsrdfre" localSheetId="17">{"Econ Consolidado",#N/A,FALSE,"Econ Consol";"Fluxo de Caixa",#N/A,FALSE,"Fluxo Caixa";"Investimentos",#N/A,FALSE,"Investimentos"}</definedName>
    <definedName name="hjsrdfre" localSheetId="0">{"Econ Consolidado",#N/A,FALSE,"Econ Consol";"Fluxo de Caixa",#N/A,FALSE,"Fluxo Caixa";"Investimentos",#N/A,FALSE,"Investimentos"}</definedName>
    <definedName name="hjsrdfre" localSheetId="19">{"Econ Consolidado",#N/A,FALSE,"Econ Consol";"Fluxo de Caixa",#N/A,FALSE,"Fluxo Caixa";"Investimentos",#N/A,FALSE,"Investimentos"}</definedName>
    <definedName name="hjsrdfre" localSheetId="16">{"Econ Consolidado",#N/A,FALSE,"Econ Consol";"Fluxo de Caixa",#N/A,FALSE,"Fluxo Caixa";"Investimentos",#N/A,FALSE,"Investimentos"}</definedName>
    <definedName name="hjsrdfre" localSheetId="18">{"Econ Consolidado",#N/A,FALSE,"Econ Consol";"Fluxo de Caixa",#N/A,FALSE,"Fluxo Caixa";"Investimentos",#N/A,FALSE,"Investimentos"}</definedName>
    <definedName name="hjsrdfre" localSheetId="10">{"Econ Consolidado",#N/A,FALSE,"Econ Consol";"Fluxo de Caixa",#N/A,FALSE,"Fluxo Caixa";"Investimentos",#N/A,FALSE,"Investimentos"}</definedName>
    <definedName name="hjsrdfre">{"Econ Consolidado",#N/A,FALSE,"Econ Consol";"Fluxo de Caixa",#N/A,FALSE,"Fluxo Caixa";"Investimentos",#N/A,FALSE,"Investimentos"}</definedName>
    <definedName name="HKewewsr" localSheetId="9">{#N/A,#N/A,FALSE,"Plan1";#N/A,#N/A,FALSE,"Plan2"}</definedName>
    <definedName name="HKewewsr" localSheetId="6">{#N/A,#N/A,FALSE,"Plan1";#N/A,#N/A,FALSE,"Plan2"}</definedName>
    <definedName name="HKewewsr" localSheetId="3">{#N/A,#N/A,FALSE,"Plan1";#N/A,#N/A,FALSE,"Plan2"}</definedName>
    <definedName name="HKewewsr" localSheetId="8">{#N/A,#N/A,FALSE,"Plan1";#N/A,#N/A,FALSE,"Plan2"}</definedName>
    <definedName name="HKewewsr" localSheetId="5">{#N/A,#N/A,FALSE,"Plan1";#N/A,#N/A,FALSE,"Plan2"}</definedName>
    <definedName name="HKewewsr" localSheetId="4">{#N/A,#N/A,FALSE,"Plan1";#N/A,#N/A,FALSE,"Plan2"}</definedName>
    <definedName name="HKewewsr" localSheetId="13">{#N/A,#N/A,FALSE,"Plan1";#N/A,#N/A,FALSE,"Plan2"}</definedName>
    <definedName name="HKewewsr" localSheetId="17">{#N/A,#N/A,FALSE,"Plan1";#N/A,#N/A,FALSE,"Plan2"}</definedName>
    <definedName name="HKewewsr" localSheetId="0">{#N/A,#N/A,FALSE,"Plan1";#N/A,#N/A,FALSE,"Plan2"}</definedName>
    <definedName name="HKewewsr" localSheetId="19">{#N/A,#N/A,FALSE,"Plan1";#N/A,#N/A,FALSE,"Plan2"}</definedName>
    <definedName name="HKewewsr" localSheetId="16">{#N/A,#N/A,FALSE,"Plan1";#N/A,#N/A,FALSE,"Plan2"}</definedName>
    <definedName name="HKewewsr" localSheetId="18">{#N/A,#N/A,FALSE,"Plan1";#N/A,#N/A,FALSE,"Plan2"}</definedName>
    <definedName name="HKewewsr" localSheetId="10">{#N/A,#N/A,FALSE,"Plan1";#N/A,#N/A,FALSE,"Plan2"}</definedName>
    <definedName name="HKewewsr">{#N/A,#N/A,FALSE,"Plan1";#N/A,#N/A,FALSE,"Plan2"}</definedName>
    <definedName name="hkhdskacd" localSheetId="9">{#N/A,#N/A,FALSE,"Plan1";#N/A,#N/A,FALSE,"Plan2"}</definedName>
    <definedName name="hkhdskacd" localSheetId="6">{#N/A,#N/A,FALSE,"Plan1";#N/A,#N/A,FALSE,"Plan2"}</definedName>
    <definedName name="hkhdskacd" localSheetId="3">{#N/A,#N/A,FALSE,"Plan1";#N/A,#N/A,FALSE,"Plan2"}</definedName>
    <definedName name="hkhdskacd" localSheetId="8">{#N/A,#N/A,FALSE,"Plan1";#N/A,#N/A,FALSE,"Plan2"}</definedName>
    <definedName name="hkhdskacd" localSheetId="5">{#N/A,#N/A,FALSE,"Plan1";#N/A,#N/A,FALSE,"Plan2"}</definedName>
    <definedName name="hkhdskacd" localSheetId="4">{#N/A,#N/A,FALSE,"Plan1";#N/A,#N/A,FALSE,"Plan2"}</definedName>
    <definedName name="hkhdskacd" localSheetId="13">{#N/A,#N/A,FALSE,"Plan1";#N/A,#N/A,FALSE,"Plan2"}</definedName>
    <definedName name="hkhdskacd" localSheetId="17">{#N/A,#N/A,FALSE,"Plan1";#N/A,#N/A,FALSE,"Plan2"}</definedName>
    <definedName name="hkhdskacd" localSheetId="0">{#N/A,#N/A,FALSE,"Plan1";#N/A,#N/A,FALSE,"Plan2"}</definedName>
    <definedName name="hkhdskacd" localSheetId="19">{#N/A,#N/A,FALSE,"Plan1";#N/A,#N/A,FALSE,"Plan2"}</definedName>
    <definedName name="hkhdskacd" localSheetId="16">{#N/A,#N/A,FALSE,"Plan1";#N/A,#N/A,FALSE,"Plan2"}</definedName>
    <definedName name="hkhdskacd" localSheetId="18">{#N/A,#N/A,FALSE,"Plan1";#N/A,#N/A,FALSE,"Plan2"}</definedName>
    <definedName name="hkhdskacd" localSheetId="10">{#N/A,#N/A,FALSE,"Plan1";#N/A,#N/A,FALSE,"Plan2"}</definedName>
    <definedName name="hkhdskacd">{#N/A,#N/A,FALSE,"Plan1";#N/A,#N/A,FALSE,"Plan2"}</definedName>
    <definedName name="hkjfgfhgfh" localSheetId="9">{#N/A,#N/A,FALSE,"Plan1";#N/A,#N/A,FALSE,"Plan2"}</definedName>
    <definedName name="hkjfgfhgfh" localSheetId="6">{#N/A,#N/A,FALSE,"Plan1";#N/A,#N/A,FALSE,"Plan2"}</definedName>
    <definedName name="hkjfgfhgfh" localSheetId="3">{#N/A,#N/A,FALSE,"Plan1";#N/A,#N/A,FALSE,"Plan2"}</definedName>
    <definedName name="hkjfgfhgfh" localSheetId="8">{#N/A,#N/A,FALSE,"Plan1";#N/A,#N/A,FALSE,"Plan2"}</definedName>
    <definedName name="hkjfgfhgfh" localSheetId="5">{#N/A,#N/A,FALSE,"Plan1";#N/A,#N/A,FALSE,"Plan2"}</definedName>
    <definedName name="hkjfgfhgfh" localSheetId="4">{#N/A,#N/A,FALSE,"Plan1";#N/A,#N/A,FALSE,"Plan2"}</definedName>
    <definedName name="hkjfgfhgfh" localSheetId="13">{#N/A,#N/A,FALSE,"Plan1";#N/A,#N/A,FALSE,"Plan2"}</definedName>
    <definedName name="hkjfgfhgfh" localSheetId="17">{#N/A,#N/A,FALSE,"Plan1";#N/A,#N/A,FALSE,"Plan2"}</definedName>
    <definedName name="hkjfgfhgfh" localSheetId="0">{#N/A,#N/A,FALSE,"Plan1";#N/A,#N/A,FALSE,"Plan2"}</definedName>
    <definedName name="hkjfgfhgfh" localSheetId="19">{#N/A,#N/A,FALSE,"Plan1";#N/A,#N/A,FALSE,"Plan2"}</definedName>
    <definedName name="hkjfgfhgfh" localSheetId="16">{#N/A,#N/A,FALSE,"Plan1";#N/A,#N/A,FALSE,"Plan2"}</definedName>
    <definedName name="hkjfgfhgfh" localSheetId="18">{#N/A,#N/A,FALSE,"Plan1";#N/A,#N/A,FALSE,"Plan2"}</definedName>
    <definedName name="hkjfgfhgfh" localSheetId="10">{#N/A,#N/A,FALSE,"Plan1";#N/A,#N/A,FALSE,"Plan2"}</definedName>
    <definedName name="hkjfgfhgfh">{#N/A,#N/A,FALSE,"Plan1";#N/A,#N/A,FALSE,"Plan2"}</definedName>
    <definedName name="hkjfhgjkfhghfg" localSheetId="9">{#N/A,#N/A,FALSE,"Plan1";#N/A,#N/A,FALSE,"Plan2"}</definedName>
    <definedName name="hkjfhgjkfhghfg" localSheetId="6">{#N/A,#N/A,FALSE,"Plan1";#N/A,#N/A,FALSE,"Plan2"}</definedName>
    <definedName name="hkjfhgjkfhghfg" localSheetId="3">{#N/A,#N/A,FALSE,"Plan1";#N/A,#N/A,FALSE,"Plan2"}</definedName>
    <definedName name="hkjfhgjkfhghfg" localSheetId="8">{#N/A,#N/A,FALSE,"Plan1";#N/A,#N/A,FALSE,"Plan2"}</definedName>
    <definedName name="hkjfhgjkfhghfg" localSheetId="5">{#N/A,#N/A,FALSE,"Plan1";#N/A,#N/A,FALSE,"Plan2"}</definedName>
    <definedName name="hkjfhgjkfhghfg" localSheetId="4">{#N/A,#N/A,FALSE,"Plan1";#N/A,#N/A,FALSE,"Plan2"}</definedName>
    <definedName name="hkjfhgjkfhghfg" localSheetId="13">{#N/A,#N/A,FALSE,"Plan1";#N/A,#N/A,FALSE,"Plan2"}</definedName>
    <definedName name="hkjfhgjkfhghfg" localSheetId="17">{#N/A,#N/A,FALSE,"Plan1";#N/A,#N/A,FALSE,"Plan2"}</definedName>
    <definedName name="hkjfhgjkfhghfg" localSheetId="0">{#N/A,#N/A,FALSE,"Plan1";#N/A,#N/A,FALSE,"Plan2"}</definedName>
    <definedName name="hkjfhgjkfhghfg" localSheetId="19">{#N/A,#N/A,FALSE,"Plan1";#N/A,#N/A,FALSE,"Plan2"}</definedName>
    <definedName name="hkjfhgjkfhghfg" localSheetId="16">{#N/A,#N/A,FALSE,"Plan1";#N/A,#N/A,FALSE,"Plan2"}</definedName>
    <definedName name="hkjfhgjkfhghfg" localSheetId="18">{#N/A,#N/A,FALSE,"Plan1";#N/A,#N/A,FALSE,"Plan2"}</definedName>
    <definedName name="hkjfhgjkfhghfg" localSheetId="10">{#N/A,#N/A,FALSE,"Plan1";#N/A,#N/A,FALSE,"Plan2"}</definedName>
    <definedName name="hkjfhgjkfhghfg">{#N/A,#N/A,FALSE,"Plan1";#N/A,#N/A,FALSE,"Plan2"}</definedName>
    <definedName name="HKLZHFRH" localSheetId="9">{#N/A,#N/A,FALSE,"Plan1";#N/A,#N/A,FALSE,"Plan2"}</definedName>
    <definedName name="HKLZHFRH" localSheetId="6">{#N/A,#N/A,FALSE,"Plan1";#N/A,#N/A,FALSE,"Plan2"}</definedName>
    <definedName name="HKLZHFRH" localSheetId="3">{#N/A,#N/A,FALSE,"Plan1";#N/A,#N/A,FALSE,"Plan2"}</definedName>
    <definedName name="HKLZHFRH" localSheetId="8">{#N/A,#N/A,FALSE,"Plan1";#N/A,#N/A,FALSE,"Plan2"}</definedName>
    <definedName name="HKLZHFRH" localSheetId="5">{#N/A,#N/A,FALSE,"Plan1";#N/A,#N/A,FALSE,"Plan2"}</definedName>
    <definedName name="HKLZHFRH" localSheetId="4">{#N/A,#N/A,FALSE,"Plan1";#N/A,#N/A,FALSE,"Plan2"}</definedName>
    <definedName name="HKLZHFRH" localSheetId="13">{#N/A,#N/A,FALSE,"Plan1";#N/A,#N/A,FALSE,"Plan2"}</definedName>
    <definedName name="HKLZHFRH" localSheetId="17">{#N/A,#N/A,FALSE,"Plan1";#N/A,#N/A,FALSE,"Plan2"}</definedName>
    <definedName name="HKLZHFRH" localSheetId="0">{#N/A,#N/A,FALSE,"Plan1";#N/A,#N/A,FALSE,"Plan2"}</definedName>
    <definedName name="HKLZHFRH" localSheetId="19">{#N/A,#N/A,FALSE,"Plan1";#N/A,#N/A,FALSE,"Plan2"}</definedName>
    <definedName name="HKLZHFRH" localSheetId="16">{#N/A,#N/A,FALSE,"Plan1";#N/A,#N/A,FALSE,"Plan2"}</definedName>
    <definedName name="HKLZHFRH" localSheetId="18">{#N/A,#N/A,FALSE,"Plan1";#N/A,#N/A,FALSE,"Plan2"}</definedName>
    <definedName name="HKLZHFRH" localSheetId="10">{#N/A,#N/A,FALSE,"Plan1";#N/A,#N/A,FALSE,"Plan2"}</definedName>
    <definedName name="HKLZHFRH">{#N/A,#N/A,FALSE,"Plan1";#N/A,#N/A,FALSE,"Plan2"}</definedName>
    <definedName name="ho" localSheetId="9">{#N/A,#N/A,FALSE,"TABLE"}</definedName>
    <definedName name="ho" localSheetId="6">{#N/A,#N/A,FALSE,"TABLE"}</definedName>
    <definedName name="ho" localSheetId="3">{#N/A,#N/A,FALSE,"TABLE"}</definedName>
    <definedName name="ho" localSheetId="8">{#N/A,#N/A,FALSE,"TABLE"}</definedName>
    <definedName name="ho" localSheetId="5">{#N/A,#N/A,FALSE,"TABLE"}</definedName>
    <definedName name="ho" localSheetId="4">{#N/A,#N/A,FALSE,"TABLE"}</definedName>
    <definedName name="ho" localSheetId="13">{#N/A,#N/A,FALSE,"TABLE"}</definedName>
    <definedName name="ho" localSheetId="17">{#N/A,#N/A,FALSE,"TABLE"}</definedName>
    <definedName name="ho" localSheetId="0">{#N/A,#N/A,FALSE,"TABLE"}</definedName>
    <definedName name="ho" localSheetId="19">{#N/A,#N/A,FALSE,"TABLE"}</definedName>
    <definedName name="ho" localSheetId="16">{#N/A,#N/A,FALSE,"TABLE"}</definedName>
    <definedName name="ho" localSheetId="18">{#N/A,#N/A,FALSE,"TABLE"}</definedName>
    <definedName name="ho" localSheetId="10">{#N/A,#N/A,FALSE,"TABLE"}</definedName>
    <definedName name="ho">{#N/A,#N/A,FALSE,"TABLE"}</definedName>
    <definedName name="HOJE" localSheetId="3">#REF!</definedName>
    <definedName name="HOJE" localSheetId="5">#REF!</definedName>
    <definedName name="HOJE" localSheetId="13">#REF!</definedName>
    <definedName name="HOJE" localSheetId="26">#REF!</definedName>
    <definedName name="HOJE">#REF!</definedName>
    <definedName name="HONORARIOS" localSheetId="3">#REF!</definedName>
    <definedName name="HONORARIOS" localSheetId="5">#REF!</definedName>
    <definedName name="HONORARIOS" localSheetId="13">#REF!</definedName>
    <definedName name="HONORARIOS" localSheetId="26">#REF!</definedName>
    <definedName name="HONORARIOS">#REF!</definedName>
    <definedName name="HOSPEDES" localSheetId="3">#REF!</definedName>
    <definedName name="HOSPEDES" localSheetId="5">#REF!</definedName>
    <definedName name="HOSPEDES" localSheetId="13">#REF!</definedName>
    <definedName name="HOSPEDES" localSheetId="26">#REF!</definedName>
    <definedName name="HOSPEDES">#REF!</definedName>
    <definedName name="HOTEL" localSheetId="3">#REF!</definedName>
    <definedName name="HOTEL" localSheetId="5">#REF!</definedName>
    <definedName name="HOTEL" localSheetId="13">#REF!</definedName>
    <definedName name="HOTEL" localSheetId="26">#REF!</definedName>
    <definedName name="HOTEL">#REF!</definedName>
    <definedName name="hrterte" localSheetId="9">{#N/A,#N/A,FALSE,"Plan1";#N/A,#N/A,FALSE,"Plan2"}</definedName>
    <definedName name="hrterte" localSheetId="6">{#N/A,#N/A,FALSE,"Plan1";#N/A,#N/A,FALSE,"Plan2"}</definedName>
    <definedName name="hrterte" localSheetId="3">{#N/A,#N/A,FALSE,"Plan1";#N/A,#N/A,FALSE,"Plan2"}</definedName>
    <definedName name="hrterte" localSheetId="8">{#N/A,#N/A,FALSE,"Plan1";#N/A,#N/A,FALSE,"Plan2"}</definedName>
    <definedName name="hrterte" localSheetId="5">{#N/A,#N/A,FALSE,"Plan1";#N/A,#N/A,FALSE,"Plan2"}</definedName>
    <definedName name="hrterte" localSheetId="4">{#N/A,#N/A,FALSE,"Plan1";#N/A,#N/A,FALSE,"Plan2"}</definedName>
    <definedName name="hrterte" localSheetId="13">{#N/A,#N/A,FALSE,"Plan1";#N/A,#N/A,FALSE,"Plan2"}</definedName>
    <definedName name="hrterte" localSheetId="17">{#N/A,#N/A,FALSE,"Plan1";#N/A,#N/A,FALSE,"Plan2"}</definedName>
    <definedName name="hrterte" localSheetId="0">{#N/A,#N/A,FALSE,"Plan1";#N/A,#N/A,FALSE,"Plan2"}</definedName>
    <definedName name="hrterte" localSheetId="19">{#N/A,#N/A,FALSE,"Plan1";#N/A,#N/A,FALSE,"Plan2"}</definedName>
    <definedName name="hrterte" localSheetId="16">{#N/A,#N/A,FALSE,"Plan1";#N/A,#N/A,FALSE,"Plan2"}</definedName>
    <definedName name="hrterte" localSheetId="18">{#N/A,#N/A,FALSE,"Plan1";#N/A,#N/A,FALSE,"Plan2"}</definedName>
    <definedName name="hrterte" localSheetId="10">{#N/A,#N/A,FALSE,"Plan1";#N/A,#N/A,FALSE,"Plan2"}</definedName>
    <definedName name="hrterte">{#N/A,#N/A,FALSE,"Plan1";#N/A,#N/A,FALSE,"Plan2"}</definedName>
    <definedName name="hsdf" localSheetId="9">{#N/A,#N/A,FALSE,"Plan1";#N/A,#N/A,FALSE,"Plan2"}</definedName>
    <definedName name="hsdf" localSheetId="6">{#N/A,#N/A,FALSE,"Plan1";#N/A,#N/A,FALSE,"Plan2"}</definedName>
    <definedName name="hsdf" localSheetId="3">{#N/A,#N/A,FALSE,"Plan1";#N/A,#N/A,FALSE,"Plan2"}</definedName>
    <definedName name="hsdf" localSheetId="8">{#N/A,#N/A,FALSE,"Plan1";#N/A,#N/A,FALSE,"Plan2"}</definedName>
    <definedName name="hsdf" localSheetId="5">{#N/A,#N/A,FALSE,"Plan1";#N/A,#N/A,FALSE,"Plan2"}</definedName>
    <definedName name="hsdf" localSheetId="4">{#N/A,#N/A,FALSE,"Plan1";#N/A,#N/A,FALSE,"Plan2"}</definedName>
    <definedName name="hsdf" localSheetId="13">{#N/A,#N/A,FALSE,"Plan1";#N/A,#N/A,FALSE,"Plan2"}</definedName>
    <definedName name="hsdf" localSheetId="17">{#N/A,#N/A,FALSE,"Plan1";#N/A,#N/A,FALSE,"Plan2"}</definedName>
    <definedName name="hsdf" localSheetId="0">{#N/A,#N/A,FALSE,"Plan1";#N/A,#N/A,FALSE,"Plan2"}</definedName>
    <definedName name="hsdf" localSheetId="19">{#N/A,#N/A,FALSE,"Plan1";#N/A,#N/A,FALSE,"Plan2"}</definedName>
    <definedName name="hsdf" localSheetId="16">{#N/A,#N/A,FALSE,"Plan1";#N/A,#N/A,FALSE,"Plan2"}</definedName>
    <definedName name="hsdf" localSheetId="18">{#N/A,#N/A,FALSE,"Plan1";#N/A,#N/A,FALSE,"Plan2"}</definedName>
    <definedName name="hsdf" localSheetId="10">{#N/A,#N/A,FALSE,"Plan1";#N/A,#N/A,FALSE,"Plan2"}</definedName>
    <definedName name="hsdf">{#N/A,#N/A,FALSE,"Plan1";#N/A,#N/A,FALSE,"Plan2"}</definedName>
    <definedName name="hsdfgdgudrt" localSheetId="9">{#N/A,#N/A,FALSE,"Plan1";#N/A,#N/A,FALSE,"Plan2"}</definedName>
    <definedName name="hsdfgdgudrt" localSheetId="6">{#N/A,#N/A,FALSE,"Plan1";#N/A,#N/A,FALSE,"Plan2"}</definedName>
    <definedName name="hsdfgdgudrt" localSheetId="3">{#N/A,#N/A,FALSE,"Plan1";#N/A,#N/A,FALSE,"Plan2"}</definedName>
    <definedName name="hsdfgdgudrt" localSheetId="8">{#N/A,#N/A,FALSE,"Plan1";#N/A,#N/A,FALSE,"Plan2"}</definedName>
    <definedName name="hsdfgdgudrt" localSheetId="5">{#N/A,#N/A,FALSE,"Plan1";#N/A,#N/A,FALSE,"Plan2"}</definedName>
    <definedName name="hsdfgdgudrt" localSheetId="4">{#N/A,#N/A,FALSE,"Plan1";#N/A,#N/A,FALSE,"Plan2"}</definedName>
    <definedName name="hsdfgdgudrt" localSheetId="13">{#N/A,#N/A,FALSE,"Plan1";#N/A,#N/A,FALSE,"Plan2"}</definedName>
    <definedName name="hsdfgdgudrt" localSheetId="17">{#N/A,#N/A,FALSE,"Plan1";#N/A,#N/A,FALSE,"Plan2"}</definedName>
    <definedName name="hsdfgdgudrt" localSheetId="0">{#N/A,#N/A,FALSE,"Plan1";#N/A,#N/A,FALSE,"Plan2"}</definedName>
    <definedName name="hsdfgdgudrt" localSheetId="19">{#N/A,#N/A,FALSE,"Plan1";#N/A,#N/A,FALSE,"Plan2"}</definedName>
    <definedName name="hsdfgdgudrt" localSheetId="16">{#N/A,#N/A,FALSE,"Plan1";#N/A,#N/A,FALSE,"Plan2"}</definedName>
    <definedName name="hsdfgdgudrt" localSheetId="18">{#N/A,#N/A,FALSE,"Plan1";#N/A,#N/A,FALSE,"Plan2"}</definedName>
    <definedName name="hsdfgdgudrt" localSheetId="10">{#N/A,#N/A,FALSE,"Plan1";#N/A,#N/A,FALSE,"Plan2"}</definedName>
    <definedName name="hsdfgdgudrt">{#N/A,#N/A,FALSE,"Plan1";#N/A,#N/A,FALSE,"Plan2"}</definedName>
    <definedName name="hsdfjkdhur" localSheetId="9">{#N/A,#N/A,FALSE,"Plan1";#N/A,#N/A,FALSE,"Plan2"}</definedName>
    <definedName name="hsdfjkdhur" localSheetId="6">{#N/A,#N/A,FALSE,"Plan1";#N/A,#N/A,FALSE,"Plan2"}</definedName>
    <definedName name="hsdfjkdhur" localSheetId="3">{#N/A,#N/A,FALSE,"Plan1";#N/A,#N/A,FALSE,"Plan2"}</definedName>
    <definedName name="hsdfjkdhur" localSheetId="8">{#N/A,#N/A,FALSE,"Plan1";#N/A,#N/A,FALSE,"Plan2"}</definedName>
    <definedName name="hsdfjkdhur" localSheetId="5">{#N/A,#N/A,FALSE,"Plan1";#N/A,#N/A,FALSE,"Plan2"}</definedName>
    <definedName name="hsdfjkdhur" localSheetId="4">{#N/A,#N/A,FALSE,"Plan1";#N/A,#N/A,FALSE,"Plan2"}</definedName>
    <definedName name="hsdfjkdhur" localSheetId="13">{#N/A,#N/A,FALSE,"Plan1";#N/A,#N/A,FALSE,"Plan2"}</definedName>
    <definedName name="hsdfjkdhur" localSheetId="17">{#N/A,#N/A,FALSE,"Plan1";#N/A,#N/A,FALSE,"Plan2"}</definedName>
    <definedName name="hsdfjkdhur" localSheetId="0">{#N/A,#N/A,FALSE,"Plan1";#N/A,#N/A,FALSE,"Plan2"}</definedName>
    <definedName name="hsdfjkdhur" localSheetId="19">{#N/A,#N/A,FALSE,"Plan1";#N/A,#N/A,FALSE,"Plan2"}</definedName>
    <definedName name="hsdfjkdhur" localSheetId="16">{#N/A,#N/A,FALSE,"Plan1";#N/A,#N/A,FALSE,"Plan2"}</definedName>
    <definedName name="hsdfjkdhur" localSheetId="18">{#N/A,#N/A,FALSE,"Plan1";#N/A,#N/A,FALSE,"Plan2"}</definedName>
    <definedName name="hsdfjkdhur" localSheetId="10">{#N/A,#N/A,FALSE,"Plan1";#N/A,#N/A,FALSE,"Plan2"}</definedName>
    <definedName name="hsdfjkdhur">{#N/A,#N/A,FALSE,"Plan1";#N/A,#N/A,FALSE,"Plan2"}</definedName>
    <definedName name="hsdgftdh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9">{#N/A,#N/A,FALSE,"Plan1";#N/A,#N/A,FALSE,"Plan2"}</definedName>
    <definedName name="hsdjffd" localSheetId="6">{#N/A,#N/A,FALSE,"Plan1";#N/A,#N/A,FALSE,"Plan2"}</definedName>
    <definedName name="hsdjffd" localSheetId="3">{#N/A,#N/A,FALSE,"Plan1";#N/A,#N/A,FALSE,"Plan2"}</definedName>
    <definedName name="hsdjffd" localSheetId="8">{#N/A,#N/A,FALSE,"Plan1";#N/A,#N/A,FALSE,"Plan2"}</definedName>
    <definedName name="hsdjffd" localSheetId="5">{#N/A,#N/A,FALSE,"Plan1";#N/A,#N/A,FALSE,"Plan2"}</definedName>
    <definedName name="hsdjffd" localSheetId="4">{#N/A,#N/A,FALSE,"Plan1";#N/A,#N/A,FALSE,"Plan2"}</definedName>
    <definedName name="hsdjffd" localSheetId="13">{#N/A,#N/A,FALSE,"Plan1";#N/A,#N/A,FALSE,"Plan2"}</definedName>
    <definedName name="hsdjffd" localSheetId="17">{#N/A,#N/A,FALSE,"Plan1";#N/A,#N/A,FALSE,"Plan2"}</definedName>
    <definedName name="hsdjffd" localSheetId="0">{#N/A,#N/A,FALSE,"Plan1";#N/A,#N/A,FALSE,"Plan2"}</definedName>
    <definedName name="hsdjffd" localSheetId="19">{#N/A,#N/A,FALSE,"Plan1";#N/A,#N/A,FALSE,"Plan2"}</definedName>
    <definedName name="hsdjffd" localSheetId="16">{#N/A,#N/A,FALSE,"Plan1";#N/A,#N/A,FALSE,"Plan2"}</definedName>
    <definedName name="hsdjffd" localSheetId="18">{#N/A,#N/A,FALSE,"Plan1";#N/A,#N/A,FALSE,"Plan2"}</definedName>
    <definedName name="hsdjffd" localSheetId="10">{#N/A,#N/A,FALSE,"Plan1";#N/A,#N/A,FALSE,"Plan2"}</definedName>
    <definedName name="hsdjffd">{#N/A,#N/A,FALSE,"Plan1";#N/A,#N/A,FALSE,"Plan2"}</definedName>
    <definedName name="hsdjffe" localSheetId="9">{#N/A,#N/A,FALSE,"Plan1";#N/A,#N/A,FALSE,"Plan2"}</definedName>
    <definedName name="hsdjffe" localSheetId="6">{#N/A,#N/A,FALSE,"Plan1";#N/A,#N/A,FALSE,"Plan2"}</definedName>
    <definedName name="hsdjffe" localSheetId="3">{#N/A,#N/A,FALSE,"Plan1";#N/A,#N/A,FALSE,"Plan2"}</definedName>
    <definedName name="hsdjffe" localSheetId="8">{#N/A,#N/A,FALSE,"Plan1";#N/A,#N/A,FALSE,"Plan2"}</definedName>
    <definedName name="hsdjffe" localSheetId="5">{#N/A,#N/A,FALSE,"Plan1";#N/A,#N/A,FALSE,"Plan2"}</definedName>
    <definedName name="hsdjffe" localSheetId="4">{#N/A,#N/A,FALSE,"Plan1";#N/A,#N/A,FALSE,"Plan2"}</definedName>
    <definedName name="hsdjffe" localSheetId="13">{#N/A,#N/A,FALSE,"Plan1";#N/A,#N/A,FALSE,"Plan2"}</definedName>
    <definedName name="hsdjffe" localSheetId="17">{#N/A,#N/A,FALSE,"Plan1";#N/A,#N/A,FALSE,"Plan2"}</definedName>
    <definedName name="hsdjffe" localSheetId="0">{#N/A,#N/A,FALSE,"Plan1";#N/A,#N/A,FALSE,"Plan2"}</definedName>
    <definedName name="hsdjffe" localSheetId="19">{#N/A,#N/A,FALSE,"Plan1";#N/A,#N/A,FALSE,"Plan2"}</definedName>
    <definedName name="hsdjffe" localSheetId="16">{#N/A,#N/A,FALSE,"Plan1";#N/A,#N/A,FALSE,"Plan2"}</definedName>
    <definedName name="hsdjffe" localSheetId="18">{#N/A,#N/A,FALSE,"Plan1";#N/A,#N/A,FALSE,"Plan2"}</definedName>
    <definedName name="hsdjffe" localSheetId="10">{#N/A,#N/A,FALSE,"Plan1";#N/A,#N/A,FALSE,"Plan2"}</definedName>
    <definedName name="hsdjffe">{#N/A,#N/A,FALSE,"Plan1";#N/A,#N/A,FALSE,"Plan2"}</definedName>
    <definedName name="HSFIHDTR" localSheetId="9">{"Econ Consolidado",#N/A,FALSE,"Econ Consol";"Fluxo de Caixa",#N/A,FALSE,"Fluxo Caixa";"Investimentos",#N/A,FALSE,"Investimentos"}</definedName>
    <definedName name="HSFIHDTR" localSheetId="6">{"Econ Consolidado",#N/A,FALSE,"Econ Consol";"Fluxo de Caixa",#N/A,FALSE,"Fluxo Caixa";"Investimentos",#N/A,FALSE,"Investimentos"}</definedName>
    <definedName name="HSFIHDTR" localSheetId="3">{"Econ Consolidado",#N/A,FALSE,"Econ Consol";"Fluxo de Caixa",#N/A,FALSE,"Fluxo Caixa";"Investimentos",#N/A,FALSE,"Investimentos"}</definedName>
    <definedName name="HSFIHDTR" localSheetId="8">{"Econ Consolidado",#N/A,FALSE,"Econ Consol";"Fluxo de Caixa",#N/A,FALSE,"Fluxo Caixa";"Investimentos",#N/A,FALSE,"Investimentos"}</definedName>
    <definedName name="HSFIHDTR" localSheetId="5">{"Econ Consolidado",#N/A,FALSE,"Econ Consol";"Fluxo de Caixa",#N/A,FALSE,"Fluxo Caixa";"Investimentos",#N/A,FALSE,"Investimentos"}</definedName>
    <definedName name="HSFIHDTR" localSheetId="4">{"Econ Consolidado",#N/A,FALSE,"Econ Consol";"Fluxo de Caixa",#N/A,FALSE,"Fluxo Caixa";"Investimentos",#N/A,FALSE,"Investimentos"}</definedName>
    <definedName name="HSFIHDTR" localSheetId="13">{"Econ Consolidado",#N/A,FALSE,"Econ Consol";"Fluxo de Caixa",#N/A,FALSE,"Fluxo Caixa";"Investimentos",#N/A,FALSE,"Investimentos"}</definedName>
    <definedName name="HSFIHDTR" localSheetId="17">{"Econ Consolidado",#N/A,FALSE,"Econ Consol";"Fluxo de Caixa",#N/A,FALSE,"Fluxo Caixa";"Investimentos",#N/A,FALSE,"Investimentos"}</definedName>
    <definedName name="HSFIHDTR" localSheetId="0">{"Econ Consolidado",#N/A,FALSE,"Econ Consol";"Fluxo de Caixa",#N/A,FALSE,"Fluxo Caixa";"Investimentos",#N/A,FALSE,"Investimentos"}</definedName>
    <definedName name="HSFIHDTR" localSheetId="19">{"Econ Consolidado",#N/A,FALSE,"Econ Consol";"Fluxo de Caixa",#N/A,FALSE,"Fluxo Caixa";"Investimentos",#N/A,FALSE,"Investimentos"}</definedName>
    <definedName name="HSFIHDTR" localSheetId="16">{"Econ Consolidado",#N/A,FALSE,"Econ Consol";"Fluxo de Caixa",#N/A,FALSE,"Fluxo Caixa";"Investimentos",#N/A,FALSE,"Investimentos"}</definedName>
    <definedName name="HSFIHDTR" localSheetId="18">{"Econ Consolidado",#N/A,FALSE,"Econ Consol";"Fluxo de Caixa",#N/A,FALSE,"Fluxo Caixa";"Investimentos",#N/A,FALSE,"Investimentos"}</definedName>
    <definedName name="HSFIHDTR" localSheetId="10">{"Econ Consolidado",#N/A,FALSE,"Econ Consol";"Fluxo de Caixa",#N/A,FALSE,"Fluxo Caixa";"Investimentos",#N/A,FALSE,"Investimentos"}</definedName>
    <definedName name="HSFIHDTR">{"Econ Consolidado",#N/A,FALSE,"Econ Consol";"Fluxo de Caixa",#N/A,FALSE,"Fluxo Caixa";"Investimentos",#N/A,FALSE,"Investimentos"}</definedName>
    <definedName name="hsfjkdshrgf" localSheetId="9">{#N/A,#N/A,FALSE,"Plan1";#N/A,#N/A,FALSE,"Plan2"}</definedName>
    <definedName name="hsfjkdshrgf" localSheetId="6">{#N/A,#N/A,FALSE,"Plan1";#N/A,#N/A,FALSE,"Plan2"}</definedName>
    <definedName name="hsfjkdshrgf" localSheetId="3">{#N/A,#N/A,FALSE,"Plan1";#N/A,#N/A,FALSE,"Plan2"}</definedName>
    <definedName name="hsfjkdshrgf" localSheetId="8">{#N/A,#N/A,FALSE,"Plan1";#N/A,#N/A,FALSE,"Plan2"}</definedName>
    <definedName name="hsfjkdshrgf" localSheetId="5">{#N/A,#N/A,FALSE,"Plan1";#N/A,#N/A,FALSE,"Plan2"}</definedName>
    <definedName name="hsfjkdshrgf" localSheetId="4">{#N/A,#N/A,FALSE,"Plan1";#N/A,#N/A,FALSE,"Plan2"}</definedName>
    <definedName name="hsfjkdshrgf" localSheetId="13">{#N/A,#N/A,FALSE,"Plan1";#N/A,#N/A,FALSE,"Plan2"}</definedName>
    <definedName name="hsfjkdshrgf" localSheetId="17">{#N/A,#N/A,FALSE,"Plan1";#N/A,#N/A,FALSE,"Plan2"}</definedName>
    <definedName name="hsfjkdshrgf" localSheetId="0">{#N/A,#N/A,FALSE,"Plan1";#N/A,#N/A,FALSE,"Plan2"}</definedName>
    <definedName name="hsfjkdshrgf" localSheetId="19">{#N/A,#N/A,FALSE,"Plan1";#N/A,#N/A,FALSE,"Plan2"}</definedName>
    <definedName name="hsfjkdshrgf" localSheetId="16">{#N/A,#N/A,FALSE,"Plan1";#N/A,#N/A,FALSE,"Plan2"}</definedName>
    <definedName name="hsfjkdshrgf" localSheetId="18">{#N/A,#N/A,FALSE,"Plan1";#N/A,#N/A,FALSE,"Plan2"}</definedName>
    <definedName name="hsfjkdshrgf" localSheetId="10">{#N/A,#N/A,FALSE,"Plan1";#N/A,#N/A,FALSE,"Plan2"}</definedName>
    <definedName name="hsfjkdshrgf">{#N/A,#N/A,FALSE,"Plan1";#N/A,#N/A,FALSE,"Plan2"}</definedName>
    <definedName name="hthhrtetdre" localSheetId="9">{#N/A,#N/A,FALSE,"Plan1";#N/A,#N/A,FALSE,"Plan2"}</definedName>
    <definedName name="hthhrtetdre" localSheetId="6">{#N/A,#N/A,FALSE,"Plan1";#N/A,#N/A,FALSE,"Plan2"}</definedName>
    <definedName name="hthhrtetdre" localSheetId="3">{#N/A,#N/A,FALSE,"Plan1";#N/A,#N/A,FALSE,"Plan2"}</definedName>
    <definedName name="hthhrtetdre" localSheetId="8">{#N/A,#N/A,FALSE,"Plan1";#N/A,#N/A,FALSE,"Plan2"}</definedName>
    <definedName name="hthhrtetdre" localSheetId="5">{#N/A,#N/A,FALSE,"Plan1";#N/A,#N/A,FALSE,"Plan2"}</definedName>
    <definedName name="hthhrtetdre" localSheetId="4">{#N/A,#N/A,FALSE,"Plan1";#N/A,#N/A,FALSE,"Plan2"}</definedName>
    <definedName name="hthhrtetdre" localSheetId="13">{#N/A,#N/A,FALSE,"Plan1";#N/A,#N/A,FALSE,"Plan2"}</definedName>
    <definedName name="hthhrtetdre" localSheetId="17">{#N/A,#N/A,FALSE,"Plan1";#N/A,#N/A,FALSE,"Plan2"}</definedName>
    <definedName name="hthhrtetdre" localSheetId="0">{#N/A,#N/A,FALSE,"Plan1";#N/A,#N/A,FALSE,"Plan2"}</definedName>
    <definedName name="hthhrtetdre" localSheetId="19">{#N/A,#N/A,FALSE,"Plan1";#N/A,#N/A,FALSE,"Plan2"}</definedName>
    <definedName name="hthhrtetdre" localSheetId="16">{#N/A,#N/A,FALSE,"Plan1";#N/A,#N/A,FALSE,"Plan2"}</definedName>
    <definedName name="hthhrtetdre" localSheetId="18">{#N/A,#N/A,FALSE,"Plan1";#N/A,#N/A,FALSE,"Plan2"}</definedName>
    <definedName name="hthhrtetdre" localSheetId="10">{#N/A,#N/A,FALSE,"Plan1";#N/A,#N/A,FALSE,"Plan2"}</definedName>
    <definedName name="hthhrtetdre">{#N/A,#N/A,FALSE,"Plan1";#N/A,#N/A,FALSE,"Plan2"}</definedName>
    <definedName name="HTM" localSheetId="3">#REF!</definedName>
    <definedName name="HTM" localSheetId="5">#REF!</definedName>
    <definedName name="HTM" localSheetId="13">#REF!</definedName>
    <definedName name="HTM" localSheetId="26">#REF!</definedName>
    <definedName name="HTM">#REF!</definedName>
    <definedName name="HTML_CodePage">949</definedName>
    <definedName name="HTML_Control" localSheetId="9">{"'장비'!$A$3:$M$12"}</definedName>
    <definedName name="HTML_Control" localSheetId="6">{"'장비'!$A$3:$M$12"}</definedName>
    <definedName name="HTML_Control" localSheetId="3">{"'장비'!$A$3:$M$12"}</definedName>
    <definedName name="HTML_Control" localSheetId="8">{"'장비'!$A$3:$M$12"}</definedName>
    <definedName name="HTML_Control" localSheetId="5">{"'장비'!$A$3:$M$12"}</definedName>
    <definedName name="HTML_Control" localSheetId="4">{"'장비'!$A$3:$M$12"}</definedName>
    <definedName name="HTML_Control" localSheetId="13">{"'장비'!$A$3:$M$12"}</definedName>
    <definedName name="HTML_Control" localSheetId="17">{"'장비'!$A$3:$M$12"}</definedName>
    <definedName name="HTML_Control" localSheetId="0">{"'장비'!$A$3:$M$12"}</definedName>
    <definedName name="HTML_Control" localSheetId="19">{"'장비'!$A$3:$M$12"}</definedName>
    <definedName name="HTML_Control" localSheetId="16">{"'장비'!$A$3:$M$12"}</definedName>
    <definedName name="HTML_Control" localSheetId="18">{"'장비'!$A$3:$M$12"}</definedName>
    <definedName name="HTML_Control" localSheetId="10">{"'장비'!$A$3:$M$12"}</definedName>
    <definedName name="HTML_Control">{"'장비'!$A$3:$M$12"}</definedName>
    <definedName name="HTML_Description">""</definedName>
    <definedName name="HTML_Email">""</definedName>
    <definedName name="HTML_Header">"장비"</definedName>
    <definedName name="HTML_LastUpdate">"97-08-05"</definedName>
    <definedName name="HTML_LineAfter">FALSE</definedName>
    <definedName name="HTML_LineBefore">FALSE</definedName>
    <definedName name="HTML_Name">"이진화"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"가산동미라보"</definedName>
    <definedName name="HTML2_CONTROL" localSheetId="9">{"'Estimativa de Lançamento-JAN'!$A$1:$AI$85"}</definedName>
    <definedName name="HTML2_CONTROL" localSheetId="6">{"'Estimativa de Lançamento-JAN'!$A$1:$AI$85"}</definedName>
    <definedName name="HTML2_CONTROL" localSheetId="3">{"'Estimativa de Lançamento-JAN'!$A$1:$AI$85"}</definedName>
    <definedName name="HTML2_CONTROL" localSheetId="8">{"'Estimativa de Lançamento-JAN'!$A$1:$AI$85"}</definedName>
    <definedName name="HTML2_CONTROL" localSheetId="5">{"'Estimativa de Lançamento-JAN'!$A$1:$AI$85"}</definedName>
    <definedName name="HTML2_CONTROL" localSheetId="4">{"'Estimativa de Lançamento-JAN'!$A$1:$AI$85"}</definedName>
    <definedName name="HTML2_CONTROL" localSheetId="13">{"'Estimativa de Lançamento-JAN'!$A$1:$AI$85"}</definedName>
    <definedName name="HTML2_CONTROL" localSheetId="17">{"'Estimativa de Lançamento-JAN'!$A$1:$AI$85"}</definedName>
    <definedName name="HTML2_CONTROL" localSheetId="0">{"'Estimativa de Lançamento-JAN'!$A$1:$AI$85"}</definedName>
    <definedName name="HTML2_CONTROL" localSheetId="19">{"'Estimativa de Lançamento-JAN'!$A$1:$AI$85"}</definedName>
    <definedName name="HTML2_CONTROL" localSheetId="16">{"'Estimativa de Lançamento-JAN'!$A$1:$AI$85"}</definedName>
    <definedName name="HTML2_CONTROL" localSheetId="18">{"'Estimativa de Lançamento-JAN'!$A$1:$AI$85"}</definedName>
    <definedName name="HTML2_CONTROL" localSheetId="10">{"'Estimativa de Lançamento-JAN'!$A$1:$AI$85"}</definedName>
    <definedName name="HTML2_CONTROL">{"'Estimativa de Lançamento-JAN'!$A$1:$AI$85"}</definedName>
    <definedName name="HTML3_CONTROL" localSheetId="9">{"'Estimativa de Lançamento-JAN'!$A$1:$AI$85"}</definedName>
    <definedName name="HTML3_CONTROL" localSheetId="6">{"'Estimativa de Lançamento-JAN'!$A$1:$AI$85"}</definedName>
    <definedName name="HTML3_CONTROL" localSheetId="3">{"'Estimativa de Lançamento-JAN'!$A$1:$AI$85"}</definedName>
    <definedName name="HTML3_CONTROL" localSheetId="8">{"'Estimativa de Lançamento-JAN'!$A$1:$AI$85"}</definedName>
    <definedName name="HTML3_CONTROL" localSheetId="5">{"'Estimativa de Lançamento-JAN'!$A$1:$AI$85"}</definedName>
    <definedName name="HTML3_CONTROL" localSheetId="4">{"'Estimativa de Lançamento-JAN'!$A$1:$AI$85"}</definedName>
    <definedName name="HTML3_CONTROL" localSheetId="13">{"'Estimativa de Lançamento-JAN'!$A$1:$AI$85"}</definedName>
    <definedName name="HTML3_CONTROL" localSheetId="17">{"'Estimativa de Lançamento-JAN'!$A$1:$AI$85"}</definedName>
    <definedName name="HTML3_CONTROL" localSheetId="0">{"'Estimativa de Lançamento-JAN'!$A$1:$AI$85"}</definedName>
    <definedName name="HTML3_CONTROL" localSheetId="19">{"'Estimativa de Lançamento-JAN'!$A$1:$AI$85"}</definedName>
    <definedName name="HTML3_CONTROL" localSheetId="16">{"'Estimativa de Lançamento-JAN'!$A$1:$AI$85"}</definedName>
    <definedName name="HTML3_CONTROL" localSheetId="18">{"'Estimativa de Lançamento-JAN'!$A$1:$AI$85"}</definedName>
    <definedName name="HTML3_CONTROL" localSheetId="10">{"'Estimativa de Lançamento-JAN'!$A$1:$AI$85"}</definedName>
    <definedName name="HTML3_CONTROL">{"'Estimativa de Lançamento-JAN'!$A$1:$AI$85"}</definedName>
    <definedName name="HTMLControl" localSheetId="9">{"'Edit'!$A$1:$V$2277"}</definedName>
    <definedName name="HTMLControl" localSheetId="6">{"'Edit'!$A$1:$V$2277"}</definedName>
    <definedName name="HTMLControl" localSheetId="3">{"'Edit'!$A$1:$V$2277"}</definedName>
    <definedName name="HTMLControl" localSheetId="8">{"'Edit'!$A$1:$V$2277"}</definedName>
    <definedName name="HTMLControl" localSheetId="5">{"'Edit'!$A$1:$V$2277"}</definedName>
    <definedName name="HTMLControl" localSheetId="4">{"'Edit'!$A$1:$V$2277"}</definedName>
    <definedName name="HTMLControl" localSheetId="13">{"'Edit'!$A$1:$V$2277"}</definedName>
    <definedName name="HTMLControl" localSheetId="17">{"'Edit'!$A$1:$V$2277"}</definedName>
    <definedName name="HTMLControl" localSheetId="0">{"'Edit'!$A$1:$V$2277"}</definedName>
    <definedName name="HTMLControl" localSheetId="19">{"'Edit'!$A$1:$V$2277"}</definedName>
    <definedName name="HTMLControl" localSheetId="16">{"'Edit'!$A$1:$V$2277"}</definedName>
    <definedName name="HTMLControl" localSheetId="18">{"'Edit'!$A$1:$V$2277"}</definedName>
    <definedName name="HTMLControl" localSheetId="10">{"'Edit'!$A$1:$V$2277"}</definedName>
    <definedName name="HTMLControl">{"'Edit'!$A$1:$V$2277"}</definedName>
    <definedName name="HTN" localSheetId="3">#REF!</definedName>
    <definedName name="HTN" localSheetId="5">#REF!</definedName>
    <definedName name="HTN" localSheetId="13">#REF!</definedName>
    <definedName name="HTN" localSheetId="26">#REF!</definedName>
    <definedName name="HTN">#REF!</definedName>
    <definedName name="HVJKHGKFXHFD" localSheetId="9">{#N/A,#N/A,FALSE,"Plan1";#N/A,#N/A,FALSE,"Plan2"}</definedName>
    <definedName name="HVJKHGKFXHFD" localSheetId="6">{#N/A,#N/A,FALSE,"Plan1";#N/A,#N/A,FALSE,"Plan2"}</definedName>
    <definedName name="HVJKHGKFXHFD" localSheetId="3">{#N/A,#N/A,FALSE,"Plan1";#N/A,#N/A,FALSE,"Plan2"}</definedName>
    <definedName name="HVJKHGKFXHFD" localSheetId="8">{#N/A,#N/A,FALSE,"Plan1";#N/A,#N/A,FALSE,"Plan2"}</definedName>
    <definedName name="HVJKHGKFXHFD" localSheetId="5">{#N/A,#N/A,FALSE,"Plan1";#N/A,#N/A,FALSE,"Plan2"}</definedName>
    <definedName name="HVJKHGKFXHFD" localSheetId="4">{#N/A,#N/A,FALSE,"Plan1";#N/A,#N/A,FALSE,"Plan2"}</definedName>
    <definedName name="HVJKHGKFXHFD" localSheetId="13">{#N/A,#N/A,FALSE,"Plan1";#N/A,#N/A,FALSE,"Plan2"}</definedName>
    <definedName name="HVJKHGKFXHFD" localSheetId="17">{#N/A,#N/A,FALSE,"Plan1";#N/A,#N/A,FALSE,"Plan2"}</definedName>
    <definedName name="HVJKHGKFXHFD" localSheetId="0">{#N/A,#N/A,FALSE,"Plan1";#N/A,#N/A,FALSE,"Plan2"}</definedName>
    <definedName name="HVJKHGKFXHFD" localSheetId="19">{#N/A,#N/A,FALSE,"Plan1";#N/A,#N/A,FALSE,"Plan2"}</definedName>
    <definedName name="HVJKHGKFXHFD" localSheetId="16">{#N/A,#N/A,FALSE,"Plan1";#N/A,#N/A,FALSE,"Plan2"}</definedName>
    <definedName name="HVJKHGKFXHFD" localSheetId="18">{#N/A,#N/A,FALSE,"Plan1";#N/A,#N/A,FALSE,"Plan2"}</definedName>
    <definedName name="HVJKHGKFXHFD" localSheetId="10">{#N/A,#N/A,FALSE,"Plan1";#N/A,#N/A,FALSE,"Plan2"}</definedName>
    <definedName name="HVJKHGKFXHFD">{#N/A,#N/A,FALSE,"Plan1";#N/A,#N/A,FALSE,"Plan2"}</definedName>
    <definedName name="hwekjhekhf" localSheetId="9">{#N/A,#N/A,FALSE,"Plan1";#N/A,#N/A,FALSE,"Plan2"}</definedName>
    <definedName name="hwekjhekhf" localSheetId="6">{#N/A,#N/A,FALSE,"Plan1";#N/A,#N/A,FALSE,"Plan2"}</definedName>
    <definedName name="hwekjhekhf" localSheetId="3">{#N/A,#N/A,FALSE,"Plan1";#N/A,#N/A,FALSE,"Plan2"}</definedName>
    <definedName name="hwekjhekhf" localSheetId="8">{#N/A,#N/A,FALSE,"Plan1";#N/A,#N/A,FALSE,"Plan2"}</definedName>
    <definedName name="hwekjhekhf" localSheetId="5">{#N/A,#N/A,FALSE,"Plan1";#N/A,#N/A,FALSE,"Plan2"}</definedName>
    <definedName name="hwekjhekhf" localSheetId="4">{#N/A,#N/A,FALSE,"Plan1";#N/A,#N/A,FALSE,"Plan2"}</definedName>
    <definedName name="hwekjhekhf" localSheetId="13">{#N/A,#N/A,FALSE,"Plan1";#N/A,#N/A,FALSE,"Plan2"}</definedName>
    <definedName name="hwekjhekhf" localSheetId="17">{#N/A,#N/A,FALSE,"Plan1";#N/A,#N/A,FALSE,"Plan2"}</definedName>
    <definedName name="hwekjhekhf" localSheetId="0">{#N/A,#N/A,FALSE,"Plan1";#N/A,#N/A,FALSE,"Plan2"}</definedName>
    <definedName name="hwekjhekhf" localSheetId="19">{#N/A,#N/A,FALSE,"Plan1";#N/A,#N/A,FALSE,"Plan2"}</definedName>
    <definedName name="hwekjhekhf" localSheetId="16">{#N/A,#N/A,FALSE,"Plan1";#N/A,#N/A,FALSE,"Plan2"}</definedName>
    <definedName name="hwekjhekhf" localSheetId="18">{#N/A,#N/A,FALSE,"Plan1";#N/A,#N/A,FALSE,"Plan2"}</definedName>
    <definedName name="hwekjhekhf" localSheetId="10">{#N/A,#N/A,FALSE,"Plan1";#N/A,#N/A,FALSE,"Plan2"}</definedName>
    <definedName name="hwekjhekhf">{#N/A,#N/A,FALSE,"Plan1";#N/A,#N/A,FALSE,"Plan2"}</definedName>
    <definedName name="HXFRE" localSheetId="9">{#N/A,#N/A,FALSE,"Plan1";#N/A,#N/A,FALSE,"Plan2"}</definedName>
    <definedName name="HXFRE" localSheetId="6">{#N/A,#N/A,FALSE,"Plan1";#N/A,#N/A,FALSE,"Plan2"}</definedName>
    <definedName name="HXFRE" localSheetId="3">{#N/A,#N/A,FALSE,"Plan1";#N/A,#N/A,FALSE,"Plan2"}</definedName>
    <definedName name="HXFRE" localSheetId="8">{#N/A,#N/A,FALSE,"Plan1";#N/A,#N/A,FALSE,"Plan2"}</definedName>
    <definedName name="HXFRE" localSheetId="5">{#N/A,#N/A,FALSE,"Plan1";#N/A,#N/A,FALSE,"Plan2"}</definedName>
    <definedName name="HXFRE" localSheetId="4">{#N/A,#N/A,FALSE,"Plan1";#N/A,#N/A,FALSE,"Plan2"}</definedName>
    <definedName name="HXFRE" localSheetId="13">{#N/A,#N/A,FALSE,"Plan1";#N/A,#N/A,FALSE,"Plan2"}</definedName>
    <definedName name="HXFRE" localSheetId="17">{#N/A,#N/A,FALSE,"Plan1";#N/A,#N/A,FALSE,"Plan2"}</definedName>
    <definedName name="HXFRE" localSheetId="0">{#N/A,#N/A,FALSE,"Plan1";#N/A,#N/A,FALSE,"Plan2"}</definedName>
    <definedName name="HXFRE" localSheetId="19">{#N/A,#N/A,FALSE,"Plan1";#N/A,#N/A,FALSE,"Plan2"}</definedName>
    <definedName name="HXFRE" localSheetId="16">{#N/A,#N/A,FALSE,"Plan1";#N/A,#N/A,FALSE,"Plan2"}</definedName>
    <definedName name="HXFRE" localSheetId="18">{#N/A,#N/A,FALSE,"Plan1";#N/A,#N/A,FALSE,"Plan2"}</definedName>
    <definedName name="HXFRE" localSheetId="10">{#N/A,#N/A,FALSE,"Plan1";#N/A,#N/A,FALSE,"Plan2"}</definedName>
    <definedName name="HXFRE">{#N/A,#N/A,FALSE,"Plan1";#N/A,#N/A,FALSE,"Plan2"}</definedName>
    <definedName name="HXKJFGDKHG" localSheetId="9">{#N/A,#N/A,FALSE,"Plan1";#N/A,#N/A,FALSE,"Plan2"}</definedName>
    <definedName name="HXKJFGDKHG" localSheetId="6">{#N/A,#N/A,FALSE,"Plan1";#N/A,#N/A,FALSE,"Plan2"}</definedName>
    <definedName name="HXKJFGDKHG" localSheetId="3">{#N/A,#N/A,FALSE,"Plan1";#N/A,#N/A,FALSE,"Plan2"}</definedName>
    <definedName name="HXKJFGDKHG" localSheetId="8">{#N/A,#N/A,FALSE,"Plan1";#N/A,#N/A,FALSE,"Plan2"}</definedName>
    <definedName name="HXKJFGDKHG" localSheetId="5">{#N/A,#N/A,FALSE,"Plan1";#N/A,#N/A,FALSE,"Plan2"}</definedName>
    <definedName name="HXKJFGDKHG" localSheetId="4">{#N/A,#N/A,FALSE,"Plan1";#N/A,#N/A,FALSE,"Plan2"}</definedName>
    <definedName name="HXKJFGDKHG" localSheetId="13">{#N/A,#N/A,FALSE,"Plan1";#N/A,#N/A,FALSE,"Plan2"}</definedName>
    <definedName name="HXKJFGDKHG" localSheetId="17">{#N/A,#N/A,FALSE,"Plan1";#N/A,#N/A,FALSE,"Plan2"}</definedName>
    <definedName name="HXKJFGDKHG" localSheetId="0">{#N/A,#N/A,FALSE,"Plan1";#N/A,#N/A,FALSE,"Plan2"}</definedName>
    <definedName name="HXKJFGDKHG" localSheetId="19">{#N/A,#N/A,FALSE,"Plan1";#N/A,#N/A,FALSE,"Plan2"}</definedName>
    <definedName name="HXKJFGDKHG" localSheetId="16">{#N/A,#N/A,FALSE,"Plan1";#N/A,#N/A,FALSE,"Plan2"}</definedName>
    <definedName name="HXKJFGDKHG" localSheetId="18">{#N/A,#N/A,FALSE,"Plan1";#N/A,#N/A,FALSE,"Plan2"}</definedName>
    <definedName name="HXKJFGDKHG" localSheetId="10">{#N/A,#N/A,FALSE,"Plan1";#N/A,#N/A,FALSE,"Plan2"}</definedName>
    <definedName name="HXKJFGDKHG">{#N/A,#N/A,FALSE,"Plan1";#N/A,#N/A,FALSE,"Plan2"}</definedName>
    <definedName name="I" localSheetId="3">#REF!</definedName>
    <definedName name="I" localSheetId="8">#REF!</definedName>
    <definedName name="I" localSheetId="5">#REF!</definedName>
    <definedName name="I" localSheetId="13">#REF!</definedName>
    <definedName name="I" localSheetId="26">#REF!</definedName>
    <definedName name="I">#REF!</definedName>
    <definedName name="ibir_cdi" localSheetId="3">#REF!</definedName>
    <definedName name="ibir_cdi" localSheetId="5">#REF!</definedName>
    <definedName name="ibir_cdi" localSheetId="13">#REF!</definedName>
    <definedName name="ibir_cdi" localSheetId="26">#REF!</definedName>
    <definedName name="ibir_cdi">#REF!</definedName>
    <definedName name="ibir_hist" localSheetId="3">#REF!</definedName>
    <definedName name="ibir_hist" localSheetId="5">#REF!</definedName>
    <definedName name="ibir_hist" localSheetId="13">#REF!</definedName>
    <definedName name="ibir_hist" localSheetId="26">#REF!</definedName>
    <definedName name="ibir_hist">#REF!</definedName>
    <definedName name="ibir_uss" localSheetId="3">#REF!</definedName>
    <definedName name="ibir_uss" localSheetId="5">#REF!</definedName>
    <definedName name="ibir_uss" localSheetId="13">#REF!</definedName>
    <definedName name="ibir_uss" localSheetId="26">#REF!</definedName>
    <definedName name="ibir_uss">#REF!</definedName>
    <definedName name="IC" localSheetId="3">#REF!</definedName>
    <definedName name="IC" localSheetId="13">#REF!</definedName>
    <definedName name="IC" localSheetId="0">#REF!</definedName>
    <definedName name="IC">#REF!</definedName>
    <definedName name="icoa_cdi" localSheetId="3">#REF!</definedName>
    <definedName name="icoa_cdi" localSheetId="5">#REF!</definedName>
    <definedName name="icoa_cdi" localSheetId="13">#REF!</definedName>
    <definedName name="icoa_cdi" localSheetId="26">#REF!</definedName>
    <definedName name="icoa_cdi">#REF!</definedName>
    <definedName name="icoa_hist" localSheetId="3">#REF!</definedName>
    <definedName name="icoa_hist" localSheetId="5">#REF!</definedName>
    <definedName name="icoa_hist" localSheetId="13">#REF!</definedName>
    <definedName name="icoa_hist" localSheetId="26">#REF!</definedName>
    <definedName name="icoa_hist">#REF!</definedName>
    <definedName name="icoa_uss" localSheetId="3">#REF!</definedName>
    <definedName name="icoa_uss" localSheetId="5">#REF!</definedName>
    <definedName name="icoa_uss" localSheetId="13">#REF!</definedName>
    <definedName name="icoa_uss" localSheetId="26">#REF!</definedName>
    <definedName name="icoa_uss">#REF!</definedName>
    <definedName name="Identificação" localSheetId="3">#REF!</definedName>
    <definedName name="Identificação" localSheetId="5">#REF!</definedName>
    <definedName name="Identificação" localSheetId="13">#REF!</definedName>
    <definedName name="Identificação" localSheetId="26">#REF!</definedName>
    <definedName name="Identificação">#REF!</definedName>
    <definedName name="idfhgkjhfkthy" localSheetId="9">{#N/A,#N/A,FALSE,"Plan1";#N/A,#N/A,FALSE,"Plan2"}</definedName>
    <definedName name="idfhgkjhfkthy" localSheetId="6">{#N/A,#N/A,FALSE,"Plan1";#N/A,#N/A,FALSE,"Plan2"}</definedName>
    <definedName name="idfhgkjhfkthy" localSheetId="3">{#N/A,#N/A,FALSE,"Plan1";#N/A,#N/A,FALSE,"Plan2"}</definedName>
    <definedName name="idfhgkjhfkthy" localSheetId="8">{#N/A,#N/A,FALSE,"Plan1";#N/A,#N/A,FALSE,"Plan2"}</definedName>
    <definedName name="idfhgkjhfkthy" localSheetId="5">{#N/A,#N/A,FALSE,"Plan1";#N/A,#N/A,FALSE,"Plan2"}</definedName>
    <definedName name="idfhgkjhfkthy" localSheetId="4">{#N/A,#N/A,FALSE,"Plan1";#N/A,#N/A,FALSE,"Plan2"}</definedName>
    <definedName name="idfhgkjhfkthy" localSheetId="13">{#N/A,#N/A,FALSE,"Plan1";#N/A,#N/A,FALSE,"Plan2"}</definedName>
    <definedName name="idfhgkjhfkthy" localSheetId="17">{#N/A,#N/A,FALSE,"Plan1";#N/A,#N/A,FALSE,"Plan2"}</definedName>
    <definedName name="idfhgkjhfkthy" localSheetId="0">{#N/A,#N/A,FALSE,"Plan1";#N/A,#N/A,FALSE,"Plan2"}</definedName>
    <definedName name="idfhgkjhfkthy" localSheetId="19">{#N/A,#N/A,FALSE,"Plan1";#N/A,#N/A,FALSE,"Plan2"}</definedName>
    <definedName name="idfhgkjhfkthy" localSheetId="16">{#N/A,#N/A,FALSE,"Plan1";#N/A,#N/A,FALSE,"Plan2"}</definedName>
    <definedName name="idfhgkjhfkthy" localSheetId="18">{#N/A,#N/A,FALSE,"Plan1";#N/A,#N/A,FALSE,"Plan2"}</definedName>
    <definedName name="idfhgkjhfkthy" localSheetId="10">{#N/A,#N/A,FALSE,"Plan1";#N/A,#N/A,FALSE,"Plan2"}</definedName>
    <definedName name="idfhgkjhfkthy">{#N/A,#N/A,FALSE,"Plan1";#N/A,#N/A,FALSE,"Plan2"}</definedName>
    <definedName name="ieroweft" localSheetId="9">{#N/A,#N/A,FALSE,"Plan1";#N/A,#N/A,FALSE,"Plan2"}</definedName>
    <definedName name="ieroweft" localSheetId="6">{#N/A,#N/A,FALSE,"Plan1";#N/A,#N/A,FALSE,"Plan2"}</definedName>
    <definedName name="ieroweft" localSheetId="3">{#N/A,#N/A,FALSE,"Plan1";#N/A,#N/A,FALSE,"Plan2"}</definedName>
    <definedName name="ieroweft" localSheetId="8">{#N/A,#N/A,FALSE,"Plan1";#N/A,#N/A,FALSE,"Plan2"}</definedName>
    <definedName name="ieroweft" localSheetId="5">{#N/A,#N/A,FALSE,"Plan1";#N/A,#N/A,FALSE,"Plan2"}</definedName>
    <definedName name="ieroweft" localSheetId="4">{#N/A,#N/A,FALSE,"Plan1";#N/A,#N/A,FALSE,"Plan2"}</definedName>
    <definedName name="ieroweft" localSheetId="13">{#N/A,#N/A,FALSE,"Plan1";#N/A,#N/A,FALSE,"Plan2"}</definedName>
    <definedName name="ieroweft" localSheetId="17">{#N/A,#N/A,FALSE,"Plan1";#N/A,#N/A,FALSE,"Plan2"}</definedName>
    <definedName name="ieroweft" localSheetId="0">{#N/A,#N/A,FALSE,"Plan1";#N/A,#N/A,FALSE,"Plan2"}</definedName>
    <definedName name="ieroweft" localSheetId="19">{#N/A,#N/A,FALSE,"Plan1";#N/A,#N/A,FALSE,"Plan2"}</definedName>
    <definedName name="ieroweft" localSheetId="16">{#N/A,#N/A,FALSE,"Plan1";#N/A,#N/A,FALSE,"Plan2"}</definedName>
    <definedName name="ieroweft" localSheetId="18">{#N/A,#N/A,FALSE,"Plan1";#N/A,#N/A,FALSE,"Plan2"}</definedName>
    <definedName name="ieroweft" localSheetId="10">{#N/A,#N/A,FALSE,"Plan1";#N/A,#N/A,FALSE,"Plan2"}</definedName>
    <definedName name="ieroweft">{#N/A,#N/A,FALSE,"Plan1";#N/A,#N/A,FALSE,"Plan2"}</definedName>
    <definedName name="iewpotqi5poejy" localSheetId="9">{#N/A,#N/A,FALSE,"Plan1";#N/A,#N/A,FALSE,"Plan2"}</definedName>
    <definedName name="iewpotqi5poejy" localSheetId="6">{#N/A,#N/A,FALSE,"Plan1";#N/A,#N/A,FALSE,"Plan2"}</definedName>
    <definedName name="iewpotqi5poejy" localSheetId="3">{#N/A,#N/A,FALSE,"Plan1";#N/A,#N/A,FALSE,"Plan2"}</definedName>
    <definedName name="iewpotqi5poejy" localSheetId="8">{#N/A,#N/A,FALSE,"Plan1";#N/A,#N/A,FALSE,"Plan2"}</definedName>
    <definedName name="iewpotqi5poejy" localSheetId="5">{#N/A,#N/A,FALSE,"Plan1";#N/A,#N/A,FALSE,"Plan2"}</definedName>
    <definedName name="iewpotqi5poejy" localSheetId="4">{#N/A,#N/A,FALSE,"Plan1";#N/A,#N/A,FALSE,"Plan2"}</definedName>
    <definedName name="iewpotqi5poejy" localSheetId="13">{#N/A,#N/A,FALSE,"Plan1";#N/A,#N/A,FALSE,"Plan2"}</definedName>
    <definedName name="iewpotqi5poejy" localSheetId="17">{#N/A,#N/A,FALSE,"Plan1";#N/A,#N/A,FALSE,"Plan2"}</definedName>
    <definedName name="iewpotqi5poejy" localSheetId="0">{#N/A,#N/A,FALSE,"Plan1";#N/A,#N/A,FALSE,"Plan2"}</definedName>
    <definedName name="iewpotqi5poejy" localSheetId="19">{#N/A,#N/A,FALSE,"Plan1";#N/A,#N/A,FALSE,"Plan2"}</definedName>
    <definedName name="iewpotqi5poejy" localSheetId="16">{#N/A,#N/A,FALSE,"Plan1";#N/A,#N/A,FALSE,"Plan2"}</definedName>
    <definedName name="iewpotqi5poejy" localSheetId="18">{#N/A,#N/A,FALSE,"Plan1";#N/A,#N/A,FALSE,"Plan2"}</definedName>
    <definedName name="iewpotqi5poejy" localSheetId="10">{#N/A,#N/A,FALSE,"Plan1";#N/A,#N/A,FALSE,"Plan2"}</definedName>
    <definedName name="iewpotqi5poejy">{#N/A,#N/A,FALSE,"Plan1";#N/A,#N/A,FALSE,"Plan2"}</definedName>
    <definedName name="ihdfifguhgfuiy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3">#REF!</definedName>
    <definedName name="iheidhgufr" localSheetId="5">#REF!</definedName>
    <definedName name="iheidhgufr" localSheetId="13">#REF!</definedName>
    <definedName name="iheidhgufr" localSheetId="26">#REF!</definedName>
    <definedName name="iheidhgufr" localSheetId="0">#REF!</definedName>
    <definedName name="iheidhgufr">#REF!</definedName>
    <definedName name="ihfdkjhktgrd" localSheetId="9">{#N/A,#N/A,FALSE,"Plan1";#N/A,#N/A,FALSE,"Plan2"}</definedName>
    <definedName name="ihfdkjhktgrd" localSheetId="6">{#N/A,#N/A,FALSE,"Plan1";#N/A,#N/A,FALSE,"Plan2"}</definedName>
    <definedName name="ihfdkjhktgrd" localSheetId="3">{#N/A,#N/A,FALSE,"Plan1";#N/A,#N/A,FALSE,"Plan2"}</definedName>
    <definedName name="ihfdkjhktgrd" localSheetId="8">{#N/A,#N/A,FALSE,"Plan1";#N/A,#N/A,FALSE,"Plan2"}</definedName>
    <definedName name="ihfdkjhktgrd" localSheetId="5">{#N/A,#N/A,FALSE,"Plan1";#N/A,#N/A,FALSE,"Plan2"}</definedName>
    <definedName name="ihfdkjhktgrd" localSheetId="4">{#N/A,#N/A,FALSE,"Plan1";#N/A,#N/A,FALSE,"Plan2"}</definedName>
    <definedName name="ihfdkjhktgrd" localSheetId="13">{#N/A,#N/A,FALSE,"Plan1";#N/A,#N/A,FALSE,"Plan2"}</definedName>
    <definedName name="ihfdkjhktgrd" localSheetId="17">{#N/A,#N/A,FALSE,"Plan1";#N/A,#N/A,FALSE,"Plan2"}</definedName>
    <definedName name="ihfdkjhktgrd" localSheetId="0">{#N/A,#N/A,FALSE,"Plan1";#N/A,#N/A,FALSE,"Plan2"}</definedName>
    <definedName name="ihfdkjhktgrd" localSheetId="19">{#N/A,#N/A,FALSE,"Plan1";#N/A,#N/A,FALSE,"Plan2"}</definedName>
    <definedName name="ihfdkjhktgrd" localSheetId="16">{#N/A,#N/A,FALSE,"Plan1";#N/A,#N/A,FALSE,"Plan2"}</definedName>
    <definedName name="ihfdkjhktgrd" localSheetId="18">{#N/A,#N/A,FALSE,"Plan1";#N/A,#N/A,FALSE,"Plan2"}</definedName>
    <definedName name="ihfdkjhktgrd" localSheetId="10">{#N/A,#N/A,FALSE,"Plan1";#N/A,#N/A,FALSE,"Plan2"}</definedName>
    <definedName name="ihfdkjhktgrd">{#N/A,#N/A,FALSE,"Plan1";#N/A,#N/A,FALSE,"Plan2"}</definedName>
    <definedName name="ihrtetw4r" localSheetId="9">{#N/A,#N/A,FALSE,"Plan1";#N/A,#N/A,FALSE,"Plan2"}</definedName>
    <definedName name="ihrtetw4r" localSheetId="6">{#N/A,#N/A,FALSE,"Plan1";#N/A,#N/A,FALSE,"Plan2"}</definedName>
    <definedName name="ihrtetw4r" localSheetId="3">{#N/A,#N/A,FALSE,"Plan1";#N/A,#N/A,FALSE,"Plan2"}</definedName>
    <definedName name="ihrtetw4r" localSheetId="8">{#N/A,#N/A,FALSE,"Plan1";#N/A,#N/A,FALSE,"Plan2"}</definedName>
    <definedName name="ihrtetw4r" localSheetId="5">{#N/A,#N/A,FALSE,"Plan1";#N/A,#N/A,FALSE,"Plan2"}</definedName>
    <definedName name="ihrtetw4r" localSheetId="4">{#N/A,#N/A,FALSE,"Plan1";#N/A,#N/A,FALSE,"Plan2"}</definedName>
    <definedName name="ihrtetw4r" localSheetId="13">{#N/A,#N/A,FALSE,"Plan1";#N/A,#N/A,FALSE,"Plan2"}</definedName>
    <definedName name="ihrtetw4r" localSheetId="17">{#N/A,#N/A,FALSE,"Plan1";#N/A,#N/A,FALSE,"Plan2"}</definedName>
    <definedName name="ihrtetw4r" localSheetId="0">{#N/A,#N/A,FALSE,"Plan1";#N/A,#N/A,FALSE,"Plan2"}</definedName>
    <definedName name="ihrtetw4r" localSheetId="19">{#N/A,#N/A,FALSE,"Plan1";#N/A,#N/A,FALSE,"Plan2"}</definedName>
    <definedName name="ihrtetw4r" localSheetId="16">{#N/A,#N/A,FALSE,"Plan1";#N/A,#N/A,FALSE,"Plan2"}</definedName>
    <definedName name="ihrtetw4r" localSheetId="18">{#N/A,#N/A,FALSE,"Plan1";#N/A,#N/A,FALSE,"Plan2"}</definedName>
    <definedName name="ihrtetw4r" localSheetId="10">{#N/A,#N/A,FALSE,"Plan1";#N/A,#N/A,FALSE,"Plan2"}</definedName>
    <definedName name="ihrtetw4r">{#N/A,#N/A,FALSE,"Plan1";#N/A,#N/A,FALSE,"Plan2"}</definedName>
    <definedName name="II" localSheetId="3">#REF!</definedName>
    <definedName name="II" localSheetId="8">#REF!</definedName>
    <definedName name="II" localSheetId="5">#REF!</definedName>
    <definedName name="II" localSheetId="13">#REF!</definedName>
    <definedName name="II" localSheetId="26">#REF!</definedName>
    <definedName name="II">#REF!</definedName>
    <definedName name="IIASDSAWE" localSheetId="9">{"Econ Consolidado",#N/A,FALSE,"Econ Consol";"Fluxo de Caixa",#N/A,FALSE,"Fluxo Caixa";"Investimentos",#N/A,FALSE,"Investimentos"}</definedName>
    <definedName name="IIASDSAWE" localSheetId="6">{"Econ Consolidado",#N/A,FALSE,"Econ Consol";"Fluxo de Caixa",#N/A,FALSE,"Fluxo Caixa";"Investimentos",#N/A,FALSE,"Investimentos"}</definedName>
    <definedName name="IIASDSAWE" localSheetId="3">{"Econ Consolidado",#N/A,FALSE,"Econ Consol";"Fluxo de Caixa",#N/A,FALSE,"Fluxo Caixa";"Investimentos",#N/A,FALSE,"Investimentos"}</definedName>
    <definedName name="IIASDSAWE" localSheetId="8">{"Econ Consolidado",#N/A,FALSE,"Econ Consol";"Fluxo de Caixa",#N/A,FALSE,"Fluxo Caixa";"Investimentos",#N/A,FALSE,"Investimentos"}</definedName>
    <definedName name="IIASDSAWE" localSheetId="5">{"Econ Consolidado",#N/A,FALSE,"Econ Consol";"Fluxo de Caixa",#N/A,FALSE,"Fluxo Caixa";"Investimentos",#N/A,FALSE,"Investimentos"}</definedName>
    <definedName name="IIASDSAWE" localSheetId="4">{"Econ Consolidado",#N/A,FALSE,"Econ Consol";"Fluxo de Caixa",#N/A,FALSE,"Fluxo Caixa";"Investimentos",#N/A,FALSE,"Investimentos"}</definedName>
    <definedName name="IIASDSAWE" localSheetId="13">{"Econ Consolidado",#N/A,FALSE,"Econ Consol";"Fluxo de Caixa",#N/A,FALSE,"Fluxo Caixa";"Investimentos",#N/A,FALSE,"Investimentos"}</definedName>
    <definedName name="IIASDSAWE" localSheetId="17">{"Econ Consolidado",#N/A,FALSE,"Econ Consol";"Fluxo de Caixa",#N/A,FALSE,"Fluxo Caixa";"Investimentos",#N/A,FALSE,"Investimentos"}</definedName>
    <definedName name="IIASDSAWE" localSheetId="0">{"Econ Consolidado",#N/A,FALSE,"Econ Consol";"Fluxo de Caixa",#N/A,FALSE,"Fluxo Caixa";"Investimentos",#N/A,FALSE,"Investimentos"}</definedName>
    <definedName name="IIASDSAWE" localSheetId="19">{"Econ Consolidado",#N/A,FALSE,"Econ Consol";"Fluxo de Caixa",#N/A,FALSE,"Fluxo Caixa";"Investimentos",#N/A,FALSE,"Investimentos"}</definedName>
    <definedName name="IIASDSAWE" localSheetId="16">{"Econ Consolidado",#N/A,FALSE,"Econ Consol";"Fluxo de Caixa",#N/A,FALSE,"Fluxo Caixa";"Investimentos",#N/A,FALSE,"Investimentos"}</definedName>
    <definedName name="IIASDSAWE" localSheetId="18">{"Econ Consolidado",#N/A,FALSE,"Econ Consol";"Fluxo de Caixa",#N/A,FALSE,"Fluxo Caixa";"Investimentos",#N/A,FALSE,"Investimentos"}</definedName>
    <definedName name="IIASDSAWE" localSheetId="10">{"Econ Consolidado",#N/A,FALSE,"Econ Consol";"Fluxo de Caixa",#N/A,FALSE,"Fluxo Caixa";"Investimentos",#N/A,FALSE,"Investimentos"}</definedName>
    <definedName name="IIASDSAWE">{"Econ Consolidado",#N/A,FALSE,"Econ Consol";"Fluxo de Caixa",#N/A,FALSE,"Fluxo Caixa";"Investimentos",#N/A,FALSE,"Investimentos"}</definedName>
    <definedName name="III" localSheetId="3">#REF!</definedName>
    <definedName name="III" localSheetId="8">#REF!</definedName>
    <definedName name="III" localSheetId="5">#REF!</definedName>
    <definedName name="III" localSheetId="13">#REF!</definedName>
    <definedName name="III" localSheetId="26">#REF!</definedName>
    <definedName name="III">#REF!</definedName>
    <definedName name="iinstalaçõe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9">{#N/A,#N/A,FALSE,"Plan1";#N/A,#N/A,FALSE,"Plan2"}</definedName>
    <definedName name="ilhweilrji4e" localSheetId="6">{#N/A,#N/A,FALSE,"Plan1";#N/A,#N/A,FALSE,"Plan2"}</definedName>
    <definedName name="ilhweilrji4e" localSheetId="3">{#N/A,#N/A,FALSE,"Plan1";#N/A,#N/A,FALSE,"Plan2"}</definedName>
    <definedName name="ilhweilrji4e" localSheetId="8">{#N/A,#N/A,FALSE,"Plan1";#N/A,#N/A,FALSE,"Plan2"}</definedName>
    <definedName name="ilhweilrji4e" localSheetId="5">{#N/A,#N/A,FALSE,"Plan1";#N/A,#N/A,FALSE,"Plan2"}</definedName>
    <definedName name="ilhweilrji4e" localSheetId="4">{#N/A,#N/A,FALSE,"Plan1";#N/A,#N/A,FALSE,"Plan2"}</definedName>
    <definedName name="ilhweilrji4e" localSheetId="13">{#N/A,#N/A,FALSE,"Plan1";#N/A,#N/A,FALSE,"Plan2"}</definedName>
    <definedName name="ilhweilrji4e" localSheetId="17">{#N/A,#N/A,FALSE,"Plan1";#N/A,#N/A,FALSE,"Plan2"}</definedName>
    <definedName name="ilhweilrji4e" localSheetId="0">{#N/A,#N/A,FALSE,"Plan1";#N/A,#N/A,FALSE,"Plan2"}</definedName>
    <definedName name="ilhweilrji4e" localSheetId="19">{#N/A,#N/A,FALSE,"Plan1";#N/A,#N/A,FALSE,"Plan2"}</definedName>
    <definedName name="ilhweilrji4e" localSheetId="16">{#N/A,#N/A,FALSE,"Plan1";#N/A,#N/A,FALSE,"Plan2"}</definedName>
    <definedName name="ilhweilrji4e" localSheetId="18">{#N/A,#N/A,FALSE,"Plan1";#N/A,#N/A,FALSE,"Plan2"}</definedName>
    <definedName name="ilhweilrji4e" localSheetId="10">{#N/A,#N/A,FALSE,"Plan1";#N/A,#N/A,FALSE,"Plan2"}</definedName>
    <definedName name="ilhweilrji4e">{#N/A,#N/A,FALSE,"Plan1";#N/A,#N/A,FALSE,"Plan2"}</definedName>
    <definedName name="ilsdr4wf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3">#REF!</definedName>
    <definedName name="IM" localSheetId="5">#REF!</definedName>
    <definedName name="IM" localSheetId="13">#REF!</definedName>
    <definedName name="IM" localSheetId="26">#REF!</definedName>
    <definedName name="IM">#REF!</definedName>
    <definedName name="IMP" localSheetId="3">#REF!</definedName>
    <definedName name="IMP" localSheetId="5">#REF!</definedName>
    <definedName name="IMP" localSheetId="13">#REF!</definedName>
    <definedName name="IMP" localSheetId="26">#REF!</definedName>
    <definedName name="IMP" localSheetId="0">#REF!</definedName>
    <definedName name="IMP">#REF!</definedName>
    <definedName name="IMPERMEABILIZ." localSheetId="3">#REF!</definedName>
    <definedName name="IMPERMEABILIZ." localSheetId="5">#REF!</definedName>
    <definedName name="IMPERMEABILIZ." localSheetId="13">#REF!</definedName>
    <definedName name="IMPERMEABILIZ." localSheetId="26">#REF!</definedName>
    <definedName name="IMPERMEABILIZ.">#REF!</definedName>
    <definedName name="IMPF" localSheetId="3">#REF!</definedName>
    <definedName name="IMPF" localSheetId="5">#REF!</definedName>
    <definedName name="IMPF" localSheetId="13">#REF!</definedName>
    <definedName name="IMPF" localSheetId="26">#REF!</definedName>
    <definedName name="IMPF">#REF!</definedName>
    <definedName name="IMPI" localSheetId="3">#REF!</definedName>
    <definedName name="IMPI" localSheetId="5">#REF!</definedName>
    <definedName name="IMPI" localSheetId="13">#REF!</definedName>
    <definedName name="IMPI" localSheetId="26">#REF!</definedName>
    <definedName name="IMPI">#REF!</definedName>
    <definedName name="IMPOSTO" localSheetId="3">#REF!</definedName>
    <definedName name="IMPOSTO" localSheetId="5">#REF!</definedName>
    <definedName name="IMPOSTO" localSheetId="13">#REF!</definedName>
    <definedName name="IMPOSTO" localSheetId="26">#REF!</definedName>
    <definedName name="IMPOSTO">#REF!</definedName>
    <definedName name="INCC" localSheetId="3">#REF!</definedName>
    <definedName name="INCC" localSheetId="5">#REF!</definedName>
    <definedName name="INCC" localSheetId="13">#REF!</definedName>
    <definedName name="INCC" localSheetId="26">#REF!</definedName>
    <definedName name="INCC">#REF!</definedName>
    <definedName name="Incorido_Aplicado_X_Físico" localSheetId="3">#REF!</definedName>
    <definedName name="Incorido_Aplicado_X_Físico" localSheetId="5">#REF!</definedName>
    <definedName name="Incorido_Aplicado_X_Físico" localSheetId="13">#REF!</definedName>
    <definedName name="Incorido_Aplicado_X_Físico" localSheetId="26">#REF!</definedName>
    <definedName name="Incorido_Aplicado_X_Físico">#REF!</definedName>
    <definedName name="INCORPORAÇÃO" localSheetId="3">#REF!</definedName>
    <definedName name="INCORPORAÇÃO" localSheetId="5">#REF!</definedName>
    <definedName name="INCORPORAÇÃO" localSheetId="13">#REF!</definedName>
    <definedName name="INCORPORAÇÃO" localSheetId="26">#REF!</definedName>
    <definedName name="INCORPORAÇÃO">#REF!</definedName>
    <definedName name="Index" localSheetId="3">#REF!</definedName>
    <definedName name="Index" localSheetId="5">#REF!</definedName>
    <definedName name="Index" localSheetId="13">#REF!</definedName>
    <definedName name="Index" localSheetId="26">#REF!</definedName>
    <definedName name="Index" localSheetId="0">#REF!</definedName>
    <definedName name="Index">#REF!</definedName>
    <definedName name="Indice" localSheetId="3">#REF!</definedName>
    <definedName name="Indice" localSheetId="5">#REF!</definedName>
    <definedName name="Indice" localSheetId="13">#REF!</definedName>
    <definedName name="Indice" localSheetId="26">#REF!</definedName>
    <definedName name="Indice">#REF!</definedName>
    <definedName name="indice_correcao_proj" localSheetId="3">#REF!</definedName>
    <definedName name="indice_correcao_proj" localSheetId="5">#REF!</definedName>
    <definedName name="indice_correcao_proj" localSheetId="13">#REF!</definedName>
    <definedName name="indice_correcao_proj" localSheetId="26">#REF!</definedName>
    <definedName name="indice_correcao_proj">#REF!</definedName>
    <definedName name="infra" localSheetId="3">#REF!</definedName>
    <definedName name="infra" localSheetId="5">#REF!</definedName>
    <definedName name="infra" localSheetId="13">#REF!</definedName>
    <definedName name="infra" localSheetId="26">#REF!</definedName>
    <definedName name="infra">#REF!</definedName>
    <definedName name="Infra_OBra_Sienge" localSheetId="3">#REF!</definedName>
    <definedName name="Infra_OBra_Sienge" localSheetId="5">#REF!</definedName>
    <definedName name="Infra_OBra_Sienge" localSheetId="13">#REF!</definedName>
    <definedName name="Infra_OBra_Sienge" localSheetId="26">#REF!</definedName>
    <definedName name="Infra_OBra_Sienge">#REF!</definedName>
    <definedName name="Infra_Projetos_Sienge" localSheetId="3">#REF!</definedName>
    <definedName name="Infra_Projetos_Sienge" localSheetId="5">#REF!</definedName>
    <definedName name="Infra_Projetos_Sienge" localSheetId="13">#REF!</definedName>
    <definedName name="Infra_Projetos_Sienge" localSheetId="26">#REF!</definedName>
    <definedName name="Infra_Projetos_Sienge">#REF!</definedName>
    <definedName name="INFRA2" localSheetId="3">#REF!</definedName>
    <definedName name="INFRA2" localSheetId="5">#REF!</definedName>
    <definedName name="INFRA2" localSheetId="13">#REF!</definedName>
    <definedName name="INFRA2" localSheetId="26">#REF!</definedName>
    <definedName name="INFRA2">#REF!</definedName>
    <definedName name="Insatalaçõe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3">#REF!</definedName>
    <definedName name="INSS_Bloqueado_Fin_Medição" localSheetId="5">#REF!</definedName>
    <definedName name="INSS_Bloqueado_Fin_Medição" localSheetId="13">#REF!</definedName>
    <definedName name="INSS_Bloqueado_Fin_Medição" localSheetId="26">#REF!</definedName>
    <definedName name="INSS_Bloqueado_Fin_Medição">#REF!</definedName>
    <definedName name="Inss_Bloqueado_Previsão_Fin_Medições" localSheetId="3">#REF!</definedName>
    <definedName name="Inss_Bloqueado_Previsão_Fin_Medições" localSheetId="5">#REF!</definedName>
    <definedName name="Inss_Bloqueado_Previsão_Fin_Medições" localSheetId="13">#REF!</definedName>
    <definedName name="Inss_Bloqueado_Previsão_Fin_Medições" localSheetId="26">#REF!</definedName>
    <definedName name="Inss_Bloqueado_Previsão_Fin_Medições">#REF!</definedName>
    <definedName name="instalaçoes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6">OFFSET(#REF!,0,0,COUNTA(#REF!),1)</definedName>
    <definedName name="INSU" localSheetId="4">OFFSET(#REF!,0,0,COUNTA(#REF!),1)</definedName>
    <definedName name="INSU" localSheetId="13">OFFSET(#REF!,0,0,COUNTA(#REF!),1)</definedName>
    <definedName name="INSU" localSheetId="19">OFFSET(#REF!,0,0,COUNTA(#REF!),1)</definedName>
    <definedName name="INSU">OFFSET(#REF!,0,0,COUNTA(#REF!),1)</definedName>
    <definedName name="INSUMOS" localSheetId="3">#REF!</definedName>
    <definedName name="INSUMOS" localSheetId="5">#REF!</definedName>
    <definedName name="INSUMOS" localSheetId="13">#REF!</definedName>
    <definedName name="INSUMOS" localSheetId="26">#REF!</definedName>
    <definedName name="INSUMOS">#REF!</definedName>
    <definedName name="INT.FILTRO.NBASE" localSheetId="3">#REF!</definedName>
    <definedName name="INT.FILTRO.NBASE" localSheetId="5">#REF!</definedName>
    <definedName name="INT.FILTRO.NBASE" localSheetId="13">#REF!</definedName>
    <definedName name="INT.FILTRO.NBASE" localSheetId="26">#REF!</definedName>
    <definedName name="INT.FILTRO.NBASE">#REF!</definedName>
    <definedName name="INTEGRA" localSheetId="9">{"'Edit'!$A$1:$V$2277"}</definedName>
    <definedName name="INTEGRA" localSheetId="6">{"'Edit'!$A$1:$V$2277"}</definedName>
    <definedName name="INTEGRA" localSheetId="3">{"'Edit'!$A$1:$V$2277"}</definedName>
    <definedName name="INTEGRA" localSheetId="8">{"'Edit'!$A$1:$V$2277"}</definedName>
    <definedName name="INTEGRA" localSheetId="5">{"'Edit'!$A$1:$V$2277"}</definedName>
    <definedName name="INTEGRA" localSheetId="4">{"'Edit'!$A$1:$V$2277"}</definedName>
    <definedName name="INTEGRA" localSheetId="13">{"'Edit'!$A$1:$V$2277"}</definedName>
    <definedName name="INTEGRA" localSheetId="17">{"'Edit'!$A$1:$V$2277"}</definedName>
    <definedName name="INTEGRA" localSheetId="0">{"'Edit'!$A$1:$V$2277"}</definedName>
    <definedName name="INTEGRA" localSheetId="19">{"'Edit'!$A$1:$V$2277"}</definedName>
    <definedName name="INTEGRA" localSheetId="16">{"'Edit'!$A$1:$V$2277"}</definedName>
    <definedName name="INTEGRA" localSheetId="18">{"'Edit'!$A$1:$V$2277"}</definedName>
    <definedName name="INTEGRA" localSheetId="10">{"'Edit'!$A$1:$V$2277"}</definedName>
    <definedName name="INTEGRA">{"'Edit'!$A$1:$V$2277"}</definedName>
    <definedName name="IO">196.003</definedName>
    <definedName name="ioeriotyt" localSheetId="9">{#N/A,#N/A,FALSE,"Plan1";#N/A,#N/A,FALSE,"Plan2"}</definedName>
    <definedName name="ioeriotyt" localSheetId="6">{#N/A,#N/A,FALSE,"Plan1";#N/A,#N/A,FALSE,"Plan2"}</definedName>
    <definedName name="ioeriotyt" localSheetId="3">{#N/A,#N/A,FALSE,"Plan1";#N/A,#N/A,FALSE,"Plan2"}</definedName>
    <definedName name="ioeriotyt" localSheetId="8">{#N/A,#N/A,FALSE,"Plan1";#N/A,#N/A,FALSE,"Plan2"}</definedName>
    <definedName name="ioeriotyt" localSheetId="5">{#N/A,#N/A,FALSE,"Plan1";#N/A,#N/A,FALSE,"Plan2"}</definedName>
    <definedName name="ioeriotyt" localSheetId="4">{#N/A,#N/A,FALSE,"Plan1";#N/A,#N/A,FALSE,"Plan2"}</definedName>
    <definedName name="ioeriotyt" localSheetId="13">{#N/A,#N/A,FALSE,"Plan1";#N/A,#N/A,FALSE,"Plan2"}</definedName>
    <definedName name="ioeriotyt" localSheetId="17">{#N/A,#N/A,FALSE,"Plan1";#N/A,#N/A,FALSE,"Plan2"}</definedName>
    <definedName name="ioeriotyt" localSheetId="0">{#N/A,#N/A,FALSE,"Plan1";#N/A,#N/A,FALSE,"Plan2"}</definedName>
    <definedName name="ioeriotyt" localSheetId="19">{#N/A,#N/A,FALSE,"Plan1";#N/A,#N/A,FALSE,"Plan2"}</definedName>
    <definedName name="ioeriotyt" localSheetId="16">{#N/A,#N/A,FALSE,"Plan1";#N/A,#N/A,FALSE,"Plan2"}</definedName>
    <definedName name="ioeriotyt" localSheetId="18">{#N/A,#N/A,FALSE,"Plan1";#N/A,#N/A,FALSE,"Plan2"}</definedName>
    <definedName name="ioeriotyt" localSheetId="10">{#N/A,#N/A,FALSE,"Plan1";#N/A,#N/A,FALSE,"Plan2"}</definedName>
    <definedName name="ioeriotyt">{#N/A,#N/A,FALSE,"Plan1";#N/A,#N/A,FALSE,"Plan2"}</definedName>
    <definedName name="iohudtorh" localSheetId="9">{#N/A,#N/A,FALSE,"Plan1";#N/A,#N/A,FALSE,"Plan2"}</definedName>
    <definedName name="iohudtorh" localSheetId="6">{#N/A,#N/A,FALSE,"Plan1";#N/A,#N/A,FALSE,"Plan2"}</definedName>
    <definedName name="iohudtorh" localSheetId="3">{#N/A,#N/A,FALSE,"Plan1";#N/A,#N/A,FALSE,"Plan2"}</definedName>
    <definedName name="iohudtorh" localSheetId="8">{#N/A,#N/A,FALSE,"Plan1";#N/A,#N/A,FALSE,"Plan2"}</definedName>
    <definedName name="iohudtorh" localSheetId="5">{#N/A,#N/A,FALSE,"Plan1";#N/A,#N/A,FALSE,"Plan2"}</definedName>
    <definedName name="iohudtorh" localSheetId="4">{#N/A,#N/A,FALSE,"Plan1";#N/A,#N/A,FALSE,"Plan2"}</definedName>
    <definedName name="iohudtorh" localSheetId="13">{#N/A,#N/A,FALSE,"Plan1";#N/A,#N/A,FALSE,"Plan2"}</definedName>
    <definedName name="iohudtorh" localSheetId="17">{#N/A,#N/A,FALSE,"Plan1";#N/A,#N/A,FALSE,"Plan2"}</definedName>
    <definedName name="iohudtorh" localSheetId="0">{#N/A,#N/A,FALSE,"Plan1";#N/A,#N/A,FALSE,"Plan2"}</definedName>
    <definedName name="iohudtorh" localSheetId="19">{#N/A,#N/A,FALSE,"Plan1";#N/A,#N/A,FALSE,"Plan2"}</definedName>
    <definedName name="iohudtorh" localSheetId="16">{#N/A,#N/A,FALSE,"Plan1";#N/A,#N/A,FALSE,"Plan2"}</definedName>
    <definedName name="iohudtorh" localSheetId="18">{#N/A,#N/A,FALSE,"Plan1";#N/A,#N/A,FALSE,"Plan2"}</definedName>
    <definedName name="iohudtorh" localSheetId="10">{#N/A,#N/A,FALSE,"Plan1";#N/A,#N/A,FALSE,"Plan2"}</definedName>
    <definedName name="iohudtorh">{#N/A,#N/A,FALSE,"Plan1";#N/A,#N/A,FALSE,"Plan2"}</definedName>
    <definedName name="iojtkheayed" localSheetId="9">{#N/A,#N/A,FALSE,"Plan1";#N/A,#N/A,FALSE,"Plan2"}</definedName>
    <definedName name="iojtkheayed" localSheetId="6">{#N/A,#N/A,FALSE,"Plan1";#N/A,#N/A,FALSE,"Plan2"}</definedName>
    <definedName name="iojtkheayed" localSheetId="3">{#N/A,#N/A,FALSE,"Plan1";#N/A,#N/A,FALSE,"Plan2"}</definedName>
    <definedName name="iojtkheayed" localSheetId="8">{#N/A,#N/A,FALSE,"Plan1";#N/A,#N/A,FALSE,"Plan2"}</definedName>
    <definedName name="iojtkheayed" localSheetId="5">{#N/A,#N/A,FALSE,"Plan1";#N/A,#N/A,FALSE,"Plan2"}</definedName>
    <definedName name="iojtkheayed" localSheetId="4">{#N/A,#N/A,FALSE,"Plan1";#N/A,#N/A,FALSE,"Plan2"}</definedName>
    <definedName name="iojtkheayed" localSheetId="13">{#N/A,#N/A,FALSE,"Plan1";#N/A,#N/A,FALSE,"Plan2"}</definedName>
    <definedName name="iojtkheayed" localSheetId="17">{#N/A,#N/A,FALSE,"Plan1";#N/A,#N/A,FALSE,"Plan2"}</definedName>
    <definedName name="iojtkheayed" localSheetId="0">{#N/A,#N/A,FALSE,"Plan1";#N/A,#N/A,FALSE,"Plan2"}</definedName>
    <definedName name="iojtkheayed" localSheetId="19">{#N/A,#N/A,FALSE,"Plan1";#N/A,#N/A,FALSE,"Plan2"}</definedName>
    <definedName name="iojtkheayed" localSheetId="16">{#N/A,#N/A,FALSE,"Plan1";#N/A,#N/A,FALSE,"Plan2"}</definedName>
    <definedName name="iojtkheayed" localSheetId="18">{#N/A,#N/A,FALSE,"Plan1";#N/A,#N/A,FALSE,"Plan2"}</definedName>
    <definedName name="iojtkheayed" localSheetId="10">{#N/A,#N/A,FALSE,"Plan1";#N/A,#N/A,FALSE,"Plan2"}</definedName>
    <definedName name="iojtkheayed">{#N/A,#N/A,FALSE,"Plan1";#N/A,#N/A,FALSE,"Plan2"}</definedName>
    <definedName name="iouweroieuw4" localSheetId="9">{#N/A,#N/A,FALSE,"Plan1";#N/A,#N/A,FALSE,"Plan2"}</definedName>
    <definedName name="iouweroieuw4" localSheetId="6">{#N/A,#N/A,FALSE,"Plan1";#N/A,#N/A,FALSE,"Plan2"}</definedName>
    <definedName name="iouweroieuw4" localSheetId="3">{#N/A,#N/A,FALSE,"Plan1";#N/A,#N/A,FALSE,"Plan2"}</definedName>
    <definedName name="iouweroieuw4" localSheetId="8">{#N/A,#N/A,FALSE,"Plan1";#N/A,#N/A,FALSE,"Plan2"}</definedName>
    <definedName name="iouweroieuw4" localSheetId="5">{#N/A,#N/A,FALSE,"Plan1";#N/A,#N/A,FALSE,"Plan2"}</definedName>
    <definedName name="iouweroieuw4" localSheetId="4">{#N/A,#N/A,FALSE,"Plan1";#N/A,#N/A,FALSE,"Plan2"}</definedName>
    <definedName name="iouweroieuw4" localSheetId="13">{#N/A,#N/A,FALSE,"Plan1";#N/A,#N/A,FALSE,"Plan2"}</definedName>
    <definedName name="iouweroieuw4" localSheetId="17">{#N/A,#N/A,FALSE,"Plan1";#N/A,#N/A,FALSE,"Plan2"}</definedName>
    <definedName name="iouweroieuw4" localSheetId="0">{#N/A,#N/A,FALSE,"Plan1";#N/A,#N/A,FALSE,"Plan2"}</definedName>
    <definedName name="iouweroieuw4" localSheetId="19">{#N/A,#N/A,FALSE,"Plan1";#N/A,#N/A,FALSE,"Plan2"}</definedName>
    <definedName name="iouweroieuw4" localSheetId="16">{#N/A,#N/A,FALSE,"Plan1";#N/A,#N/A,FALSE,"Plan2"}</definedName>
    <definedName name="iouweroieuw4" localSheetId="18">{#N/A,#N/A,FALSE,"Plan1";#N/A,#N/A,FALSE,"Plan2"}</definedName>
    <definedName name="iouweroieuw4" localSheetId="10">{#N/A,#N/A,FALSE,"Plan1";#N/A,#N/A,FALSE,"Plan2"}</definedName>
    <definedName name="iouweroieuw4">{#N/A,#N/A,FALSE,"Plan1";#N/A,#N/A,FALSE,"Plan2"}</definedName>
    <definedName name="iphifpgh" localSheetId="9">{#N/A,#N/A,FALSE,"Plan1";#N/A,#N/A,FALSE,"Plan2"}</definedName>
    <definedName name="iphifpgh" localSheetId="6">{#N/A,#N/A,FALSE,"Plan1";#N/A,#N/A,FALSE,"Plan2"}</definedName>
    <definedName name="iphifpgh" localSheetId="3">{#N/A,#N/A,FALSE,"Plan1";#N/A,#N/A,FALSE,"Plan2"}</definedName>
    <definedName name="iphifpgh" localSheetId="8">{#N/A,#N/A,FALSE,"Plan1";#N/A,#N/A,FALSE,"Plan2"}</definedName>
    <definedName name="iphifpgh" localSheetId="5">{#N/A,#N/A,FALSE,"Plan1";#N/A,#N/A,FALSE,"Plan2"}</definedName>
    <definedName name="iphifpgh" localSheetId="4">{#N/A,#N/A,FALSE,"Plan1";#N/A,#N/A,FALSE,"Plan2"}</definedName>
    <definedName name="iphifpgh" localSheetId="13">{#N/A,#N/A,FALSE,"Plan1";#N/A,#N/A,FALSE,"Plan2"}</definedName>
    <definedName name="iphifpgh" localSheetId="17">{#N/A,#N/A,FALSE,"Plan1";#N/A,#N/A,FALSE,"Plan2"}</definedName>
    <definedName name="iphifpgh" localSheetId="0">{#N/A,#N/A,FALSE,"Plan1";#N/A,#N/A,FALSE,"Plan2"}</definedName>
    <definedName name="iphifpgh" localSheetId="19">{#N/A,#N/A,FALSE,"Plan1";#N/A,#N/A,FALSE,"Plan2"}</definedName>
    <definedName name="iphifpgh" localSheetId="16">{#N/A,#N/A,FALSE,"Plan1";#N/A,#N/A,FALSE,"Plan2"}</definedName>
    <definedName name="iphifpgh" localSheetId="18">{#N/A,#N/A,FALSE,"Plan1";#N/A,#N/A,FALSE,"Plan2"}</definedName>
    <definedName name="iphifpgh" localSheetId="10">{#N/A,#N/A,FALSE,"Plan1";#N/A,#N/A,FALSE,"Plan2"}</definedName>
    <definedName name="iphifpgh">{#N/A,#N/A,FALSE,"Plan1";#N/A,#N/A,FALSE,"Plan2"}</definedName>
    <definedName name="IPMF" localSheetId="3">#REF!</definedName>
    <definedName name="IPMF" localSheetId="5">#REF!</definedName>
    <definedName name="IPMF" localSheetId="13">#REF!</definedName>
    <definedName name="IPMF" localSheetId="26">#REF!</definedName>
    <definedName name="IPMF">#REF!</definedName>
    <definedName name="ipodsifgpds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9">{#N/A,#N/A,FALSE,"Plan1";#N/A,#N/A,FALSE,"Plan2"}</definedName>
    <definedName name="ipotjrjketjr" localSheetId="6">{#N/A,#N/A,FALSE,"Plan1";#N/A,#N/A,FALSE,"Plan2"}</definedName>
    <definedName name="ipotjrjketjr" localSheetId="3">{#N/A,#N/A,FALSE,"Plan1";#N/A,#N/A,FALSE,"Plan2"}</definedName>
    <definedName name="ipotjrjketjr" localSheetId="8">{#N/A,#N/A,FALSE,"Plan1";#N/A,#N/A,FALSE,"Plan2"}</definedName>
    <definedName name="ipotjrjketjr" localSheetId="5">{#N/A,#N/A,FALSE,"Plan1";#N/A,#N/A,FALSE,"Plan2"}</definedName>
    <definedName name="ipotjrjketjr" localSheetId="4">{#N/A,#N/A,FALSE,"Plan1";#N/A,#N/A,FALSE,"Plan2"}</definedName>
    <definedName name="ipotjrjketjr" localSheetId="13">{#N/A,#N/A,FALSE,"Plan1";#N/A,#N/A,FALSE,"Plan2"}</definedName>
    <definedName name="ipotjrjketjr" localSheetId="17">{#N/A,#N/A,FALSE,"Plan1";#N/A,#N/A,FALSE,"Plan2"}</definedName>
    <definedName name="ipotjrjketjr" localSheetId="0">{#N/A,#N/A,FALSE,"Plan1";#N/A,#N/A,FALSE,"Plan2"}</definedName>
    <definedName name="ipotjrjketjr" localSheetId="19">{#N/A,#N/A,FALSE,"Plan1";#N/A,#N/A,FALSE,"Plan2"}</definedName>
    <definedName name="ipotjrjketjr" localSheetId="16">{#N/A,#N/A,FALSE,"Plan1";#N/A,#N/A,FALSE,"Plan2"}</definedName>
    <definedName name="ipotjrjketjr" localSheetId="18">{#N/A,#N/A,FALSE,"Plan1";#N/A,#N/A,FALSE,"Plan2"}</definedName>
    <definedName name="ipotjrjketjr" localSheetId="10">{#N/A,#N/A,FALSE,"Plan1";#N/A,#N/A,FALSE,"Plan2"}</definedName>
    <definedName name="ipotjrjketjr">{#N/A,#N/A,FALSE,"Plan1";#N/A,#N/A,FALSE,"Plan2"}</definedName>
    <definedName name="IQ_ADDIN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Y">1000</definedName>
    <definedName name="IQ_LATESTK">1000</definedName>
    <definedName name="IQ_LATESTQ">500</definedName>
    <definedName name="IQ_LTM">2000</definedName>
    <definedName name="IQ_LTMMONTH">120000</definedName>
    <definedName name="IQ_MONTH">15000</definedName>
    <definedName name="IQ_NAMES_REVISION_DATE_">40730.4399768518</definedName>
    <definedName name="IQ_NTM">6000</definedName>
    <definedName name="IQ_TODAY">0</definedName>
    <definedName name="IQ_WEEK">50000</definedName>
    <definedName name="IQ_YTD">3000</definedName>
    <definedName name="IQ_YTDMONTH">130000</definedName>
    <definedName name="IR_diferido" localSheetId="3">#REF!</definedName>
    <definedName name="IR_diferido" localSheetId="5">#REF!</definedName>
    <definedName name="IR_diferido" localSheetId="13">#REF!</definedName>
    <definedName name="IR_diferido" localSheetId="26">#REF!</definedName>
    <definedName name="IR_diferido">#REF!</definedName>
    <definedName name="ISOPOR" localSheetId="3">#REF!</definedName>
    <definedName name="ISOPOR" localSheetId="5">#REF!</definedName>
    <definedName name="ISOPOR" localSheetId="13">#REF!</definedName>
    <definedName name="ISOPOR" localSheetId="26">#REF!</definedName>
    <definedName name="ISOPOR">#REF!</definedName>
    <definedName name="ISS" localSheetId="3">#REF!</definedName>
    <definedName name="ISS" localSheetId="5">#REF!</definedName>
    <definedName name="ISS" localSheetId="13">#REF!</definedName>
    <definedName name="ISS" localSheetId="26">#REF!</definedName>
    <definedName name="ISS">#REF!</definedName>
    <definedName name="ItalieNS" localSheetId="3">#REF!</definedName>
    <definedName name="ItalieNS" localSheetId="5">#REF!</definedName>
    <definedName name="ItalieNS" localSheetId="13">#REF!</definedName>
    <definedName name="ItalieNS" localSheetId="26">#REF!</definedName>
    <definedName name="ItalieNS">#REF!</definedName>
    <definedName name="ItalieNT" localSheetId="3">#REF!</definedName>
    <definedName name="ItalieNT" localSheetId="5">#REF!</definedName>
    <definedName name="ItalieNT" localSheetId="13">#REF!</definedName>
    <definedName name="ItalieNT" localSheetId="26">#REF!</definedName>
    <definedName name="ItalieNT">#REF!</definedName>
    <definedName name="itc_cdi" localSheetId="3">#REF!</definedName>
    <definedName name="itc_cdi" localSheetId="5">#REF!</definedName>
    <definedName name="itc_cdi" localSheetId="13">#REF!</definedName>
    <definedName name="itc_cdi" localSheetId="26">#REF!</definedName>
    <definedName name="itc_cdi">#REF!</definedName>
    <definedName name="itc_hist" localSheetId="3">#REF!</definedName>
    <definedName name="itc_hist" localSheetId="5">#REF!</definedName>
    <definedName name="itc_hist" localSheetId="13">#REF!</definedName>
    <definedName name="itc_hist" localSheetId="26">#REF!</definedName>
    <definedName name="itc_hist">#REF!</definedName>
    <definedName name="itc_uss" localSheetId="3">#REF!</definedName>
    <definedName name="itc_uss" localSheetId="5">#REF!</definedName>
    <definedName name="itc_uss" localSheetId="13">#REF!</definedName>
    <definedName name="itc_uss" localSheetId="26">#REF!</definedName>
    <definedName name="itc_uss">#REF!</definedName>
    <definedName name="item_1" localSheetId="3">#REF!</definedName>
    <definedName name="item_1" localSheetId="1">#REF!</definedName>
    <definedName name="item_1" localSheetId="5">#REF!</definedName>
    <definedName name="item_1" localSheetId="21">#REF!</definedName>
    <definedName name="item_1" localSheetId="22">#REF!</definedName>
    <definedName name="item_1" localSheetId="13">#REF!</definedName>
    <definedName name="item_1" localSheetId="26">#REF!</definedName>
    <definedName name="item_1" localSheetId="0">#REF!</definedName>
    <definedName name="item_1">#REF!</definedName>
    <definedName name="ITEMCONT" localSheetId="3">#REF!</definedName>
    <definedName name="ITEMCONT" localSheetId="5">#REF!</definedName>
    <definedName name="ITEMCONT" localSheetId="13">#REF!</definedName>
    <definedName name="ITEMCONT" localSheetId="26">#REF!</definedName>
    <definedName name="ITEMCONT">#REF!</definedName>
    <definedName name="ITEMDER" localSheetId="3">#REF!</definedName>
    <definedName name="ITEMDER" localSheetId="5">#REF!</definedName>
    <definedName name="ITEMDER" localSheetId="13">#REF!</definedName>
    <definedName name="ITEMDER" localSheetId="26">#REF!</definedName>
    <definedName name="ITEMDER">#REF!</definedName>
    <definedName name="ITEMIZAÇÃO" localSheetId="3">#REF!</definedName>
    <definedName name="ITEMIZAÇÃO" localSheetId="5">#REF!</definedName>
    <definedName name="ITEMIZAÇÃO" localSheetId="13">#REF!</definedName>
    <definedName name="ITEMIZAÇÃO" localSheetId="26">#REF!</definedName>
    <definedName name="ITEMIZAÇÃO">#REF!</definedName>
    <definedName name="ITEMIZAÇÃO_2" localSheetId="3">#REF!</definedName>
    <definedName name="ITEMIZAÇÃO_2" localSheetId="5">#REF!</definedName>
    <definedName name="ITEMIZAÇÃO_2" localSheetId="13">#REF!</definedName>
    <definedName name="ITEMIZAÇÃO_2" localSheetId="26">#REF!</definedName>
    <definedName name="ITEMIZAÇÃO_2">#REF!</definedName>
    <definedName name="ITEMIZAÇÃO_3" localSheetId="3">#REF!</definedName>
    <definedName name="ITEMIZAÇÃO_3" localSheetId="5">#REF!</definedName>
    <definedName name="ITEMIZAÇÃO_3" localSheetId="13">#REF!</definedName>
    <definedName name="ITEMIZAÇÃO_3" localSheetId="26">#REF!</definedName>
    <definedName name="ITEMIZAÇÃO_3">#REF!</definedName>
    <definedName name="ITEMIZAÇÃO_4" localSheetId="3">#REF!</definedName>
    <definedName name="ITEMIZAÇÃO_4" localSheetId="5">#REF!</definedName>
    <definedName name="ITEMIZAÇÃO_4" localSheetId="13">#REF!</definedName>
    <definedName name="ITEMIZAÇÃO_4" localSheetId="26">#REF!</definedName>
    <definedName name="ITEMIZAÇÃO_4">#REF!</definedName>
    <definedName name="ITEMIZAÇÃO_5" localSheetId="3">#REF!</definedName>
    <definedName name="ITEMIZAÇÃO_5" localSheetId="5">#REF!</definedName>
    <definedName name="ITEMIZAÇÃO_5" localSheetId="13">#REF!</definedName>
    <definedName name="ITEMIZAÇÃO_5" localSheetId="26">#REF!</definedName>
    <definedName name="ITEMIZAÇÃO_5">#REF!</definedName>
    <definedName name="ITEMIZAÇÃO_7" localSheetId="3">#REF!</definedName>
    <definedName name="ITEMIZAÇÃO_7" localSheetId="5">#REF!</definedName>
    <definedName name="ITEMIZAÇÃO_7" localSheetId="13">#REF!</definedName>
    <definedName name="ITEMIZAÇÃO_7" localSheetId="26">#REF!</definedName>
    <definedName name="ITEMIZAÇÃO_7">#REF!</definedName>
    <definedName name="ITEMIZAÇÃO_8" localSheetId="3">#REF!</definedName>
    <definedName name="ITEMIZAÇÃO_8" localSheetId="5">#REF!</definedName>
    <definedName name="ITEMIZAÇÃO_8" localSheetId="13">#REF!</definedName>
    <definedName name="ITEMIZAÇÃO_8" localSheetId="26">#REF!</definedName>
    <definedName name="ITEMIZAÇÃO_8">#REF!</definedName>
    <definedName name="ITEMR20" localSheetId="3">#REF!</definedName>
    <definedName name="ITEMR20" localSheetId="5">#REF!</definedName>
    <definedName name="ITEMR20" localSheetId="13">#REF!</definedName>
    <definedName name="ITEMR20" localSheetId="26">#REF!</definedName>
    <definedName name="ITEMR20">#REF!</definedName>
    <definedName name="ITEM별상세업무분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3">#REF!</definedName>
    <definedName name="ITENS" localSheetId="5">#REF!</definedName>
    <definedName name="ITENS" localSheetId="13">#REF!</definedName>
    <definedName name="ITENS" localSheetId="26">#REF!</definedName>
    <definedName name="ITENS">#REF!</definedName>
    <definedName name="ITENS0" localSheetId="3">#REF!</definedName>
    <definedName name="ITENS0" localSheetId="5">#REF!</definedName>
    <definedName name="ITENS0" localSheetId="13">#REF!</definedName>
    <definedName name="ITENS0" localSheetId="26">#REF!</definedName>
    <definedName name="ITENS0">#REF!</definedName>
    <definedName name="ITENS1" localSheetId="3">#REF!</definedName>
    <definedName name="ITENS1" localSheetId="5">#REF!</definedName>
    <definedName name="ITENS1" localSheetId="13">#REF!</definedName>
    <definedName name="ITENS1" localSheetId="26">#REF!</definedName>
    <definedName name="ITENS1">#REF!</definedName>
    <definedName name="ITENSP" localSheetId="3">#REF!</definedName>
    <definedName name="ITENSP" localSheetId="5">#REF!</definedName>
    <definedName name="ITENSP" localSheetId="13">#REF!</definedName>
    <definedName name="ITENSP" localSheetId="26">#REF!</definedName>
    <definedName name="ITENSP">#REF!</definedName>
    <definedName name="ITENSPMED" localSheetId="3">#REF!</definedName>
    <definedName name="ITENSPMED" localSheetId="5">#REF!</definedName>
    <definedName name="ITENSPMED" localSheetId="13">#REF!</definedName>
    <definedName name="ITENSPMED" localSheetId="26">#REF!</definedName>
    <definedName name="ITENSPMED">#REF!</definedName>
    <definedName name="IUGFGDFUY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3">#REF!</definedName>
    <definedName name="IV" localSheetId="8">#REF!</definedName>
    <definedName name="IV" localSheetId="5">#REF!</definedName>
    <definedName name="IV" localSheetId="13">#REF!</definedName>
    <definedName name="IV" localSheetId="26">#REF!</definedName>
    <definedName name="IV">#REF!</definedName>
    <definedName name="iyguygiyt" localSheetId="9">{#N/A,#N/A,FALSE,"Plan1";#N/A,#N/A,FALSE,"Plan2"}</definedName>
    <definedName name="iyguygiyt" localSheetId="6">{#N/A,#N/A,FALSE,"Plan1";#N/A,#N/A,FALSE,"Plan2"}</definedName>
    <definedName name="iyguygiyt" localSheetId="3">{#N/A,#N/A,FALSE,"Plan1";#N/A,#N/A,FALSE,"Plan2"}</definedName>
    <definedName name="iyguygiyt" localSheetId="8">{#N/A,#N/A,FALSE,"Plan1";#N/A,#N/A,FALSE,"Plan2"}</definedName>
    <definedName name="iyguygiyt" localSheetId="5">{#N/A,#N/A,FALSE,"Plan1";#N/A,#N/A,FALSE,"Plan2"}</definedName>
    <definedName name="iyguygiyt" localSheetId="4">{#N/A,#N/A,FALSE,"Plan1";#N/A,#N/A,FALSE,"Plan2"}</definedName>
    <definedName name="iyguygiyt" localSheetId="13">{#N/A,#N/A,FALSE,"Plan1";#N/A,#N/A,FALSE,"Plan2"}</definedName>
    <definedName name="iyguygiyt" localSheetId="17">{#N/A,#N/A,FALSE,"Plan1";#N/A,#N/A,FALSE,"Plan2"}</definedName>
    <definedName name="iyguygiyt" localSheetId="0">{#N/A,#N/A,FALSE,"Plan1";#N/A,#N/A,FALSE,"Plan2"}</definedName>
    <definedName name="iyguygiyt" localSheetId="19">{#N/A,#N/A,FALSE,"Plan1";#N/A,#N/A,FALSE,"Plan2"}</definedName>
    <definedName name="iyguygiyt" localSheetId="16">{#N/A,#N/A,FALSE,"Plan1";#N/A,#N/A,FALSE,"Plan2"}</definedName>
    <definedName name="iyguygiyt" localSheetId="18">{#N/A,#N/A,FALSE,"Plan1";#N/A,#N/A,FALSE,"Plan2"}</definedName>
    <definedName name="iyguygiyt" localSheetId="10">{#N/A,#N/A,FALSE,"Plan1";#N/A,#N/A,FALSE,"Plan2"}</definedName>
    <definedName name="iyguygiyt">{#N/A,#N/A,FALSE,"Plan1";#N/A,#N/A,FALSE,"Plan2"}</definedName>
    <definedName name="iyuyheturtd" localSheetId="9">{#N/A,#N/A,FALSE,"Plan1";#N/A,#N/A,FALSE,"Plan2"}</definedName>
    <definedName name="iyuyheturtd" localSheetId="6">{#N/A,#N/A,FALSE,"Plan1";#N/A,#N/A,FALSE,"Plan2"}</definedName>
    <definedName name="iyuyheturtd" localSheetId="3">{#N/A,#N/A,FALSE,"Plan1";#N/A,#N/A,FALSE,"Plan2"}</definedName>
    <definedName name="iyuyheturtd" localSheetId="8">{#N/A,#N/A,FALSE,"Plan1";#N/A,#N/A,FALSE,"Plan2"}</definedName>
    <definedName name="iyuyheturtd" localSheetId="5">{#N/A,#N/A,FALSE,"Plan1";#N/A,#N/A,FALSE,"Plan2"}</definedName>
    <definedName name="iyuyheturtd" localSheetId="4">{#N/A,#N/A,FALSE,"Plan1";#N/A,#N/A,FALSE,"Plan2"}</definedName>
    <definedName name="iyuyheturtd" localSheetId="13">{#N/A,#N/A,FALSE,"Plan1";#N/A,#N/A,FALSE,"Plan2"}</definedName>
    <definedName name="iyuyheturtd" localSheetId="17">{#N/A,#N/A,FALSE,"Plan1";#N/A,#N/A,FALSE,"Plan2"}</definedName>
    <definedName name="iyuyheturtd" localSheetId="0">{#N/A,#N/A,FALSE,"Plan1";#N/A,#N/A,FALSE,"Plan2"}</definedName>
    <definedName name="iyuyheturtd" localSheetId="19">{#N/A,#N/A,FALSE,"Plan1";#N/A,#N/A,FALSE,"Plan2"}</definedName>
    <definedName name="iyuyheturtd" localSheetId="16">{#N/A,#N/A,FALSE,"Plan1";#N/A,#N/A,FALSE,"Plan2"}</definedName>
    <definedName name="iyuyheturtd" localSheetId="18">{#N/A,#N/A,FALSE,"Plan1";#N/A,#N/A,FALSE,"Plan2"}</definedName>
    <definedName name="iyuyheturtd" localSheetId="10">{#N/A,#N/A,FALSE,"Plan1";#N/A,#N/A,FALSE,"Plan2"}</definedName>
    <definedName name="iyuyheturtd">{#N/A,#N/A,FALSE,"Plan1";#N/A,#N/A,FALSE,"Plan2"}</definedName>
    <definedName name="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9">{#N/A,#N/A,FALSE,"Plan1";#N/A,#N/A,FALSE,"Plan2"}</definedName>
    <definedName name="jalejdasjf" localSheetId="6">{#N/A,#N/A,FALSE,"Plan1";#N/A,#N/A,FALSE,"Plan2"}</definedName>
    <definedName name="jalejdasjf" localSheetId="3">{#N/A,#N/A,FALSE,"Plan1";#N/A,#N/A,FALSE,"Plan2"}</definedName>
    <definedName name="jalejdasjf" localSheetId="8">{#N/A,#N/A,FALSE,"Plan1";#N/A,#N/A,FALSE,"Plan2"}</definedName>
    <definedName name="jalejdasjf" localSheetId="5">{#N/A,#N/A,FALSE,"Plan1";#N/A,#N/A,FALSE,"Plan2"}</definedName>
    <definedName name="jalejdasjf" localSheetId="4">{#N/A,#N/A,FALSE,"Plan1";#N/A,#N/A,FALSE,"Plan2"}</definedName>
    <definedName name="jalejdasjf" localSheetId="13">{#N/A,#N/A,FALSE,"Plan1";#N/A,#N/A,FALSE,"Plan2"}</definedName>
    <definedName name="jalejdasjf" localSheetId="17">{#N/A,#N/A,FALSE,"Plan1";#N/A,#N/A,FALSE,"Plan2"}</definedName>
    <definedName name="jalejdasjf" localSheetId="0">{#N/A,#N/A,FALSE,"Plan1";#N/A,#N/A,FALSE,"Plan2"}</definedName>
    <definedName name="jalejdasjf" localSheetId="19">{#N/A,#N/A,FALSE,"Plan1";#N/A,#N/A,FALSE,"Plan2"}</definedName>
    <definedName name="jalejdasjf" localSheetId="16">{#N/A,#N/A,FALSE,"Plan1";#N/A,#N/A,FALSE,"Plan2"}</definedName>
    <definedName name="jalejdasjf" localSheetId="18">{#N/A,#N/A,FALSE,"Plan1";#N/A,#N/A,FALSE,"Plan2"}</definedName>
    <definedName name="jalejdasjf" localSheetId="10">{#N/A,#N/A,FALSE,"Plan1";#N/A,#N/A,FALSE,"Plan2"}</definedName>
    <definedName name="jalejdasjf">{#N/A,#N/A,FALSE,"Plan1";#N/A,#N/A,FALSE,"Plan2"}</definedName>
    <definedName name="jan_05" localSheetId="3">#REF!</definedName>
    <definedName name="jan_05" localSheetId="5">#REF!</definedName>
    <definedName name="jan_05" localSheetId="13">#REF!</definedName>
    <definedName name="jan_05" localSheetId="26">#REF!</definedName>
    <definedName name="jan_05">#REF!</definedName>
    <definedName name="jan17RJ" localSheetId="3">#REF!</definedName>
    <definedName name="jan17RJ" localSheetId="5">#REF!</definedName>
    <definedName name="jan17RJ" localSheetId="13">#REF!</definedName>
    <definedName name="jan17RJ" localSheetId="26">#REF!</definedName>
    <definedName name="jan17RJ">#REF!</definedName>
    <definedName name="JANEIRO2001" localSheetId="3">#REF!</definedName>
    <definedName name="JANEIRO2001" localSheetId="5">#REF!</definedName>
    <definedName name="JANEIRO2001" localSheetId="13">#REF!</definedName>
    <definedName name="JANEIRO2001" localSheetId="26">#REF!</definedName>
    <definedName name="JANEIRO2001">#REF!</definedName>
    <definedName name="JASDJS" localSheetId="9">{#N/A,#N/A,FALSE,"Plan1";#N/A,#N/A,FALSE,"Plan2"}</definedName>
    <definedName name="JASDJS" localSheetId="6">{#N/A,#N/A,FALSE,"Plan1";#N/A,#N/A,FALSE,"Plan2"}</definedName>
    <definedName name="JASDJS" localSheetId="3">{#N/A,#N/A,FALSE,"Plan1";#N/A,#N/A,FALSE,"Plan2"}</definedName>
    <definedName name="JASDJS" localSheetId="8">{#N/A,#N/A,FALSE,"Plan1";#N/A,#N/A,FALSE,"Plan2"}</definedName>
    <definedName name="JASDJS" localSheetId="5">{#N/A,#N/A,FALSE,"Plan1";#N/A,#N/A,FALSE,"Plan2"}</definedName>
    <definedName name="JASDJS" localSheetId="4">{#N/A,#N/A,FALSE,"Plan1";#N/A,#N/A,FALSE,"Plan2"}</definedName>
    <definedName name="JASDJS" localSheetId="13">{#N/A,#N/A,FALSE,"Plan1";#N/A,#N/A,FALSE,"Plan2"}</definedName>
    <definedName name="JASDJS" localSheetId="17">{#N/A,#N/A,FALSE,"Plan1";#N/A,#N/A,FALSE,"Plan2"}</definedName>
    <definedName name="JASDJS" localSheetId="0">{#N/A,#N/A,FALSE,"Plan1";#N/A,#N/A,FALSE,"Plan2"}</definedName>
    <definedName name="JASDJS" localSheetId="19">{#N/A,#N/A,FALSE,"Plan1";#N/A,#N/A,FALSE,"Plan2"}</definedName>
    <definedName name="JASDJS" localSheetId="16">{#N/A,#N/A,FALSE,"Plan1";#N/A,#N/A,FALSE,"Plan2"}</definedName>
    <definedName name="JASDJS" localSheetId="18">{#N/A,#N/A,FALSE,"Plan1";#N/A,#N/A,FALSE,"Plan2"}</definedName>
    <definedName name="JASDJS" localSheetId="10">{#N/A,#N/A,FALSE,"Plan1";#N/A,#N/A,FALSE,"Plan2"}</definedName>
    <definedName name="JASDJS">{#N/A,#N/A,FALSE,"Plan1";#N/A,#N/A,FALSE,"Plan2"}</definedName>
    <definedName name="jaskldjlse" localSheetId="9">{#N/A,#N/A,FALSE,"Plan1";#N/A,#N/A,FALSE,"Plan2"}</definedName>
    <definedName name="jaskldjlse" localSheetId="6">{#N/A,#N/A,FALSE,"Plan1";#N/A,#N/A,FALSE,"Plan2"}</definedName>
    <definedName name="jaskldjlse" localSheetId="3">{#N/A,#N/A,FALSE,"Plan1";#N/A,#N/A,FALSE,"Plan2"}</definedName>
    <definedName name="jaskldjlse" localSheetId="8">{#N/A,#N/A,FALSE,"Plan1";#N/A,#N/A,FALSE,"Plan2"}</definedName>
    <definedName name="jaskldjlse" localSheetId="5">{#N/A,#N/A,FALSE,"Plan1";#N/A,#N/A,FALSE,"Plan2"}</definedName>
    <definedName name="jaskldjlse" localSheetId="4">{#N/A,#N/A,FALSE,"Plan1";#N/A,#N/A,FALSE,"Plan2"}</definedName>
    <definedName name="jaskldjlse" localSheetId="13">{#N/A,#N/A,FALSE,"Plan1";#N/A,#N/A,FALSE,"Plan2"}</definedName>
    <definedName name="jaskldjlse" localSheetId="17">{#N/A,#N/A,FALSE,"Plan1";#N/A,#N/A,FALSE,"Plan2"}</definedName>
    <definedName name="jaskldjlse" localSheetId="0">{#N/A,#N/A,FALSE,"Plan1";#N/A,#N/A,FALSE,"Plan2"}</definedName>
    <definedName name="jaskldjlse" localSheetId="19">{#N/A,#N/A,FALSE,"Plan1";#N/A,#N/A,FALSE,"Plan2"}</definedName>
    <definedName name="jaskldjlse" localSheetId="16">{#N/A,#N/A,FALSE,"Plan1";#N/A,#N/A,FALSE,"Plan2"}</definedName>
    <definedName name="jaskldjlse" localSheetId="18">{#N/A,#N/A,FALSE,"Plan1";#N/A,#N/A,FALSE,"Plan2"}</definedName>
    <definedName name="jaskldjlse" localSheetId="10">{#N/A,#N/A,FALSE,"Plan1";#N/A,#N/A,FALSE,"Plan2"}</definedName>
    <definedName name="jaskldjlse">{#N/A,#N/A,FALSE,"Plan1";#N/A,#N/A,FALSE,"Plan2"}</definedName>
    <definedName name="JASLDKLD" localSheetId="9">{#N/A,#N/A,FALSE,"Plan1";#N/A,#N/A,FALSE,"Plan2"}</definedName>
    <definedName name="JASLDKLD" localSheetId="6">{#N/A,#N/A,FALSE,"Plan1";#N/A,#N/A,FALSE,"Plan2"}</definedName>
    <definedName name="JASLDKLD" localSheetId="3">{#N/A,#N/A,FALSE,"Plan1";#N/A,#N/A,FALSE,"Plan2"}</definedName>
    <definedName name="JASLDKLD" localSheetId="8">{#N/A,#N/A,FALSE,"Plan1";#N/A,#N/A,FALSE,"Plan2"}</definedName>
    <definedName name="JASLDKLD" localSheetId="5">{#N/A,#N/A,FALSE,"Plan1";#N/A,#N/A,FALSE,"Plan2"}</definedName>
    <definedName name="JASLDKLD" localSheetId="4">{#N/A,#N/A,FALSE,"Plan1";#N/A,#N/A,FALSE,"Plan2"}</definedName>
    <definedName name="JASLDKLD" localSheetId="13">{#N/A,#N/A,FALSE,"Plan1";#N/A,#N/A,FALSE,"Plan2"}</definedName>
    <definedName name="JASLDKLD" localSheetId="17">{#N/A,#N/A,FALSE,"Plan1";#N/A,#N/A,FALSE,"Plan2"}</definedName>
    <definedName name="JASLDKLD" localSheetId="0">{#N/A,#N/A,FALSE,"Plan1";#N/A,#N/A,FALSE,"Plan2"}</definedName>
    <definedName name="JASLDKLD" localSheetId="19">{#N/A,#N/A,FALSE,"Plan1";#N/A,#N/A,FALSE,"Plan2"}</definedName>
    <definedName name="JASLDKLD" localSheetId="16">{#N/A,#N/A,FALSE,"Plan1";#N/A,#N/A,FALSE,"Plan2"}</definedName>
    <definedName name="JASLDKLD" localSheetId="18">{#N/A,#N/A,FALSE,"Plan1";#N/A,#N/A,FALSE,"Plan2"}</definedName>
    <definedName name="JASLDKLD" localSheetId="10">{#N/A,#N/A,FALSE,"Plan1";#N/A,#N/A,FALSE,"Plan2"}</definedName>
    <definedName name="JASLDKLD">{#N/A,#N/A,FALSE,"Plan1";#N/A,#N/A,FALSE,"Plan2"}</definedName>
    <definedName name="jasoe" localSheetId="3">#REF!</definedName>
    <definedName name="jasoe" localSheetId="5">#REF!</definedName>
    <definedName name="jasoe" localSheetId="13">#REF!</definedName>
    <definedName name="jasoe" localSheetId="26">#REF!</definedName>
    <definedName name="jasoe" localSheetId="0">#REF!</definedName>
    <definedName name="jasoe">#REF!</definedName>
    <definedName name="jbzxffcbgdhgft" localSheetId="3">#REF!</definedName>
    <definedName name="jbzxffcbgdhgft" localSheetId="5">#REF!</definedName>
    <definedName name="jbzxffcbgdhgft" localSheetId="13">#REF!</definedName>
    <definedName name="jbzxffcbgdhgft" localSheetId="26">#REF!</definedName>
    <definedName name="jbzxffcbgdhgft" localSheetId="0">#REF!</definedName>
    <definedName name="jbzxffcbgdhgft">#REF!</definedName>
    <definedName name="JÇDFHDF" localSheetId="9">{"Econ Consolidado",#N/A,FALSE,"Econ Consol";"Fluxo de Caixa",#N/A,FALSE,"Fluxo Caixa";"Investimentos",#N/A,FALSE,"Investimentos"}</definedName>
    <definedName name="JÇDFHDF" localSheetId="6">{"Econ Consolidado",#N/A,FALSE,"Econ Consol";"Fluxo de Caixa",#N/A,FALSE,"Fluxo Caixa";"Investimentos",#N/A,FALSE,"Investimentos"}</definedName>
    <definedName name="JÇDFHDF" localSheetId="3">{"Econ Consolidado",#N/A,FALSE,"Econ Consol";"Fluxo de Caixa",#N/A,FALSE,"Fluxo Caixa";"Investimentos",#N/A,FALSE,"Investimentos"}</definedName>
    <definedName name="JÇDFHDF" localSheetId="8">{"Econ Consolidado",#N/A,FALSE,"Econ Consol";"Fluxo de Caixa",#N/A,FALSE,"Fluxo Caixa";"Investimentos",#N/A,FALSE,"Investimentos"}</definedName>
    <definedName name="JÇDFHDF" localSheetId="5">{"Econ Consolidado",#N/A,FALSE,"Econ Consol";"Fluxo de Caixa",#N/A,FALSE,"Fluxo Caixa";"Investimentos",#N/A,FALSE,"Investimentos"}</definedName>
    <definedName name="JÇDFHDF" localSheetId="4">{"Econ Consolidado",#N/A,FALSE,"Econ Consol";"Fluxo de Caixa",#N/A,FALSE,"Fluxo Caixa";"Investimentos",#N/A,FALSE,"Investimentos"}</definedName>
    <definedName name="JÇDFHDF" localSheetId="13">{"Econ Consolidado",#N/A,FALSE,"Econ Consol";"Fluxo de Caixa",#N/A,FALSE,"Fluxo Caixa";"Investimentos",#N/A,FALSE,"Investimentos"}</definedName>
    <definedName name="JÇDFHDF" localSheetId="17">{"Econ Consolidado",#N/A,FALSE,"Econ Consol";"Fluxo de Caixa",#N/A,FALSE,"Fluxo Caixa";"Investimentos",#N/A,FALSE,"Investimentos"}</definedName>
    <definedName name="JÇDFHDF" localSheetId="0">{"Econ Consolidado",#N/A,FALSE,"Econ Consol";"Fluxo de Caixa",#N/A,FALSE,"Fluxo Caixa";"Investimentos",#N/A,FALSE,"Investimentos"}</definedName>
    <definedName name="JÇDFHDF" localSheetId="19">{"Econ Consolidado",#N/A,FALSE,"Econ Consol";"Fluxo de Caixa",#N/A,FALSE,"Fluxo Caixa";"Investimentos",#N/A,FALSE,"Investimentos"}</definedName>
    <definedName name="JÇDFHDF" localSheetId="16">{"Econ Consolidado",#N/A,FALSE,"Econ Consol";"Fluxo de Caixa",#N/A,FALSE,"Fluxo Caixa";"Investimentos",#N/A,FALSE,"Investimentos"}</definedName>
    <definedName name="JÇDFHDF" localSheetId="18">{"Econ Consolidado",#N/A,FALSE,"Econ Consol";"Fluxo de Caixa",#N/A,FALSE,"Fluxo Caixa";"Investimentos",#N/A,FALSE,"Investimentos"}</definedName>
    <definedName name="JÇDFHDF" localSheetId="10">{"Econ Consolidado",#N/A,FALSE,"Econ Consol";"Fluxo de Caixa",#N/A,FALSE,"Fluxo Caixa";"Investimentos",#N/A,FALSE,"Investimentos"}</definedName>
    <definedName name="JÇDFHDF">{"Econ Consolidado",#N/A,FALSE,"Econ Consol";"Fluxo de Caixa",#N/A,FALSE,"Fluxo Caixa";"Investimentos",#N/A,FALSE,"Investimentos"}</definedName>
    <definedName name="jdbgftbhr" localSheetId="9">{#N/A,#N/A,FALSE,"Plan1";#N/A,#N/A,FALSE,"Plan2"}</definedName>
    <definedName name="jdbgftbhr" localSheetId="6">{#N/A,#N/A,FALSE,"Plan1";#N/A,#N/A,FALSE,"Plan2"}</definedName>
    <definedName name="jdbgftbhr" localSheetId="3">{#N/A,#N/A,FALSE,"Plan1";#N/A,#N/A,FALSE,"Plan2"}</definedName>
    <definedName name="jdbgftbhr" localSheetId="8">{#N/A,#N/A,FALSE,"Plan1";#N/A,#N/A,FALSE,"Plan2"}</definedName>
    <definedName name="jdbgftbhr" localSheetId="5">{#N/A,#N/A,FALSE,"Plan1";#N/A,#N/A,FALSE,"Plan2"}</definedName>
    <definedName name="jdbgftbhr" localSheetId="4">{#N/A,#N/A,FALSE,"Plan1";#N/A,#N/A,FALSE,"Plan2"}</definedName>
    <definedName name="jdbgftbhr" localSheetId="13">{#N/A,#N/A,FALSE,"Plan1";#N/A,#N/A,FALSE,"Plan2"}</definedName>
    <definedName name="jdbgftbhr" localSheetId="17">{#N/A,#N/A,FALSE,"Plan1";#N/A,#N/A,FALSE,"Plan2"}</definedName>
    <definedName name="jdbgftbhr" localSheetId="0">{#N/A,#N/A,FALSE,"Plan1";#N/A,#N/A,FALSE,"Plan2"}</definedName>
    <definedName name="jdbgftbhr" localSheetId="19">{#N/A,#N/A,FALSE,"Plan1";#N/A,#N/A,FALSE,"Plan2"}</definedName>
    <definedName name="jdbgftbhr" localSheetId="16">{#N/A,#N/A,FALSE,"Plan1";#N/A,#N/A,FALSE,"Plan2"}</definedName>
    <definedName name="jdbgftbhr" localSheetId="18">{#N/A,#N/A,FALSE,"Plan1";#N/A,#N/A,FALSE,"Plan2"}</definedName>
    <definedName name="jdbgftbhr" localSheetId="10">{#N/A,#N/A,FALSE,"Plan1";#N/A,#N/A,FALSE,"Plan2"}</definedName>
    <definedName name="jdbgftbhr">{#N/A,#N/A,FALSE,"Plan1";#N/A,#N/A,FALSE,"Plan2"}</definedName>
    <definedName name="jdfgkrhgft" localSheetId="3">#REF!</definedName>
    <definedName name="jdfgkrhgft" localSheetId="5">#REF!</definedName>
    <definedName name="jdfgkrhgft" localSheetId="13">#REF!</definedName>
    <definedName name="jdfgkrhgft" localSheetId="26">#REF!</definedName>
    <definedName name="jdfgkrhgft" localSheetId="0">#REF!</definedName>
    <definedName name="jdfgkrhgft">#REF!</definedName>
    <definedName name="jdfgldfjgklh" localSheetId="9">{#N/A,#N/A,FALSE,"Plan1";#N/A,#N/A,FALSE,"Plan2"}</definedName>
    <definedName name="jdfgldfjgklh" localSheetId="6">{#N/A,#N/A,FALSE,"Plan1";#N/A,#N/A,FALSE,"Plan2"}</definedName>
    <definedName name="jdfgldfjgklh" localSheetId="3">{#N/A,#N/A,FALSE,"Plan1";#N/A,#N/A,FALSE,"Plan2"}</definedName>
    <definedName name="jdfgldfjgklh" localSheetId="8">{#N/A,#N/A,FALSE,"Plan1";#N/A,#N/A,FALSE,"Plan2"}</definedName>
    <definedName name="jdfgldfjgklh" localSheetId="5">{#N/A,#N/A,FALSE,"Plan1";#N/A,#N/A,FALSE,"Plan2"}</definedName>
    <definedName name="jdfgldfjgklh" localSheetId="4">{#N/A,#N/A,FALSE,"Plan1";#N/A,#N/A,FALSE,"Plan2"}</definedName>
    <definedName name="jdfgldfjgklh" localSheetId="13">{#N/A,#N/A,FALSE,"Plan1";#N/A,#N/A,FALSE,"Plan2"}</definedName>
    <definedName name="jdfgldfjgklh" localSheetId="17">{#N/A,#N/A,FALSE,"Plan1";#N/A,#N/A,FALSE,"Plan2"}</definedName>
    <definedName name="jdfgldfjgklh" localSheetId="0">{#N/A,#N/A,FALSE,"Plan1";#N/A,#N/A,FALSE,"Plan2"}</definedName>
    <definedName name="jdfgldfjgklh" localSheetId="19">{#N/A,#N/A,FALSE,"Plan1";#N/A,#N/A,FALSE,"Plan2"}</definedName>
    <definedName name="jdfgldfjgklh" localSheetId="16">{#N/A,#N/A,FALSE,"Plan1";#N/A,#N/A,FALSE,"Plan2"}</definedName>
    <definedName name="jdfgldfjgklh" localSheetId="18">{#N/A,#N/A,FALSE,"Plan1";#N/A,#N/A,FALSE,"Plan2"}</definedName>
    <definedName name="jdfgldfjgklh" localSheetId="10">{#N/A,#N/A,FALSE,"Plan1";#N/A,#N/A,FALSE,"Plan2"}</definedName>
    <definedName name="jdfgldfjgklh">{#N/A,#N/A,FALSE,"Plan1";#N/A,#N/A,FALSE,"Plan2"}</definedName>
    <definedName name="jdfhjkdrhjtkg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9">{#N/A,#N/A,FALSE,"Plan1";#N/A,#N/A,FALSE,"Plan2"}</definedName>
    <definedName name="jdfjdtrgt" localSheetId="6">{#N/A,#N/A,FALSE,"Plan1";#N/A,#N/A,FALSE,"Plan2"}</definedName>
    <definedName name="jdfjdtrgt" localSheetId="3">{#N/A,#N/A,FALSE,"Plan1";#N/A,#N/A,FALSE,"Plan2"}</definedName>
    <definedName name="jdfjdtrgt" localSheetId="8">{#N/A,#N/A,FALSE,"Plan1";#N/A,#N/A,FALSE,"Plan2"}</definedName>
    <definedName name="jdfjdtrgt" localSheetId="5">{#N/A,#N/A,FALSE,"Plan1";#N/A,#N/A,FALSE,"Plan2"}</definedName>
    <definedName name="jdfjdtrgt" localSheetId="4">{#N/A,#N/A,FALSE,"Plan1";#N/A,#N/A,FALSE,"Plan2"}</definedName>
    <definedName name="jdfjdtrgt" localSheetId="13">{#N/A,#N/A,FALSE,"Plan1";#N/A,#N/A,FALSE,"Plan2"}</definedName>
    <definedName name="jdfjdtrgt" localSheetId="17">{#N/A,#N/A,FALSE,"Plan1";#N/A,#N/A,FALSE,"Plan2"}</definedName>
    <definedName name="jdfjdtrgt" localSheetId="0">{#N/A,#N/A,FALSE,"Plan1";#N/A,#N/A,FALSE,"Plan2"}</definedName>
    <definedName name="jdfjdtrgt" localSheetId="19">{#N/A,#N/A,FALSE,"Plan1";#N/A,#N/A,FALSE,"Plan2"}</definedName>
    <definedName name="jdfjdtrgt" localSheetId="16">{#N/A,#N/A,FALSE,"Plan1";#N/A,#N/A,FALSE,"Plan2"}</definedName>
    <definedName name="jdfjdtrgt" localSheetId="18">{#N/A,#N/A,FALSE,"Plan1";#N/A,#N/A,FALSE,"Plan2"}</definedName>
    <definedName name="jdfjdtrgt" localSheetId="10">{#N/A,#N/A,FALSE,"Plan1";#N/A,#N/A,FALSE,"Plan2"}</definedName>
    <definedName name="jdfjdtrgt">{#N/A,#N/A,FALSE,"Plan1";#N/A,#N/A,FALSE,"Plan2"}</definedName>
    <definedName name="JDFJLDJR" localSheetId="9">{#N/A,#N/A,FALSE,"Plan1";#N/A,#N/A,FALSE,"Plan2"}</definedName>
    <definedName name="JDFJLDJR" localSheetId="6">{#N/A,#N/A,FALSE,"Plan1";#N/A,#N/A,FALSE,"Plan2"}</definedName>
    <definedName name="JDFJLDJR" localSheetId="3">{#N/A,#N/A,FALSE,"Plan1";#N/A,#N/A,FALSE,"Plan2"}</definedName>
    <definedName name="JDFJLDJR" localSheetId="8">{#N/A,#N/A,FALSE,"Plan1";#N/A,#N/A,FALSE,"Plan2"}</definedName>
    <definedName name="JDFJLDJR" localSheetId="5">{#N/A,#N/A,FALSE,"Plan1";#N/A,#N/A,FALSE,"Plan2"}</definedName>
    <definedName name="JDFJLDJR" localSheetId="4">{#N/A,#N/A,FALSE,"Plan1";#N/A,#N/A,FALSE,"Plan2"}</definedName>
    <definedName name="JDFJLDJR" localSheetId="13">{#N/A,#N/A,FALSE,"Plan1";#N/A,#N/A,FALSE,"Plan2"}</definedName>
    <definedName name="JDFJLDJR" localSheetId="17">{#N/A,#N/A,FALSE,"Plan1";#N/A,#N/A,FALSE,"Plan2"}</definedName>
    <definedName name="JDFJLDJR" localSheetId="0">{#N/A,#N/A,FALSE,"Plan1";#N/A,#N/A,FALSE,"Plan2"}</definedName>
    <definedName name="JDFJLDJR" localSheetId="19">{#N/A,#N/A,FALSE,"Plan1";#N/A,#N/A,FALSE,"Plan2"}</definedName>
    <definedName name="JDFJLDJR" localSheetId="16">{#N/A,#N/A,FALSE,"Plan1";#N/A,#N/A,FALSE,"Plan2"}</definedName>
    <definedName name="JDFJLDJR" localSheetId="18">{#N/A,#N/A,FALSE,"Plan1";#N/A,#N/A,FALSE,"Plan2"}</definedName>
    <definedName name="JDFJLDJR" localSheetId="10">{#N/A,#N/A,FALSE,"Plan1";#N/A,#N/A,FALSE,"Plan2"}</definedName>
    <definedName name="JDFJLDJR">{#N/A,#N/A,FALSE,"Plan1";#N/A,#N/A,FALSE,"Plan2"}</definedName>
    <definedName name="jdfkgitfgdrtt" localSheetId="9">{#N/A,#N/A,FALSE,"Plan1";#N/A,#N/A,FALSE,"Plan2"}</definedName>
    <definedName name="jdfkgitfgdrtt" localSheetId="6">{#N/A,#N/A,FALSE,"Plan1";#N/A,#N/A,FALSE,"Plan2"}</definedName>
    <definedName name="jdfkgitfgdrtt" localSheetId="3">{#N/A,#N/A,FALSE,"Plan1";#N/A,#N/A,FALSE,"Plan2"}</definedName>
    <definedName name="jdfkgitfgdrtt" localSheetId="8">{#N/A,#N/A,FALSE,"Plan1";#N/A,#N/A,FALSE,"Plan2"}</definedName>
    <definedName name="jdfkgitfgdrtt" localSheetId="5">{#N/A,#N/A,FALSE,"Plan1";#N/A,#N/A,FALSE,"Plan2"}</definedName>
    <definedName name="jdfkgitfgdrtt" localSheetId="4">{#N/A,#N/A,FALSE,"Plan1";#N/A,#N/A,FALSE,"Plan2"}</definedName>
    <definedName name="jdfkgitfgdrtt" localSheetId="13">{#N/A,#N/A,FALSE,"Plan1";#N/A,#N/A,FALSE,"Plan2"}</definedName>
    <definedName name="jdfkgitfgdrtt" localSheetId="17">{#N/A,#N/A,FALSE,"Plan1";#N/A,#N/A,FALSE,"Plan2"}</definedName>
    <definedName name="jdfkgitfgdrtt" localSheetId="0">{#N/A,#N/A,FALSE,"Plan1";#N/A,#N/A,FALSE,"Plan2"}</definedName>
    <definedName name="jdfkgitfgdrtt" localSheetId="19">{#N/A,#N/A,FALSE,"Plan1";#N/A,#N/A,FALSE,"Plan2"}</definedName>
    <definedName name="jdfkgitfgdrtt" localSheetId="16">{#N/A,#N/A,FALSE,"Plan1";#N/A,#N/A,FALSE,"Plan2"}</definedName>
    <definedName name="jdfkgitfgdrtt" localSheetId="18">{#N/A,#N/A,FALSE,"Plan1";#N/A,#N/A,FALSE,"Plan2"}</definedName>
    <definedName name="jdfkgitfgdrtt" localSheetId="10">{#N/A,#N/A,FALSE,"Plan1";#N/A,#N/A,FALSE,"Plan2"}</definedName>
    <definedName name="jdfkgitfgdrtt">{#N/A,#N/A,FALSE,"Plan1";#N/A,#N/A,FALSE,"Plan2"}</definedName>
    <definedName name="JDFKHFKJ" localSheetId="9">{#N/A,#N/A,FALSE,"Plan1";#N/A,#N/A,FALSE,"Plan2"}</definedName>
    <definedName name="JDFKHFKJ" localSheetId="6">{#N/A,#N/A,FALSE,"Plan1";#N/A,#N/A,FALSE,"Plan2"}</definedName>
    <definedName name="JDFKHFKJ" localSheetId="3">{#N/A,#N/A,FALSE,"Plan1";#N/A,#N/A,FALSE,"Plan2"}</definedName>
    <definedName name="JDFKHFKJ" localSheetId="8">{#N/A,#N/A,FALSE,"Plan1";#N/A,#N/A,FALSE,"Plan2"}</definedName>
    <definedName name="JDFKHFKJ" localSheetId="5">{#N/A,#N/A,FALSE,"Plan1";#N/A,#N/A,FALSE,"Plan2"}</definedName>
    <definedName name="JDFKHFKJ" localSheetId="4">{#N/A,#N/A,FALSE,"Plan1";#N/A,#N/A,FALSE,"Plan2"}</definedName>
    <definedName name="JDFKHFKJ" localSheetId="13">{#N/A,#N/A,FALSE,"Plan1";#N/A,#N/A,FALSE,"Plan2"}</definedName>
    <definedName name="JDFKHFKJ" localSheetId="17">{#N/A,#N/A,FALSE,"Plan1";#N/A,#N/A,FALSE,"Plan2"}</definedName>
    <definedName name="JDFKHFKJ" localSheetId="0">{#N/A,#N/A,FALSE,"Plan1";#N/A,#N/A,FALSE,"Plan2"}</definedName>
    <definedName name="JDFKHFKJ" localSheetId="19">{#N/A,#N/A,FALSE,"Plan1";#N/A,#N/A,FALSE,"Plan2"}</definedName>
    <definedName name="JDFKHFKJ" localSheetId="16">{#N/A,#N/A,FALSE,"Plan1";#N/A,#N/A,FALSE,"Plan2"}</definedName>
    <definedName name="JDFKHFKJ" localSheetId="18">{#N/A,#N/A,FALSE,"Plan1";#N/A,#N/A,FALSE,"Plan2"}</definedName>
    <definedName name="JDFKHFKJ" localSheetId="10">{#N/A,#N/A,FALSE,"Plan1";#N/A,#N/A,FALSE,"Plan2"}</definedName>
    <definedName name="JDFKHFKJ">{#N/A,#N/A,FALSE,"Plan1";#N/A,#N/A,FALSE,"Plan2"}</definedName>
    <definedName name="jdfklgtdtr" localSheetId="9">{#N/A,#N/A,FALSE,"Plan1";#N/A,#N/A,FALSE,"Plan2"}</definedName>
    <definedName name="jdfklgtdtr" localSheetId="6">{#N/A,#N/A,FALSE,"Plan1";#N/A,#N/A,FALSE,"Plan2"}</definedName>
    <definedName name="jdfklgtdtr" localSheetId="3">{#N/A,#N/A,FALSE,"Plan1";#N/A,#N/A,FALSE,"Plan2"}</definedName>
    <definedName name="jdfklgtdtr" localSheetId="8">{#N/A,#N/A,FALSE,"Plan1";#N/A,#N/A,FALSE,"Plan2"}</definedName>
    <definedName name="jdfklgtdtr" localSheetId="5">{#N/A,#N/A,FALSE,"Plan1";#N/A,#N/A,FALSE,"Plan2"}</definedName>
    <definedName name="jdfklgtdtr" localSheetId="4">{#N/A,#N/A,FALSE,"Plan1";#N/A,#N/A,FALSE,"Plan2"}</definedName>
    <definedName name="jdfklgtdtr" localSheetId="13">{#N/A,#N/A,FALSE,"Plan1";#N/A,#N/A,FALSE,"Plan2"}</definedName>
    <definedName name="jdfklgtdtr" localSheetId="17">{#N/A,#N/A,FALSE,"Plan1";#N/A,#N/A,FALSE,"Plan2"}</definedName>
    <definedName name="jdfklgtdtr" localSheetId="0">{#N/A,#N/A,FALSE,"Plan1";#N/A,#N/A,FALSE,"Plan2"}</definedName>
    <definedName name="jdfklgtdtr" localSheetId="19">{#N/A,#N/A,FALSE,"Plan1";#N/A,#N/A,FALSE,"Plan2"}</definedName>
    <definedName name="jdfklgtdtr" localSheetId="16">{#N/A,#N/A,FALSE,"Plan1";#N/A,#N/A,FALSE,"Plan2"}</definedName>
    <definedName name="jdfklgtdtr" localSheetId="18">{#N/A,#N/A,FALSE,"Plan1";#N/A,#N/A,FALSE,"Plan2"}</definedName>
    <definedName name="jdfklgtdtr" localSheetId="10">{#N/A,#N/A,FALSE,"Plan1";#N/A,#N/A,FALSE,"Plan2"}</definedName>
    <definedName name="jdfklgtdtr">{#N/A,#N/A,FALSE,"Plan1";#N/A,#N/A,FALSE,"Plan2"}</definedName>
    <definedName name="JDFKTHRT" localSheetId="9">{#N/A,#N/A,FALSE,"Plan1";#N/A,#N/A,FALSE,"Plan2"}</definedName>
    <definedName name="JDFKTHRT" localSheetId="6">{#N/A,#N/A,FALSE,"Plan1";#N/A,#N/A,FALSE,"Plan2"}</definedName>
    <definedName name="JDFKTHRT" localSheetId="3">{#N/A,#N/A,FALSE,"Plan1";#N/A,#N/A,FALSE,"Plan2"}</definedName>
    <definedName name="JDFKTHRT" localSheetId="8">{#N/A,#N/A,FALSE,"Plan1";#N/A,#N/A,FALSE,"Plan2"}</definedName>
    <definedName name="JDFKTHRT" localSheetId="5">{#N/A,#N/A,FALSE,"Plan1";#N/A,#N/A,FALSE,"Plan2"}</definedName>
    <definedName name="JDFKTHRT" localSheetId="4">{#N/A,#N/A,FALSE,"Plan1";#N/A,#N/A,FALSE,"Plan2"}</definedName>
    <definedName name="JDFKTHRT" localSheetId="13">{#N/A,#N/A,FALSE,"Plan1";#N/A,#N/A,FALSE,"Plan2"}</definedName>
    <definedName name="JDFKTHRT" localSheetId="17">{#N/A,#N/A,FALSE,"Plan1";#N/A,#N/A,FALSE,"Plan2"}</definedName>
    <definedName name="JDFKTHRT" localSheetId="0">{#N/A,#N/A,FALSE,"Plan1";#N/A,#N/A,FALSE,"Plan2"}</definedName>
    <definedName name="JDFKTHRT" localSheetId="19">{#N/A,#N/A,FALSE,"Plan1";#N/A,#N/A,FALSE,"Plan2"}</definedName>
    <definedName name="JDFKTHRT" localSheetId="16">{#N/A,#N/A,FALSE,"Plan1";#N/A,#N/A,FALSE,"Plan2"}</definedName>
    <definedName name="JDFKTHRT" localSheetId="18">{#N/A,#N/A,FALSE,"Plan1";#N/A,#N/A,FALSE,"Plan2"}</definedName>
    <definedName name="JDFKTHRT" localSheetId="10">{#N/A,#N/A,FALSE,"Plan1";#N/A,#N/A,FALSE,"Plan2"}</definedName>
    <definedName name="JDFKTHRT">{#N/A,#N/A,FALSE,"Plan1";#N/A,#N/A,FALSE,"Plan2"}</definedName>
    <definedName name="JDFLKJDRF" localSheetId="9">{#N/A,#N/A,FALSE,"Plan1";#N/A,#N/A,FALSE,"Plan2"}</definedName>
    <definedName name="JDFLKJDRF" localSheetId="6">{#N/A,#N/A,FALSE,"Plan1";#N/A,#N/A,FALSE,"Plan2"}</definedName>
    <definedName name="JDFLKJDRF" localSheetId="3">{#N/A,#N/A,FALSE,"Plan1";#N/A,#N/A,FALSE,"Plan2"}</definedName>
    <definedName name="JDFLKJDRF" localSheetId="8">{#N/A,#N/A,FALSE,"Plan1";#N/A,#N/A,FALSE,"Plan2"}</definedName>
    <definedName name="JDFLKJDRF" localSheetId="5">{#N/A,#N/A,FALSE,"Plan1";#N/A,#N/A,FALSE,"Plan2"}</definedName>
    <definedName name="JDFLKJDRF" localSheetId="4">{#N/A,#N/A,FALSE,"Plan1";#N/A,#N/A,FALSE,"Plan2"}</definedName>
    <definedName name="JDFLKJDRF" localSheetId="13">{#N/A,#N/A,FALSE,"Plan1";#N/A,#N/A,FALSE,"Plan2"}</definedName>
    <definedName name="JDFLKJDRF" localSheetId="17">{#N/A,#N/A,FALSE,"Plan1";#N/A,#N/A,FALSE,"Plan2"}</definedName>
    <definedName name="JDFLKJDRF" localSheetId="0">{#N/A,#N/A,FALSE,"Plan1";#N/A,#N/A,FALSE,"Plan2"}</definedName>
    <definedName name="JDFLKJDRF" localSheetId="19">{#N/A,#N/A,FALSE,"Plan1";#N/A,#N/A,FALSE,"Plan2"}</definedName>
    <definedName name="JDFLKJDRF" localSheetId="16">{#N/A,#N/A,FALSE,"Plan1";#N/A,#N/A,FALSE,"Plan2"}</definedName>
    <definedName name="JDFLKJDRF" localSheetId="18">{#N/A,#N/A,FALSE,"Plan1";#N/A,#N/A,FALSE,"Plan2"}</definedName>
    <definedName name="JDFLKJDRF" localSheetId="10">{#N/A,#N/A,FALSE,"Plan1";#N/A,#N/A,FALSE,"Plan2"}</definedName>
    <definedName name="JDFLKJDRF">{#N/A,#N/A,FALSE,"Plan1";#N/A,#N/A,FALSE,"Plan2"}</definedName>
    <definedName name="jdfzlkjgfdht" localSheetId="9">{#N/A,#N/A,FALSE,"Plan1";#N/A,#N/A,FALSE,"Plan2"}</definedName>
    <definedName name="jdfzlkjgfdht" localSheetId="6">{#N/A,#N/A,FALSE,"Plan1";#N/A,#N/A,FALSE,"Plan2"}</definedName>
    <definedName name="jdfzlkjgfdht" localSheetId="3">{#N/A,#N/A,FALSE,"Plan1";#N/A,#N/A,FALSE,"Plan2"}</definedName>
    <definedName name="jdfzlkjgfdht" localSheetId="8">{#N/A,#N/A,FALSE,"Plan1";#N/A,#N/A,FALSE,"Plan2"}</definedName>
    <definedName name="jdfzlkjgfdht" localSheetId="5">{#N/A,#N/A,FALSE,"Plan1";#N/A,#N/A,FALSE,"Plan2"}</definedName>
    <definedName name="jdfzlkjgfdht" localSheetId="4">{#N/A,#N/A,FALSE,"Plan1";#N/A,#N/A,FALSE,"Plan2"}</definedName>
    <definedName name="jdfzlkjgfdht" localSheetId="13">{#N/A,#N/A,FALSE,"Plan1";#N/A,#N/A,FALSE,"Plan2"}</definedName>
    <definedName name="jdfzlkjgfdht" localSheetId="17">{#N/A,#N/A,FALSE,"Plan1";#N/A,#N/A,FALSE,"Plan2"}</definedName>
    <definedName name="jdfzlkjgfdht" localSheetId="0">{#N/A,#N/A,FALSE,"Plan1";#N/A,#N/A,FALSE,"Plan2"}</definedName>
    <definedName name="jdfzlkjgfdht" localSheetId="19">{#N/A,#N/A,FALSE,"Plan1";#N/A,#N/A,FALSE,"Plan2"}</definedName>
    <definedName name="jdfzlkjgfdht" localSheetId="16">{#N/A,#N/A,FALSE,"Plan1";#N/A,#N/A,FALSE,"Plan2"}</definedName>
    <definedName name="jdfzlkjgfdht" localSheetId="18">{#N/A,#N/A,FALSE,"Plan1";#N/A,#N/A,FALSE,"Plan2"}</definedName>
    <definedName name="jdfzlkjgfdht" localSheetId="10">{#N/A,#N/A,FALSE,"Plan1";#N/A,#N/A,FALSE,"Plan2"}</definedName>
    <definedName name="jdfzlkjgfdht">{#N/A,#N/A,FALSE,"Plan1";#N/A,#N/A,FALSE,"Plan2"}</definedName>
    <definedName name="jdglhfghkt" localSheetId="9">{#N/A,#N/A,FALSE,"Plan1";#N/A,#N/A,FALSE,"Plan2"}</definedName>
    <definedName name="jdglhfghkt" localSheetId="6">{#N/A,#N/A,FALSE,"Plan1";#N/A,#N/A,FALSE,"Plan2"}</definedName>
    <definedName name="jdglhfghkt" localSheetId="3">{#N/A,#N/A,FALSE,"Plan1";#N/A,#N/A,FALSE,"Plan2"}</definedName>
    <definedName name="jdglhfghkt" localSheetId="8">{#N/A,#N/A,FALSE,"Plan1";#N/A,#N/A,FALSE,"Plan2"}</definedName>
    <definedName name="jdglhfghkt" localSheetId="5">{#N/A,#N/A,FALSE,"Plan1";#N/A,#N/A,FALSE,"Plan2"}</definedName>
    <definedName name="jdglhfghkt" localSheetId="4">{#N/A,#N/A,FALSE,"Plan1";#N/A,#N/A,FALSE,"Plan2"}</definedName>
    <definedName name="jdglhfghkt" localSheetId="13">{#N/A,#N/A,FALSE,"Plan1";#N/A,#N/A,FALSE,"Plan2"}</definedName>
    <definedName name="jdglhfghkt" localSheetId="17">{#N/A,#N/A,FALSE,"Plan1";#N/A,#N/A,FALSE,"Plan2"}</definedName>
    <definedName name="jdglhfghkt" localSheetId="0">{#N/A,#N/A,FALSE,"Plan1";#N/A,#N/A,FALSE,"Plan2"}</definedName>
    <definedName name="jdglhfghkt" localSheetId="19">{#N/A,#N/A,FALSE,"Plan1";#N/A,#N/A,FALSE,"Plan2"}</definedName>
    <definedName name="jdglhfghkt" localSheetId="16">{#N/A,#N/A,FALSE,"Plan1";#N/A,#N/A,FALSE,"Plan2"}</definedName>
    <definedName name="jdglhfghkt" localSheetId="18">{#N/A,#N/A,FALSE,"Plan1";#N/A,#N/A,FALSE,"Plan2"}</definedName>
    <definedName name="jdglhfghkt" localSheetId="10">{#N/A,#N/A,FALSE,"Plan1";#N/A,#N/A,FALSE,"Plan2"}</definedName>
    <definedName name="jdglhfghkt">{#N/A,#N/A,FALSE,"Plan1";#N/A,#N/A,FALSE,"Plan2"}</definedName>
    <definedName name="jdhfjdhgfd" localSheetId="9">{#N/A,#N/A,FALSE,"Plan1";#N/A,#N/A,FALSE,"Plan2"}</definedName>
    <definedName name="jdhfjdhgfd" localSheetId="6">{#N/A,#N/A,FALSE,"Plan1";#N/A,#N/A,FALSE,"Plan2"}</definedName>
    <definedName name="jdhfjdhgfd" localSheetId="3">{#N/A,#N/A,FALSE,"Plan1";#N/A,#N/A,FALSE,"Plan2"}</definedName>
    <definedName name="jdhfjdhgfd" localSheetId="8">{#N/A,#N/A,FALSE,"Plan1";#N/A,#N/A,FALSE,"Plan2"}</definedName>
    <definedName name="jdhfjdhgfd" localSheetId="5">{#N/A,#N/A,FALSE,"Plan1";#N/A,#N/A,FALSE,"Plan2"}</definedName>
    <definedName name="jdhfjdhgfd" localSheetId="4">{#N/A,#N/A,FALSE,"Plan1";#N/A,#N/A,FALSE,"Plan2"}</definedName>
    <definedName name="jdhfjdhgfd" localSheetId="13">{#N/A,#N/A,FALSE,"Plan1";#N/A,#N/A,FALSE,"Plan2"}</definedName>
    <definedName name="jdhfjdhgfd" localSheetId="17">{#N/A,#N/A,FALSE,"Plan1";#N/A,#N/A,FALSE,"Plan2"}</definedName>
    <definedName name="jdhfjdhgfd" localSheetId="0">{#N/A,#N/A,FALSE,"Plan1";#N/A,#N/A,FALSE,"Plan2"}</definedName>
    <definedName name="jdhfjdhgfd" localSheetId="19">{#N/A,#N/A,FALSE,"Plan1";#N/A,#N/A,FALSE,"Plan2"}</definedName>
    <definedName name="jdhfjdhgfd" localSheetId="16">{#N/A,#N/A,FALSE,"Plan1";#N/A,#N/A,FALSE,"Plan2"}</definedName>
    <definedName name="jdhfjdhgfd" localSheetId="18">{#N/A,#N/A,FALSE,"Plan1";#N/A,#N/A,FALSE,"Plan2"}</definedName>
    <definedName name="jdhfjdhgfd" localSheetId="10">{#N/A,#N/A,FALSE,"Plan1";#N/A,#N/A,FALSE,"Plan2"}</definedName>
    <definedName name="jdhfjdhgfd">{#N/A,#N/A,FALSE,"Plan1";#N/A,#N/A,FALSE,"Plan2"}</definedName>
    <definedName name="jdjdjdjd" localSheetId="9">{#N/A,#N/A,FALSE,"명세표"}</definedName>
    <definedName name="jdjdjdjd" localSheetId="6">{#N/A,#N/A,FALSE,"명세표"}</definedName>
    <definedName name="jdjdjdjd" localSheetId="3">{#N/A,#N/A,FALSE,"명세표"}</definedName>
    <definedName name="jdjdjdjd" localSheetId="8">{#N/A,#N/A,FALSE,"명세표"}</definedName>
    <definedName name="jdjdjdjd" localSheetId="5">{#N/A,#N/A,FALSE,"명세표"}</definedName>
    <definedName name="jdjdjdjd" localSheetId="4">{#N/A,#N/A,FALSE,"명세표"}</definedName>
    <definedName name="jdjdjdjd" localSheetId="13">{#N/A,#N/A,FALSE,"명세표"}</definedName>
    <definedName name="jdjdjdjd" localSheetId="17">{#N/A,#N/A,FALSE,"명세표"}</definedName>
    <definedName name="jdjdjdjd" localSheetId="0">{#N/A,#N/A,FALSE,"명세표"}</definedName>
    <definedName name="jdjdjdjd" localSheetId="19">{#N/A,#N/A,FALSE,"명세표"}</definedName>
    <definedName name="jdjdjdjd" localSheetId="16">{#N/A,#N/A,FALSE,"명세표"}</definedName>
    <definedName name="jdjdjdjd" localSheetId="18">{#N/A,#N/A,FALSE,"명세표"}</definedName>
    <definedName name="jdjdjdjd" localSheetId="10">{#N/A,#N/A,FALSE,"명세표"}</definedName>
    <definedName name="jdjdjdjd">{#N/A,#N/A,FALSE,"명세표"}</definedName>
    <definedName name="jdkfhgjhf" localSheetId="9">{#N/A,#N/A,FALSE,"Plan1";#N/A,#N/A,FALSE,"Plan2"}</definedName>
    <definedName name="jdkfhgjhf" localSheetId="6">{#N/A,#N/A,FALSE,"Plan1";#N/A,#N/A,FALSE,"Plan2"}</definedName>
    <definedName name="jdkfhgjhf" localSheetId="3">{#N/A,#N/A,FALSE,"Plan1";#N/A,#N/A,FALSE,"Plan2"}</definedName>
    <definedName name="jdkfhgjhf" localSheetId="8">{#N/A,#N/A,FALSE,"Plan1";#N/A,#N/A,FALSE,"Plan2"}</definedName>
    <definedName name="jdkfhgjhf" localSheetId="5">{#N/A,#N/A,FALSE,"Plan1";#N/A,#N/A,FALSE,"Plan2"}</definedName>
    <definedName name="jdkfhgjhf" localSheetId="4">{#N/A,#N/A,FALSE,"Plan1";#N/A,#N/A,FALSE,"Plan2"}</definedName>
    <definedName name="jdkfhgjhf" localSheetId="13">{#N/A,#N/A,FALSE,"Plan1";#N/A,#N/A,FALSE,"Plan2"}</definedName>
    <definedName name="jdkfhgjhf" localSheetId="17">{#N/A,#N/A,FALSE,"Plan1";#N/A,#N/A,FALSE,"Plan2"}</definedName>
    <definedName name="jdkfhgjhf" localSheetId="0">{#N/A,#N/A,FALSE,"Plan1";#N/A,#N/A,FALSE,"Plan2"}</definedName>
    <definedName name="jdkfhgjhf" localSheetId="19">{#N/A,#N/A,FALSE,"Plan1";#N/A,#N/A,FALSE,"Plan2"}</definedName>
    <definedName name="jdkfhgjhf" localSheetId="16">{#N/A,#N/A,FALSE,"Plan1";#N/A,#N/A,FALSE,"Plan2"}</definedName>
    <definedName name="jdkfhgjhf" localSheetId="18">{#N/A,#N/A,FALSE,"Plan1";#N/A,#N/A,FALSE,"Plan2"}</definedName>
    <definedName name="jdkfhgjhf" localSheetId="10">{#N/A,#N/A,FALSE,"Plan1";#N/A,#N/A,FALSE,"Plan2"}</definedName>
    <definedName name="jdkfhgjhf">{#N/A,#N/A,FALSE,"Plan1";#N/A,#N/A,FALSE,"Plan2"}</definedName>
    <definedName name="jdkfjdtr" localSheetId="9">{#N/A,#N/A,FALSE,"Plan1";#N/A,#N/A,FALSE,"Plan2"}</definedName>
    <definedName name="jdkfjdtr" localSheetId="6">{#N/A,#N/A,FALSE,"Plan1";#N/A,#N/A,FALSE,"Plan2"}</definedName>
    <definedName name="jdkfjdtr" localSheetId="3">{#N/A,#N/A,FALSE,"Plan1";#N/A,#N/A,FALSE,"Plan2"}</definedName>
    <definedName name="jdkfjdtr" localSheetId="8">{#N/A,#N/A,FALSE,"Plan1";#N/A,#N/A,FALSE,"Plan2"}</definedName>
    <definedName name="jdkfjdtr" localSheetId="5">{#N/A,#N/A,FALSE,"Plan1";#N/A,#N/A,FALSE,"Plan2"}</definedName>
    <definedName name="jdkfjdtr" localSheetId="4">{#N/A,#N/A,FALSE,"Plan1";#N/A,#N/A,FALSE,"Plan2"}</definedName>
    <definedName name="jdkfjdtr" localSheetId="13">{#N/A,#N/A,FALSE,"Plan1";#N/A,#N/A,FALSE,"Plan2"}</definedName>
    <definedName name="jdkfjdtr" localSheetId="17">{#N/A,#N/A,FALSE,"Plan1";#N/A,#N/A,FALSE,"Plan2"}</definedName>
    <definedName name="jdkfjdtr" localSheetId="0">{#N/A,#N/A,FALSE,"Plan1";#N/A,#N/A,FALSE,"Plan2"}</definedName>
    <definedName name="jdkfjdtr" localSheetId="19">{#N/A,#N/A,FALSE,"Plan1";#N/A,#N/A,FALSE,"Plan2"}</definedName>
    <definedName name="jdkfjdtr" localSheetId="16">{#N/A,#N/A,FALSE,"Plan1";#N/A,#N/A,FALSE,"Plan2"}</definedName>
    <definedName name="jdkfjdtr" localSheetId="18">{#N/A,#N/A,FALSE,"Plan1";#N/A,#N/A,FALSE,"Plan2"}</definedName>
    <definedName name="jdkfjdtr" localSheetId="10">{#N/A,#N/A,FALSE,"Plan1";#N/A,#N/A,FALSE,"Plan2"}</definedName>
    <definedName name="jdkfjdtr">{#N/A,#N/A,FALSE,"Plan1";#N/A,#N/A,FALSE,"Plan2"}</definedName>
    <definedName name="jdljgftldjti5r" localSheetId="9">{#N/A,#N/A,FALSE,"Plan1";#N/A,#N/A,FALSE,"Plan2"}</definedName>
    <definedName name="jdljgftldjti5r" localSheetId="6">{#N/A,#N/A,FALSE,"Plan1";#N/A,#N/A,FALSE,"Plan2"}</definedName>
    <definedName name="jdljgftldjti5r" localSheetId="3">{#N/A,#N/A,FALSE,"Plan1";#N/A,#N/A,FALSE,"Plan2"}</definedName>
    <definedName name="jdljgftldjti5r" localSheetId="8">{#N/A,#N/A,FALSE,"Plan1";#N/A,#N/A,FALSE,"Plan2"}</definedName>
    <definedName name="jdljgftldjti5r" localSheetId="5">{#N/A,#N/A,FALSE,"Plan1";#N/A,#N/A,FALSE,"Plan2"}</definedName>
    <definedName name="jdljgftldjti5r" localSheetId="4">{#N/A,#N/A,FALSE,"Plan1";#N/A,#N/A,FALSE,"Plan2"}</definedName>
    <definedName name="jdljgftldjti5r" localSheetId="13">{#N/A,#N/A,FALSE,"Plan1";#N/A,#N/A,FALSE,"Plan2"}</definedName>
    <definedName name="jdljgftldjti5r" localSheetId="17">{#N/A,#N/A,FALSE,"Plan1";#N/A,#N/A,FALSE,"Plan2"}</definedName>
    <definedName name="jdljgftldjti5r" localSheetId="0">{#N/A,#N/A,FALSE,"Plan1";#N/A,#N/A,FALSE,"Plan2"}</definedName>
    <definedName name="jdljgftldjti5r" localSheetId="19">{#N/A,#N/A,FALSE,"Plan1";#N/A,#N/A,FALSE,"Plan2"}</definedName>
    <definedName name="jdljgftldjti5r" localSheetId="16">{#N/A,#N/A,FALSE,"Plan1";#N/A,#N/A,FALSE,"Plan2"}</definedName>
    <definedName name="jdljgftldjti5r" localSheetId="18">{#N/A,#N/A,FALSE,"Plan1";#N/A,#N/A,FALSE,"Plan2"}</definedName>
    <definedName name="jdljgftldjti5r" localSheetId="10">{#N/A,#N/A,FALSE,"Plan1";#N/A,#N/A,FALSE,"Plan2"}</definedName>
    <definedName name="jdljgftldjti5r">{#N/A,#N/A,FALSE,"Plan1";#N/A,#N/A,FALSE,"Plan2"}</definedName>
    <definedName name="JDLKJDASGF" localSheetId="9">{#N/A,#N/A,FALSE,"Plan1";#N/A,#N/A,FALSE,"Plan2"}</definedName>
    <definedName name="JDLKJDASGF" localSheetId="6">{#N/A,#N/A,FALSE,"Plan1";#N/A,#N/A,FALSE,"Plan2"}</definedName>
    <definedName name="JDLKJDASGF" localSheetId="3">{#N/A,#N/A,FALSE,"Plan1";#N/A,#N/A,FALSE,"Plan2"}</definedName>
    <definedName name="JDLKJDASGF" localSheetId="8">{#N/A,#N/A,FALSE,"Plan1";#N/A,#N/A,FALSE,"Plan2"}</definedName>
    <definedName name="JDLKJDASGF" localSheetId="5">{#N/A,#N/A,FALSE,"Plan1";#N/A,#N/A,FALSE,"Plan2"}</definedName>
    <definedName name="JDLKJDASGF" localSheetId="4">{#N/A,#N/A,FALSE,"Plan1";#N/A,#N/A,FALSE,"Plan2"}</definedName>
    <definedName name="JDLKJDASGF" localSheetId="13">{#N/A,#N/A,FALSE,"Plan1";#N/A,#N/A,FALSE,"Plan2"}</definedName>
    <definedName name="JDLKJDASGF" localSheetId="17">{#N/A,#N/A,FALSE,"Plan1";#N/A,#N/A,FALSE,"Plan2"}</definedName>
    <definedName name="JDLKJDASGF" localSheetId="0">{#N/A,#N/A,FALSE,"Plan1";#N/A,#N/A,FALSE,"Plan2"}</definedName>
    <definedName name="JDLKJDASGF" localSheetId="19">{#N/A,#N/A,FALSE,"Plan1";#N/A,#N/A,FALSE,"Plan2"}</definedName>
    <definedName name="JDLKJDASGF" localSheetId="16">{#N/A,#N/A,FALSE,"Plan1";#N/A,#N/A,FALSE,"Plan2"}</definedName>
    <definedName name="JDLKJDASGF" localSheetId="18">{#N/A,#N/A,FALSE,"Plan1";#N/A,#N/A,FALSE,"Plan2"}</definedName>
    <definedName name="JDLKJDASGF" localSheetId="10">{#N/A,#N/A,FALSE,"Plan1";#N/A,#N/A,FALSE,"Plan2"}</definedName>
    <definedName name="JDLKJDASGF">{#N/A,#N/A,FALSE,"Plan1";#N/A,#N/A,FALSE,"Plan2"}</definedName>
    <definedName name="jdrfkdjfghrtfjg" localSheetId="9">{#N/A,#N/A,FALSE,"Plan1";#N/A,#N/A,FALSE,"Plan2"}</definedName>
    <definedName name="jdrfkdjfghrtfjg" localSheetId="6">{#N/A,#N/A,FALSE,"Plan1";#N/A,#N/A,FALSE,"Plan2"}</definedName>
    <definedName name="jdrfkdjfghrtfjg" localSheetId="3">{#N/A,#N/A,FALSE,"Plan1";#N/A,#N/A,FALSE,"Plan2"}</definedName>
    <definedName name="jdrfkdjfghrtfjg" localSheetId="8">{#N/A,#N/A,FALSE,"Plan1";#N/A,#N/A,FALSE,"Plan2"}</definedName>
    <definedName name="jdrfkdjfghrtfjg" localSheetId="5">{#N/A,#N/A,FALSE,"Plan1";#N/A,#N/A,FALSE,"Plan2"}</definedName>
    <definedName name="jdrfkdjfghrtfjg" localSheetId="4">{#N/A,#N/A,FALSE,"Plan1";#N/A,#N/A,FALSE,"Plan2"}</definedName>
    <definedName name="jdrfkdjfghrtfjg" localSheetId="13">{#N/A,#N/A,FALSE,"Plan1";#N/A,#N/A,FALSE,"Plan2"}</definedName>
    <definedName name="jdrfkdjfghrtfjg" localSheetId="17">{#N/A,#N/A,FALSE,"Plan1";#N/A,#N/A,FALSE,"Plan2"}</definedName>
    <definedName name="jdrfkdjfghrtfjg" localSheetId="0">{#N/A,#N/A,FALSE,"Plan1";#N/A,#N/A,FALSE,"Plan2"}</definedName>
    <definedName name="jdrfkdjfghrtfjg" localSheetId="19">{#N/A,#N/A,FALSE,"Plan1";#N/A,#N/A,FALSE,"Plan2"}</definedName>
    <definedName name="jdrfkdjfghrtfjg" localSheetId="16">{#N/A,#N/A,FALSE,"Plan1";#N/A,#N/A,FALSE,"Plan2"}</definedName>
    <definedName name="jdrfkdjfghrtfjg" localSheetId="18">{#N/A,#N/A,FALSE,"Plan1";#N/A,#N/A,FALSE,"Plan2"}</definedName>
    <definedName name="jdrfkdjfghrtfjg" localSheetId="10">{#N/A,#N/A,FALSE,"Plan1";#N/A,#N/A,FALSE,"Plan2"}</definedName>
    <definedName name="jdrfkdjfghrtfjg">{#N/A,#N/A,FALSE,"Plan1";#N/A,#N/A,FALSE,"Plan2"}</definedName>
    <definedName name="jdskfhdk" localSheetId="9">{#N/A,#N/A,FALSE,"Plan1";#N/A,#N/A,FALSE,"Plan2"}</definedName>
    <definedName name="jdskfhdk" localSheetId="6">{#N/A,#N/A,FALSE,"Plan1";#N/A,#N/A,FALSE,"Plan2"}</definedName>
    <definedName name="jdskfhdk" localSheetId="3">{#N/A,#N/A,FALSE,"Plan1";#N/A,#N/A,FALSE,"Plan2"}</definedName>
    <definedName name="jdskfhdk" localSheetId="8">{#N/A,#N/A,FALSE,"Plan1";#N/A,#N/A,FALSE,"Plan2"}</definedName>
    <definedName name="jdskfhdk" localSheetId="5">{#N/A,#N/A,FALSE,"Plan1";#N/A,#N/A,FALSE,"Plan2"}</definedName>
    <definedName name="jdskfhdk" localSheetId="4">{#N/A,#N/A,FALSE,"Plan1";#N/A,#N/A,FALSE,"Plan2"}</definedName>
    <definedName name="jdskfhdk" localSheetId="13">{#N/A,#N/A,FALSE,"Plan1";#N/A,#N/A,FALSE,"Plan2"}</definedName>
    <definedName name="jdskfhdk" localSheetId="17">{#N/A,#N/A,FALSE,"Plan1";#N/A,#N/A,FALSE,"Plan2"}</definedName>
    <definedName name="jdskfhdk" localSheetId="0">{#N/A,#N/A,FALSE,"Plan1";#N/A,#N/A,FALSE,"Plan2"}</definedName>
    <definedName name="jdskfhdk" localSheetId="19">{#N/A,#N/A,FALSE,"Plan1";#N/A,#N/A,FALSE,"Plan2"}</definedName>
    <definedName name="jdskfhdk" localSheetId="16">{#N/A,#N/A,FALSE,"Plan1";#N/A,#N/A,FALSE,"Plan2"}</definedName>
    <definedName name="jdskfhdk" localSheetId="18">{#N/A,#N/A,FALSE,"Plan1";#N/A,#N/A,FALSE,"Plan2"}</definedName>
    <definedName name="jdskfhdk" localSheetId="10">{#N/A,#N/A,FALSE,"Plan1";#N/A,#N/A,FALSE,"Plan2"}</definedName>
    <definedName name="jdskfhdk">{#N/A,#N/A,FALSE,"Plan1";#N/A,#N/A,FALSE,"Plan2"}</definedName>
    <definedName name="JDSKLGKDRHGGF" localSheetId="9">{#N/A,#N/A,FALSE,"Plan1";#N/A,#N/A,FALSE,"Plan2"}</definedName>
    <definedName name="JDSKLGKDRHGGF" localSheetId="6">{#N/A,#N/A,FALSE,"Plan1";#N/A,#N/A,FALSE,"Plan2"}</definedName>
    <definedName name="JDSKLGKDRHGGF" localSheetId="3">{#N/A,#N/A,FALSE,"Plan1";#N/A,#N/A,FALSE,"Plan2"}</definedName>
    <definedName name="JDSKLGKDRHGGF" localSheetId="8">{#N/A,#N/A,FALSE,"Plan1";#N/A,#N/A,FALSE,"Plan2"}</definedName>
    <definedName name="JDSKLGKDRHGGF" localSheetId="5">{#N/A,#N/A,FALSE,"Plan1";#N/A,#N/A,FALSE,"Plan2"}</definedName>
    <definedName name="JDSKLGKDRHGGF" localSheetId="4">{#N/A,#N/A,FALSE,"Plan1";#N/A,#N/A,FALSE,"Plan2"}</definedName>
    <definedName name="JDSKLGKDRHGGF" localSheetId="13">{#N/A,#N/A,FALSE,"Plan1";#N/A,#N/A,FALSE,"Plan2"}</definedName>
    <definedName name="JDSKLGKDRHGGF" localSheetId="17">{#N/A,#N/A,FALSE,"Plan1";#N/A,#N/A,FALSE,"Plan2"}</definedName>
    <definedName name="JDSKLGKDRHGGF" localSheetId="0">{#N/A,#N/A,FALSE,"Plan1";#N/A,#N/A,FALSE,"Plan2"}</definedName>
    <definedName name="JDSKLGKDRHGGF" localSheetId="19">{#N/A,#N/A,FALSE,"Plan1";#N/A,#N/A,FALSE,"Plan2"}</definedName>
    <definedName name="JDSKLGKDRHGGF" localSheetId="16">{#N/A,#N/A,FALSE,"Plan1";#N/A,#N/A,FALSE,"Plan2"}</definedName>
    <definedName name="JDSKLGKDRHGGF" localSheetId="18">{#N/A,#N/A,FALSE,"Plan1";#N/A,#N/A,FALSE,"Plan2"}</definedName>
    <definedName name="JDSKLGKDRHGGF" localSheetId="10">{#N/A,#N/A,FALSE,"Plan1";#N/A,#N/A,FALSE,"Plan2"}</definedName>
    <definedName name="JDSKLGKDRHGGF">{#N/A,#N/A,FALSE,"Plan1";#N/A,#N/A,FALSE,"Plan2"}</definedName>
    <definedName name="jefsgfr" localSheetId="9">{#N/A,#N/A,FALSE,"Plan1";#N/A,#N/A,FALSE,"Plan2"}</definedName>
    <definedName name="jefsgfr" localSheetId="6">{#N/A,#N/A,FALSE,"Plan1";#N/A,#N/A,FALSE,"Plan2"}</definedName>
    <definedName name="jefsgfr" localSheetId="3">{#N/A,#N/A,FALSE,"Plan1";#N/A,#N/A,FALSE,"Plan2"}</definedName>
    <definedName name="jefsgfr" localSheetId="8">{#N/A,#N/A,FALSE,"Plan1";#N/A,#N/A,FALSE,"Plan2"}</definedName>
    <definedName name="jefsgfr" localSheetId="5">{#N/A,#N/A,FALSE,"Plan1";#N/A,#N/A,FALSE,"Plan2"}</definedName>
    <definedName name="jefsgfr" localSheetId="4">{#N/A,#N/A,FALSE,"Plan1";#N/A,#N/A,FALSE,"Plan2"}</definedName>
    <definedName name="jefsgfr" localSheetId="13">{#N/A,#N/A,FALSE,"Plan1";#N/A,#N/A,FALSE,"Plan2"}</definedName>
    <definedName name="jefsgfr" localSheetId="17">{#N/A,#N/A,FALSE,"Plan1";#N/A,#N/A,FALSE,"Plan2"}</definedName>
    <definedName name="jefsgfr" localSheetId="0">{#N/A,#N/A,FALSE,"Plan1";#N/A,#N/A,FALSE,"Plan2"}</definedName>
    <definedName name="jefsgfr" localSheetId="19">{#N/A,#N/A,FALSE,"Plan1";#N/A,#N/A,FALSE,"Plan2"}</definedName>
    <definedName name="jefsgfr" localSheetId="16">{#N/A,#N/A,FALSE,"Plan1";#N/A,#N/A,FALSE,"Plan2"}</definedName>
    <definedName name="jefsgfr" localSheetId="18">{#N/A,#N/A,FALSE,"Plan1";#N/A,#N/A,FALSE,"Plan2"}</definedName>
    <definedName name="jefsgfr" localSheetId="10">{#N/A,#N/A,FALSE,"Plan1";#N/A,#N/A,FALSE,"Plan2"}</definedName>
    <definedName name="jefsgfr">{#N/A,#N/A,FALSE,"Plan1";#N/A,#N/A,FALSE,"Plan2"}</definedName>
    <definedName name="JERHIEHYURE" localSheetId="9">{#N/A,#N/A,FALSE,"Plan1";#N/A,#N/A,FALSE,"Plan2"}</definedName>
    <definedName name="JERHIEHYURE" localSheetId="6">{#N/A,#N/A,FALSE,"Plan1";#N/A,#N/A,FALSE,"Plan2"}</definedName>
    <definedName name="JERHIEHYURE" localSheetId="3">{#N/A,#N/A,FALSE,"Plan1";#N/A,#N/A,FALSE,"Plan2"}</definedName>
    <definedName name="JERHIEHYURE" localSheetId="8">{#N/A,#N/A,FALSE,"Plan1";#N/A,#N/A,FALSE,"Plan2"}</definedName>
    <definedName name="JERHIEHYURE" localSheetId="5">{#N/A,#N/A,FALSE,"Plan1";#N/A,#N/A,FALSE,"Plan2"}</definedName>
    <definedName name="JERHIEHYURE" localSheetId="4">{#N/A,#N/A,FALSE,"Plan1";#N/A,#N/A,FALSE,"Plan2"}</definedName>
    <definedName name="JERHIEHYURE" localSheetId="13">{#N/A,#N/A,FALSE,"Plan1";#N/A,#N/A,FALSE,"Plan2"}</definedName>
    <definedName name="JERHIEHYURE" localSheetId="17">{#N/A,#N/A,FALSE,"Plan1";#N/A,#N/A,FALSE,"Plan2"}</definedName>
    <definedName name="JERHIEHYURE" localSheetId="0">{#N/A,#N/A,FALSE,"Plan1";#N/A,#N/A,FALSE,"Plan2"}</definedName>
    <definedName name="JERHIEHYURE" localSheetId="19">{#N/A,#N/A,FALSE,"Plan1";#N/A,#N/A,FALSE,"Plan2"}</definedName>
    <definedName name="JERHIEHYURE" localSheetId="16">{#N/A,#N/A,FALSE,"Plan1";#N/A,#N/A,FALSE,"Plan2"}</definedName>
    <definedName name="JERHIEHYURE" localSheetId="18">{#N/A,#N/A,FALSE,"Plan1";#N/A,#N/A,FALSE,"Plan2"}</definedName>
    <definedName name="JERHIEHYURE" localSheetId="10">{#N/A,#N/A,FALSE,"Plan1";#N/A,#N/A,FALSE,"Plan2"}</definedName>
    <definedName name="JERHIEHYURE">{#N/A,#N/A,FALSE,"Plan1";#N/A,#N/A,FALSE,"Plan2"}</definedName>
    <definedName name="jfddlsrtyty" localSheetId="9">{#N/A,#N/A,FALSE,"Plan1";#N/A,#N/A,FALSE,"Plan2"}</definedName>
    <definedName name="jfddlsrtyty" localSheetId="6">{#N/A,#N/A,FALSE,"Plan1";#N/A,#N/A,FALSE,"Plan2"}</definedName>
    <definedName name="jfddlsrtyty" localSheetId="3">{#N/A,#N/A,FALSE,"Plan1";#N/A,#N/A,FALSE,"Plan2"}</definedName>
    <definedName name="jfddlsrtyty" localSheetId="8">{#N/A,#N/A,FALSE,"Plan1";#N/A,#N/A,FALSE,"Plan2"}</definedName>
    <definedName name="jfddlsrtyty" localSheetId="5">{#N/A,#N/A,FALSE,"Plan1";#N/A,#N/A,FALSE,"Plan2"}</definedName>
    <definedName name="jfddlsrtyty" localSheetId="4">{#N/A,#N/A,FALSE,"Plan1";#N/A,#N/A,FALSE,"Plan2"}</definedName>
    <definedName name="jfddlsrtyty" localSheetId="13">{#N/A,#N/A,FALSE,"Plan1";#N/A,#N/A,FALSE,"Plan2"}</definedName>
    <definedName name="jfddlsrtyty" localSheetId="17">{#N/A,#N/A,FALSE,"Plan1";#N/A,#N/A,FALSE,"Plan2"}</definedName>
    <definedName name="jfddlsrtyty" localSheetId="0">{#N/A,#N/A,FALSE,"Plan1";#N/A,#N/A,FALSE,"Plan2"}</definedName>
    <definedName name="jfddlsrtyty" localSheetId="19">{#N/A,#N/A,FALSE,"Plan1";#N/A,#N/A,FALSE,"Plan2"}</definedName>
    <definedName name="jfddlsrtyty" localSheetId="16">{#N/A,#N/A,FALSE,"Plan1";#N/A,#N/A,FALSE,"Plan2"}</definedName>
    <definedName name="jfddlsrtyty" localSheetId="18">{#N/A,#N/A,FALSE,"Plan1";#N/A,#N/A,FALSE,"Plan2"}</definedName>
    <definedName name="jfddlsrtyty" localSheetId="10">{#N/A,#N/A,FALSE,"Plan1";#N/A,#N/A,FALSE,"Plan2"}</definedName>
    <definedName name="jfddlsrtyty">{#N/A,#N/A,FALSE,"Plan1";#N/A,#N/A,FALSE,"Plan2"}</definedName>
    <definedName name="jfdjtgdjghitfyh" localSheetId="9">{#N/A,#N/A,FALSE,"Plan1";#N/A,#N/A,FALSE,"Plan2"}</definedName>
    <definedName name="jfdjtgdjghitfyh" localSheetId="6">{#N/A,#N/A,FALSE,"Plan1";#N/A,#N/A,FALSE,"Plan2"}</definedName>
    <definedName name="jfdjtgdjghitfyh" localSheetId="3">{#N/A,#N/A,FALSE,"Plan1";#N/A,#N/A,FALSE,"Plan2"}</definedName>
    <definedName name="jfdjtgdjghitfyh" localSheetId="8">{#N/A,#N/A,FALSE,"Plan1";#N/A,#N/A,FALSE,"Plan2"}</definedName>
    <definedName name="jfdjtgdjghitfyh" localSheetId="5">{#N/A,#N/A,FALSE,"Plan1";#N/A,#N/A,FALSE,"Plan2"}</definedName>
    <definedName name="jfdjtgdjghitfyh" localSheetId="4">{#N/A,#N/A,FALSE,"Plan1";#N/A,#N/A,FALSE,"Plan2"}</definedName>
    <definedName name="jfdjtgdjghitfyh" localSheetId="13">{#N/A,#N/A,FALSE,"Plan1";#N/A,#N/A,FALSE,"Plan2"}</definedName>
    <definedName name="jfdjtgdjghitfyh" localSheetId="17">{#N/A,#N/A,FALSE,"Plan1";#N/A,#N/A,FALSE,"Plan2"}</definedName>
    <definedName name="jfdjtgdjghitfyh" localSheetId="0">{#N/A,#N/A,FALSE,"Plan1";#N/A,#N/A,FALSE,"Plan2"}</definedName>
    <definedName name="jfdjtgdjghitfyh" localSheetId="19">{#N/A,#N/A,FALSE,"Plan1";#N/A,#N/A,FALSE,"Plan2"}</definedName>
    <definedName name="jfdjtgdjghitfyh" localSheetId="16">{#N/A,#N/A,FALSE,"Plan1";#N/A,#N/A,FALSE,"Plan2"}</definedName>
    <definedName name="jfdjtgdjghitfyh" localSheetId="18">{#N/A,#N/A,FALSE,"Plan1";#N/A,#N/A,FALSE,"Plan2"}</definedName>
    <definedName name="jfdjtgdjghitfyh" localSheetId="10">{#N/A,#N/A,FALSE,"Plan1";#N/A,#N/A,FALSE,"Plan2"}</definedName>
    <definedName name="jfdjtgdjghitfyh">{#N/A,#N/A,FALSE,"Plan1";#N/A,#N/A,FALSE,"Plan2"}</definedName>
    <definedName name="jfdkgkftftg" localSheetId="9">{#N/A,#N/A,FALSE,"Plan1";#N/A,#N/A,FALSE,"Plan2"}</definedName>
    <definedName name="jfdkgkftftg" localSheetId="6">{#N/A,#N/A,FALSE,"Plan1";#N/A,#N/A,FALSE,"Plan2"}</definedName>
    <definedName name="jfdkgkftftg" localSheetId="3">{#N/A,#N/A,FALSE,"Plan1";#N/A,#N/A,FALSE,"Plan2"}</definedName>
    <definedName name="jfdkgkftftg" localSheetId="8">{#N/A,#N/A,FALSE,"Plan1";#N/A,#N/A,FALSE,"Plan2"}</definedName>
    <definedName name="jfdkgkftftg" localSheetId="5">{#N/A,#N/A,FALSE,"Plan1";#N/A,#N/A,FALSE,"Plan2"}</definedName>
    <definedName name="jfdkgkftftg" localSheetId="4">{#N/A,#N/A,FALSE,"Plan1";#N/A,#N/A,FALSE,"Plan2"}</definedName>
    <definedName name="jfdkgkftftg" localSheetId="13">{#N/A,#N/A,FALSE,"Plan1";#N/A,#N/A,FALSE,"Plan2"}</definedName>
    <definedName name="jfdkgkftftg" localSheetId="17">{#N/A,#N/A,FALSE,"Plan1";#N/A,#N/A,FALSE,"Plan2"}</definedName>
    <definedName name="jfdkgkftftg" localSheetId="0">{#N/A,#N/A,FALSE,"Plan1";#N/A,#N/A,FALSE,"Plan2"}</definedName>
    <definedName name="jfdkgkftftg" localSheetId="19">{#N/A,#N/A,FALSE,"Plan1";#N/A,#N/A,FALSE,"Plan2"}</definedName>
    <definedName name="jfdkgkftftg" localSheetId="16">{#N/A,#N/A,FALSE,"Plan1";#N/A,#N/A,FALSE,"Plan2"}</definedName>
    <definedName name="jfdkgkftftg" localSheetId="18">{#N/A,#N/A,FALSE,"Plan1";#N/A,#N/A,FALSE,"Plan2"}</definedName>
    <definedName name="jfdkgkftftg" localSheetId="10">{#N/A,#N/A,FALSE,"Plan1";#N/A,#N/A,FALSE,"Plan2"}</definedName>
    <definedName name="jfdkgkftftg">{#N/A,#N/A,FALSE,"Plan1";#N/A,#N/A,FALSE,"Plan2"}</definedName>
    <definedName name="jfghjkfdhtkyru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9">{#N/A,#N/A,FALSE,"Plan1";#N/A,#N/A,FALSE,"Plan2"}</definedName>
    <definedName name="JFGJYHTY" localSheetId="6">{#N/A,#N/A,FALSE,"Plan1";#N/A,#N/A,FALSE,"Plan2"}</definedName>
    <definedName name="JFGJYHTY" localSheetId="3">{#N/A,#N/A,FALSE,"Plan1";#N/A,#N/A,FALSE,"Plan2"}</definedName>
    <definedName name="JFGJYHTY" localSheetId="8">{#N/A,#N/A,FALSE,"Plan1";#N/A,#N/A,FALSE,"Plan2"}</definedName>
    <definedName name="JFGJYHTY" localSheetId="5">{#N/A,#N/A,FALSE,"Plan1";#N/A,#N/A,FALSE,"Plan2"}</definedName>
    <definedName name="JFGJYHTY" localSheetId="4">{#N/A,#N/A,FALSE,"Plan1";#N/A,#N/A,FALSE,"Plan2"}</definedName>
    <definedName name="JFGJYHTY" localSheetId="13">{#N/A,#N/A,FALSE,"Plan1";#N/A,#N/A,FALSE,"Plan2"}</definedName>
    <definedName name="JFGJYHTY" localSheetId="17">{#N/A,#N/A,FALSE,"Plan1";#N/A,#N/A,FALSE,"Plan2"}</definedName>
    <definedName name="JFGJYHTY" localSheetId="0">{#N/A,#N/A,FALSE,"Plan1";#N/A,#N/A,FALSE,"Plan2"}</definedName>
    <definedName name="JFGJYHTY" localSheetId="19">{#N/A,#N/A,FALSE,"Plan1";#N/A,#N/A,FALSE,"Plan2"}</definedName>
    <definedName name="JFGJYHTY" localSheetId="16">{#N/A,#N/A,FALSE,"Plan1";#N/A,#N/A,FALSE,"Plan2"}</definedName>
    <definedName name="JFGJYHTY" localSheetId="18">{#N/A,#N/A,FALSE,"Plan1";#N/A,#N/A,FALSE,"Plan2"}</definedName>
    <definedName name="JFGJYHTY" localSheetId="10">{#N/A,#N/A,FALSE,"Plan1";#N/A,#N/A,FALSE,"Plan2"}</definedName>
    <definedName name="JFGJYHTY">{#N/A,#N/A,FALSE,"Plan1";#N/A,#N/A,FALSE,"Plan2"}</definedName>
    <definedName name="jfgkflcnjkglc" localSheetId="9">{#N/A,#N/A,FALSE,"Plan1";#N/A,#N/A,FALSE,"Plan2"}</definedName>
    <definedName name="jfgkflcnjkglc" localSheetId="6">{#N/A,#N/A,FALSE,"Plan1";#N/A,#N/A,FALSE,"Plan2"}</definedName>
    <definedName name="jfgkflcnjkglc" localSheetId="3">{#N/A,#N/A,FALSE,"Plan1";#N/A,#N/A,FALSE,"Plan2"}</definedName>
    <definedName name="jfgkflcnjkglc" localSheetId="8">{#N/A,#N/A,FALSE,"Plan1";#N/A,#N/A,FALSE,"Plan2"}</definedName>
    <definedName name="jfgkflcnjkglc" localSheetId="5">{#N/A,#N/A,FALSE,"Plan1";#N/A,#N/A,FALSE,"Plan2"}</definedName>
    <definedName name="jfgkflcnjkglc" localSheetId="4">{#N/A,#N/A,FALSE,"Plan1";#N/A,#N/A,FALSE,"Plan2"}</definedName>
    <definedName name="jfgkflcnjkglc" localSheetId="13">{#N/A,#N/A,FALSE,"Plan1";#N/A,#N/A,FALSE,"Plan2"}</definedName>
    <definedName name="jfgkflcnjkglc" localSheetId="17">{#N/A,#N/A,FALSE,"Plan1";#N/A,#N/A,FALSE,"Plan2"}</definedName>
    <definedName name="jfgkflcnjkglc" localSheetId="0">{#N/A,#N/A,FALSE,"Plan1";#N/A,#N/A,FALSE,"Plan2"}</definedName>
    <definedName name="jfgkflcnjkglc" localSheetId="19">{#N/A,#N/A,FALSE,"Plan1";#N/A,#N/A,FALSE,"Plan2"}</definedName>
    <definedName name="jfgkflcnjkglc" localSheetId="16">{#N/A,#N/A,FALSE,"Plan1";#N/A,#N/A,FALSE,"Plan2"}</definedName>
    <definedName name="jfgkflcnjkglc" localSheetId="18">{#N/A,#N/A,FALSE,"Plan1";#N/A,#N/A,FALSE,"Plan2"}</definedName>
    <definedName name="jfgkflcnjkglc" localSheetId="10">{#N/A,#N/A,FALSE,"Plan1";#N/A,#N/A,FALSE,"Plan2"}</definedName>
    <definedName name="jfgkflcnjkglc">{#N/A,#N/A,FALSE,"Plan1";#N/A,#N/A,FALSE,"Plan2"}</definedName>
    <definedName name="JFHRE" localSheetId="9">{#N/A,#N/A,FALSE,"Plan1";#N/A,#N/A,FALSE,"Plan2"}</definedName>
    <definedName name="JFHRE" localSheetId="6">{#N/A,#N/A,FALSE,"Plan1";#N/A,#N/A,FALSE,"Plan2"}</definedName>
    <definedName name="JFHRE" localSheetId="3">{#N/A,#N/A,FALSE,"Plan1";#N/A,#N/A,FALSE,"Plan2"}</definedName>
    <definedName name="JFHRE" localSheetId="8">{#N/A,#N/A,FALSE,"Plan1";#N/A,#N/A,FALSE,"Plan2"}</definedName>
    <definedName name="JFHRE" localSheetId="5">{#N/A,#N/A,FALSE,"Plan1";#N/A,#N/A,FALSE,"Plan2"}</definedName>
    <definedName name="JFHRE" localSheetId="4">{#N/A,#N/A,FALSE,"Plan1";#N/A,#N/A,FALSE,"Plan2"}</definedName>
    <definedName name="JFHRE" localSheetId="13">{#N/A,#N/A,FALSE,"Plan1";#N/A,#N/A,FALSE,"Plan2"}</definedName>
    <definedName name="JFHRE" localSheetId="17">{#N/A,#N/A,FALSE,"Plan1";#N/A,#N/A,FALSE,"Plan2"}</definedName>
    <definedName name="JFHRE" localSheetId="0">{#N/A,#N/A,FALSE,"Plan1";#N/A,#N/A,FALSE,"Plan2"}</definedName>
    <definedName name="JFHRE" localSheetId="19">{#N/A,#N/A,FALSE,"Plan1";#N/A,#N/A,FALSE,"Plan2"}</definedName>
    <definedName name="JFHRE" localSheetId="16">{#N/A,#N/A,FALSE,"Plan1";#N/A,#N/A,FALSE,"Plan2"}</definedName>
    <definedName name="JFHRE" localSheetId="18">{#N/A,#N/A,FALSE,"Plan1";#N/A,#N/A,FALSE,"Plan2"}</definedName>
    <definedName name="JFHRE" localSheetId="10">{#N/A,#N/A,FALSE,"Plan1";#N/A,#N/A,FALSE,"Plan2"}</definedName>
    <definedName name="JFHRE">{#N/A,#N/A,FALSE,"Plan1";#N/A,#N/A,FALSE,"Plan2"}</definedName>
    <definedName name="jfkdls5jtirjd" localSheetId="9">{#N/A,#N/A,FALSE,"Plan1";#N/A,#N/A,FALSE,"Plan2"}</definedName>
    <definedName name="jfkdls5jtirjd" localSheetId="6">{#N/A,#N/A,FALSE,"Plan1";#N/A,#N/A,FALSE,"Plan2"}</definedName>
    <definedName name="jfkdls5jtirjd" localSheetId="3">{#N/A,#N/A,FALSE,"Plan1";#N/A,#N/A,FALSE,"Plan2"}</definedName>
    <definedName name="jfkdls5jtirjd" localSheetId="8">{#N/A,#N/A,FALSE,"Plan1";#N/A,#N/A,FALSE,"Plan2"}</definedName>
    <definedName name="jfkdls5jtirjd" localSheetId="5">{#N/A,#N/A,FALSE,"Plan1";#N/A,#N/A,FALSE,"Plan2"}</definedName>
    <definedName name="jfkdls5jtirjd" localSheetId="4">{#N/A,#N/A,FALSE,"Plan1";#N/A,#N/A,FALSE,"Plan2"}</definedName>
    <definedName name="jfkdls5jtirjd" localSheetId="13">{#N/A,#N/A,FALSE,"Plan1";#N/A,#N/A,FALSE,"Plan2"}</definedName>
    <definedName name="jfkdls5jtirjd" localSheetId="17">{#N/A,#N/A,FALSE,"Plan1";#N/A,#N/A,FALSE,"Plan2"}</definedName>
    <definedName name="jfkdls5jtirjd" localSheetId="0">{#N/A,#N/A,FALSE,"Plan1";#N/A,#N/A,FALSE,"Plan2"}</definedName>
    <definedName name="jfkdls5jtirjd" localSheetId="19">{#N/A,#N/A,FALSE,"Plan1";#N/A,#N/A,FALSE,"Plan2"}</definedName>
    <definedName name="jfkdls5jtirjd" localSheetId="16">{#N/A,#N/A,FALSE,"Plan1";#N/A,#N/A,FALSE,"Plan2"}</definedName>
    <definedName name="jfkdls5jtirjd" localSheetId="18">{#N/A,#N/A,FALSE,"Plan1";#N/A,#N/A,FALSE,"Plan2"}</definedName>
    <definedName name="jfkdls5jtirjd" localSheetId="10">{#N/A,#N/A,FALSE,"Plan1";#N/A,#N/A,FALSE,"Plan2"}</definedName>
    <definedName name="jfkdls5jtirjd">{#N/A,#N/A,FALSE,"Plan1";#N/A,#N/A,FALSE,"Plan2"}</definedName>
    <definedName name="jfkljdkfcj" localSheetId="9">{#N/A,#N/A,FALSE,"Plan1";#N/A,#N/A,FALSE,"Plan2"}</definedName>
    <definedName name="jfkljdkfcj" localSheetId="6">{#N/A,#N/A,FALSE,"Plan1";#N/A,#N/A,FALSE,"Plan2"}</definedName>
    <definedName name="jfkljdkfcj" localSheetId="3">{#N/A,#N/A,FALSE,"Plan1";#N/A,#N/A,FALSE,"Plan2"}</definedName>
    <definedName name="jfkljdkfcj" localSheetId="8">{#N/A,#N/A,FALSE,"Plan1";#N/A,#N/A,FALSE,"Plan2"}</definedName>
    <definedName name="jfkljdkfcj" localSheetId="5">{#N/A,#N/A,FALSE,"Plan1";#N/A,#N/A,FALSE,"Plan2"}</definedName>
    <definedName name="jfkljdkfcj" localSheetId="4">{#N/A,#N/A,FALSE,"Plan1";#N/A,#N/A,FALSE,"Plan2"}</definedName>
    <definedName name="jfkljdkfcj" localSheetId="13">{#N/A,#N/A,FALSE,"Plan1";#N/A,#N/A,FALSE,"Plan2"}</definedName>
    <definedName name="jfkljdkfcj" localSheetId="17">{#N/A,#N/A,FALSE,"Plan1";#N/A,#N/A,FALSE,"Plan2"}</definedName>
    <definedName name="jfkljdkfcj" localSheetId="0">{#N/A,#N/A,FALSE,"Plan1";#N/A,#N/A,FALSE,"Plan2"}</definedName>
    <definedName name="jfkljdkfcj" localSheetId="19">{#N/A,#N/A,FALSE,"Plan1";#N/A,#N/A,FALSE,"Plan2"}</definedName>
    <definedName name="jfkljdkfcj" localSheetId="16">{#N/A,#N/A,FALSE,"Plan1";#N/A,#N/A,FALSE,"Plan2"}</definedName>
    <definedName name="jfkljdkfcj" localSheetId="18">{#N/A,#N/A,FALSE,"Plan1";#N/A,#N/A,FALSE,"Plan2"}</definedName>
    <definedName name="jfkljdkfcj" localSheetId="10">{#N/A,#N/A,FALSE,"Plan1";#N/A,#N/A,FALSE,"Plan2"}</definedName>
    <definedName name="jfkljdkfcj">{#N/A,#N/A,FALSE,"Plan1";#N/A,#N/A,FALSE,"Plan2"}</definedName>
    <definedName name="jfkrhdtghdut" localSheetId="9">{#N/A,#N/A,FALSE,"Plan1";#N/A,#N/A,FALSE,"Plan2"}</definedName>
    <definedName name="jfkrhdtghdut" localSheetId="6">{#N/A,#N/A,FALSE,"Plan1";#N/A,#N/A,FALSE,"Plan2"}</definedName>
    <definedName name="jfkrhdtghdut" localSheetId="3">{#N/A,#N/A,FALSE,"Plan1";#N/A,#N/A,FALSE,"Plan2"}</definedName>
    <definedName name="jfkrhdtghdut" localSheetId="8">{#N/A,#N/A,FALSE,"Plan1";#N/A,#N/A,FALSE,"Plan2"}</definedName>
    <definedName name="jfkrhdtghdut" localSheetId="5">{#N/A,#N/A,FALSE,"Plan1";#N/A,#N/A,FALSE,"Plan2"}</definedName>
    <definedName name="jfkrhdtghdut" localSheetId="4">{#N/A,#N/A,FALSE,"Plan1";#N/A,#N/A,FALSE,"Plan2"}</definedName>
    <definedName name="jfkrhdtghdut" localSheetId="13">{#N/A,#N/A,FALSE,"Plan1";#N/A,#N/A,FALSE,"Plan2"}</definedName>
    <definedName name="jfkrhdtghdut" localSheetId="17">{#N/A,#N/A,FALSE,"Plan1";#N/A,#N/A,FALSE,"Plan2"}</definedName>
    <definedName name="jfkrhdtghdut" localSheetId="0">{#N/A,#N/A,FALSE,"Plan1";#N/A,#N/A,FALSE,"Plan2"}</definedName>
    <definedName name="jfkrhdtghdut" localSheetId="19">{#N/A,#N/A,FALSE,"Plan1";#N/A,#N/A,FALSE,"Plan2"}</definedName>
    <definedName name="jfkrhdtghdut" localSheetId="16">{#N/A,#N/A,FALSE,"Plan1";#N/A,#N/A,FALSE,"Plan2"}</definedName>
    <definedName name="jfkrhdtghdut" localSheetId="18">{#N/A,#N/A,FALSE,"Plan1";#N/A,#N/A,FALSE,"Plan2"}</definedName>
    <definedName name="jfkrhdtghdut" localSheetId="10">{#N/A,#N/A,FALSE,"Plan1";#N/A,#N/A,FALSE,"Plan2"}</definedName>
    <definedName name="jfkrhdtghdut">{#N/A,#N/A,FALSE,"Plan1";#N/A,#N/A,FALSE,"Plan2"}</definedName>
    <definedName name="JFRESR" localSheetId="9">{#N/A,#N/A,FALSE,"Plan1";#N/A,#N/A,FALSE,"Plan2"}</definedName>
    <definedName name="JFRESR" localSheetId="6">{#N/A,#N/A,FALSE,"Plan1";#N/A,#N/A,FALSE,"Plan2"}</definedName>
    <definedName name="JFRESR" localSheetId="3">{#N/A,#N/A,FALSE,"Plan1";#N/A,#N/A,FALSE,"Plan2"}</definedName>
    <definedName name="JFRESR" localSheetId="8">{#N/A,#N/A,FALSE,"Plan1";#N/A,#N/A,FALSE,"Plan2"}</definedName>
    <definedName name="JFRESR" localSheetId="5">{#N/A,#N/A,FALSE,"Plan1";#N/A,#N/A,FALSE,"Plan2"}</definedName>
    <definedName name="JFRESR" localSheetId="4">{#N/A,#N/A,FALSE,"Plan1";#N/A,#N/A,FALSE,"Plan2"}</definedName>
    <definedName name="JFRESR" localSheetId="13">{#N/A,#N/A,FALSE,"Plan1";#N/A,#N/A,FALSE,"Plan2"}</definedName>
    <definedName name="JFRESR" localSheetId="17">{#N/A,#N/A,FALSE,"Plan1";#N/A,#N/A,FALSE,"Plan2"}</definedName>
    <definedName name="JFRESR" localSheetId="0">{#N/A,#N/A,FALSE,"Plan1";#N/A,#N/A,FALSE,"Plan2"}</definedName>
    <definedName name="JFRESR" localSheetId="19">{#N/A,#N/A,FALSE,"Plan1";#N/A,#N/A,FALSE,"Plan2"}</definedName>
    <definedName name="JFRESR" localSheetId="16">{#N/A,#N/A,FALSE,"Plan1";#N/A,#N/A,FALSE,"Plan2"}</definedName>
    <definedName name="JFRESR" localSheetId="18">{#N/A,#N/A,FALSE,"Plan1";#N/A,#N/A,FALSE,"Plan2"}</definedName>
    <definedName name="JFRESR" localSheetId="10">{#N/A,#N/A,FALSE,"Plan1";#N/A,#N/A,FALSE,"Plan2"}</definedName>
    <definedName name="JFRESR">{#N/A,#N/A,FALSE,"Plan1";#N/A,#N/A,FALSE,"Plan2"}</definedName>
    <definedName name="jgdfdgfjgdj" localSheetId="9">{#N/A,#N/A,FALSE,"Plan1";#N/A,#N/A,FALSE,"Plan2"}</definedName>
    <definedName name="jgdfdgfjgdj" localSheetId="6">{#N/A,#N/A,FALSE,"Plan1";#N/A,#N/A,FALSE,"Plan2"}</definedName>
    <definedName name="jgdfdgfjgdj" localSheetId="3">{#N/A,#N/A,FALSE,"Plan1";#N/A,#N/A,FALSE,"Plan2"}</definedName>
    <definedName name="jgdfdgfjgdj" localSheetId="8">{#N/A,#N/A,FALSE,"Plan1";#N/A,#N/A,FALSE,"Plan2"}</definedName>
    <definedName name="jgdfdgfjgdj" localSheetId="5">{#N/A,#N/A,FALSE,"Plan1";#N/A,#N/A,FALSE,"Plan2"}</definedName>
    <definedName name="jgdfdgfjgdj" localSheetId="4">{#N/A,#N/A,FALSE,"Plan1";#N/A,#N/A,FALSE,"Plan2"}</definedName>
    <definedName name="jgdfdgfjgdj" localSheetId="13">{#N/A,#N/A,FALSE,"Plan1";#N/A,#N/A,FALSE,"Plan2"}</definedName>
    <definedName name="jgdfdgfjgdj" localSheetId="17">{#N/A,#N/A,FALSE,"Plan1";#N/A,#N/A,FALSE,"Plan2"}</definedName>
    <definedName name="jgdfdgfjgdj" localSheetId="0">{#N/A,#N/A,FALSE,"Plan1";#N/A,#N/A,FALSE,"Plan2"}</definedName>
    <definedName name="jgdfdgfjgdj" localSheetId="19">{#N/A,#N/A,FALSE,"Plan1";#N/A,#N/A,FALSE,"Plan2"}</definedName>
    <definedName name="jgdfdgfjgdj" localSheetId="16">{#N/A,#N/A,FALSE,"Plan1";#N/A,#N/A,FALSE,"Plan2"}</definedName>
    <definedName name="jgdfdgfjgdj" localSheetId="18">{#N/A,#N/A,FALSE,"Plan1";#N/A,#N/A,FALSE,"Plan2"}</definedName>
    <definedName name="jgdfdgfjgdj" localSheetId="10">{#N/A,#N/A,FALSE,"Plan1";#N/A,#N/A,FALSE,"Plan2"}</definedName>
    <definedName name="jgdfdgfjgdj">{#N/A,#N/A,FALSE,"Plan1";#N/A,#N/A,FALSE,"Plan2"}</definedName>
    <definedName name="jgdfght" localSheetId="9">{#N/A,#N/A,FALSE,"Plan1";#N/A,#N/A,FALSE,"Plan2"}</definedName>
    <definedName name="jgdfght" localSheetId="6">{#N/A,#N/A,FALSE,"Plan1";#N/A,#N/A,FALSE,"Plan2"}</definedName>
    <definedName name="jgdfght" localSheetId="3">{#N/A,#N/A,FALSE,"Plan1";#N/A,#N/A,FALSE,"Plan2"}</definedName>
    <definedName name="jgdfght" localSheetId="8">{#N/A,#N/A,FALSE,"Plan1";#N/A,#N/A,FALSE,"Plan2"}</definedName>
    <definedName name="jgdfght" localSheetId="5">{#N/A,#N/A,FALSE,"Plan1";#N/A,#N/A,FALSE,"Plan2"}</definedName>
    <definedName name="jgdfght" localSheetId="4">{#N/A,#N/A,FALSE,"Plan1";#N/A,#N/A,FALSE,"Plan2"}</definedName>
    <definedName name="jgdfght" localSheetId="13">{#N/A,#N/A,FALSE,"Plan1";#N/A,#N/A,FALSE,"Plan2"}</definedName>
    <definedName name="jgdfght" localSheetId="17">{#N/A,#N/A,FALSE,"Plan1";#N/A,#N/A,FALSE,"Plan2"}</definedName>
    <definedName name="jgdfght" localSheetId="0">{#N/A,#N/A,FALSE,"Plan1";#N/A,#N/A,FALSE,"Plan2"}</definedName>
    <definedName name="jgdfght" localSheetId="19">{#N/A,#N/A,FALSE,"Plan1";#N/A,#N/A,FALSE,"Plan2"}</definedName>
    <definedName name="jgdfght" localSheetId="16">{#N/A,#N/A,FALSE,"Plan1";#N/A,#N/A,FALSE,"Plan2"}</definedName>
    <definedName name="jgdfght" localSheetId="18">{#N/A,#N/A,FALSE,"Plan1";#N/A,#N/A,FALSE,"Plan2"}</definedName>
    <definedName name="jgdfght" localSheetId="10">{#N/A,#N/A,FALSE,"Plan1";#N/A,#N/A,FALSE,"Plan2"}</definedName>
    <definedName name="jgdfght">{#N/A,#N/A,FALSE,"Plan1";#N/A,#N/A,FALSE,"Plan2"}</definedName>
    <definedName name="jgfgdsgfdhrf" localSheetId="9">{#N/A,#N/A,FALSE,"Plan1";#N/A,#N/A,FALSE,"Plan2"}</definedName>
    <definedName name="jgfgdsgfdhrf" localSheetId="6">{#N/A,#N/A,FALSE,"Plan1";#N/A,#N/A,FALSE,"Plan2"}</definedName>
    <definedName name="jgfgdsgfdhrf" localSheetId="3">{#N/A,#N/A,FALSE,"Plan1";#N/A,#N/A,FALSE,"Plan2"}</definedName>
    <definedName name="jgfgdsgfdhrf" localSheetId="8">{#N/A,#N/A,FALSE,"Plan1";#N/A,#N/A,FALSE,"Plan2"}</definedName>
    <definedName name="jgfgdsgfdhrf" localSheetId="5">{#N/A,#N/A,FALSE,"Plan1";#N/A,#N/A,FALSE,"Plan2"}</definedName>
    <definedName name="jgfgdsgfdhrf" localSheetId="4">{#N/A,#N/A,FALSE,"Plan1";#N/A,#N/A,FALSE,"Plan2"}</definedName>
    <definedName name="jgfgdsgfdhrf" localSheetId="13">{#N/A,#N/A,FALSE,"Plan1";#N/A,#N/A,FALSE,"Plan2"}</definedName>
    <definedName name="jgfgdsgfdhrf" localSheetId="17">{#N/A,#N/A,FALSE,"Plan1";#N/A,#N/A,FALSE,"Plan2"}</definedName>
    <definedName name="jgfgdsgfdhrf" localSheetId="0">{#N/A,#N/A,FALSE,"Plan1";#N/A,#N/A,FALSE,"Plan2"}</definedName>
    <definedName name="jgfgdsgfdhrf" localSheetId="19">{#N/A,#N/A,FALSE,"Plan1";#N/A,#N/A,FALSE,"Plan2"}</definedName>
    <definedName name="jgfgdsgfdhrf" localSheetId="16">{#N/A,#N/A,FALSE,"Plan1";#N/A,#N/A,FALSE,"Plan2"}</definedName>
    <definedName name="jgfgdsgfdhrf" localSheetId="18">{#N/A,#N/A,FALSE,"Plan1";#N/A,#N/A,FALSE,"Plan2"}</definedName>
    <definedName name="jgfgdsgfdhrf" localSheetId="10">{#N/A,#N/A,FALSE,"Plan1";#N/A,#N/A,FALSE,"Plan2"}</definedName>
    <definedName name="jgfgdsgfdhrf">{#N/A,#N/A,FALSE,"Plan1";#N/A,#N/A,FALSE,"Plan2"}</definedName>
    <definedName name="JGFJGTFT" localSheetId="9">{#N/A,#N/A,FALSE,"Plan1";#N/A,#N/A,FALSE,"Plan2"}</definedName>
    <definedName name="JGFJGTFT" localSheetId="6">{#N/A,#N/A,FALSE,"Plan1";#N/A,#N/A,FALSE,"Plan2"}</definedName>
    <definedName name="JGFJGTFT" localSheetId="3">{#N/A,#N/A,FALSE,"Plan1";#N/A,#N/A,FALSE,"Plan2"}</definedName>
    <definedName name="JGFJGTFT" localSheetId="8">{#N/A,#N/A,FALSE,"Plan1";#N/A,#N/A,FALSE,"Plan2"}</definedName>
    <definedName name="JGFJGTFT" localSheetId="5">{#N/A,#N/A,FALSE,"Plan1";#N/A,#N/A,FALSE,"Plan2"}</definedName>
    <definedName name="JGFJGTFT" localSheetId="4">{#N/A,#N/A,FALSE,"Plan1";#N/A,#N/A,FALSE,"Plan2"}</definedName>
    <definedName name="JGFJGTFT" localSheetId="13">{#N/A,#N/A,FALSE,"Plan1";#N/A,#N/A,FALSE,"Plan2"}</definedName>
    <definedName name="JGFJGTFT" localSheetId="17">{#N/A,#N/A,FALSE,"Plan1";#N/A,#N/A,FALSE,"Plan2"}</definedName>
    <definedName name="JGFJGTFT" localSheetId="0">{#N/A,#N/A,FALSE,"Plan1";#N/A,#N/A,FALSE,"Plan2"}</definedName>
    <definedName name="JGFJGTFT" localSheetId="19">{#N/A,#N/A,FALSE,"Plan1";#N/A,#N/A,FALSE,"Plan2"}</definedName>
    <definedName name="JGFJGTFT" localSheetId="16">{#N/A,#N/A,FALSE,"Plan1";#N/A,#N/A,FALSE,"Plan2"}</definedName>
    <definedName name="JGFJGTFT" localSheetId="18">{#N/A,#N/A,FALSE,"Plan1";#N/A,#N/A,FALSE,"Plan2"}</definedName>
    <definedName name="JGFJGTFT" localSheetId="10">{#N/A,#N/A,FALSE,"Plan1";#N/A,#N/A,FALSE,"Plan2"}</definedName>
    <definedName name="JGFJGTFT">{#N/A,#N/A,FALSE,"Plan1";#N/A,#N/A,FALSE,"Plan2"}</definedName>
    <definedName name="JGJSFJKSDGB">17</definedName>
    <definedName name="jgkjkhjuftgi" localSheetId="9">{#N/A,#N/A,FALSE,"Plan1";#N/A,#N/A,FALSE,"Plan2"}</definedName>
    <definedName name="jgkjkhjuftgi" localSheetId="6">{#N/A,#N/A,FALSE,"Plan1";#N/A,#N/A,FALSE,"Plan2"}</definedName>
    <definedName name="jgkjkhjuftgi" localSheetId="3">{#N/A,#N/A,FALSE,"Plan1";#N/A,#N/A,FALSE,"Plan2"}</definedName>
    <definedName name="jgkjkhjuftgi" localSheetId="8">{#N/A,#N/A,FALSE,"Plan1";#N/A,#N/A,FALSE,"Plan2"}</definedName>
    <definedName name="jgkjkhjuftgi" localSheetId="5">{#N/A,#N/A,FALSE,"Plan1";#N/A,#N/A,FALSE,"Plan2"}</definedName>
    <definedName name="jgkjkhjuftgi" localSheetId="4">{#N/A,#N/A,FALSE,"Plan1";#N/A,#N/A,FALSE,"Plan2"}</definedName>
    <definedName name="jgkjkhjuftgi" localSheetId="13">{#N/A,#N/A,FALSE,"Plan1";#N/A,#N/A,FALSE,"Plan2"}</definedName>
    <definedName name="jgkjkhjuftgi" localSheetId="17">{#N/A,#N/A,FALSE,"Plan1";#N/A,#N/A,FALSE,"Plan2"}</definedName>
    <definedName name="jgkjkhjuftgi" localSheetId="0">{#N/A,#N/A,FALSE,"Plan1";#N/A,#N/A,FALSE,"Plan2"}</definedName>
    <definedName name="jgkjkhjuftgi" localSheetId="19">{#N/A,#N/A,FALSE,"Plan1";#N/A,#N/A,FALSE,"Plan2"}</definedName>
    <definedName name="jgkjkhjuftgi" localSheetId="16">{#N/A,#N/A,FALSE,"Plan1";#N/A,#N/A,FALSE,"Plan2"}</definedName>
    <definedName name="jgkjkhjuftgi" localSheetId="18">{#N/A,#N/A,FALSE,"Plan1";#N/A,#N/A,FALSE,"Plan2"}</definedName>
    <definedName name="jgkjkhjuftgi" localSheetId="10">{#N/A,#N/A,FALSE,"Plan1";#N/A,#N/A,FALSE,"Plan2"}</definedName>
    <definedName name="jgkjkhjuftgi">{#N/A,#N/A,FALSE,"Plan1";#N/A,#N/A,FALSE,"Plan2"}</definedName>
    <definedName name="jh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9">{#N/A,#N/A,FALSE,"Plan1";#N/A,#N/A,FALSE,"Plan2"}</definedName>
    <definedName name="jhdfjjhirft" localSheetId="6">{#N/A,#N/A,FALSE,"Plan1";#N/A,#N/A,FALSE,"Plan2"}</definedName>
    <definedName name="jhdfjjhirft" localSheetId="3">{#N/A,#N/A,FALSE,"Plan1";#N/A,#N/A,FALSE,"Plan2"}</definedName>
    <definedName name="jhdfjjhirft" localSheetId="8">{#N/A,#N/A,FALSE,"Plan1";#N/A,#N/A,FALSE,"Plan2"}</definedName>
    <definedName name="jhdfjjhirft" localSheetId="5">{#N/A,#N/A,FALSE,"Plan1";#N/A,#N/A,FALSE,"Plan2"}</definedName>
    <definedName name="jhdfjjhirft" localSheetId="4">{#N/A,#N/A,FALSE,"Plan1";#N/A,#N/A,FALSE,"Plan2"}</definedName>
    <definedName name="jhdfjjhirft" localSheetId="13">{#N/A,#N/A,FALSE,"Plan1";#N/A,#N/A,FALSE,"Plan2"}</definedName>
    <definedName name="jhdfjjhirft" localSheetId="17">{#N/A,#N/A,FALSE,"Plan1";#N/A,#N/A,FALSE,"Plan2"}</definedName>
    <definedName name="jhdfjjhirft" localSheetId="0">{#N/A,#N/A,FALSE,"Plan1";#N/A,#N/A,FALSE,"Plan2"}</definedName>
    <definedName name="jhdfjjhirft" localSheetId="19">{#N/A,#N/A,FALSE,"Plan1";#N/A,#N/A,FALSE,"Plan2"}</definedName>
    <definedName name="jhdfjjhirft" localSheetId="16">{#N/A,#N/A,FALSE,"Plan1";#N/A,#N/A,FALSE,"Plan2"}</definedName>
    <definedName name="jhdfjjhirft" localSheetId="18">{#N/A,#N/A,FALSE,"Plan1";#N/A,#N/A,FALSE,"Plan2"}</definedName>
    <definedName name="jhdfjjhirft" localSheetId="10">{#N/A,#N/A,FALSE,"Plan1";#N/A,#N/A,FALSE,"Plan2"}</definedName>
    <definedName name="jhdfjjhirft">{#N/A,#N/A,FALSE,"Plan1";#N/A,#N/A,FALSE,"Plan2"}</definedName>
    <definedName name="jhdfjkhtrdhf" localSheetId="9">{#N/A,#N/A,FALSE,"Plan1";#N/A,#N/A,FALSE,"Plan2"}</definedName>
    <definedName name="jhdfjkhtrdhf" localSheetId="6">{#N/A,#N/A,FALSE,"Plan1";#N/A,#N/A,FALSE,"Plan2"}</definedName>
    <definedName name="jhdfjkhtrdhf" localSheetId="3">{#N/A,#N/A,FALSE,"Plan1";#N/A,#N/A,FALSE,"Plan2"}</definedName>
    <definedName name="jhdfjkhtrdhf" localSheetId="8">{#N/A,#N/A,FALSE,"Plan1";#N/A,#N/A,FALSE,"Plan2"}</definedName>
    <definedName name="jhdfjkhtrdhf" localSheetId="5">{#N/A,#N/A,FALSE,"Plan1";#N/A,#N/A,FALSE,"Plan2"}</definedName>
    <definedName name="jhdfjkhtrdhf" localSheetId="4">{#N/A,#N/A,FALSE,"Plan1";#N/A,#N/A,FALSE,"Plan2"}</definedName>
    <definedName name="jhdfjkhtrdhf" localSheetId="13">{#N/A,#N/A,FALSE,"Plan1";#N/A,#N/A,FALSE,"Plan2"}</definedName>
    <definedName name="jhdfjkhtrdhf" localSheetId="17">{#N/A,#N/A,FALSE,"Plan1";#N/A,#N/A,FALSE,"Plan2"}</definedName>
    <definedName name="jhdfjkhtrdhf" localSheetId="0">{#N/A,#N/A,FALSE,"Plan1";#N/A,#N/A,FALSE,"Plan2"}</definedName>
    <definedName name="jhdfjkhtrdhf" localSheetId="19">{#N/A,#N/A,FALSE,"Plan1";#N/A,#N/A,FALSE,"Plan2"}</definedName>
    <definedName name="jhdfjkhtrdhf" localSheetId="16">{#N/A,#N/A,FALSE,"Plan1";#N/A,#N/A,FALSE,"Plan2"}</definedName>
    <definedName name="jhdfjkhtrdhf" localSheetId="18">{#N/A,#N/A,FALSE,"Plan1";#N/A,#N/A,FALSE,"Plan2"}</definedName>
    <definedName name="jhdfjkhtrdhf" localSheetId="10">{#N/A,#N/A,FALSE,"Plan1";#N/A,#N/A,FALSE,"Plan2"}</definedName>
    <definedName name="jhdfjkhtrdhf">{#N/A,#N/A,FALSE,"Plan1";#N/A,#N/A,FALSE,"Plan2"}</definedName>
    <definedName name="jhdfuthr" localSheetId="9">{#N/A,#N/A,FALSE,"Plan1";#N/A,#N/A,FALSE,"Plan2"}</definedName>
    <definedName name="jhdfuthr" localSheetId="6">{#N/A,#N/A,FALSE,"Plan1";#N/A,#N/A,FALSE,"Plan2"}</definedName>
    <definedName name="jhdfuthr" localSheetId="3">{#N/A,#N/A,FALSE,"Plan1";#N/A,#N/A,FALSE,"Plan2"}</definedName>
    <definedName name="jhdfuthr" localSheetId="8">{#N/A,#N/A,FALSE,"Plan1";#N/A,#N/A,FALSE,"Plan2"}</definedName>
    <definedName name="jhdfuthr" localSheetId="5">{#N/A,#N/A,FALSE,"Plan1";#N/A,#N/A,FALSE,"Plan2"}</definedName>
    <definedName name="jhdfuthr" localSheetId="4">{#N/A,#N/A,FALSE,"Plan1";#N/A,#N/A,FALSE,"Plan2"}</definedName>
    <definedName name="jhdfuthr" localSheetId="13">{#N/A,#N/A,FALSE,"Plan1";#N/A,#N/A,FALSE,"Plan2"}</definedName>
    <definedName name="jhdfuthr" localSheetId="17">{#N/A,#N/A,FALSE,"Plan1";#N/A,#N/A,FALSE,"Plan2"}</definedName>
    <definedName name="jhdfuthr" localSheetId="0">{#N/A,#N/A,FALSE,"Plan1";#N/A,#N/A,FALSE,"Plan2"}</definedName>
    <definedName name="jhdfuthr" localSheetId="19">{#N/A,#N/A,FALSE,"Plan1";#N/A,#N/A,FALSE,"Plan2"}</definedName>
    <definedName name="jhdfuthr" localSheetId="16">{#N/A,#N/A,FALSE,"Plan1";#N/A,#N/A,FALSE,"Plan2"}</definedName>
    <definedName name="jhdfuthr" localSheetId="18">{#N/A,#N/A,FALSE,"Plan1";#N/A,#N/A,FALSE,"Plan2"}</definedName>
    <definedName name="jhdfuthr" localSheetId="10">{#N/A,#N/A,FALSE,"Plan1";#N/A,#N/A,FALSE,"Plan2"}</definedName>
    <definedName name="jhdfuthr">{#N/A,#N/A,FALSE,"Plan1";#N/A,#N/A,FALSE,"Plan2"}</definedName>
    <definedName name="JHDFZGRDHF" localSheetId="9">{"Econ Consolidado",#N/A,FALSE,"Econ Consol";"Fluxo de Caixa",#N/A,FALSE,"Fluxo Caixa";"Investimentos",#N/A,FALSE,"Investimentos"}</definedName>
    <definedName name="JHDFZGRDHF" localSheetId="6">{"Econ Consolidado",#N/A,FALSE,"Econ Consol";"Fluxo de Caixa",#N/A,FALSE,"Fluxo Caixa";"Investimentos",#N/A,FALSE,"Investimentos"}</definedName>
    <definedName name="JHDFZGRDHF" localSheetId="3">{"Econ Consolidado",#N/A,FALSE,"Econ Consol";"Fluxo de Caixa",#N/A,FALSE,"Fluxo Caixa";"Investimentos",#N/A,FALSE,"Investimentos"}</definedName>
    <definedName name="JHDFZGRDHF" localSheetId="8">{"Econ Consolidado",#N/A,FALSE,"Econ Consol";"Fluxo de Caixa",#N/A,FALSE,"Fluxo Caixa";"Investimentos",#N/A,FALSE,"Investimentos"}</definedName>
    <definedName name="JHDFZGRDHF" localSheetId="5">{"Econ Consolidado",#N/A,FALSE,"Econ Consol";"Fluxo de Caixa",#N/A,FALSE,"Fluxo Caixa";"Investimentos",#N/A,FALSE,"Investimentos"}</definedName>
    <definedName name="JHDFZGRDHF" localSheetId="4">{"Econ Consolidado",#N/A,FALSE,"Econ Consol";"Fluxo de Caixa",#N/A,FALSE,"Fluxo Caixa";"Investimentos",#N/A,FALSE,"Investimentos"}</definedName>
    <definedName name="JHDFZGRDHF" localSheetId="13">{"Econ Consolidado",#N/A,FALSE,"Econ Consol";"Fluxo de Caixa",#N/A,FALSE,"Fluxo Caixa";"Investimentos",#N/A,FALSE,"Investimentos"}</definedName>
    <definedName name="JHDFZGRDHF" localSheetId="17">{"Econ Consolidado",#N/A,FALSE,"Econ Consol";"Fluxo de Caixa",#N/A,FALSE,"Fluxo Caixa";"Investimentos",#N/A,FALSE,"Investimentos"}</definedName>
    <definedName name="JHDFZGRDHF" localSheetId="0">{"Econ Consolidado",#N/A,FALSE,"Econ Consol";"Fluxo de Caixa",#N/A,FALSE,"Fluxo Caixa";"Investimentos",#N/A,FALSE,"Investimentos"}</definedName>
    <definedName name="JHDFZGRDHF" localSheetId="19">{"Econ Consolidado",#N/A,FALSE,"Econ Consol";"Fluxo de Caixa",#N/A,FALSE,"Fluxo Caixa";"Investimentos",#N/A,FALSE,"Investimentos"}</definedName>
    <definedName name="JHDFZGRDHF" localSheetId="16">{"Econ Consolidado",#N/A,FALSE,"Econ Consol";"Fluxo de Caixa",#N/A,FALSE,"Fluxo Caixa";"Investimentos",#N/A,FALSE,"Investimentos"}</definedName>
    <definedName name="JHDFZGRDHF" localSheetId="18">{"Econ Consolidado",#N/A,FALSE,"Econ Consol";"Fluxo de Caixa",#N/A,FALSE,"Fluxo Caixa";"Investimentos",#N/A,FALSE,"Investimentos"}</definedName>
    <definedName name="JHDFZGRDHF" localSheetId="10">{"Econ Consolidado",#N/A,FALSE,"Econ Consol";"Fluxo de Caixa",#N/A,FALSE,"Fluxo Caixa";"Investimentos",#N/A,FALSE,"Investimentos"}</definedName>
    <definedName name="JHDFZGRDHF">{"Econ Consolidado",#N/A,FALSE,"Econ Consol";"Fluxo de Caixa",#N/A,FALSE,"Fluxo Caixa";"Investimentos",#N/A,FALSE,"Investimentos"}</definedName>
    <definedName name="JHERKHKFGH" localSheetId="9">{#N/A,#N/A,FALSE,"Plan1";#N/A,#N/A,FALSE,"Plan2"}</definedName>
    <definedName name="JHERKHKFGH" localSheetId="6">{#N/A,#N/A,FALSE,"Plan1";#N/A,#N/A,FALSE,"Plan2"}</definedName>
    <definedName name="JHERKHKFGH" localSheetId="3">{#N/A,#N/A,FALSE,"Plan1";#N/A,#N/A,FALSE,"Plan2"}</definedName>
    <definedName name="JHERKHKFGH" localSheetId="8">{#N/A,#N/A,FALSE,"Plan1";#N/A,#N/A,FALSE,"Plan2"}</definedName>
    <definedName name="JHERKHKFGH" localSheetId="5">{#N/A,#N/A,FALSE,"Plan1";#N/A,#N/A,FALSE,"Plan2"}</definedName>
    <definedName name="JHERKHKFGH" localSheetId="4">{#N/A,#N/A,FALSE,"Plan1";#N/A,#N/A,FALSE,"Plan2"}</definedName>
    <definedName name="JHERKHKFGH" localSheetId="13">{#N/A,#N/A,FALSE,"Plan1";#N/A,#N/A,FALSE,"Plan2"}</definedName>
    <definedName name="JHERKHKFGH" localSheetId="17">{#N/A,#N/A,FALSE,"Plan1";#N/A,#N/A,FALSE,"Plan2"}</definedName>
    <definedName name="JHERKHKFGH" localSheetId="0">{#N/A,#N/A,FALSE,"Plan1";#N/A,#N/A,FALSE,"Plan2"}</definedName>
    <definedName name="JHERKHKFGH" localSheetId="19">{#N/A,#N/A,FALSE,"Plan1";#N/A,#N/A,FALSE,"Plan2"}</definedName>
    <definedName name="JHERKHKFGH" localSheetId="16">{#N/A,#N/A,FALSE,"Plan1";#N/A,#N/A,FALSE,"Plan2"}</definedName>
    <definedName name="JHERKHKFGH" localSheetId="18">{#N/A,#N/A,FALSE,"Plan1";#N/A,#N/A,FALSE,"Plan2"}</definedName>
    <definedName name="JHERKHKFGH" localSheetId="10">{#N/A,#N/A,FALSE,"Plan1";#N/A,#N/A,FALSE,"Plan2"}</definedName>
    <definedName name="JHERKHKFGH">{#N/A,#N/A,FALSE,"Plan1";#N/A,#N/A,FALSE,"Plan2"}</definedName>
    <definedName name="jhfhhztfhe" localSheetId="3">#REF!</definedName>
    <definedName name="jhfhhztfhe" localSheetId="5">#REF!</definedName>
    <definedName name="jhfhhztfhe" localSheetId="13">#REF!</definedName>
    <definedName name="jhfhhztfhe" localSheetId="26">#REF!</definedName>
    <definedName name="jhfhhztfhe" localSheetId="0">#REF!</definedName>
    <definedName name="jhfhhztfhe">#REF!</definedName>
    <definedName name="JHGKJFJFJGL" localSheetId="9">{#N/A,#N/A,FALSE,"Plan1";#N/A,#N/A,FALSE,"Plan2"}</definedName>
    <definedName name="JHGKJFJFJGL" localSheetId="6">{#N/A,#N/A,FALSE,"Plan1";#N/A,#N/A,FALSE,"Plan2"}</definedName>
    <definedName name="JHGKJFJFJGL" localSheetId="3">{#N/A,#N/A,FALSE,"Plan1";#N/A,#N/A,FALSE,"Plan2"}</definedName>
    <definedName name="JHGKJFJFJGL" localSheetId="8">{#N/A,#N/A,FALSE,"Plan1";#N/A,#N/A,FALSE,"Plan2"}</definedName>
    <definedName name="JHGKJFJFJGL" localSheetId="5">{#N/A,#N/A,FALSE,"Plan1";#N/A,#N/A,FALSE,"Plan2"}</definedName>
    <definedName name="JHGKJFJFJGL" localSheetId="4">{#N/A,#N/A,FALSE,"Plan1";#N/A,#N/A,FALSE,"Plan2"}</definedName>
    <definedName name="JHGKJFJFJGL" localSheetId="13">{#N/A,#N/A,FALSE,"Plan1";#N/A,#N/A,FALSE,"Plan2"}</definedName>
    <definedName name="JHGKJFJFJGL" localSheetId="17">{#N/A,#N/A,FALSE,"Plan1";#N/A,#N/A,FALSE,"Plan2"}</definedName>
    <definedName name="JHGKJFJFJGL" localSheetId="0">{#N/A,#N/A,FALSE,"Plan1";#N/A,#N/A,FALSE,"Plan2"}</definedName>
    <definedName name="JHGKJFJFJGL" localSheetId="19">{#N/A,#N/A,FALSE,"Plan1";#N/A,#N/A,FALSE,"Plan2"}</definedName>
    <definedName name="JHGKJFJFJGL" localSheetId="16">{#N/A,#N/A,FALSE,"Plan1";#N/A,#N/A,FALSE,"Plan2"}</definedName>
    <definedName name="JHGKJFJFJGL" localSheetId="18">{#N/A,#N/A,FALSE,"Plan1";#N/A,#N/A,FALSE,"Plan2"}</definedName>
    <definedName name="JHGKJFJFJGL" localSheetId="10">{#N/A,#N/A,FALSE,"Plan1";#N/A,#N/A,FALSE,"Plan2"}</definedName>
    <definedName name="JHGKJFJFJGL">{#N/A,#N/A,FALSE,"Plan1";#N/A,#N/A,FALSE,"Plan2"}</definedName>
    <definedName name="jhsdjkhfuks" localSheetId="9">{#N/A,#N/A,FALSE,"Plan1";#N/A,#N/A,FALSE,"Plan2"}</definedName>
    <definedName name="jhsdjkhfuks" localSheetId="6">{#N/A,#N/A,FALSE,"Plan1";#N/A,#N/A,FALSE,"Plan2"}</definedName>
    <definedName name="jhsdjkhfuks" localSheetId="3">{#N/A,#N/A,FALSE,"Plan1";#N/A,#N/A,FALSE,"Plan2"}</definedName>
    <definedName name="jhsdjkhfuks" localSheetId="8">{#N/A,#N/A,FALSE,"Plan1";#N/A,#N/A,FALSE,"Plan2"}</definedName>
    <definedName name="jhsdjkhfuks" localSheetId="5">{#N/A,#N/A,FALSE,"Plan1";#N/A,#N/A,FALSE,"Plan2"}</definedName>
    <definedName name="jhsdjkhfuks" localSheetId="4">{#N/A,#N/A,FALSE,"Plan1";#N/A,#N/A,FALSE,"Plan2"}</definedName>
    <definedName name="jhsdjkhfuks" localSheetId="13">{#N/A,#N/A,FALSE,"Plan1";#N/A,#N/A,FALSE,"Plan2"}</definedName>
    <definedName name="jhsdjkhfuks" localSheetId="17">{#N/A,#N/A,FALSE,"Plan1";#N/A,#N/A,FALSE,"Plan2"}</definedName>
    <definedName name="jhsdjkhfuks" localSheetId="0">{#N/A,#N/A,FALSE,"Plan1";#N/A,#N/A,FALSE,"Plan2"}</definedName>
    <definedName name="jhsdjkhfuks" localSheetId="19">{#N/A,#N/A,FALSE,"Plan1";#N/A,#N/A,FALSE,"Plan2"}</definedName>
    <definedName name="jhsdjkhfuks" localSheetId="16">{#N/A,#N/A,FALSE,"Plan1";#N/A,#N/A,FALSE,"Plan2"}</definedName>
    <definedName name="jhsdjkhfuks" localSheetId="18">{#N/A,#N/A,FALSE,"Plan1";#N/A,#N/A,FALSE,"Plan2"}</definedName>
    <definedName name="jhsdjkhfuks" localSheetId="10">{#N/A,#N/A,FALSE,"Plan1";#N/A,#N/A,FALSE,"Plan2"}</definedName>
    <definedName name="jhsdjkhfuks">{#N/A,#N/A,FALSE,"Plan1";#N/A,#N/A,FALSE,"Plan2"}</definedName>
    <definedName name="jisdrkje" localSheetId="9">{#N/A,#N/A,FALSE,"Plan1";#N/A,#N/A,FALSE,"Plan2"}</definedName>
    <definedName name="jisdrkje" localSheetId="6">{#N/A,#N/A,FALSE,"Plan1";#N/A,#N/A,FALSE,"Plan2"}</definedName>
    <definedName name="jisdrkje" localSheetId="3">{#N/A,#N/A,FALSE,"Plan1";#N/A,#N/A,FALSE,"Plan2"}</definedName>
    <definedName name="jisdrkje" localSheetId="8">{#N/A,#N/A,FALSE,"Plan1";#N/A,#N/A,FALSE,"Plan2"}</definedName>
    <definedName name="jisdrkje" localSheetId="5">{#N/A,#N/A,FALSE,"Plan1";#N/A,#N/A,FALSE,"Plan2"}</definedName>
    <definedName name="jisdrkje" localSheetId="4">{#N/A,#N/A,FALSE,"Plan1";#N/A,#N/A,FALSE,"Plan2"}</definedName>
    <definedName name="jisdrkje" localSheetId="13">{#N/A,#N/A,FALSE,"Plan1";#N/A,#N/A,FALSE,"Plan2"}</definedName>
    <definedName name="jisdrkje" localSheetId="17">{#N/A,#N/A,FALSE,"Plan1";#N/A,#N/A,FALSE,"Plan2"}</definedName>
    <definedName name="jisdrkje" localSheetId="0">{#N/A,#N/A,FALSE,"Plan1";#N/A,#N/A,FALSE,"Plan2"}</definedName>
    <definedName name="jisdrkje" localSheetId="19">{#N/A,#N/A,FALSE,"Plan1";#N/A,#N/A,FALSE,"Plan2"}</definedName>
    <definedName name="jisdrkje" localSheetId="16">{#N/A,#N/A,FALSE,"Plan1";#N/A,#N/A,FALSE,"Plan2"}</definedName>
    <definedName name="jisdrkje" localSheetId="18">{#N/A,#N/A,FALSE,"Plan1";#N/A,#N/A,FALSE,"Plan2"}</definedName>
    <definedName name="jisdrkje" localSheetId="10">{#N/A,#N/A,FALSE,"Plan1";#N/A,#N/A,FALSE,"Plan2"}</definedName>
    <definedName name="jisdrkje">{#N/A,#N/A,FALSE,"Plan1";#N/A,#N/A,FALSE,"Plan2"}</definedName>
    <definedName name="jishfrieyhtau" localSheetId="9">{#N/A,#N/A,FALSE,"Plan1";#N/A,#N/A,FALSE,"Plan2"}</definedName>
    <definedName name="jishfrieyhtau" localSheetId="6">{#N/A,#N/A,FALSE,"Plan1";#N/A,#N/A,FALSE,"Plan2"}</definedName>
    <definedName name="jishfrieyhtau" localSheetId="3">{#N/A,#N/A,FALSE,"Plan1";#N/A,#N/A,FALSE,"Plan2"}</definedName>
    <definedName name="jishfrieyhtau" localSheetId="8">{#N/A,#N/A,FALSE,"Plan1";#N/A,#N/A,FALSE,"Plan2"}</definedName>
    <definedName name="jishfrieyhtau" localSheetId="5">{#N/A,#N/A,FALSE,"Plan1";#N/A,#N/A,FALSE,"Plan2"}</definedName>
    <definedName name="jishfrieyhtau" localSheetId="4">{#N/A,#N/A,FALSE,"Plan1";#N/A,#N/A,FALSE,"Plan2"}</definedName>
    <definedName name="jishfrieyhtau" localSheetId="13">{#N/A,#N/A,FALSE,"Plan1";#N/A,#N/A,FALSE,"Plan2"}</definedName>
    <definedName name="jishfrieyhtau" localSheetId="17">{#N/A,#N/A,FALSE,"Plan1";#N/A,#N/A,FALSE,"Plan2"}</definedName>
    <definedName name="jishfrieyhtau" localSheetId="0">{#N/A,#N/A,FALSE,"Plan1";#N/A,#N/A,FALSE,"Plan2"}</definedName>
    <definedName name="jishfrieyhtau" localSheetId="19">{#N/A,#N/A,FALSE,"Plan1";#N/A,#N/A,FALSE,"Plan2"}</definedName>
    <definedName name="jishfrieyhtau" localSheetId="16">{#N/A,#N/A,FALSE,"Plan1";#N/A,#N/A,FALSE,"Plan2"}</definedName>
    <definedName name="jishfrieyhtau" localSheetId="18">{#N/A,#N/A,FALSE,"Plan1";#N/A,#N/A,FALSE,"Plan2"}</definedName>
    <definedName name="jishfrieyhtau" localSheetId="10">{#N/A,#N/A,FALSE,"Plan1";#N/A,#N/A,FALSE,"Plan2"}</definedName>
    <definedName name="jishfrieyhtau">{#N/A,#N/A,FALSE,"Plan1";#N/A,#N/A,FALSE,"Plan2"}</definedName>
    <definedName name="jiu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9">{"'Apr-00'!$B$4:$AD$44"}</definedName>
    <definedName name="jj" localSheetId="6">{"'Apr-00'!$B$4:$AD$44"}</definedName>
    <definedName name="jj" localSheetId="3">{"'Apr-00'!$B$4:$AD$44"}</definedName>
    <definedName name="jj" localSheetId="8">{"'Apr-00'!$B$4:$AD$44"}</definedName>
    <definedName name="jj" localSheetId="5">{"'Apr-00'!$B$4:$AD$44"}</definedName>
    <definedName name="jj" localSheetId="4">{"'Apr-00'!$B$4:$AD$44"}</definedName>
    <definedName name="jj" localSheetId="13">{"'Apr-00'!$B$4:$AD$44"}</definedName>
    <definedName name="jj" localSheetId="17">{"'Apr-00'!$B$4:$AD$44"}</definedName>
    <definedName name="jj" localSheetId="0">{"'Apr-00'!$B$4:$AD$44"}</definedName>
    <definedName name="jj" localSheetId="19">{"'Apr-00'!$B$4:$AD$44"}</definedName>
    <definedName name="jj" localSheetId="16">{"'Apr-00'!$B$4:$AD$44"}</definedName>
    <definedName name="jj" localSheetId="18">{"'Apr-00'!$B$4:$AD$44"}</definedName>
    <definedName name="jj" localSheetId="10">{"'Apr-00'!$B$4:$AD$44"}</definedName>
    <definedName name="jj">{"'Apr-00'!$B$4:$AD$44"}</definedName>
    <definedName name="jjfdsktyhhy" localSheetId="9">{#N/A,#N/A,FALSE,"Plan1";#N/A,#N/A,FALSE,"Plan2"}</definedName>
    <definedName name="jjfdsktyhhy" localSheetId="6">{#N/A,#N/A,FALSE,"Plan1";#N/A,#N/A,FALSE,"Plan2"}</definedName>
    <definedName name="jjfdsktyhhy" localSheetId="3">{#N/A,#N/A,FALSE,"Plan1";#N/A,#N/A,FALSE,"Plan2"}</definedName>
    <definedName name="jjfdsktyhhy" localSheetId="8">{#N/A,#N/A,FALSE,"Plan1";#N/A,#N/A,FALSE,"Plan2"}</definedName>
    <definedName name="jjfdsktyhhy" localSheetId="5">{#N/A,#N/A,FALSE,"Plan1";#N/A,#N/A,FALSE,"Plan2"}</definedName>
    <definedName name="jjfdsktyhhy" localSheetId="4">{#N/A,#N/A,FALSE,"Plan1";#N/A,#N/A,FALSE,"Plan2"}</definedName>
    <definedName name="jjfdsktyhhy" localSheetId="13">{#N/A,#N/A,FALSE,"Plan1";#N/A,#N/A,FALSE,"Plan2"}</definedName>
    <definedName name="jjfdsktyhhy" localSheetId="17">{#N/A,#N/A,FALSE,"Plan1";#N/A,#N/A,FALSE,"Plan2"}</definedName>
    <definedName name="jjfdsktyhhy" localSheetId="0">{#N/A,#N/A,FALSE,"Plan1";#N/A,#N/A,FALSE,"Plan2"}</definedName>
    <definedName name="jjfdsktyhhy" localSheetId="19">{#N/A,#N/A,FALSE,"Plan1";#N/A,#N/A,FALSE,"Plan2"}</definedName>
    <definedName name="jjfdsktyhhy" localSheetId="16">{#N/A,#N/A,FALSE,"Plan1";#N/A,#N/A,FALSE,"Plan2"}</definedName>
    <definedName name="jjfdsktyhhy" localSheetId="18">{#N/A,#N/A,FALSE,"Plan1";#N/A,#N/A,FALSE,"Plan2"}</definedName>
    <definedName name="jjfdsktyhhy" localSheetId="10">{#N/A,#N/A,FALSE,"Plan1";#N/A,#N/A,FALSE,"Plan2"}</definedName>
    <definedName name="jjfdsktyhhy">{#N/A,#N/A,FALSE,"Plan1";#N/A,#N/A,FALSE,"Plan2"}</definedName>
    <definedName name="jjjjjjjjjjjjjjjjjjjj" localSheetId="3">#REF!</definedName>
    <definedName name="jjjjjjjjjjjjjjjjjjjj" localSheetId="5">#REF!</definedName>
    <definedName name="jjjjjjjjjjjjjjjjjjjj" localSheetId="13">#REF!</definedName>
    <definedName name="jjjjjjjjjjjjjjjjjjjj" localSheetId="26">#REF!</definedName>
    <definedName name="jjjjjjjjjjjjjjjjjjjj">#REF!</definedName>
    <definedName name="jjkjkjk" localSheetId="9">{#N/A,#N/A,FALSE,"Plan1";#N/A,#N/A,FALSE,"Plan2"}</definedName>
    <definedName name="jjkjkjk" localSheetId="6">{#N/A,#N/A,FALSE,"Plan1";#N/A,#N/A,FALSE,"Plan2"}</definedName>
    <definedName name="jjkjkjk" localSheetId="3">{#N/A,#N/A,FALSE,"Plan1";#N/A,#N/A,FALSE,"Plan2"}</definedName>
    <definedName name="jjkjkjk" localSheetId="8">{#N/A,#N/A,FALSE,"Plan1";#N/A,#N/A,FALSE,"Plan2"}</definedName>
    <definedName name="jjkjkjk" localSheetId="5">{#N/A,#N/A,FALSE,"Plan1";#N/A,#N/A,FALSE,"Plan2"}</definedName>
    <definedName name="jjkjkjk" localSheetId="4">{#N/A,#N/A,FALSE,"Plan1";#N/A,#N/A,FALSE,"Plan2"}</definedName>
    <definedName name="jjkjkjk" localSheetId="13">{#N/A,#N/A,FALSE,"Plan1";#N/A,#N/A,FALSE,"Plan2"}</definedName>
    <definedName name="jjkjkjk" localSheetId="17">{#N/A,#N/A,FALSE,"Plan1";#N/A,#N/A,FALSE,"Plan2"}</definedName>
    <definedName name="jjkjkjk" localSheetId="0">{#N/A,#N/A,FALSE,"Plan1";#N/A,#N/A,FALSE,"Plan2"}</definedName>
    <definedName name="jjkjkjk" localSheetId="19">{#N/A,#N/A,FALSE,"Plan1";#N/A,#N/A,FALSE,"Plan2"}</definedName>
    <definedName name="jjkjkjk" localSheetId="16">{#N/A,#N/A,FALSE,"Plan1";#N/A,#N/A,FALSE,"Plan2"}</definedName>
    <definedName name="jjkjkjk" localSheetId="18">{#N/A,#N/A,FALSE,"Plan1";#N/A,#N/A,FALSE,"Plan2"}</definedName>
    <definedName name="jjkjkjk" localSheetId="10">{#N/A,#N/A,FALSE,"Plan1";#N/A,#N/A,FALSE,"Plan2"}</definedName>
    <definedName name="jjkjkjk">{#N/A,#N/A,FALSE,"Plan1";#N/A,#N/A,FALSE,"Plan2"}</definedName>
    <definedName name="JKDCK" localSheetId="9">{#N/A,#N/A,FALSE,"Plan1";#N/A,#N/A,FALSE,"Plan2"}</definedName>
    <definedName name="JKDCK" localSheetId="6">{#N/A,#N/A,FALSE,"Plan1";#N/A,#N/A,FALSE,"Plan2"}</definedName>
    <definedName name="JKDCK" localSheetId="3">{#N/A,#N/A,FALSE,"Plan1";#N/A,#N/A,FALSE,"Plan2"}</definedName>
    <definedName name="JKDCK" localSheetId="8">{#N/A,#N/A,FALSE,"Plan1";#N/A,#N/A,FALSE,"Plan2"}</definedName>
    <definedName name="JKDCK" localSheetId="5">{#N/A,#N/A,FALSE,"Plan1";#N/A,#N/A,FALSE,"Plan2"}</definedName>
    <definedName name="JKDCK" localSheetId="4">{#N/A,#N/A,FALSE,"Plan1";#N/A,#N/A,FALSE,"Plan2"}</definedName>
    <definedName name="JKDCK" localSheetId="13">{#N/A,#N/A,FALSE,"Plan1";#N/A,#N/A,FALSE,"Plan2"}</definedName>
    <definedName name="JKDCK" localSheetId="17">{#N/A,#N/A,FALSE,"Plan1";#N/A,#N/A,FALSE,"Plan2"}</definedName>
    <definedName name="JKDCK" localSheetId="0">{#N/A,#N/A,FALSE,"Plan1";#N/A,#N/A,FALSE,"Plan2"}</definedName>
    <definedName name="JKDCK" localSheetId="19">{#N/A,#N/A,FALSE,"Plan1";#N/A,#N/A,FALSE,"Plan2"}</definedName>
    <definedName name="JKDCK" localSheetId="16">{#N/A,#N/A,FALSE,"Plan1";#N/A,#N/A,FALSE,"Plan2"}</definedName>
    <definedName name="JKDCK" localSheetId="18">{#N/A,#N/A,FALSE,"Plan1";#N/A,#N/A,FALSE,"Plan2"}</definedName>
    <definedName name="JKDCK" localSheetId="10">{#N/A,#N/A,FALSE,"Plan1";#N/A,#N/A,FALSE,"Plan2"}</definedName>
    <definedName name="JKDCK">{#N/A,#N/A,FALSE,"Plan1";#N/A,#N/A,FALSE,"Plan2"}</definedName>
    <definedName name="JKDFHKHFR" localSheetId="9">{#N/A,#N/A,FALSE,"Plan1";#N/A,#N/A,FALSE,"Plan2"}</definedName>
    <definedName name="JKDFHKHFR" localSheetId="6">{#N/A,#N/A,FALSE,"Plan1";#N/A,#N/A,FALSE,"Plan2"}</definedName>
    <definedName name="JKDFHKHFR" localSheetId="3">{#N/A,#N/A,FALSE,"Plan1";#N/A,#N/A,FALSE,"Plan2"}</definedName>
    <definedName name="JKDFHKHFR" localSheetId="8">{#N/A,#N/A,FALSE,"Plan1";#N/A,#N/A,FALSE,"Plan2"}</definedName>
    <definedName name="JKDFHKHFR" localSheetId="5">{#N/A,#N/A,FALSE,"Plan1";#N/A,#N/A,FALSE,"Plan2"}</definedName>
    <definedName name="JKDFHKHFR" localSheetId="4">{#N/A,#N/A,FALSE,"Plan1";#N/A,#N/A,FALSE,"Plan2"}</definedName>
    <definedName name="JKDFHKHFR" localSheetId="13">{#N/A,#N/A,FALSE,"Plan1";#N/A,#N/A,FALSE,"Plan2"}</definedName>
    <definedName name="JKDFHKHFR" localSheetId="17">{#N/A,#N/A,FALSE,"Plan1";#N/A,#N/A,FALSE,"Plan2"}</definedName>
    <definedName name="JKDFHKHFR" localSheetId="0">{#N/A,#N/A,FALSE,"Plan1";#N/A,#N/A,FALSE,"Plan2"}</definedName>
    <definedName name="JKDFHKHFR" localSheetId="19">{#N/A,#N/A,FALSE,"Plan1";#N/A,#N/A,FALSE,"Plan2"}</definedName>
    <definedName name="JKDFHKHFR" localSheetId="16">{#N/A,#N/A,FALSE,"Plan1";#N/A,#N/A,FALSE,"Plan2"}</definedName>
    <definedName name="JKDFHKHFR" localSheetId="18">{#N/A,#N/A,FALSE,"Plan1";#N/A,#N/A,FALSE,"Plan2"}</definedName>
    <definedName name="JKDFHKHFR" localSheetId="10">{#N/A,#N/A,FALSE,"Plan1";#N/A,#N/A,FALSE,"Plan2"}</definedName>
    <definedName name="JKDFHKHFR">{#N/A,#N/A,FALSE,"Plan1";#N/A,#N/A,FALSE,"Plan2"}</definedName>
    <definedName name="JKDFTRDRJ" localSheetId="9">{#N/A,#N/A,FALSE,"Plan1";#N/A,#N/A,FALSE,"Plan2"}</definedName>
    <definedName name="JKDFTRDRJ" localSheetId="6">{#N/A,#N/A,FALSE,"Plan1";#N/A,#N/A,FALSE,"Plan2"}</definedName>
    <definedName name="JKDFTRDRJ" localSheetId="3">{#N/A,#N/A,FALSE,"Plan1";#N/A,#N/A,FALSE,"Plan2"}</definedName>
    <definedName name="JKDFTRDRJ" localSheetId="8">{#N/A,#N/A,FALSE,"Plan1";#N/A,#N/A,FALSE,"Plan2"}</definedName>
    <definedName name="JKDFTRDRJ" localSheetId="5">{#N/A,#N/A,FALSE,"Plan1";#N/A,#N/A,FALSE,"Plan2"}</definedName>
    <definedName name="JKDFTRDRJ" localSheetId="4">{#N/A,#N/A,FALSE,"Plan1";#N/A,#N/A,FALSE,"Plan2"}</definedName>
    <definedName name="JKDFTRDRJ" localSheetId="13">{#N/A,#N/A,FALSE,"Plan1";#N/A,#N/A,FALSE,"Plan2"}</definedName>
    <definedName name="JKDFTRDRJ" localSheetId="17">{#N/A,#N/A,FALSE,"Plan1";#N/A,#N/A,FALSE,"Plan2"}</definedName>
    <definedName name="JKDFTRDRJ" localSheetId="0">{#N/A,#N/A,FALSE,"Plan1";#N/A,#N/A,FALSE,"Plan2"}</definedName>
    <definedName name="JKDFTRDRJ" localSheetId="19">{#N/A,#N/A,FALSE,"Plan1";#N/A,#N/A,FALSE,"Plan2"}</definedName>
    <definedName name="JKDFTRDRJ" localSheetId="16">{#N/A,#N/A,FALSE,"Plan1";#N/A,#N/A,FALSE,"Plan2"}</definedName>
    <definedName name="JKDFTRDRJ" localSheetId="18">{#N/A,#N/A,FALSE,"Plan1";#N/A,#N/A,FALSE,"Plan2"}</definedName>
    <definedName name="JKDFTRDRJ" localSheetId="10">{#N/A,#N/A,FALSE,"Plan1";#N/A,#N/A,FALSE,"Plan2"}</definedName>
    <definedName name="JKDFTRDRJ">{#N/A,#N/A,FALSE,"Plan1";#N/A,#N/A,FALSE,"Plan2"}</definedName>
    <definedName name="jkdhfukhddf" localSheetId="9">{#N/A,#N/A,FALSE,"Plan1";#N/A,#N/A,FALSE,"Plan2"}</definedName>
    <definedName name="jkdhfukhddf" localSheetId="6">{#N/A,#N/A,FALSE,"Plan1";#N/A,#N/A,FALSE,"Plan2"}</definedName>
    <definedName name="jkdhfukhddf" localSheetId="3">{#N/A,#N/A,FALSE,"Plan1";#N/A,#N/A,FALSE,"Plan2"}</definedName>
    <definedName name="jkdhfukhddf" localSheetId="8">{#N/A,#N/A,FALSE,"Plan1";#N/A,#N/A,FALSE,"Plan2"}</definedName>
    <definedName name="jkdhfukhddf" localSheetId="5">{#N/A,#N/A,FALSE,"Plan1";#N/A,#N/A,FALSE,"Plan2"}</definedName>
    <definedName name="jkdhfukhddf" localSheetId="4">{#N/A,#N/A,FALSE,"Plan1";#N/A,#N/A,FALSE,"Plan2"}</definedName>
    <definedName name="jkdhfukhddf" localSheetId="13">{#N/A,#N/A,FALSE,"Plan1";#N/A,#N/A,FALSE,"Plan2"}</definedName>
    <definedName name="jkdhfukhddf" localSheetId="17">{#N/A,#N/A,FALSE,"Plan1";#N/A,#N/A,FALSE,"Plan2"}</definedName>
    <definedName name="jkdhfukhddf" localSheetId="0">{#N/A,#N/A,FALSE,"Plan1";#N/A,#N/A,FALSE,"Plan2"}</definedName>
    <definedName name="jkdhfukhddf" localSheetId="19">{#N/A,#N/A,FALSE,"Plan1";#N/A,#N/A,FALSE,"Plan2"}</definedName>
    <definedName name="jkdhfukhddf" localSheetId="16">{#N/A,#N/A,FALSE,"Plan1";#N/A,#N/A,FALSE,"Plan2"}</definedName>
    <definedName name="jkdhfukhddf" localSheetId="18">{#N/A,#N/A,FALSE,"Plan1";#N/A,#N/A,FALSE,"Plan2"}</definedName>
    <definedName name="jkdhfukhddf" localSheetId="10">{#N/A,#N/A,FALSE,"Plan1";#N/A,#N/A,FALSE,"Plan2"}</definedName>
    <definedName name="jkdhfukhddf">{#N/A,#N/A,FALSE,"Plan1";#N/A,#N/A,FALSE,"Plan2"}</definedName>
    <definedName name="JKDRKGJHTDR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9">{#N/A,#N/A,FALSE,"Plan1";#N/A,#N/A,FALSE,"Plan2"}</definedName>
    <definedName name="jkelsjreja" localSheetId="6">{#N/A,#N/A,FALSE,"Plan1";#N/A,#N/A,FALSE,"Plan2"}</definedName>
    <definedName name="jkelsjreja" localSheetId="3">{#N/A,#N/A,FALSE,"Plan1";#N/A,#N/A,FALSE,"Plan2"}</definedName>
    <definedName name="jkelsjreja" localSheetId="8">{#N/A,#N/A,FALSE,"Plan1";#N/A,#N/A,FALSE,"Plan2"}</definedName>
    <definedName name="jkelsjreja" localSheetId="5">{#N/A,#N/A,FALSE,"Plan1";#N/A,#N/A,FALSE,"Plan2"}</definedName>
    <definedName name="jkelsjreja" localSheetId="4">{#N/A,#N/A,FALSE,"Plan1";#N/A,#N/A,FALSE,"Plan2"}</definedName>
    <definedName name="jkelsjreja" localSheetId="13">{#N/A,#N/A,FALSE,"Plan1";#N/A,#N/A,FALSE,"Plan2"}</definedName>
    <definedName name="jkelsjreja" localSheetId="17">{#N/A,#N/A,FALSE,"Plan1";#N/A,#N/A,FALSE,"Plan2"}</definedName>
    <definedName name="jkelsjreja" localSheetId="0">{#N/A,#N/A,FALSE,"Plan1";#N/A,#N/A,FALSE,"Plan2"}</definedName>
    <definedName name="jkelsjreja" localSheetId="19">{#N/A,#N/A,FALSE,"Plan1";#N/A,#N/A,FALSE,"Plan2"}</definedName>
    <definedName name="jkelsjreja" localSheetId="16">{#N/A,#N/A,FALSE,"Plan1";#N/A,#N/A,FALSE,"Plan2"}</definedName>
    <definedName name="jkelsjreja" localSheetId="18">{#N/A,#N/A,FALSE,"Plan1";#N/A,#N/A,FALSE,"Plan2"}</definedName>
    <definedName name="jkelsjreja" localSheetId="10">{#N/A,#N/A,FALSE,"Plan1";#N/A,#N/A,FALSE,"Plan2"}</definedName>
    <definedName name="jkelsjreja">{#N/A,#N/A,FALSE,"Plan1";#N/A,#N/A,FALSE,"Plan2"}</definedName>
    <definedName name="jkfhjgkfhghh" localSheetId="9">{#N/A,#N/A,FALSE,"Plan1";#N/A,#N/A,FALSE,"Plan2"}</definedName>
    <definedName name="jkfhjgkfhghh" localSheetId="6">{#N/A,#N/A,FALSE,"Plan1";#N/A,#N/A,FALSE,"Plan2"}</definedName>
    <definedName name="jkfhjgkfhghh" localSheetId="3">{#N/A,#N/A,FALSE,"Plan1";#N/A,#N/A,FALSE,"Plan2"}</definedName>
    <definedName name="jkfhjgkfhghh" localSheetId="8">{#N/A,#N/A,FALSE,"Plan1";#N/A,#N/A,FALSE,"Plan2"}</definedName>
    <definedName name="jkfhjgkfhghh" localSheetId="5">{#N/A,#N/A,FALSE,"Plan1";#N/A,#N/A,FALSE,"Plan2"}</definedName>
    <definedName name="jkfhjgkfhghh" localSheetId="4">{#N/A,#N/A,FALSE,"Plan1";#N/A,#N/A,FALSE,"Plan2"}</definedName>
    <definedName name="jkfhjgkfhghh" localSheetId="13">{#N/A,#N/A,FALSE,"Plan1";#N/A,#N/A,FALSE,"Plan2"}</definedName>
    <definedName name="jkfhjgkfhghh" localSheetId="17">{#N/A,#N/A,FALSE,"Plan1";#N/A,#N/A,FALSE,"Plan2"}</definedName>
    <definedName name="jkfhjgkfhghh" localSheetId="0">{#N/A,#N/A,FALSE,"Plan1";#N/A,#N/A,FALSE,"Plan2"}</definedName>
    <definedName name="jkfhjgkfhghh" localSheetId="19">{#N/A,#N/A,FALSE,"Plan1";#N/A,#N/A,FALSE,"Plan2"}</definedName>
    <definedName name="jkfhjgkfhghh" localSheetId="16">{#N/A,#N/A,FALSE,"Plan1";#N/A,#N/A,FALSE,"Plan2"}</definedName>
    <definedName name="jkfhjgkfhghh" localSheetId="18">{#N/A,#N/A,FALSE,"Plan1";#N/A,#N/A,FALSE,"Plan2"}</definedName>
    <definedName name="jkfhjgkfhghh" localSheetId="10">{#N/A,#N/A,FALSE,"Plan1";#N/A,#N/A,FALSE,"Plan2"}</definedName>
    <definedName name="jkfhjgkfhghh">{#N/A,#N/A,FALSE,"Plan1";#N/A,#N/A,FALSE,"Plan2"}</definedName>
    <definedName name="jkhderjkhes" localSheetId="9">{#N/A,#N/A,FALSE,"Plan1";#N/A,#N/A,FALSE,"Plan2"}</definedName>
    <definedName name="jkhderjkhes" localSheetId="6">{#N/A,#N/A,FALSE,"Plan1";#N/A,#N/A,FALSE,"Plan2"}</definedName>
    <definedName name="jkhderjkhes" localSheetId="3">{#N/A,#N/A,FALSE,"Plan1";#N/A,#N/A,FALSE,"Plan2"}</definedName>
    <definedName name="jkhderjkhes" localSheetId="8">{#N/A,#N/A,FALSE,"Plan1";#N/A,#N/A,FALSE,"Plan2"}</definedName>
    <definedName name="jkhderjkhes" localSheetId="5">{#N/A,#N/A,FALSE,"Plan1";#N/A,#N/A,FALSE,"Plan2"}</definedName>
    <definedName name="jkhderjkhes" localSheetId="4">{#N/A,#N/A,FALSE,"Plan1";#N/A,#N/A,FALSE,"Plan2"}</definedName>
    <definedName name="jkhderjkhes" localSheetId="13">{#N/A,#N/A,FALSE,"Plan1";#N/A,#N/A,FALSE,"Plan2"}</definedName>
    <definedName name="jkhderjkhes" localSheetId="17">{#N/A,#N/A,FALSE,"Plan1";#N/A,#N/A,FALSE,"Plan2"}</definedName>
    <definedName name="jkhderjkhes" localSheetId="0">{#N/A,#N/A,FALSE,"Plan1";#N/A,#N/A,FALSE,"Plan2"}</definedName>
    <definedName name="jkhderjkhes" localSheetId="19">{#N/A,#N/A,FALSE,"Plan1";#N/A,#N/A,FALSE,"Plan2"}</definedName>
    <definedName name="jkhderjkhes" localSheetId="16">{#N/A,#N/A,FALSE,"Plan1";#N/A,#N/A,FALSE,"Plan2"}</definedName>
    <definedName name="jkhderjkhes" localSheetId="18">{#N/A,#N/A,FALSE,"Plan1";#N/A,#N/A,FALSE,"Plan2"}</definedName>
    <definedName name="jkhderjkhes" localSheetId="10">{#N/A,#N/A,FALSE,"Plan1";#N/A,#N/A,FALSE,"Plan2"}</definedName>
    <definedName name="jkhderjkhes">{#N/A,#N/A,FALSE,"Plan1";#N/A,#N/A,FALSE,"Plan2"}</definedName>
    <definedName name="jkhdfhfd" localSheetId="9">{#N/A,#N/A,FALSE,"Plan1";#N/A,#N/A,FALSE,"Plan2"}</definedName>
    <definedName name="jkhdfhfd" localSheetId="6">{#N/A,#N/A,FALSE,"Plan1";#N/A,#N/A,FALSE,"Plan2"}</definedName>
    <definedName name="jkhdfhfd" localSheetId="3">{#N/A,#N/A,FALSE,"Plan1";#N/A,#N/A,FALSE,"Plan2"}</definedName>
    <definedName name="jkhdfhfd" localSheetId="8">{#N/A,#N/A,FALSE,"Plan1";#N/A,#N/A,FALSE,"Plan2"}</definedName>
    <definedName name="jkhdfhfd" localSheetId="5">{#N/A,#N/A,FALSE,"Plan1";#N/A,#N/A,FALSE,"Plan2"}</definedName>
    <definedName name="jkhdfhfd" localSheetId="4">{#N/A,#N/A,FALSE,"Plan1";#N/A,#N/A,FALSE,"Plan2"}</definedName>
    <definedName name="jkhdfhfd" localSheetId="13">{#N/A,#N/A,FALSE,"Plan1";#N/A,#N/A,FALSE,"Plan2"}</definedName>
    <definedName name="jkhdfhfd" localSheetId="17">{#N/A,#N/A,FALSE,"Plan1";#N/A,#N/A,FALSE,"Plan2"}</definedName>
    <definedName name="jkhdfhfd" localSheetId="0">{#N/A,#N/A,FALSE,"Plan1";#N/A,#N/A,FALSE,"Plan2"}</definedName>
    <definedName name="jkhdfhfd" localSheetId="19">{#N/A,#N/A,FALSE,"Plan1";#N/A,#N/A,FALSE,"Plan2"}</definedName>
    <definedName name="jkhdfhfd" localSheetId="16">{#N/A,#N/A,FALSE,"Plan1";#N/A,#N/A,FALSE,"Plan2"}</definedName>
    <definedName name="jkhdfhfd" localSheetId="18">{#N/A,#N/A,FALSE,"Plan1";#N/A,#N/A,FALSE,"Plan2"}</definedName>
    <definedName name="jkhdfhfd" localSheetId="10">{#N/A,#N/A,FALSE,"Plan1";#N/A,#N/A,FALSE,"Plan2"}</definedName>
    <definedName name="jkhdfhfd">{#N/A,#N/A,FALSE,"Plan1";#N/A,#N/A,FALSE,"Plan2"}</definedName>
    <definedName name="jkhfhes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9">{#N/A,#N/A,FALSE,"Plan1";#N/A,#N/A,FALSE,"Plan2"}</definedName>
    <definedName name="JKHFKJHGKFTHUDET" localSheetId="6">{#N/A,#N/A,FALSE,"Plan1";#N/A,#N/A,FALSE,"Plan2"}</definedName>
    <definedName name="JKHFKJHGKFTHUDET" localSheetId="3">{#N/A,#N/A,FALSE,"Plan1";#N/A,#N/A,FALSE,"Plan2"}</definedName>
    <definedName name="JKHFKJHGKFTHUDET" localSheetId="8">{#N/A,#N/A,FALSE,"Plan1";#N/A,#N/A,FALSE,"Plan2"}</definedName>
    <definedName name="JKHFKJHGKFTHUDET" localSheetId="5">{#N/A,#N/A,FALSE,"Plan1";#N/A,#N/A,FALSE,"Plan2"}</definedName>
    <definedName name="JKHFKJHGKFTHUDET" localSheetId="4">{#N/A,#N/A,FALSE,"Plan1";#N/A,#N/A,FALSE,"Plan2"}</definedName>
    <definedName name="JKHFKJHGKFTHUDET" localSheetId="13">{#N/A,#N/A,FALSE,"Plan1";#N/A,#N/A,FALSE,"Plan2"}</definedName>
    <definedName name="JKHFKJHGKFTHUDET" localSheetId="17">{#N/A,#N/A,FALSE,"Plan1";#N/A,#N/A,FALSE,"Plan2"}</definedName>
    <definedName name="JKHFKJHGKFTHUDET" localSheetId="0">{#N/A,#N/A,FALSE,"Plan1";#N/A,#N/A,FALSE,"Plan2"}</definedName>
    <definedName name="JKHFKJHGKFTHUDET" localSheetId="19">{#N/A,#N/A,FALSE,"Plan1";#N/A,#N/A,FALSE,"Plan2"}</definedName>
    <definedName name="JKHFKJHGKFTHUDET" localSheetId="16">{#N/A,#N/A,FALSE,"Plan1";#N/A,#N/A,FALSE,"Plan2"}</definedName>
    <definedName name="JKHFKJHGKFTHUDET" localSheetId="18">{#N/A,#N/A,FALSE,"Plan1";#N/A,#N/A,FALSE,"Plan2"}</definedName>
    <definedName name="JKHFKJHGKFTHUDET" localSheetId="10">{#N/A,#N/A,FALSE,"Plan1";#N/A,#N/A,FALSE,"Plan2"}</definedName>
    <definedName name="JKHFKJHGKFTHUDET">{#N/A,#N/A,FALSE,"Plan1";#N/A,#N/A,FALSE,"Plan2"}</definedName>
    <definedName name="JKHGDHFUHTG" localSheetId="9">{#N/A,#N/A,FALSE,"Plan1";#N/A,#N/A,FALSE,"Plan2"}</definedName>
    <definedName name="JKHGDHFUHTG" localSheetId="6">{#N/A,#N/A,FALSE,"Plan1";#N/A,#N/A,FALSE,"Plan2"}</definedName>
    <definedName name="JKHGDHFUHTG" localSheetId="3">{#N/A,#N/A,FALSE,"Plan1";#N/A,#N/A,FALSE,"Plan2"}</definedName>
    <definedName name="JKHGDHFUHTG" localSheetId="8">{#N/A,#N/A,FALSE,"Plan1";#N/A,#N/A,FALSE,"Plan2"}</definedName>
    <definedName name="JKHGDHFUHTG" localSheetId="5">{#N/A,#N/A,FALSE,"Plan1";#N/A,#N/A,FALSE,"Plan2"}</definedName>
    <definedName name="JKHGDHFUHTG" localSheetId="4">{#N/A,#N/A,FALSE,"Plan1";#N/A,#N/A,FALSE,"Plan2"}</definedName>
    <definedName name="JKHGDHFUHTG" localSheetId="13">{#N/A,#N/A,FALSE,"Plan1";#N/A,#N/A,FALSE,"Plan2"}</definedName>
    <definedName name="JKHGDHFUHTG" localSheetId="17">{#N/A,#N/A,FALSE,"Plan1";#N/A,#N/A,FALSE,"Plan2"}</definedName>
    <definedName name="JKHGDHFUHTG" localSheetId="0">{#N/A,#N/A,FALSE,"Plan1";#N/A,#N/A,FALSE,"Plan2"}</definedName>
    <definedName name="JKHGDHFUHTG" localSheetId="19">{#N/A,#N/A,FALSE,"Plan1";#N/A,#N/A,FALSE,"Plan2"}</definedName>
    <definedName name="JKHGDHFUHTG" localSheetId="16">{#N/A,#N/A,FALSE,"Plan1";#N/A,#N/A,FALSE,"Plan2"}</definedName>
    <definedName name="JKHGDHFUHTG" localSheetId="18">{#N/A,#N/A,FALSE,"Plan1";#N/A,#N/A,FALSE,"Plan2"}</definedName>
    <definedName name="JKHGDHFUHTG" localSheetId="10">{#N/A,#N/A,FALSE,"Plan1";#N/A,#N/A,FALSE,"Plan2"}</definedName>
    <definedName name="JKHGDHFUHTG">{#N/A,#N/A,FALSE,"Plan1";#N/A,#N/A,FALSE,"Plan2"}</definedName>
    <definedName name="jkhsdzjkfyiu" localSheetId="9">{#N/A,#N/A,FALSE,"Plan1";#N/A,#N/A,FALSE,"Plan2"}</definedName>
    <definedName name="jkhsdzjkfyiu" localSheetId="6">{#N/A,#N/A,FALSE,"Plan1";#N/A,#N/A,FALSE,"Plan2"}</definedName>
    <definedName name="jkhsdzjkfyiu" localSheetId="3">{#N/A,#N/A,FALSE,"Plan1";#N/A,#N/A,FALSE,"Plan2"}</definedName>
    <definedName name="jkhsdzjkfyiu" localSheetId="8">{#N/A,#N/A,FALSE,"Plan1";#N/A,#N/A,FALSE,"Plan2"}</definedName>
    <definedName name="jkhsdzjkfyiu" localSheetId="5">{#N/A,#N/A,FALSE,"Plan1";#N/A,#N/A,FALSE,"Plan2"}</definedName>
    <definedName name="jkhsdzjkfyiu" localSheetId="4">{#N/A,#N/A,FALSE,"Plan1";#N/A,#N/A,FALSE,"Plan2"}</definedName>
    <definedName name="jkhsdzjkfyiu" localSheetId="13">{#N/A,#N/A,FALSE,"Plan1";#N/A,#N/A,FALSE,"Plan2"}</definedName>
    <definedName name="jkhsdzjkfyiu" localSheetId="17">{#N/A,#N/A,FALSE,"Plan1";#N/A,#N/A,FALSE,"Plan2"}</definedName>
    <definedName name="jkhsdzjkfyiu" localSheetId="0">{#N/A,#N/A,FALSE,"Plan1";#N/A,#N/A,FALSE,"Plan2"}</definedName>
    <definedName name="jkhsdzjkfyiu" localSheetId="19">{#N/A,#N/A,FALSE,"Plan1";#N/A,#N/A,FALSE,"Plan2"}</definedName>
    <definedName name="jkhsdzjkfyiu" localSheetId="16">{#N/A,#N/A,FALSE,"Plan1";#N/A,#N/A,FALSE,"Plan2"}</definedName>
    <definedName name="jkhsdzjkfyiu" localSheetId="18">{#N/A,#N/A,FALSE,"Plan1";#N/A,#N/A,FALSE,"Plan2"}</definedName>
    <definedName name="jkhsdzjkfyiu" localSheetId="10">{#N/A,#N/A,FALSE,"Plan1";#N/A,#N/A,FALSE,"Plan2"}</definedName>
    <definedName name="jkhsdzjkfyiu">{#N/A,#N/A,FALSE,"Plan1";#N/A,#N/A,FALSE,"Plan2"}</definedName>
    <definedName name="jkjsdkhfdhrf" localSheetId="9">{#N/A,#N/A,FALSE,"Plan1";#N/A,#N/A,FALSE,"Plan2"}</definedName>
    <definedName name="jkjsdkhfdhrf" localSheetId="6">{#N/A,#N/A,FALSE,"Plan1";#N/A,#N/A,FALSE,"Plan2"}</definedName>
    <definedName name="jkjsdkhfdhrf" localSheetId="3">{#N/A,#N/A,FALSE,"Plan1";#N/A,#N/A,FALSE,"Plan2"}</definedName>
    <definedName name="jkjsdkhfdhrf" localSheetId="8">{#N/A,#N/A,FALSE,"Plan1";#N/A,#N/A,FALSE,"Plan2"}</definedName>
    <definedName name="jkjsdkhfdhrf" localSheetId="5">{#N/A,#N/A,FALSE,"Plan1";#N/A,#N/A,FALSE,"Plan2"}</definedName>
    <definedName name="jkjsdkhfdhrf" localSheetId="4">{#N/A,#N/A,FALSE,"Plan1";#N/A,#N/A,FALSE,"Plan2"}</definedName>
    <definedName name="jkjsdkhfdhrf" localSheetId="13">{#N/A,#N/A,FALSE,"Plan1";#N/A,#N/A,FALSE,"Plan2"}</definedName>
    <definedName name="jkjsdkhfdhrf" localSheetId="17">{#N/A,#N/A,FALSE,"Plan1";#N/A,#N/A,FALSE,"Plan2"}</definedName>
    <definedName name="jkjsdkhfdhrf" localSheetId="0">{#N/A,#N/A,FALSE,"Plan1";#N/A,#N/A,FALSE,"Plan2"}</definedName>
    <definedName name="jkjsdkhfdhrf" localSheetId="19">{#N/A,#N/A,FALSE,"Plan1";#N/A,#N/A,FALSE,"Plan2"}</definedName>
    <definedName name="jkjsdkhfdhrf" localSheetId="16">{#N/A,#N/A,FALSE,"Plan1";#N/A,#N/A,FALSE,"Plan2"}</definedName>
    <definedName name="jkjsdkhfdhrf" localSheetId="18">{#N/A,#N/A,FALSE,"Plan1";#N/A,#N/A,FALSE,"Plan2"}</definedName>
    <definedName name="jkjsdkhfdhrf" localSheetId="10">{#N/A,#N/A,FALSE,"Plan1";#N/A,#N/A,FALSE,"Plan2"}</definedName>
    <definedName name="jkjsdkhfdhrf">{#N/A,#N/A,FALSE,"Plan1";#N/A,#N/A,FALSE,"Plan2"}</definedName>
    <definedName name="jklgfsjgtjtg" localSheetId="9">{#N/A,#N/A,FALSE,"Plan1";#N/A,#N/A,FALSE,"Plan2"}</definedName>
    <definedName name="jklgfsjgtjtg" localSheetId="6">{#N/A,#N/A,FALSE,"Plan1";#N/A,#N/A,FALSE,"Plan2"}</definedName>
    <definedName name="jklgfsjgtjtg" localSheetId="3">{#N/A,#N/A,FALSE,"Plan1";#N/A,#N/A,FALSE,"Plan2"}</definedName>
    <definedName name="jklgfsjgtjtg" localSheetId="8">{#N/A,#N/A,FALSE,"Plan1";#N/A,#N/A,FALSE,"Plan2"}</definedName>
    <definedName name="jklgfsjgtjtg" localSheetId="5">{#N/A,#N/A,FALSE,"Plan1";#N/A,#N/A,FALSE,"Plan2"}</definedName>
    <definedName name="jklgfsjgtjtg" localSheetId="4">{#N/A,#N/A,FALSE,"Plan1";#N/A,#N/A,FALSE,"Plan2"}</definedName>
    <definedName name="jklgfsjgtjtg" localSheetId="13">{#N/A,#N/A,FALSE,"Plan1";#N/A,#N/A,FALSE,"Plan2"}</definedName>
    <definedName name="jklgfsjgtjtg" localSheetId="17">{#N/A,#N/A,FALSE,"Plan1";#N/A,#N/A,FALSE,"Plan2"}</definedName>
    <definedName name="jklgfsjgtjtg" localSheetId="0">{#N/A,#N/A,FALSE,"Plan1";#N/A,#N/A,FALSE,"Plan2"}</definedName>
    <definedName name="jklgfsjgtjtg" localSheetId="19">{#N/A,#N/A,FALSE,"Plan1";#N/A,#N/A,FALSE,"Plan2"}</definedName>
    <definedName name="jklgfsjgtjtg" localSheetId="16">{#N/A,#N/A,FALSE,"Plan1";#N/A,#N/A,FALSE,"Plan2"}</definedName>
    <definedName name="jklgfsjgtjtg" localSheetId="18">{#N/A,#N/A,FALSE,"Plan1";#N/A,#N/A,FALSE,"Plan2"}</definedName>
    <definedName name="jklgfsjgtjtg" localSheetId="10">{#N/A,#N/A,FALSE,"Plan1";#N/A,#N/A,FALSE,"Plan2"}</definedName>
    <definedName name="jklgfsjgtjtg">{#N/A,#N/A,FALSE,"Plan1";#N/A,#N/A,FALSE,"Plan2"}</definedName>
    <definedName name="jksldfjsdhf" localSheetId="9">{#N/A,#N/A,FALSE,"Plan1";#N/A,#N/A,FALSE,"Plan2"}</definedName>
    <definedName name="jksldfjsdhf" localSheetId="6">{#N/A,#N/A,FALSE,"Plan1";#N/A,#N/A,FALSE,"Plan2"}</definedName>
    <definedName name="jksldfjsdhf" localSheetId="3">{#N/A,#N/A,FALSE,"Plan1";#N/A,#N/A,FALSE,"Plan2"}</definedName>
    <definedName name="jksldfjsdhf" localSheetId="8">{#N/A,#N/A,FALSE,"Plan1";#N/A,#N/A,FALSE,"Plan2"}</definedName>
    <definedName name="jksldfjsdhf" localSheetId="5">{#N/A,#N/A,FALSE,"Plan1";#N/A,#N/A,FALSE,"Plan2"}</definedName>
    <definedName name="jksldfjsdhf" localSheetId="4">{#N/A,#N/A,FALSE,"Plan1";#N/A,#N/A,FALSE,"Plan2"}</definedName>
    <definedName name="jksldfjsdhf" localSheetId="13">{#N/A,#N/A,FALSE,"Plan1";#N/A,#N/A,FALSE,"Plan2"}</definedName>
    <definedName name="jksldfjsdhf" localSheetId="17">{#N/A,#N/A,FALSE,"Plan1";#N/A,#N/A,FALSE,"Plan2"}</definedName>
    <definedName name="jksldfjsdhf" localSheetId="0">{#N/A,#N/A,FALSE,"Plan1";#N/A,#N/A,FALSE,"Plan2"}</definedName>
    <definedName name="jksldfjsdhf" localSheetId="19">{#N/A,#N/A,FALSE,"Plan1";#N/A,#N/A,FALSE,"Plan2"}</definedName>
    <definedName name="jksldfjsdhf" localSheetId="16">{#N/A,#N/A,FALSE,"Plan1";#N/A,#N/A,FALSE,"Plan2"}</definedName>
    <definedName name="jksldfjsdhf" localSheetId="18">{#N/A,#N/A,FALSE,"Plan1";#N/A,#N/A,FALSE,"Plan2"}</definedName>
    <definedName name="jksldfjsdhf" localSheetId="10">{#N/A,#N/A,FALSE,"Plan1";#N/A,#N/A,FALSE,"Plan2"}</definedName>
    <definedName name="jksldfjsdhf">{#N/A,#N/A,FALSE,"Plan1";#N/A,#N/A,FALSE,"Plan2"}</definedName>
    <definedName name="jkxhcjkhfr" localSheetId="9">{#N/A,#N/A,FALSE,"Plan1";#N/A,#N/A,FALSE,"Plan2"}</definedName>
    <definedName name="jkxhcjkhfr" localSheetId="6">{#N/A,#N/A,FALSE,"Plan1";#N/A,#N/A,FALSE,"Plan2"}</definedName>
    <definedName name="jkxhcjkhfr" localSheetId="3">{#N/A,#N/A,FALSE,"Plan1";#N/A,#N/A,FALSE,"Plan2"}</definedName>
    <definedName name="jkxhcjkhfr" localSheetId="8">{#N/A,#N/A,FALSE,"Plan1";#N/A,#N/A,FALSE,"Plan2"}</definedName>
    <definedName name="jkxhcjkhfr" localSheetId="5">{#N/A,#N/A,FALSE,"Plan1";#N/A,#N/A,FALSE,"Plan2"}</definedName>
    <definedName name="jkxhcjkhfr" localSheetId="4">{#N/A,#N/A,FALSE,"Plan1";#N/A,#N/A,FALSE,"Plan2"}</definedName>
    <definedName name="jkxhcjkhfr" localSheetId="13">{#N/A,#N/A,FALSE,"Plan1";#N/A,#N/A,FALSE,"Plan2"}</definedName>
    <definedName name="jkxhcjkhfr" localSheetId="17">{#N/A,#N/A,FALSE,"Plan1";#N/A,#N/A,FALSE,"Plan2"}</definedName>
    <definedName name="jkxhcjkhfr" localSheetId="0">{#N/A,#N/A,FALSE,"Plan1";#N/A,#N/A,FALSE,"Plan2"}</definedName>
    <definedName name="jkxhcjkhfr" localSheetId="19">{#N/A,#N/A,FALSE,"Plan1";#N/A,#N/A,FALSE,"Plan2"}</definedName>
    <definedName name="jkxhcjkhfr" localSheetId="16">{#N/A,#N/A,FALSE,"Plan1";#N/A,#N/A,FALSE,"Plan2"}</definedName>
    <definedName name="jkxhcjkhfr" localSheetId="18">{#N/A,#N/A,FALSE,"Plan1";#N/A,#N/A,FALSE,"Plan2"}</definedName>
    <definedName name="jkxhcjkhfr" localSheetId="10">{#N/A,#N/A,FALSE,"Plan1";#N/A,#N/A,FALSE,"Plan2"}</definedName>
    <definedName name="jkxhcjkhfr">{#N/A,#N/A,FALSE,"Plan1";#N/A,#N/A,FALSE,"Plan2"}</definedName>
    <definedName name="JNGCKFKJFGH" localSheetId="9">{#N/A,#N/A,FALSE,"Plan1";#N/A,#N/A,FALSE,"Plan2"}</definedName>
    <definedName name="JNGCKFKJFGH" localSheetId="6">{#N/A,#N/A,FALSE,"Plan1";#N/A,#N/A,FALSE,"Plan2"}</definedName>
    <definedName name="JNGCKFKJFGH" localSheetId="3">{#N/A,#N/A,FALSE,"Plan1";#N/A,#N/A,FALSE,"Plan2"}</definedName>
    <definedName name="JNGCKFKJFGH" localSheetId="8">{#N/A,#N/A,FALSE,"Plan1";#N/A,#N/A,FALSE,"Plan2"}</definedName>
    <definedName name="JNGCKFKJFGH" localSheetId="5">{#N/A,#N/A,FALSE,"Plan1";#N/A,#N/A,FALSE,"Plan2"}</definedName>
    <definedName name="JNGCKFKJFGH" localSheetId="4">{#N/A,#N/A,FALSE,"Plan1";#N/A,#N/A,FALSE,"Plan2"}</definedName>
    <definedName name="JNGCKFKJFGH" localSheetId="13">{#N/A,#N/A,FALSE,"Plan1";#N/A,#N/A,FALSE,"Plan2"}</definedName>
    <definedName name="JNGCKFKJFGH" localSheetId="17">{#N/A,#N/A,FALSE,"Plan1";#N/A,#N/A,FALSE,"Plan2"}</definedName>
    <definedName name="JNGCKFKJFGH" localSheetId="0">{#N/A,#N/A,FALSE,"Plan1";#N/A,#N/A,FALSE,"Plan2"}</definedName>
    <definedName name="JNGCKFKJFGH" localSheetId="19">{#N/A,#N/A,FALSE,"Plan1";#N/A,#N/A,FALSE,"Plan2"}</definedName>
    <definedName name="JNGCKFKJFGH" localSheetId="16">{#N/A,#N/A,FALSE,"Plan1";#N/A,#N/A,FALSE,"Plan2"}</definedName>
    <definedName name="JNGCKFKJFGH" localSheetId="18">{#N/A,#N/A,FALSE,"Plan1";#N/A,#N/A,FALSE,"Plan2"}</definedName>
    <definedName name="JNGCKFKJFGH" localSheetId="10">{#N/A,#N/A,FALSE,"Plan1";#N/A,#N/A,FALSE,"Plan2"}</definedName>
    <definedName name="JNGCKFKJFGH">{#N/A,#N/A,FALSE,"Plan1";#N/A,#N/A,FALSE,"Plan2"}</definedName>
    <definedName name="JOALDO" localSheetId="3">#REF!</definedName>
    <definedName name="JOALDO" localSheetId="5">#REF!</definedName>
    <definedName name="JOALDO" localSheetId="13">#REF!</definedName>
    <definedName name="JOALDO" localSheetId="26">#REF!</definedName>
    <definedName name="JOALDO">#REF!</definedName>
    <definedName name="joao_cdi" localSheetId="3">#REF!</definedName>
    <definedName name="joao_cdi" localSheetId="5">#REF!</definedName>
    <definedName name="joao_cdi" localSheetId="13">#REF!</definedName>
    <definedName name="joao_cdi" localSheetId="26">#REF!</definedName>
    <definedName name="joao_cdi">#REF!</definedName>
    <definedName name="joao_hist" localSheetId="3">#REF!</definedName>
    <definedName name="joao_hist" localSheetId="5">#REF!</definedName>
    <definedName name="joao_hist" localSheetId="13">#REF!</definedName>
    <definedName name="joao_hist" localSheetId="26">#REF!</definedName>
    <definedName name="joao_hist">#REF!</definedName>
    <definedName name="joao_uss" localSheetId="3">#REF!</definedName>
    <definedName name="joao_uss" localSheetId="5">#REF!</definedName>
    <definedName name="joao_uss" localSheetId="13">#REF!</definedName>
    <definedName name="joao_uss" localSheetId="26">#REF!</definedName>
    <definedName name="joao_uss">#REF!</definedName>
    <definedName name="JREJRW" localSheetId="9">{#N/A,#N/A,FALSE,"Plan1";#N/A,#N/A,FALSE,"Plan2"}</definedName>
    <definedName name="JREJRW" localSheetId="6">{#N/A,#N/A,FALSE,"Plan1";#N/A,#N/A,FALSE,"Plan2"}</definedName>
    <definedName name="JREJRW" localSheetId="3">{#N/A,#N/A,FALSE,"Plan1";#N/A,#N/A,FALSE,"Plan2"}</definedName>
    <definedName name="JREJRW" localSheetId="8">{#N/A,#N/A,FALSE,"Plan1";#N/A,#N/A,FALSE,"Plan2"}</definedName>
    <definedName name="JREJRW" localSheetId="5">{#N/A,#N/A,FALSE,"Plan1";#N/A,#N/A,FALSE,"Plan2"}</definedName>
    <definedName name="JREJRW" localSheetId="4">{#N/A,#N/A,FALSE,"Plan1";#N/A,#N/A,FALSE,"Plan2"}</definedName>
    <definedName name="JREJRW" localSheetId="13">{#N/A,#N/A,FALSE,"Plan1";#N/A,#N/A,FALSE,"Plan2"}</definedName>
    <definedName name="JREJRW" localSheetId="17">{#N/A,#N/A,FALSE,"Plan1";#N/A,#N/A,FALSE,"Plan2"}</definedName>
    <definedName name="JREJRW" localSheetId="0">{#N/A,#N/A,FALSE,"Plan1";#N/A,#N/A,FALSE,"Plan2"}</definedName>
    <definedName name="JREJRW" localSheetId="19">{#N/A,#N/A,FALSE,"Plan1";#N/A,#N/A,FALSE,"Plan2"}</definedName>
    <definedName name="JREJRW" localSheetId="16">{#N/A,#N/A,FALSE,"Plan1";#N/A,#N/A,FALSE,"Plan2"}</definedName>
    <definedName name="JREJRW" localSheetId="18">{#N/A,#N/A,FALSE,"Plan1";#N/A,#N/A,FALSE,"Plan2"}</definedName>
    <definedName name="JREJRW" localSheetId="10">{#N/A,#N/A,FALSE,"Plan1";#N/A,#N/A,FALSE,"Plan2"}</definedName>
    <definedName name="JREJRW">{#N/A,#N/A,FALSE,"Plan1";#N/A,#N/A,FALSE,"Plan2"}</definedName>
    <definedName name="JSADKAH" localSheetId="9">{"Econ Consolidado",#N/A,FALSE,"Econ Consol";"Fluxo de Caixa",#N/A,FALSE,"Fluxo Caixa";"Investimentos",#N/A,FALSE,"Investimentos"}</definedName>
    <definedName name="JSADKAH" localSheetId="6">{"Econ Consolidado",#N/A,FALSE,"Econ Consol";"Fluxo de Caixa",#N/A,FALSE,"Fluxo Caixa";"Investimentos",#N/A,FALSE,"Investimentos"}</definedName>
    <definedName name="JSADKAH" localSheetId="3">{"Econ Consolidado",#N/A,FALSE,"Econ Consol";"Fluxo de Caixa",#N/A,FALSE,"Fluxo Caixa";"Investimentos",#N/A,FALSE,"Investimentos"}</definedName>
    <definedName name="JSADKAH" localSheetId="8">{"Econ Consolidado",#N/A,FALSE,"Econ Consol";"Fluxo de Caixa",#N/A,FALSE,"Fluxo Caixa";"Investimentos",#N/A,FALSE,"Investimentos"}</definedName>
    <definedName name="JSADKAH" localSheetId="5">{"Econ Consolidado",#N/A,FALSE,"Econ Consol";"Fluxo de Caixa",#N/A,FALSE,"Fluxo Caixa";"Investimentos",#N/A,FALSE,"Investimentos"}</definedName>
    <definedName name="JSADKAH" localSheetId="4">{"Econ Consolidado",#N/A,FALSE,"Econ Consol";"Fluxo de Caixa",#N/A,FALSE,"Fluxo Caixa";"Investimentos",#N/A,FALSE,"Investimentos"}</definedName>
    <definedName name="JSADKAH" localSheetId="13">{"Econ Consolidado",#N/A,FALSE,"Econ Consol";"Fluxo de Caixa",#N/A,FALSE,"Fluxo Caixa";"Investimentos",#N/A,FALSE,"Investimentos"}</definedName>
    <definedName name="JSADKAH" localSheetId="17">{"Econ Consolidado",#N/A,FALSE,"Econ Consol";"Fluxo de Caixa",#N/A,FALSE,"Fluxo Caixa";"Investimentos",#N/A,FALSE,"Investimentos"}</definedName>
    <definedName name="JSADKAH" localSheetId="0">{"Econ Consolidado",#N/A,FALSE,"Econ Consol";"Fluxo de Caixa",#N/A,FALSE,"Fluxo Caixa";"Investimentos",#N/A,FALSE,"Investimentos"}</definedName>
    <definedName name="JSADKAH" localSheetId="19">{"Econ Consolidado",#N/A,FALSE,"Econ Consol";"Fluxo de Caixa",#N/A,FALSE,"Fluxo Caixa";"Investimentos",#N/A,FALSE,"Investimentos"}</definedName>
    <definedName name="JSADKAH" localSheetId="16">{"Econ Consolidado",#N/A,FALSE,"Econ Consol";"Fluxo de Caixa",#N/A,FALSE,"Fluxo Caixa";"Investimentos",#N/A,FALSE,"Investimentos"}</definedName>
    <definedName name="JSADKAH" localSheetId="18">{"Econ Consolidado",#N/A,FALSE,"Econ Consol";"Fluxo de Caixa",#N/A,FALSE,"Fluxo Caixa";"Investimentos",#N/A,FALSE,"Investimentos"}</definedName>
    <definedName name="JSADKAH" localSheetId="10">{"Econ Consolidado",#N/A,FALSE,"Econ Consol";"Fluxo de Caixa",#N/A,FALSE,"Fluxo Caixa";"Investimentos",#N/A,FALSE,"Investimentos"}</definedName>
    <definedName name="JSADKAH">{"Econ Consolidado",#N/A,FALSE,"Econ Consol";"Fluxo de Caixa",#N/A,FALSE,"Fluxo Caixa";"Investimentos",#N/A,FALSE,"Investimentos"}</definedName>
    <definedName name="JSDAJRE" localSheetId="9">{#N/A,#N/A,FALSE,"Plan1";#N/A,#N/A,FALSE,"Plan2"}</definedName>
    <definedName name="JSDAJRE" localSheetId="6">{#N/A,#N/A,FALSE,"Plan1";#N/A,#N/A,FALSE,"Plan2"}</definedName>
    <definedName name="JSDAJRE" localSheetId="3">{#N/A,#N/A,FALSE,"Plan1";#N/A,#N/A,FALSE,"Plan2"}</definedName>
    <definedName name="JSDAJRE" localSheetId="8">{#N/A,#N/A,FALSE,"Plan1";#N/A,#N/A,FALSE,"Plan2"}</definedName>
    <definedName name="JSDAJRE" localSheetId="5">{#N/A,#N/A,FALSE,"Plan1";#N/A,#N/A,FALSE,"Plan2"}</definedName>
    <definedName name="JSDAJRE" localSheetId="4">{#N/A,#N/A,FALSE,"Plan1";#N/A,#N/A,FALSE,"Plan2"}</definedName>
    <definedName name="JSDAJRE" localSheetId="13">{#N/A,#N/A,FALSE,"Plan1";#N/A,#N/A,FALSE,"Plan2"}</definedName>
    <definedName name="JSDAJRE" localSheetId="17">{#N/A,#N/A,FALSE,"Plan1";#N/A,#N/A,FALSE,"Plan2"}</definedName>
    <definedName name="JSDAJRE" localSheetId="0">{#N/A,#N/A,FALSE,"Plan1";#N/A,#N/A,FALSE,"Plan2"}</definedName>
    <definedName name="JSDAJRE" localSheetId="19">{#N/A,#N/A,FALSE,"Plan1";#N/A,#N/A,FALSE,"Plan2"}</definedName>
    <definedName name="JSDAJRE" localSheetId="16">{#N/A,#N/A,FALSE,"Plan1";#N/A,#N/A,FALSE,"Plan2"}</definedName>
    <definedName name="JSDAJRE" localSheetId="18">{#N/A,#N/A,FALSE,"Plan1";#N/A,#N/A,FALSE,"Plan2"}</definedName>
    <definedName name="JSDAJRE" localSheetId="10">{#N/A,#N/A,FALSE,"Plan1";#N/A,#N/A,FALSE,"Plan2"}</definedName>
    <definedName name="JSDAJRE">{#N/A,#N/A,FALSE,"Plan1";#N/A,#N/A,FALSE,"Plan2"}</definedName>
    <definedName name="jsdffs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9">{#N/A,#N/A,FALSE,"Plan1";#N/A,#N/A,FALSE,"Plan2"}</definedName>
    <definedName name="jsdfjgx" localSheetId="6">{#N/A,#N/A,FALSE,"Plan1";#N/A,#N/A,FALSE,"Plan2"}</definedName>
    <definedName name="jsdfjgx" localSheetId="3">{#N/A,#N/A,FALSE,"Plan1";#N/A,#N/A,FALSE,"Plan2"}</definedName>
    <definedName name="jsdfjgx" localSheetId="8">{#N/A,#N/A,FALSE,"Plan1";#N/A,#N/A,FALSE,"Plan2"}</definedName>
    <definedName name="jsdfjgx" localSheetId="5">{#N/A,#N/A,FALSE,"Plan1";#N/A,#N/A,FALSE,"Plan2"}</definedName>
    <definedName name="jsdfjgx" localSheetId="4">{#N/A,#N/A,FALSE,"Plan1";#N/A,#N/A,FALSE,"Plan2"}</definedName>
    <definedName name="jsdfjgx" localSheetId="13">{#N/A,#N/A,FALSE,"Plan1";#N/A,#N/A,FALSE,"Plan2"}</definedName>
    <definedName name="jsdfjgx" localSheetId="17">{#N/A,#N/A,FALSE,"Plan1";#N/A,#N/A,FALSE,"Plan2"}</definedName>
    <definedName name="jsdfjgx" localSheetId="0">{#N/A,#N/A,FALSE,"Plan1";#N/A,#N/A,FALSE,"Plan2"}</definedName>
    <definedName name="jsdfjgx" localSheetId="19">{#N/A,#N/A,FALSE,"Plan1";#N/A,#N/A,FALSE,"Plan2"}</definedName>
    <definedName name="jsdfjgx" localSheetId="16">{#N/A,#N/A,FALSE,"Plan1";#N/A,#N/A,FALSE,"Plan2"}</definedName>
    <definedName name="jsdfjgx" localSheetId="18">{#N/A,#N/A,FALSE,"Plan1";#N/A,#N/A,FALSE,"Plan2"}</definedName>
    <definedName name="jsdfjgx" localSheetId="10">{#N/A,#N/A,FALSE,"Plan1";#N/A,#N/A,FALSE,"Plan2"}</definedName>
    <definedName name="jsdfjgx">{#N/A,#N/A,FALSE,"Plan1";#N/A,#N/A,FALSE,"Plan2"}</definedName>
    <definedName name="jsdfkgnfr" localSheetId="3">#REF!</definedName>
    <definedName name="jsdfkgnfr" localSheetId="5">#REF!</definedName>
    <definedName name="jsdfkgnfr" localSheetId="13">#REF!</definedName>
    <definedName name="jsdfkgnfr" localSheetId="26">#REF!</definedName>
    <definedName name="jsdfkgnfr" localSheetId="0">#REF!</definedName>
    <definedName name="jsdfkgnfr">#REF!</definedName>
    <definedName name="jsdfsdfd" localSheetId="9">{#N/A,#N/A,FALSE,"Plan1";#N/A,#N/A,FALSE,"Plan2"}</definedName>
    <definedName name="jsdfsdfd" localSheetId="6">{#N/A,#N/A,FALSE,"Plan1";#N/A,#N/A,FALSE,"Plan2"}</definedName>
    <definedName name="jsdfsdfd" localSheetId="3">{#N/A,#N/A,FALSE,"Plan1";#N/A,#N/A,FALSE,"Plan2"}</definedName>
    <definedName name="jsdfsdfd" localSheetId="8">{#N/A,#N/A,FALSE,"Plan1";#N/A,#N/A,FALSE,"Plan2"}</definedName>
    <definedName name="jsdfsdfd" localSheetId="5">{#N/A,#N/A,FALSE,"Plan1";#N/A,#N/A,FALSE,"Plan2"}</definedName>
    <definedName name="jsdfsdfd" localSheetId="4">{#N/A,#N/A,FALSE,"Plan1";#N/A,#N/A,FALSE,"Plan2"}</definedName>
    <definedName name="jsdfsdfd" localSheetId="13">{#N/A,#N/A,FALSE,"Plan1";#N/A,#N/A,FALSE,"Plan2"}</definedName>
    <definedName name="jsdfsdfd" localSheetId="17">{#N/A,#N/A,FALSE,"Plan1";#N/A,#N/A,FALSE,"Plan2"}</definedName>
    <definedName name="jsdfsdfd" localSheetId="0">{#N/A,#N/A,FALSE,"Plan1";#N/A,#N/A,FALSE,"Plan2"}</definedName>
    <definedName name="jsdfsdfd" localSheetId="19">{#N/A,#N/A,FALSE,"Plan1";#N/A,#N/A,FALSE,"Plan2"}</definedName>
    <definedName name="jsdfsdfd" localSheetId="16">{#N/A,#N/A,FALSE,"Plan1";#N/A,#N/A,FALSE,"Plan2"}</definedName>
    <definedName name="jsdfsdfd" localSheetId="18">{#N/A,#N/A,FALSE,"Plan1";#N/A,#N/A,FALSE,"Plan2"}</definedName>
    <definedName name="jsdfsdfd" localSheetId="10">{#N/A,#N/A,FALSE,"Plan1";#N/A,#N/A,FALSE,"Plan2"}</definedName>
    <definedName name="jsdfsdfd">{#N/A,#N/A,FALSE,"Plan1";#N/A,#N/A,FALSE,"Plan2"}</definedName>
    <definedName name="jsdljficd" localSheetId="9">{#N/A,#N/A,FALSE,"Plan1";#N/A,#N/A,FALSE,"Plan2"}</definedName>
    <definedName name="jsdljficd" localSheetId="6">{#N/A,#N/A,FALSE,"Plan1";#N/A,#N/A,FALSE,"Plan2"}</definedName>
    <definedName name="jsdljficd" localSheetId="3">{#N/A,#N/A,FALSE,"Plan1";#N/A,#N/A,FALSE,"Plan2"}</definedName>
    <definedName name="jsdljficd" localSheetId="8">{#N/A,#N/A,FALSE,"Plan1";#N/A,#N/A,FALSE,"Plan2"}</definedName>
    <definedName name="jsdljficd" localSheetId="5">{#N/A,#N/A,FALSE,"Plan1";#N/A,#N/A,FALSE,"Plan2"}</definedName>
    <definedName name="jsdljficd" localSheetId="4">{#N/A,#N/A,FALSE,"Plan1";#N/A,#N/A,FALSE,"Plan2"}</definedName>
    <definedName name="jsdljficd" localSheetId="13">{#N/A,#N/A,FALSE,"Plan1";#N/A,#N/A,FALSE,"Plan2"}</definedName>
    <definedName name="jsdljficd" localSheetId="17">{#N/A,#N/A,FALSE,"Plan1";#N/A,#N/A,FALSE,"Plan2"}</definedName>
    <definedName name="jsdljficd" localSheetId="0">{#N/A,#N/A,FALSE,"Plan1";#N/A,#N/A,FALSE,"Plan2"}</definedName>
    <definedName name="jsdljficd" localSheetId="19">{#N/A,#N/A,FALSE,"Plan1";#N/A,#N/A,FALSE,"Plan2"}</definedName>
    <definedName name="jsdljficd" localSheetId="16">{#N/A,#N/A,FALSE,"Plan1";#N/A,#N/A,FALSE,"Plan2"}</definedName>
    <definedName name="jsdljficd" localSheetId="18">{#N/A,#N/A,FALSE,"Plan1";#N/A,#N/A,FALSE,"Plan2"}</definedName>
    <definedName name="jsdljficd" localSheetId="10">{#N/A,#N/A,FALSE,"Plan1";#N/A,#N/A,FALSE,"Plan2"}</definedName>
    <definedName name="jsdljficd">{#N/A,#N/A,FALSE,"Plan1";#N/A,#N/A,FALSE,"Plan2"}</definedName>
    <definedName name="JSDTLFJDRG" localSheetId="9">{#N/A,#N/A,FALSE,"Plan1";#N/A,#N/A,FALSE,"Plan2"}</definedName>
    <definedName name="JSDTLFJDRG" localSheetId="6">{#N/A,#N/A,FALSE,"Plan1";#N/A,#N/A,FALSE,"Plan2"}</definedName>
    <definedName name="JSDTLFJDRG" localSheetId="3">{#N/A,#N/A,FALSE,"Plan1";#N/A,#N/A,FALSE,"Plan2"}</definedName>
    <definedName name="JSDTLFJDRG" localSheetId="8">{#N/A,#N/A,FALSE,"Plan1";#N/A,#N/A,FALSE,"Plan2"}</definedName>
    <definedName name="JSDTLFJDRG" localSheetId="5">{#N/A,#N/A,FALSE,"Plan1";#N/A,#N/A,FALSE,"Plan2"}</definedName>
    <definedName name="JSDTLFJDRG" localSheetId="4">{#N/A,#N/A,FALSE,"Plan1";#N/A,#N/A,FALSE,"Plan2"}</definedName>
    <definedName name="JSDTLFJDRG" localSheetId="13">{#N/A,#N/A,FALSE,"Plan1";#N/A,#N/A,FALSE,"Plan2"}</definedName>
    <definedName name="JSDTLFJDRG" localSheetId="17">{#N/A,#N/A,FALSE,"Plan1";#N/A,#N/A,FALSE,"Plan2"}</definedName>
    <definedName name="JSDTLFJDRG" localSheetId="0">{#N/A,#N/A,FALSE,"Plan1";#N/A,#N/A,FALSE,"Plan2"}</definedName>
    <definedName name="JSDTLFJDRG" localSheetId="19">{#N/A,#N/A,FALSE,"Plan1";#N/A,#N/A,FALSE,"Plan2"}</definedName>
    <definedName name="JSDTLFJDRG" localSheetId="16">{#N/A,#N/A,FALSE,"Plan1";#N/A,#N/A,FALSE,"Plan2"}</definedName>
    <definedName name="JSDTLFJDRG" localSheetId="18">{#N/A,#N/A,FALSE,"Plan1";#N/A,#N/A,FALSE,"Plan2"}</definedName>
    <definedName name="JSDTLFJDRG" localSheetId="10">{#N/A,#N/A,FALSE,"Plan1";#N/A,#N/A,FALSE,"Plan2"}</definedName>
    <definedName name="JSDTLFJDRG">{#N/A,#N/A,FALSE,"Plan1";#N/A,#N/A,FALSE,"Plan2"}</definedName>
    <definedName name="jsfjsjferwea" localSheetId="9">{#N/A,#N/A,FALSE,"Plan1";#N/A,#N/A,FALSE,"Plan2"}</definedName>
    <definedName name="jsfjsjferwea" localSheetId="6">{#N/A,#N/A,FALSE,"Plan1";#N/A,#N/A,FALSE,"Plan2"}</definedName>
    <definedName name="jsfjsjferwea" localSheetId="3">{#N/A,#N/A,FALSE,"Plan1";#N/A,#N/A,FALSE,"Plan2"}</definedName>
    <definedName name="jsfjsjferwea" localSheetId="8">{#N/A,#N/A,FALSE,"Plan1";#N/A,#N/A,FALSE,"Plan2"}</definedName>
    <definedName name="jsfjsjferwea" localSheetId="5">{#N/A,#N/A,FALSE,"Plan1";#N/A,#N/A,FALSE,"Plan2"}</definedName>
    <definedName name="jsfjsjferwea" localSheetId="4">{#N/A,#N/A,FALSE,"Plan1";#N/A,#N/A,FALSE,"Plan2"}</definedName>
    <definedName name="jsfjsjferwea" localSheetId="13">{#N/A,#N/A,FALSE,"Plan1";#N/A,#N/A,FALSE,"Plan2"}</definedName>
    <definedName name="jsfjsjferwea" localSheetId="17">{#N/A,#N/A,FALSE,"Plan1";#N/A,#N/A,FALSE,"Plan2"}</definedName>
    <definedName name="jsfjsjferwea" localSheetId="0">{#N/A,#N/A,FALSE,"Plan1";#N/A,#N/A,FALSE,"Plan2"}</definedName>
    <definedName name="jsfjsjferwea" localSheetId="19">{#N/A,#N/A,FALSE,"Plan1";#N/A,#N/A,FALSE,"Plan2"}</definedName>
    <definedName name="jsfjsjferwea" localSheetId="16">{#N/A,#N/A,FALSE,"Plan1";#N/A,#N/A,FALSE,"Plan2"}</definedName>
    <definedName name="jsfjsjferwea" localSheetId="18">{#N/A,#N/A,FALSE,"Plan1";#N/A,#N/A,FALSE,"Plan2"}</definedName>
    <definedName name="jsfjsjferwea" localSheetId="10">{#N/A,#N/A,FALSE,"Plan1";#N/A,#N/A,FALSE,"Plan2"}</definedName>
    <definedName name="jsfjsjferwea">{#N/A,#N/A,FALSE,"Plan1";#N/A,#N/A,FALSE,"Plan2"}</definedName>
    <definedName name="jslrjer" localSheetId="9">{#N/A,#N/A,FALSE,"Plan1";#N/A,#N/A,FALSE,"Plan2"}</definedName>
    <definedName name="jslrjer" localSheetId="6">{#N/A,#N/A,FALSE,"Plan1";#N/A,#N/A,FALSE,"Plan2"}</definedName>
    <definedName name="jslrjer" localSheetId="3">{#N/A,#N/A,FALSE,"Plan1";#N/A,#N/A,FALSE,"Plan2"}</definedName>
    <definedName name="jslrjer" localSheetId="8">{#N/A,#N/A,FALSE,"Plan1";#N/A,#N/A,FALSE,"Plan2"}</definedName>
    <definedName name="jslrjer" localSheetId="5">{#N/A,#N/A,FALSE,"Plan1";#N/A,#N/A,FALSE,"Plan2"}</definedName>
    <definedName name="jslrjer" localSheetId="4">{#N/A,#N/A,FALSE,"Plan1";#N/A,#N/A,FALSE,"Plan2"}</definedName>
    <definedName name="jslrjer" localSheetId="13">{#N/A,#N/A,FALSE,"Plan1";#N/A,#N/A,FALSE,"Plan2"}</definedName>
    <definedName name="jslrjer" localSheetId="17">{#N/A,#N/A,FALSE,"Plan1";#N/A,#N/A,FALSE,"Plan2"}</definedName>
    <definedName name="jslrjer" localSheetId="0">{#N/A,#N/A,FALSE,"Plan1";#N/A,#N/A,FALSE,"Plan2"}</definedName>
    <definedName name="jslrjer" localSheetId="19">{#N/A,#N/A,FALSE,"Plan1";#N/A,#N/A,FALSE,"Plan2"}</definedName>
    <definedName name="jslrjer" localSheetId="16">{#N/A,#N/A,FALSE,"Plan1";#N/A,#N/A,FALSE,"Plan2"}</definedName>
    <definedName name="jslrjer" localSheetId="18">{#N/A,#N/A,FALSE,"Plan1";#N/A,#N/A,FALSE,"Plan2"}</definedName>
    <definedName name="jslrjer" localSheetId="10">{#N/A,#N/A,FALSE,"Plan1";#N/A,#N/A,FALSE,"Plan2"}</definedName>
    <definedName name="jslrjer">{#N/A,#N/A,FALSE,"Plan1";#N/A,#N/A,FALSE,"Plan2"}</definedName>
    <definedName name="juklhkhdf" localSheetId="9">{#N/A,#N/A,FALSE,"Plan1";#N/A,#N/A,FALSE,"Plan2"}</definedName>
    <definedName name="juklhkhdf" localSheetId="6">{#N/A,#N/A,FALSE,"Plan1";#N/A,#N/A,FALSE,"Plan2"}</definedName>
    <definedName name="juklhkhdf" localSheetId="3">{#N/A,#N/A,FALSE,"Plan1";#N/A,#N/A,FALSE,"Plan2"}</definedName>
    <definedName name="juklhkhdf" localSheetId="8">{#N/A,#N/A,FALSE,"Plan1";#N/A,#N/A,FALSE,"Plan2"}</definedName>
    <definedName name="juklhkhdf" localSheetId="5">{#N/A,#N/A,FALSE,"Plan1";#N/A,#N/A,FALSE,"Plan2"}</definedName>
    <definedName name="juklhkhdf" localSheetId="4">{#N/A,#N/A,FALSE,"Plan1";#N/A,#N/A,FALSE,"Plan2"}</definedName>
    <definedName name="juklhkhdf" localSheetId="13">{#N/A,#N/A,FALSE,"Plan1";#N/A,#N/A,FALSE,"Plan2"}</definedName>
    <definedName name="juklhkhdf" localSheetId="17">{#N/A,#N/A,FALSE,"Plan1";#N/A,#N/A,FALSE,"Plan2"}</definedName>
    <definedName name="juklhkhdf" localSheetId="0">{#N/A,#N/A,FALSE,"Plan1";#N/A,#N/A,FALSE,"Plan2"}</definedName>
    <definedName name="juklhkhdf" localSheetId="19">{#N/A,#N/A,FALSE,"Plan1";#N/A,#N/A,FALSE,"Plan2"}</definedName>
    <definedName name="juklhkhdf" localSheetId="16">{#N/A,#N/A,FALSE,"Plan1";#N/A,#N/A,FALSE,"Plan2"}</definedName>
    <definedName name="juklhkhdf" localSheetId="18">{#N/A,#N/A,FALSE,"Plan1";#N/A,#N/A,FALSE,"Plan2"}</definedName>
    <definedName name="juklhkhdf" localSheetId="10">{#N/A,#N/A,FALSE,"Plan1";#N/A,#N/A,FALSE,"Plan2"}</definedName>
    <definedName name="juklhkhdf">{#N/A,#N/A,FALSE,"Plan1";#N/A,#N/A,FALSE,"Plan2"}</definedName>
    <definedName name="jul17RJ" localSheetId="3">#REF!</definedName>
    <definedName name="jul17RJ" localSheetId="5">#REF!</definedName>
    <definedName name="jul17RJ" localSheetId="13">#REF!</definedName>
    <definedName name="jul17RJ" localSheetId="26">#REF!</definedName>
    <definedName name="jul17RJ">#REF!</definedName>
    <definedName name="JULHO" localSheetId="3">#REF!</definedName>
    <definedName name="JULHO" localSheetId="5">#REF!</definedName>
    <definedName name="JULHO" localSheetId="13">#REF!</definedName>
    <definedName name="JULHO" localSheetId="26">#REF!</definedName>
    <definedName name="JULHO">#REF!</definedName>
    <definedName name="JULHO2001" localSheetId="3">#REF!</definedName>
    <definedName name="JULHO2001" localSheetId="5">#REF!</definedName>
    <definedName name="JULHO2001" localSheetId="13">#REF!</definedName>
    <definedName name="JULHO2001" localSheetId="26">#REF!</definedName>
    <definedName name="JULHO2001">#REF!</definedName>
    <definedName name="JULHO99" localSheetId="9">{#N/A,#N/A,TRUE,"Quinzena 01 à 15-04-98 "}</definedName>
    <definedName name="JULHO99" localSheetId="6">{#N/A,#N/A,TRUE,"Quinzena 01 à 15-04-98 "}</definedName>
    <definedName name="JULHO99" localSheetId="3">{#N/A,#N/A,TRUE,"Quinzena 01 à 15-04-98 "}</definedName>
    <definedName name="JULHO99" localSheetId="8">{#N/A,#N/A,TRUE,"Quinzena 01 à 15-04-98 "}</definedName>
    <definedName name="JULHO99" localSheetId="5">{#N/A,#N/A,TRUE,"Quinzena 01 à 15-04-98 "}</definedName>
    <definedName name="JULHO99" localSheetId="4">{#N/A,#N/A,TRUE,"Quinzena 01 à 15-04-98 "}</definedName>
    <definedName name="JULHO99" localSheetId="13">{#N/A,#N/A,TRUE,"Quinzena 01 à 15-04-98 "}</definedName>
    <definedName name="JULHO99" localSheetId="17">{#N/A,#N/A,TRUE,"Quinzena 01 à 15-04-98 "}</definedName>
    <definedName name="JULHO99" localSheetId="0">{#N/A,#N/A,TRUE,"Quinzena 01 à 15-04-98 "}</definedName>
    <definedName name="JULHO99" localSheetId="19">{#N/A,#N/A,TRUE,"Quinzena 01 à 15-04-98 "}</definedName>
    <definedName name="JULHO99" localSheetId="16">{#N/A,#N/A,TRUE,"Quinzena 01 à 15-04-98 "}</definedName>
    <definedName name="JULHO99" localSheetId="18">{#N/A,#N/A,TRUE,"Quinzena 01 à 15-04-98 "}</definedName>
    <definedName name="JULHO99" localSheetId="10">{#N/A,#N/A,TRUE,"Quinzena 01 à 15-04-98 "}</definedName>
    <definedName name="JULHO99">{#N/A,#N/A,TRUE,"Quinzena 01 à 15-04-98 "}</definedName>
    <definedName name="jun17RJ" localSheetId="3">#REF!</definedName>
    <definedName name="jun17RJ" localSheetId="5">#REF!</definedName>
    <definedName name="jun17RJ" localSheetId="13">#REF!</definedName>
    <definedName name="jun17RJ" localSheetId="26">#REF!</definedName>
    <definedName name="jun17RJ">#REF!</definedName>
    <definedName name="JUNHO" localSheetId="3">#REF!</definedName>
    <definedName name="JUNHO" localSheetId="5">#REF!</definedName>
    <definedName name="JUNHO" localSheetId="13">#REF!</definedName>
    <definedName name="JUNHO" localSheetId="26">#REF!</definedName>
    <definedName name="JUNHO">#REF!</definedName>
    <definedName name="JUNHO2001" localSheetId="3">#REF!</definedName>
    <definedName name="JUNHO2001" localSheetId="5">#REF!</definedName>
    <definedName name="JUNHO2001" localSheetId="13">#REF!</definedName>
    <definedName name="JUNHO2001" localSheetId="26">#REF!</definedName>
    <definedName name="JUNHO2001">#REF!</definedName>
    <definedName name="JurosTpMes" localSheetId="3">#REF!</definedName>
    <definedName name="JurosTpMes" localSheetId="5">#REF!</definedName>
    <definedName name="JurosTpMes" localSheetId="13">#REF!</definedName>
    <definedName name="JurosTpMes" localSheetId="26">#REF!</definedName>
    <definedName name="JurosTpMes">#REF!</definedName>
    <definedName name="jwekljd" localSheetId="9">{#N/A,#N/A,FALSE,"Plan1";#N/A,#N/A,FALSE,"Plan2"}</definedName>
    <definedName name="jwekljd" localSheetId="6">{#N/A,#N/A,FALSE,"Plan1";#N/A,#N/A,FALSE,"Plan2"}</definedName>
    <definedName name="jwekljd" localSheetId="3">{#N/A,#N/A,FALSE,"Plan1";#N/A,#N/A,FALSE,"Plan2"}</definedName>
    <definedName name="jwekljd" localSheetId="8">{#N/A,#N/A,FALSE,"Plan1";#N/A,#N/A,FALSE,"Plan2"}</definedName>
    <definedName name="jwekljd" localSheetId="5">{#N/A,#N/A,FALSE,"Plan1";#N/A,#N/A,FALSE,"Plan2"}</definedName>
    <definedName name="jwekljd" localSheetId="4">{#N/A,#N/A,FALSE,"Plan1";#N/A,#N/A,FALSE,"Plan2"}</definedName>
    <definedName name="jwekljd" localSheetId="13">{#N/A,#N/A,FALSE,"Plan1";#N/A,#N/A,FALSE,"Plan2"}</definedName>
    <definedName name="jwekljd" localSheetId="17">{#N/A,#N/A,FALSE,"Plan1";#N/A,#N/A,FALSE,"Plan2"}</definedName>
    <definedName name="jwekljd" localSheetId="0">{#N/A,#N/A,FALSE,"Plan1";#N/A,#N/A,FALSE,"Plan2"}</definedName>
    <definedName name="jwekljd" localSheetId="19">{#N/A,#N/A,FALSE,"Plan1";#N/A,#N/A,FALSE,"Plan2"}</definedName>
    <definedName name="jwekljd" localSheetId="16">{#N/A,#N/A,FALSE,"Plan1";#N/A,#N/A,FALSE,"Plan2"}</definedName>
    <definedName name="jwekljd" localSheetId="18">{#N/A,#N/A,FALSE,"Plan1";#N/A,#N/A,FALSE,"Plan2"}</definedName>
    <definedName name="jwekljd" localSheetId="10">{#N/A,#N/A,FALSE,"Plan1";#N/A,#N/A,FALSE,"Plan2"}</definedName>
    <definedName name="jwekljd">{#N/A,#N/A,FALSE,"Plan1";#N/A,#N/A,FALSE,"Plan2"}</definedName>
    <definedName name="JWEOITORU5Y" localSheetId="9">{#N/A,#N/A,FALSE,"Plan1";#N/A,#N/A,FALSE,"Plan2"}</definedName>
    <definedName name="JWEOITORU5Y" localSheetId="6">{#N/A,#N/A,FALSE,"Plan1";#N/A,#N/A,FALSE,"Plan2"}</definedName>
    <definedName name="JWEOITORU5Y" localSheetId="3">{#N/A,#N/A,FALSE,"Plan1";#N/A,#N/A,FALSE,"Plan2"}</definedName>
    <definedName name="JWEOITORU5Y" localSheetId="8">{#N/A,#N/A,FALSE,"Plan1";#N/A,#N/A,FALSE,"Plan2"}</definedName>
    <definedName name="JWEOITORU5Y" localSheetId="5">{#N/A,#N/A,FALSE,"Plan1";#N/A,#N/A,FALSE,"Plan2"}</definedName>
    <definedName name="JWEOITORU5Y" localSheetId="4">{#N/A,#N/A,FALSE,"Plan1";#N/A,#N/A,FALSE,"Plan2"}</definedName>
    <definedName name="JWEOITORU5Y" localSheetId="13">{#N/A,#N/A,FALSE,"Plan1";#N/A,#N/A,FALSE,"Plan2"}</definedName>
    <definedName name="JWEOITORU5Y" localSheetId="17">{#N/A,#N/A,FALSE,"Plan1";#N/A,#N/A,FALSE,"Plan2"}</definedName>
    <definedName name="JWEOITORU5Y" localSheetId="0">{#N/A,#N/A,FALSE,"Plan1";#N/A,#N/A,FALSE,"Plan2"}</definedName>
    <definedName name="JWEOITORU5Y" localSheetId="19">{#N/A,#N/A,FALSE,"Plan1";#N/A,#N/A,FALSE,"Plan2"}</definedName>
    <definedName name="JWEOITORU5Y" localSheetId="16">{#N/A,#N/A,FALSE,"Plan1";#N/A,#N/A,FALSE,"Plan2"}</definedName>
    <definedName name="JWEOITORU5Y" localSheetId="18">{#N/A,#N/A,FALSE,"Plan1";#N/A,#N/A,FALSE,"Plan2"}</definedName>
    <definedName name="JWEOITORU5Y" localSheetId="10">{#N/A,#N/A,FALSE,"Plan1";#N/A,#N/A,FALSE,"Plan2"}</definedName>
    <definedName name="JWEOITORU5Y">{#N/A,#N/A,FALSE,"Plan1";#N/A,#N/A,FALSE,"Plan2"}</definedName>
    <definedName name="jxdfjsrf" localSheetId="9">{#N/A,#N/A,FALSE,"Plan1";#N/A,#N/A,FALSE,"Plan2"}</definedName>
    <definedName name="jxdfjsrf" localSheetId="6">{#N/A,#N/A,FALSE,"Plan1";#N/A,#N/A,FALSE,"Plan2"}</definedName>
    <definedName name="jxdfjsrf" localSheetId="3">{#N/A,#N/A,FALSE,"Plan1";#N/A,#N/A,FALSE,"Plan2"}</definedName>
    <definedName name="jxdfjsrf" localSheetId="8">{#N/A,#N/A,FALSE,"Plan1";#N/A,#N/A,FALSE,"Plan2"}</definedName>
    <definedName name="jxdfjsrf" localSheetId="5">{#N/A,#N/A,FALSE,"Plan1";#N/A,#N/A,FALSE,"Plan2"}</definedName>
    <definedName name="jxdfjsrf" localSheetId="4">{#N/A,#N/A,FALSE,"Plan1";#N/A,#N/A,FALSE,"Plan2"}</definedName>
    <definedName name="jxdfjsrf" localSheetId="13">{#N/A,#N/A,FALSE,"Plan1";#N/A,#N/A,FALSE,"Plan2"}</definedName>
    <definedName name="jxdfjsrf" localSheetId="17">{#N/A,#N/A,FALSE,"Plan1";#N/A,#N/A,FALSE,"Plan2"}</definedName>
    <definedName name="jxdfjsrf" localSheetId="0">{#N/A,#N/A,FALSE,"Plan1";#N/A,#N/A,FALSE,"Plan2"}</definedName>
    <definedName name="jxdfjsrf" localSheetId="19">{#N/A,#N/A,FALSE,"Plan1";#N/A,#N/A,FALSE,"Plan2"}</definedName>
    <definedName name="jxdfjsrf" localSheetId="16">{#N/A,#N/A,FALSE,"Plan1";#N/A,#N/A,FALSE,"Plan2"}</definedName>
    <definedName name="jxdfjsrf" localSheetId="18">{#N/A,#N/A,FALSE,"Plan1";#N/A,#N/A,FALSE,"Plan2"}</definedName>
    <definedName name="jxdfjsrf" localSheetId="10">{#N/A,#N/A,FALSE,"Plan1";#N/A,#N/A,FALSE,"Plan2"}</definedName>
    <definedName name="jxdfjsrf">{#N/A,#N/A,FALSE,"Plan1";#N/A,#N/A,FALSE,"Plan2"}</definedName>
    <definedName name="jxdklfjv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3">#REF!</definedName>
    <definedName name="JY" localSheetId="5">#REF!</definedName>
    <definedName name="JY" localSheetId="13">#REF!</definedName>
    <definedName name="JY" localSheetId="26">#REF!</definedName>
    <definedName name="JY" localSheetId="0">#REF!</definedName>
    <definedName name="JY">#REF!</definedName>
    <definedName name="jzsdjkszl" localSheetId="9">{#N/A,#N/A,FALSE,"Plan1";#N/A,#N/A,FALSE,"Plan2"}</definedName>
    <definedName name="jzsdjkszl" localSheetId="6">{#N/A,#N/A,FALSE,"Plan1";#N/A,#N/A,FALSE,"Plan2"}</definedName>
    <definedName name="jzsdjkszl" localSheetId="3">{#N/A,#N/A,FALSE,"Plan1";#N/A,#N/A,FALSE,"Plan2"}</definedName>
    <definedName name="jzsdjkszl" localSheetId="8">{#N/A,#N/A,FALSE,"Plan1";#N/A,#N/A,FALSE,"Plan2"}</definedName>
    <definedName name="jzsdjkszl" localSheetId="5">{#N/A,#N/A,FALSE,"Plan1";#N/A,#N/A,FALSE,"Plan2"}</definedName>
    <definedName name="jzsdjkszl" localSheetId="4">{#N/A,#N/A,FALSE,"Plan1";#N/A,#N/A,FALSE,"Plan2"}</definedName>
    <definedName name="jzsdjkszl" localSheetId="13">{#N/A,#N/A,FALSE,"Plan1";#N/A,#N/A,FALSE,"Plan2"}</definedName>
    <definedName name="jzsdjkszl" localSheetId="17">{#N/A,#N/A,FALSE,"Plan1";#N/A,#N/A,FALSE,"Plan2"}</definedName>
    <definedName name="jzsdjkszl" localSheetId="0">{#N/A,#N/A,FALSE,"Plan1";#N/A,#N/A,FALSE,"Plan2"}</definedName>
    <definedName name="jzsdjkszl" localSheetId="19">{#N/A,#N/A,FALSE,"Plan1";#N/A,#N/A,FALSE,"Plan2"}</definedName>
    <definedName name="jzsdjkszl" localSheetId="16">{#N/A,#N/A,FALSE,"Plan1";#N/A,#N/A,FALSE,"Plan2"}</definedName>
    <definedName name="jzsdjkszl" localSheetId="18">{#N/A,#N/A,FALSE,"Plan1";#N/A,#N/A,FALSE,"Plan2"}</definedName>
    <definedName name="jzsdjkszl" localSheetId="10">{#N/A,#N/A,FALSE,"Plan1";#N/A,#N/A,FALSE,"Plan2"}</definedName>
    <definedName name="jzsdjkszl">{#N/A,#N/A,FALSE,"Plan1";#N/A,#N/A,FALSE,"Plan2"}</definedName>
    <definedName name="JZXFKLJLDJF" localSheetId="9">{#N/A,#N/A,FALSE,"Plan1";#N/A,#N/A,FALSE,"Plan2"}</definedName>
    <definedName name="JZXFKLJLDJF" localSheetId="6">{#N/A,#N/A,FALSE,"Plan1";#N/A,#N/A,FALSE,"Plan2"}</definedName>
    <definedName name="JZXFKLJLDJF" localSheetId="3">{#N/A,#N/A,FALSE,"Plan1";#N/A,#N/A,FALSE,"Plan2"}</definedName>
    <definedName name="JZXFKLJLDJF" localSheetId="8">{#N/A,#N/A,FALSE,"Plan1";#N/A,#N/A,FALSE,"Plan2"}</definedName>
    <definedName name="JZXFKLJLDJF" localSheetId="5">{#N/A,#N/A,FALSE,"Plan1";#N/A,#N/A,FALSE,"Plan2"}</definedName>
    <definedName name="JZXFKLJLDJF" localSheetId="4">{#N/A,#N/A,FALSE,"Plan1";#N/A,#N/A,FALSE,"Plan2"}</definedName>
    <definedName name="JZXFKLJLDJF" localSheetId="13">{#N/A,#N/A,FALSE,"Plan1";#N/A,#N/A,FALSE,"Plan2"}</definedName>
    <definedName name="JZXFKLJLDJF" localSheetId="17">{#N/A,#N/A,FALSE,"Plan1";#N/A,#N/A,FALSE,"Plan2"}</definedName>
    <definedName name="JZXFKLJLDJF" localSheetId="0">{#N/A,#N/A,FALSE,"Plan1";#N/A,#N/A,FALSE,"Plan2"}</definedName>
    <definedName name="JZXFKLJLDJF" localSheetId="19">{#N/A,#N/A,FALSE,"Plan1";#N/A,#N/A,FALSE,"Plan2"}</definedName>
    <definedName name="JZXFKLJLDJF" localSheetId="16">{#N/A,#N/A,FALSE,"Plan1";#N/A,#N/A,FALSE,"Plan2"}</definedName>
    <definedName name="JZXFKLJLDJF" localSheetId="18">{#N/A,#N/A,FALSE,"Plan1";#N/A,#N/A,FALSE,"Plan2"}</definedName>
    <definedName name="JZXFKLJLDJF" localSheetId="10">{#N/A,#N/A,FALSE,"Plan1";#N/A,#N/A,FALSE,"Plan2"}</definedName>
    <definedName name="JZXFKLJLDJF">{#N/A,#N/A,FALSE,"Plan1";#N/A,#N/A,FALSE,"Plan2"}</definedName>
    <definedName name="jzxklfdlvgfg" localSheetId="9">{#N/A,#N/A,FALSE,"Plan1";#N/A,#N/A,FALSE,"Plan2"}</definedName>
    <definedName name="jzxklfdlvgfg" localSheetId="6">{#N/A,#N/A,FALSE,"Plan1";#N/A,#N/A,FALSE,"Plan2"}</definedName>
    <definedName name="jzxklfdlvgfg" localSheetId="3">{#N/A,#N/A,FALSE,"Plan1";#N/A,#N/A,FALSE,"Plan2"}</definedName>
    <definedName name="jzxklfdlvgfg" localSheetId="8">{#N/A,#N/A,FALSE,"Plan1";#N/A,#N/A,FALSE,"Plan2"}</definedName>
    <definedName name="jzxklfdlvgfg" localSheetId="5">{#N/A,#N/A,FALSE,"Plan1";#N/A,#N/A,FALSE,"Plan2"}</definedName>
    <definedName name="jzxklfdlvgfg" localSheetId="4">{#N/A,#N/A,FALSE,"Plan1";#N/A,#N/A,FALSE,"Plan2"}</definedName>
    <definedName name="jzxklfdlvgfg" localSheetId="13">{#N/A,#N/A,FALSE,"Plan1";#N/A,#N/A,FALSE,"Plan2"}</definedName>
    <definedName name="jzxklfdlvgfg" localSheetId="17">{#N/A,#N/A,FALSE,"Plan1";#N/A,#N/A,FALSE,"Plan2"}</definedName>
    <definedName name="jzxklfdlvgfg" localSheetId="0">{#N/A,#N/A,FALSE,"Plan1";#N/A,#N/A,FALSE,"Plan2"}</definedName>
    <definedName name="jzxklfdlvgfg" localSheetId="19">{#N/A,#N/A,FALSE,"Plan1";#N/A,#N/A,FALSE,"Plan2"}</definedName>
    <definedName name="jzxklfdlvgfg" localSheetId="16">{#N/A,#N/A,FALSE,"Plan1";#N/A,#N/A,FALSE,"Plan2"}</definedName>
    <definedName name="jzxklfdlvgfg" localSheetId="18">{#N/A,#N/A,FALSE,"Plan1";#N/A,#N/A,FALSE,"Plan2"}</definedName>
    <definedName name="jzxklfdlvgfg" localSheetId="10">{#N/A,#N/A,FALSE,"Plan1";#N/A,#N/A,FALSE,"Plan2"}</definedName>
    <definedName name="jzxklfdlvgfg">{#N/A,#N/A,FALSE,"Plan1";#N/A,#N/A,FALSE,"Plan2"}</definedName>
    <definedName name="k" localSheetId="9">{#N/A,#N/A,FALSE,"Plan1";#N/A,#N/A,FALSE,"Plan2"}</definedName>
    <definedName name="k" localSheetId="6">{#N/A,#N/A,FALSE,"Plan1";#N/A,#N/A,FALSE,"Plan2"}</definedName>
    <definedName name="k" localSheetId="3">{#N/A,#N/A,FALSE,"Plan1";#N/A,#N/A,FALSE,"Plan2"}</definedName>
    <definedName name="k" localSheetId="8">{#N/A,#N/A,FALSE,"Plan1";#N/A,#N/A,FALSE,"Plan2"}</definedName>
    <definedName name="k" localSheetId="5">{#N/A,#N/A,FALSE,"Plan1";#N/A,#N/A,FALSE,"Plan2"}</definedName>
    <definedName name="k" localSheetId="4">{#N/A,#N/A,FALSE,"Plan1";#N/A,#N/A,FALSE,"Plan2"}</definedName>
    <definedName name="k" localSheetId="13">{#N/A,#N/A,FALSE,"Plan1";#N/A,#N/A,FALSE,"Plan2"}</definedName>
    <definedName name="k" localSheetId="17">{#N/A,#N/A,FALSE,"Plan1";#N/A,#N/A,FALSE,"Plan2"}</definedName>
    <definedName name="k" localSheetId="0">{#N/A,#N/A,FALSE,"Plan1";#N/A,#N/A,FALSE,"Plan2"}</definedName>
    <definedName name="k" localSheetId="19">{#N/A,#N/A,FALSE,"Plan1";#N/A,#N/A,FALSE,"Plan2"}</definedName>
    <definedName name="k" localSheetId="16">{#N/A,#N/A,FALSE,"Plan1";#N/A,#N/A,FALSE,"Plan2"}</definedName>
    <definedName name="k" localSheetId="18">{#N/A,#N/A,FALSE,"Plan1";#N/A,#N/A,FALSE,"Plan2"}</definedName>
    <definedName name="k" localSheetId="10">{#N/A,#N/A,FALSE,"Plan1";#N/A,#N/A,FALSE,"Plan2"}</definedName>
    <definedName name="k">{#N/A,#N/A,FALSE,"Plan1";#N/A,#N/A,FALSE,"Plan2"}</definedName>
    <definedName name="K_1" localSheetId="3">#REF!</definedName>
    <definedName name="K_1" localSheetId="5">#REF!</definedName>
    <definedName name="K_1" localSheetId="13">#REF!</definedName>
    <definedName name="K_1" localSheetId="26">#REF!</definedName>
    <definedName name="K_1">#REF!</definedName>
    <definedName name="kaedkroswr" localSheetId="9">{"Econ Consolidado",#N/A,FALSE,"Econ Consol";"Fluxo de Caixa",#N/A,FALSE,"Fluxo Caixa";"Investimentos",#N/A,FALSE,"Investimentos"}</definedName>
    <definedName name="kaedkroswr" localSheetId="6">{"Econ Consolidado",#N/A,FALSE,"Econ Consol";"Fluxo de Caixa",#N/A,FALSE,"Fluxo Caixa";"Investimentos",#N/A,FALSE,"Investimentos"}</definedName>
    <definedName name="kaedkroswr" localSheetId="3">{"Econ Consolidado",#N/A,FALSE,"Econ Consol";"Fluxo de Caixa",#N/A,FALSE,"Fluxo Caixa";"Investimentos",#N/A,FALSE,"Investimentos"}</definedName>
    <definedName name="kaedkroswr" localSheetId="8">{"Econ Consolidado",#N/A,FALSE,"Econ Consol";"Fluxo de Caixa",#N/A,FALSE,"Fluxo Caixa";"Investimentos",#N/A,FALSE,"Investimentos"}</definedName>
    <definedName name="kaedkroswr" localSheetId="5">{"Econ Consolidado",#N/A,FALSE,"Econ Consol";"Fluxo de Caixa",#N/A,FALSE,"Fluxo Caixa";"Investimentos",#N/A,FALSE,"Investimentos"}</definedName>
    <definedName name="kaedkroswr" localSheetId="4">{"Econ Consolidado",#N/A,FALSE,"Econ Consol";"Fluxo de Caixa",#N/A,FALSE,"Fluxo Caixa";"Investimentos",#N/A,FALSE,"Investimentos"}</definedName>
    <definedName name="kaedkroswr" localSheetId="13">{"Econ Consolidado",#N/A,FALSE,"Econ Consol";"Fluxo de Caixa",#N/A,FALSE,"Fluxo Caixa";"Investimentos",#N/A,FALSE,"Investimentos"}</definedName>
    <definedName name="kaedkroswr" localSheetId="17">{"Econ Consolidado",#N/A,FALSE,"Econ Consol";"Fluxo de Caixa",#N/A,FALSE,"Fluxo Caixa";"Investimentos",#N/A,FALSE,"Investimentos"}</definedName>
    <definedName name="kaedkroswr" localSheetId="0">{"Econ Consolidado",#N/A,FALSE,"Econ Consol";"Fluxo de Caixa",#N/A,FALSE,"Fluxo Caixa";"Investimentos",#N/A,FALSE,"Investimentos"}</definedName>
    <definedName name="kaedkroswr" localSheetId="19">{"Econ Consolidado",#N/A,FALSE,"Econ Consol";"Fluxo de Caixa",#N/A,FALSE,"Fluxo Caixa";"Investimentos",#N/A,FALSE,"Investimentos"}</definedName>
    <definedName name="kaedkroswr" localSheetId="16">{"Econ Consolidado",#N/A,FALSE,"Econ Consol";"Fluxo de Caixa",#N/A,FALSE,"Fluxo Caixa";"Investimentos",#N/A,FALSE,"Investimentos"}</definedName>
    <definedName name="kaedkroswr" localSheetId="18">{"Econ Consolidado",#N/A,FALSE,"Econ Consol";"Fluxo de Caixa",#N/A,FALSE,"Fluxo Caixa";"Investimentos",#N/A,FALSE,"Investimentos"}</definedName>
    <definedName name="kaedkroswr" localSheetId="10">{"Econ Consolidado",#N/A,FALSE,"Econ Consol";"Fluxo de Caixa",#N/A,FALSE,"Fluxo Caixa";"Investimentos",#N/A,FALSE,"Investimentos"}</definedName>
    <definedName name="kaedkroswr">{"Econ Consolidado",#N/A,FALSE,"Econ Consol";"Fluxo de Caixa",#N/A,FALSE,"Fluxo Caixa";"Investimentos",#N/A,FALSE,"Investimentos"}</definedName>
    <definedName name="kapa" localSheetId="3">#REF!</definedName>
    <definedName name="kapa" localSheetId="5">#REF!</definedName>
    <definedName name="kapa" localSheetId="13">#REF!</definedName>
    <definedName name="kapa" localSheetId="26">#REF!</definedName>
    <definedName name="kapa">#REF!</definedName>
    <definedName name="kçdasekr" localSheetId="9">{#N/A,#N/A,FALSE,"Plan1";#N/A,#N/A,FALSE,"Plan2"}</definedName>
    <definedName name="kçdasekr" localSheetId="6">{#N/A,#N/A,FALSE,"Plan1";#N/A,#N/A,FALSE,"Plan2"}</definedName>
    <definedName name="kçdasekr" localSheetId="3">{#N/A,#N/A,FALSE,"Plan1";#N/A,#N/A,FALSE,"Plan2"}</definedName>
    <definedName name="kçdasekr" localSheetId="8">{#N/A,#N/A,FALSE,"Plan1";#N/A,#N/A,FALSE,"Plan2"}</definedName>
    <definedName name="kçdasekr" localSheetId="5">{#N/A,#N/A,FALSE,"Plan1";#N/A,#N/A,FALSE,"Plan2"}</definedName>
    <definedName name="kçdasekr" localSheetId="4">{#N/A,#N/A,FALSE,"Plan1";#N/A,#N/A,FALSE,"Plan2"}</definedName>
    <definedName name="kçdasekr" localSheetId="13">{#N/A,#N/A,FALSE,"Plan1";#N/A,#N/A,FALSE,"Plan2"}</definedName>
    <definedName name="kçdasekr" localSheetId="17">{#N/A,#N/A,FALSE,"Plan1";#N/A,#N/A,FALSE,"Plan2"}</definedName>
    <definedName name="kçdasekr" localSheetId="0">{#N/A,#N/A,FALSE,"Plan1";#N/A,#N/A,FALSE,"Plan2"}</definedName>
    <definedName name="kçdasekr" localSheetId="19">{#N/A,#N/A,FALSE,"Plan1";#N/A,#N/A,FALSE,"Plan2"}</definedName>
    <definedName name="kçdasekr" localSheetId="16">{#N/A,#N/A,FALSE,"Plan1";#N/A,#N/A,FALSE,"Plan2"}</definedName>
    <definedName name="kçdasekr" localSheetId="18">{#N/A,#N/A,FALSE,"Plan1";#N/A,#N/A,FALSE,"Plan2"}</definedName>
    <definedName name="kçdasekr" localSheetId="10">{#N/A,#N/A,FALSE,"Plan1";#N/A,#N/A,FALSE,"Plan2"}</definedName>
    <definedName name="kçdasekr">{#N/A,#N/A,FALSE,"Plan1";#N/A,#N/A,FALSE,"Plan2"}</definedName>
    <definedName name="kçfdljtredr" localSheetId="9">{#N/A,#N/A,FALSE,"Plan1";#N/A,#N/A,FALSE,"Plan2"}</definedName>
    <definedName name="kçfdljtredr" localSheetId="6">{#N/A,#N/A,FALSE,"Plan1";#N/A,#N/A,FALSE,"Plan2"}</definedName>
    <definedName name="kçfdljtredr" localSheetId="3">{#N/A,#N/A,FALSE,"Plan1";#N/A,#N/A,FALSE,"Plan2"}</definedName>
    <definedName name="kçfdljtredr" localSheetId="8">{#N/A,#N/A,FALSE,"Plan1";#N/A,#N/A,FALSE,"Plan2"}</definedName>
    <definedName name="kçfdljtredr" localSheetId="5">{#N/A,#N/A,FALSE,"Plan1";#N/A,#N/A,FALSE,"Plan2"}</definedName>
    <definedName name="kçfdljtredr" localSheetId="4">{#N/A,#N/A,FALSE,"Plan1";#N/A,#N/A,FALSE,"Plan2"}</definedName>
    <definedName name="kçfdljtredr" localSheetId="13">{#N/A,#N/A,FALSE,"Plan1";#N/A,#N/A,FALSE,"Plan2"}</definedName>
    <definedName name="kçfdljtredr" localSheetId="17">{#N/A,#N/A,FALSE,"Plan1";#N/A,#N/A,FALSE,"Plan2"}</definedName>
    <definedName name="kçfdljtredr" localSheetId="0">{#N/A,#N/A,FALSE,"Plan1";#N/A,#N/A,FALSE,"Plan2"}</definedName>
    <definedName name="kçfdljtredr" localSheetId="19">{#N/A,#N/A,FALSE,"Plan1";#N/A,#N/A,FALSE,"Plan2"}</definedName>
    <definedName name="kçfdljtredr" localSheetId="16">{#N/A,#N/A,FALSE,"Plan1";#N/A,#N/A,FALSE,"Plan2"}</definedName>
    <definedName name="kçfdljtredr" localSheetId="18">{#N/A,#N/A,FALSE,"Plan1";#N/A,#N/A,FALSE,"Plan2"}</definedName>
    <definedName name="kçfdljtredr" localSheetId="10">{#N/A,#N/A,FALSE,"Plan1";#N/A,#N/A,FALSE,"Plan2"}</definedName>
    <definedName name="kçfdljtredr">{#N/A,#N/A,FALSE,"Plan1";#N/A,#N/A,FALSE,"Plan2"}</definedName>
    <definedName name="KCIVIL" localSheetId="3">#REF!</definedName>
    <definedName name="KCIVIL" localSheetId="5">#REF!</definedName>
    <definedName name="KCIVIL" localSheetId="13">#REF!</definedName>
    <definedName name="KCIVIL" localSheetId="26">#REF!</definedName>
    <definedName name="KCIVIL">#REF!</definedName>
    <definedName name="kclçkglf" localSheetId="9">{#N/A,#N/A,FALSE,"Plan1";#N/A,#N/A,FALSE,"Plan2"}</definedName>
    <definedName name="kclçkglf" localSheetId="6">{#N/A,#N/A,FALSE,"Plan1";#N/A,#N/A,FALSE,"Plan2"}</definedName>
    <definedName name="kclçkglf" localSheetId="3">{#N/A,#N/A,FALSE,"Plan1";#N/A,#N/A,FALSE,"Plan2"}</definedName>
    <definedName name="kclçkglf" localSheetId="8">{#N/A,#N/A,FALSE,"Plan1";#N/A,#N/A,FALSE,"Plan2"}</definedName>
    <definedName name="kclçkglf" localSheetId="5">{#N/A,#N/A,FALSE,"Plan1";#N/A,#N/A,FALSE,"Plan2"}</definedName>
    <definedName name="kclçkglf" localSheetId="4">{#N/A,#N/A,FALSE,"Plan1";#N/A,#N/A,FALSE,"Plan2"}</definedName>
    <definedName name="kclçkglf" localSheetId="13">{#N/A,#N/A,FALSE,"Plan1";#N/A,#N/A,FALSE,"Plan2"}</definedName>
    <definedName name="kclçkglf" localSheetId="17">{#N/A,#N/A,FALSE,"Plan1";#N/A,#N/A,FALSE,"Plan2"}</definedName>
    <definedName name="kclçkglf" localSheetId="0">{#N/A,#N/A,FALSE,"Plan1";#N/A,#N/A,FALSE,"Plan2"}</definedName>
    <definedName name="kclçkglf" localSheetId="19">{#N/A,#N/A,FALSE,"Plan1";#N/A,#N/A,FALSE,"Plan2"}</definedName>
    <definedName name="kclçkglf" localSheetId="16">{#N/A,#N/A,FALSE,"Plan1";#N/A,#N/A,FALSE,"Plan2"}</definedName>
    <definedName name="kclçkglf" localSheetId="18">{#N/A,#N/A,FALSE,"Plan1";#N/A,#N/A,FALSE,"Plan2"}</definedName>
    <definedName name="kclçkglf" localSheetId="10">{#N/A,#N/A,FALSE,"Plan1";#N/A,#N/A,FALSE,"Plan2"}</definedName>
    <definedName name="kclçkglf">{#N/A,#N/A,FALSE,"Plan1";#N/A,#N/A,FALSE,"Plan2"}</definedName>
    <definedName name="kçlkasçkere" localSheetId="9">{#N/A,#N/A,FALSE,"Plan1";#N/A,#N/A,FALSE,"Plan2"}</definedName>
    <definedName name="kçlkasçkere" localSheetId="6">{#N/A,#N/A,FALSE,"Plan1";#N/A,#N/A,FALSE,"Plan2"}</definedName>
    <definedName name="kçlkasçkere" localSheetId="3">{#N/A,#N/A,FALSE,"Plan1";#N/A,#N/A,FALSE,"Plan2"}</definedName>
    <definedName name="kçlkasçkere" localSheetId="8">{#N/A,#N/A,FALSE,"Plan1";#N/A,#N/A,FALSE,"Plan2"}</definedName>
    <definedName name="kçlkasçkere" localSheetId="5">{#N/A,#N/A,FALSE,"Plan1";#N/A,#N/A,FALSE,"Plan2"}</definedName>
    <definedName name="kçlkasçkere" localSheetId="4">{#N/A,#N/A,FALSE,"Plan1";#N/A,#N/A,FALSE,"Plan2"}</definedName>
    <definedName name="kçlkasçkere" localSheetId="13">{#N/A,#N/A,FALSE,"Plan1";#N/A,#N/A,FALSE,"Plan2"}</definedName>
    <definedName name="kçlkasçkere" localSheetId="17">{#N/A,#N/A,FALSE,"Plan1";#N/A,#N/A,FALSE,"Plan2"}</definedName>
    <definedName name="kçlkasçkere" localSheetId="0">{#N/A,#N/A,FALSE,"Plan1";#N/A,#N/A,FALSE,"Plan2"}</definedName>
    <definedName name="kçlkasçkere" localSheetId="19">{#N/A,#N/A,FALSE,"Plan1";#N/A,#N/A,FALSE,"Plan2"}</definedName>
    <definedName name="kçlkasçkere" localSheetId="16">{#N/A,#N/A,FALSE,"Plan1";#N/A,#N/A,FALSE,"Plan2"}</definedName>
    <definedName name="kçlkasçkere" localSheetId="18">{#N/A,#N/A,FALSE,"Plan1";#N/A,#N/A,FALSE,"Plan2"}</definedName>
    <definedName name="kçlkasçkere" localSheetId="10">{#N/A,#N/A,FALSE,"Plan1";#N/A,#N/A,FALSE,"Plan2"}</definedName>
    <definedName name="kçlkasçkere">{#N/A,#N/A,FALSE,"Plan1";#N/A,#N/A,FALSE,"Plan2"}</definedName>
    <definedName name="kdfbngtjkbf" localSheetId="9">{#N/A,#N/A,FALSE,"Plan1";#N/A,#N/A,FALSE,"Plan2"}</definedName>
    <definedName name="kdfbngtjkbf" localSheetId="6">{#N/A,#N/A,FALSE,"Plan1";#N/A,#N/A,FALSE,"Plan2"}</definedName>
    <definedName name="kdfbngtjkbf" localSheetId="3">{#N/A,#N/A,FALSE,"Plan1";#N/A,#N/A,FALSE,"Plan2"}</definedName>
    <definedName name="kdfbngtjkbf" localSheetId="8">{#N/A,#N/A,FALSE,"Plan1";#N/A,#N/A,FALSE,"Plan2"}</definedName>
    <definedName name="kdfbngtjkbf" localSheetId="5">{#N/A,#N/A,FALSE,"Plan1";#N/A,#N/A,FALSE,"Plan2"}</definedName>
    <definedName name="kdfbngtjkbf" localSheetId="4">{#N/A,#N/A,FALSE,"Plan1";#N/A,#N/A,FALSE,"Plan2"}</definedName>
    <definedName name="kdfbngtjkbf" localSheetId="13">{#N/A,#N/A,FALSE,"Plan1";#N/A,#N/A,FALSE,"Plan2"}</definedName>
    <definedName name="kdfbngtjkbf" localSheetId="17">{#N/A,#N/A,FALSE,"Plan1";#N/A,#N/A,FALSE,"Plan2"}</definedName>
    <definedName name="kdfbngtjkbf" localSheetId="0">{#N/A,#N/A,FALSE,"Plan1";#N/A,#N/A,FALSE,"Plan2"}</definedName>
    <definedName name="kdfbngtjkbf" localSheetId="19">{#N/A,#N/A,FALSE,"Plan1";#N/A,#N/A,FALSE,"Plan2"}</definedName>
    <definedName name="kdfbngtjkbf" localSheetId="16">{#N/A,#N/A,FALSE,"Plan1";#N/A,#N/A,FALSE,"Plan2"}</definedName>
    <definedName name="kdfbngtjkbf" localSheetId="18">{#N/A,#N/A,FALSE,"Plan1";#N/A,#N/A,FALSE,"Plan2"}</definedName>
    <definedName name="kdfbngtjkbf" localSheetId="10">{#N/A,#N/A,FALSE,"Plan1";#N/A,#N/A,FALSE,"Plan2"}</definedName>
    <definedName name="kdfbngtjkbf">{#N/A,#N/A,FALSE,"Plan1";#N/A,#N/A,FALSE,"Plan2"}</definedName>
    <definedName name="kdfhkghkrh" localSheetId="9">{#N/A,#N/A,FALSE,"Plan1";#N/A,#N/A,FALSE,"Plan2"}</definedName>
    <definedName name="kdfhkghkrh" localSheetId="6">{#N/A,#N/A,FALSE,"Plan1";#N/A,#N/A,FALSE,"Plan2"}</definedName>
    <definedName name="kdfhkghkrh" localSheetId="3">{#N/A,#N/A,FALSE,"Plan1";#N/A,#N/A,FALSE,"Plan2"}</definedName>
    <definedName name="kdfhkghkrh" localSheetId="8">{#N/A,#N/A,FALSE,"Plan1";#N/A,#N/A,FALSE,"Plan2"}</definedName>
    <definedName name="kdfhkghkrh" localSheetId="5">{#N/A,#N/A,FALSE,"Plan1";#N/A,#N/A,FALSE,"Plan2"}</definedName>
    <definedName name="kdfhkghkrh" localSheetId="4">{#N/A,#N/A,FALSE,"Plan1";#N/A,#N/A,FALSE,"Plan2"}</definedName>
    <definedName name="kdfhkghkrh" localSheetId="13">{#N/A,#N/A,FALSE,"Plan1";#N/A,#N/A,FALSE,"Plan2"}</definedName>
    <definedName name="kdfhkghkrh" localSheetId="17">{#N/A,#N/A,FALSE,"Plan1";#N/A,#N/A,FALSE,"Plan2"}</definedName>
    <definedName name="kdfhkghkrh" localSheetId="0">{#N/A,#N/A,FALSE,"Plan1";#N/A,#N/A,FALSE,"Plan2"}</definedName>
    <definedName name="kdfhkghkrh" localSheetId="19">{#N/A,#N/A,FALSE,"Plan1";#N/A,#N/A,FALSE,"Plan2"}</definedName>
    <definedName name="kdfhkghkrh" localSheetId="16">{#N/A,#N/A,FALSE,"Plan1";#N/A,#N/A,FALSE,"Plan2"}</definedName>
    <definedName name="kdfhkghkrh" localSheetId="18">{#N/A,#N/A,FALSE,"Plan1";#N/A,#N/A,FALSE,"Plan2"}</definedName>
    <definedName name="kdfhkghkrh" localSheetId="10">{#N/A,#N/A,FALSE,"Plan1";#N/A,#N/A,FALSE,"Plan2"}</definedName>
    <definedName name="kdfhkghkrh">{#N/A,#N/A,FALSE,"Plan1";#N/A,#N/A,FALSE,"Plan2"}</definedName>
    <definedName name="kdfier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9">{#N/A,#N/A,FALSE,"Plan1";#N/A,#N/A,FALSE,"Plan2"}</definedName>
    <definedName name="kdfkçrkf" localSheetId="6">{#N/A,#N/A,FALSE,"Plan1";#N/A,#N/A,FALSE,"Plan2"}</definedName>
    <definedName name="kdfkçrkf" localSheetId="3">{#N/A,#N/A,FALSE,"Plan1";#N/A,#N/A,FALSE,"Plan2"}</definedName>
    <definedName name="kdfkçrkf" localSheetId="8">{#N/A,#N/A,FALSE,"Plan1";#N/A,#N/A,FALSE,"Plan2"}</definedName>
    <definedName name="kdfkçrkf" localSheetId="5">{#N/A,#N/A,FALSE,"Plan1";#N/A,#N/A,FALSE,"Plan2"}</definedName>
    <definedName name="kdfkçrkf" localSheetId="4">{#N/A,#N/A,FALSE,"Plan1";#N/A,#N/A,FALSE,"Plan2"}</definedName>
    <definedName name="kdfkçrkf" localSheetId="13">{#N/A,#N/A,FALSE,"Plan1";#N/A,#N/A,FALSE,"Plan2"}</definedName>
    <definedName name="kdfkçrkf" localSheetId="17">{#N/A,#N/A,FALSE,"Plan1";#N/A,#N/A,FALSE,"Plan2"}</definedName>
    <definedName name="kdfkçrkf" localSheetId="0">{#N/A,#N/A,FALSE,"Plan1";#N/A,#N/A,FALSE,"Plan2"}</definedName>
    <definedName name="kdfkçrkf" localSheetId="19">{#N/A,#N/A,FALSE,"Plan1";#N/A,#N/A,FALSE,"Plan2"}</definedName>
    <definedName name="kdfkçrkf" localSheetId="16">{#N/A,#N/A,FALSE,"Plan1";#N/A,#N/A,FALSE,"Plan2"}</definedName>
    <definedName name="kdfkçrkf" localSheetId="18">{#N/A,#N/A,FALSE,"Plan1";#N/A,#N/A,FALSE,"Plan2"}</definedName>
    <definedName name="kdfkçrkf" localSheetId="10">{#N/A,#N/A,FALSE,"Plan1";#N/A,#N/A,FALSE,"Plan2"}</definedName>
    <definedName name="kdfkçrkf">{#N/A,#N/A,FALSE,"Plan1";#N/A,#N/A,FALSE,"Plan2"}</definedName>
    <definedName name="kdfljlfr" localSheetId="9">{#N/A,#N/A,FALSE,"Plan1";#N/A,#N/A,FALSE,"Plan2"}</definedName>
    <definedName name="kdfljlfr" localSheetId="6">{#N/A,#N/A,FALSE,"Plan1";#N/A,#N/A,FALSE,"Plan2"}</definedName>
    <definedName name="kdfljlfr" localSheetId="3">{#N/A,#N/A,FALSE,"Plan1";#N/A,#N/A,FALSE,"Plan2"}</definedName>
    <definedName name="kdfljlfr" localSheetId="8">{#N/A,#N/A,FALSE,"Plan1";#N/A,#N/A,FALSE,"Plan2"}</definedName>
    <definedName name="kdfljlfr" localSheetId="5">{#N/A,#N/A,FALSE,"Plan1";#N/A,#N/A,FALSE,"Plan2"}</definedName>
    <definedName name="kdfljlfr" localSheetId="4">{#N/A,#N/A,FALSE,"Plan1";#N/A,#N/A,FALSE,"Plan2"}</definedName>
    <definedName name="kdfljlfr" localSheetId="13">{#N/A,#N/A,FALSE,"Plan1";#N/A,#N/A,FALSE,"Plan2"}</definedName>
    <definedName name="kdfljlfr" localSheetId="17">{#N/A,#N/A,FALSE,"Plan1";#N/A,#N/A,FALSE,"Plan2"}</definedName>
    <definedName name="kdfljlfr" localSheetId="0">{#N/A,#N/A,FALSE,"Plan1";#N/A,#N/A,FALSE,"Plan2"}</definedName>
    <definedName name="kdfljlfr" localSheetId="19">{#N/A,#N/A,FALSE,"Plan1";#N/A,#N/A,FALSE,"Plan2"}</definedName>
    <definedName name="kdfljlfr" localSheetId="16">{#N/A,#N/A,FALSE,"Plan1";#N/A,#N/A,FALSE,"Plan2"}</definedName>
    <definedName name="kdfljlfr" localSheetId="18">{#N/A,#N/A,FALSE,"Plan1";#N/A,#N/A,FALSE,"Plan2"}</definedName>
    <definedName name="kdfljlfr" localSheetId="10">{#N/A,#N/A,FALSE,"Plan1";#N/A,#N/A,FALSE,"Plan2"}</definedName>
    <definedName name="kdfljlfr">{#N/A,#N/A,FALSE,"Plan1";#N/A,#N/A,FALSE,"Plan2"}</definedName>
    <definedName name="kdhfgkdfhytgu" localSheetId="9">{#N/A,#N/A,FALSE,"Plan1";#N/A,#N/A,FALSE,"Plan2"}</definedName>
    <definedName name="kdhfgkdfhytgu" localSheetId="6">{#N/A,#N/A,FALSE,"Plan1";#N/A,#N/A,FALSE,"Plan2"}</definedName>
    <definedName name="kdhfgkdfhytgu" localSheetId="3">{#N/A,#N/A,FALSE,"Plan1";#N/A,#N/A,FALSE,"Plan2"}</definedName>
    <definedName name="kdhfgkdfhytgu" localSheetId="8">{#N/A,#N/A,FALSE,"Plan1";#N/A,#N/A,FALSE,"Plan2"}</definedName>
    <definedName name="kdhfgkdfhytgu" localSheetId="5">{#N/A,#N/A,FALSE,"Plan1";#N/A,#N/A,FALSE,"Plan2"}</definedName>
    <definedName name="kdhfgkdfhytgu" localSheetId="4">{#N/A,#N/A,FALSE,"Plan1";#N/A,#N/A,FALSE,"Plan2"}</definedName>
    <definedName name="kdhfgkdfhytgu" localSheetId="13">{#N/A,#N/A,FALSE,"Plan1";#N/A,#N/A,FALSE,"Plan2"}</definedName>
    <definedName name="kdhfgkdfhytgu" localSheetId="17">{#N/A,#N/A,FALSE,"Plan1";#N/A,#N/A,FALSE,"Plan2"}</definedName>
    <definedName name="kdhfgkdfhytgu" localSheetId="0">{#N/A,#N/A,FALSE,"Plan1";#N/A,#N/A,FALSE,"Plan2"}</definedName>
    <definedName name="kdhfgkdfhytgu" localSheetId="19">{#N/A,#N/A,FALSE,"Plan1";#N/A,#N/A,FALSE,"Plan2"}</definedName>
    <definedName name="kdhfgkdfhytgu" localSheetId="16">{#N/A,#N/A,FALSE,"Plan1";#N/A,#N/A,FALSE,"Plan2"}</definedName>
    <definedName name="kdhfgkdfhytgu" localSheetId="18">{#N/A,#N/A,FALSE,"Plan1";#N/A,#N/A,FALSE,"Plan2"}</definedName>
    <definedName name="kdhfgkdfhytgu" localSheetId="10">{#N/A,#N/A,FALSE,"Plan1";#N/A,#N/A,FALSE,"Plan2"}</definedName>
    <definedName name="kdhfgkdfhytgu">{#N/A,#N/A,FALSE,"Plan1";#N/A,#N/A,FALSE,"Plan2"}</definedName>
    <definedName name="kdhgftfg" localSheetId="9">{#N/A,#N/A,FALSE,"Plan1";#N/A,#N/A,FALSE,"Plan2"}</definedName>
    <definedName name="kdhgftfg" localSheetId="6">{#N/A,#N/A,FALSE,"Plan1";#N/A,#N/A,FALSE,"Plan2"}</definedName>
    <definedName name="kdhgftfg" localSheetId="3">{#N/A,#N/A,FALSE,"Plan1";#N/A,#N/A,FALSE,"Plan2"}</definedName>
    <definedName name="kdhgftfg" localSheetId="8">{#N/A,#N/A,FALSE,"Plan1";#N/A,#N/A,FALSE,"Plan2"}</definedName>
    <definedName name="kdhgftfg" localSheetId="5">{#N/A,#N/A,FALSE,"Plan1";#N/A,#N/A,FALSE,"Plan2"}</definedName>
    <definedName name="kdhgftfg" localSheetId="4">{#N/A,#N/A,FALSE,"Plan1";#N/A,#N/A,FALSE,"Plan2"}</definedName>
    <definedName name="kdhgftfg" localSheetId="13">{#N/A,#N/A,FALSE,"Plan1";#N/A,#N/A,FALSE,"Plan2"}</definedName>
    <definedName name="kdhgftfg" localSheetId="17">{#N/A,#N/A,FALSE,"Plan1";#N/A,#N/A,FALSE,"Plan2"}</definedName>
    <definedName name="kdhgftfg" localSheetId="0">{#N/A,#N/A,FALSE,"Plan1";#N/A,#N/A,FALSE,"Plan2"}</definedName>
    <definedName name="kdhgftfg" localSheetId="19">{#N/A,#N/A,FALSE,"Plan1";#N/A,#N/A,FALSE,"Plan2"}</definedName>
    <definedName name="kdhgftfg" localSheetId="16">{#N/A,#N/A,FALSE,"Plan1";#N/A,#N/A,FALSE,"Plan2"}</definedName>
    <definedName name="kdhgftfg" localSheetId="18">{#N/A,#N/A,FALSE,"Plan1";#N/A,#N/A,FALSE,"Plan2"}</definedName>
    <definedName name="kdhgftfg" localSheetId="10">{#N/A,#N/A,FALSE,"Plan1";#N/A,#N/A,FALSE,"Plan2"}</definedName>
    <definedName name="kdhgftfg">{#N/A,#N/A,FALSE,"Plan1";#N/A,#N/A,FALSE,"Plan2"}</definedName>
    <definedName name="KDHKFGKKHGF" localSheetId="9">{#N/A,#N/A,FALSE,"Plan1";#N/A,#N/A,FALSE,"Plan2"}</definedName>
    <definedName name="KDHKFGKKHGF" localSheetId="6">{#N/A,#N/A,FALSE,"Plan1";#N/A,#N/A,FALSE,"Plan2"}</definedName>
    <definedName name="KDHKFGKKHGF" localSheetId="3">{#N/A,#N/A,FALSE,"Plan1";#N/A,#N/A,FALSE,"Plan2"}</definedName>
    <definedName name="KDHKFGKKHGF" localSheetId="8">{#N/A,#N/A,FALSE,"Plan1";#N/A,#N/A,FALSE,"Plan2"}</definedName>
    <definedName name="KDHKFGKKHGF" localSheetId="5">{#N/A,#N/A,FALSE,"Plan1";#N/A,#N/A,FALSE,"Plan2"}</definedName>
    <definedName name="KDHKFGKKHGF" localSheetId="4">{#N/A,#N/A,FALSE,"Plan1";#N/A,#N/A,FALSE,"Plan2"}</definedName>
    <definedName name="KDHKFGKKHGF" localSheetId="13">{#N/A,#N/A,FALSE,"Plan1";#N/A,#N/A,FALSE,"Plan2"}</definedName>
    <definedName name="KDHKFGKKHGF" localSheetId="17">{#N/A,#N/A,FALSE,"Plan1";#N/A,#N/A,FALSE,"Plan2"}</definedName>
    <definedName name="KDHKFGKKHGF" localSheetId="0">{#N/A,#N/A,FALSE,"Plan1";#N/A,#N/A,FALSE,"Plan2"}</definedName>
    <definedName name="KDHKFGKKHGF" localSheetId="19">{#N/A,#N/A,FALSE,"Plan1";#N/A,#N/A,FALSE,"Plan2"}</definedName>
    <definedName name="KDHKFGKKHGF" localSheetId="16">{#N/A,#N/A,FALSE,"Plan1";#N/A,#N/A,FALSE,"Plan2"}</definedName>
    <definedName name="KDHKFGKKHGF" localSheetId="18">{#N/A,#N/A,FALSE,"Plan1";#N/A,#N/A,FALSE,"Plan2"}</definedName>
    <definedName name="KDHKFGKKHGF" localSheetId="10">{#N/A,#N/A,FALSE,"Plan1";#N/A,#N/A,FALSE,"Plan2"}</definedName>
    <definedName name="KDHKFGKKHGF">{#N/A,#N/A,FALSE,"Plan1";#N/A,#N/A,FALSE,"Plan2"}</definedName>
    <definedName name="kdjfdr" localSheetId="3">#REF!</definedName>
    <definedName name="kdjfdr" localSheetId="5">#REF!</definedName>
    <definedName name="kdjfdr" localSheetId="13">#REF!</definedName>
    <definedName name="kdjfdr" localSheetId="26">#REF!</definedName>
    <definedName name="kdjfdr" localSheetId="0">#REF!</definedName>
    <definedName name="kdjfdr">#REF!</definedName>
    <definedName name="kdjgkfjgd" localSheetId="9">{#N/A,#N/A,FALSE,"Plan1";#N/A,#N/A,FALSE,"Plan2"}</definedName>
    <definedName name="kdjgkfjgd" localSheetId="6">{#N/A,#N/A,FALSE,"Plan1";#N/A,#N/A,FALSE,"Plan2"}</definedName>
    <definedName name="kdjgkfjgd" localSheetId="3">{#N/A,#N/A,FALSE,"Plan1";#N/A,#N/A,FALSE,"Plan2"}</definedName>
    <definedName name="kdjgkfjgd" localSheetId="8">{#N/A,#N/A,FALSE,"Plan1";#N/A,#N/A,FALSE,"Plan2"}</definedName>
    <definedName name="kdjgkfjgd" localSheetId="5">{#N/A,#N/A,FALSE,"Plan1";#N/A,#N/A,FALSE,"Plan2"}</definedName>
    <definedName name="kdjgkfjgd" localSheetId="4">{#N/A,#N/A,FALSE,"Plan1";#N/A,#N/A,FALSE,"Plan2"}</definedName>
    <definedName name="kdjgkfjgd" localSheetId="13">{#N/A,#N/A,FALSE,"Plan1";#N/A,#N/A,FALSE,"Plan2"}</definedName>
    <definedName name="kdjgkfjgd" localSheetId="17">{#N/A,#N/A,FALSE,"Plan1";#N/A,#N/A,FALSE,"Plan2"}</definedName>
    <definedName name="kdjgkfjgd" localSheetId="0">{#N/A,#N/A,FALSE,"Plan1";#N/A,#N/A,FALSE,"Plan2"}</definedName>
    <definedName name="kdjgkfjgd" localSheetId="19">{#N/A,#N/A,FALSE,"Plan1";#N/A,#N/A,FALSE,"Plan2"}</definedName>
    <definedName name="kdjgkfjgd" localSheetId="16">{#N/A,#N/A,FALSE,"Plan1";#N/A,#N/A,FALSE,"Plan2"}</definedName>
    <definedName name="kdjgkfjgd" localSheetId="18">{#N/A,#N/A,FALSE,"Plan1";#N/A,#N/A,FALSE,"Plan2"}</definedName>
    <definedName name="kdjgkfjgd" localSheetId="10">{#N/A,#N/A,FALSE,"Plan1";#N/A,#N/A,FALSE,"Plan2"}</definedName>
    <definedName name="kdjgkfjgd">{#N/A,#N/A,FALSE,"Plan1";#N/A,#N/A,FALSE,"Plan2"}</definedName>
    <definedName name="kdjglkdlgjd" localSheetId="9">{#N/A,#N/A,FALSE,"Plan1";#N/A,#N/A,FALSE,"Plan2"}</definedName>
    <definedName name="kdjglkdlgjd" localSheetId="6">{#N/A,#N/A,FALSE,"Plan1";#N/A,#N/A,FALSE,"Plan2"}</definedName>
    <definedName name="kdjglkdlgjd" localSheetId="3">{#N/A,#N/A,FALSE,"Plan1";#N/A,#N/A,FALSE,"Plan2"}</definedName>
    <definedName name="kdjglkdlgjd" localSheetId="8">{#N/A,#N/A,FALSE,"Plan1";#N/A,#N/A,FALSE,"Plan2"}</definedName>
    <definedName name="kdjglkdlgjd" localSheetId="5">{#N/A,#N/A,FALSE,"Plan1";#N/A,#N/A,FALSE,"Plan2"}</definedName>
    <definedName name="kdjglkdlgjd" localSheetId="4">{#N/A,#N/A,FALSE,"Plan1";#N/A,#N/A,FALSE,"Plan2"}</definedName>
    <definedName name="kdjglkdlgjd" localSheetId="13">{#N/A,#N/A,FALSE,"Plan1";#N/A,#N/A,FALSE,"Plan2"}</definedName>
    <definedName name="kdjglkdlgjd" localSheetId="17">{#N/A,#N/A,FALSE,"Plan1";#N/A,#N/A,FALSE,"Plan2"}</definedName>
    <definedName name="kdjglkdlgjd" localSheetId="0">{#N/A,#N/A,FALSE,"Plan1";#N/A,#N/A,FALSE,"Plan2"}</definedName>
    <definedName name="kdjglkdlgjd" localSheetId="19">{#N/A,#N/A,FALSE,"Plan1";#N/A,#N/A,FALSE,"Plan2"}</definedName>
    <definedName name="kdjglkdlgjd" localSheetId="16">{#N/A,#N/A,FALSE,"Plan1";#N/A,#N/A,FALSE,"Plan2"}</definedName>
    <definedName name="kdjglkdlgjd" localSheetId="18">{#N/A,#N/A,FALSE,"Plan1";#N/A,#N/A,FALSE,"Plan2"}</definedName>
    <definedName name="kdjglkdlgjd" localSheetId="10">{#N/A,#N/A,FALSE,"Plan1";#N/A,#N/A,FALSE,"Plan2"}</definedName>
    <definedName name="kdjglkdlgjd">{#N/A,#N/A,FALSE,"Plan1";#N/A,#N/A,FALSE,"Plan2"}</definedName>
    <definedName name="kdjsfkldjgkty" localSheetId="9">{#N/A,#N/A,FALSE,"Plan1";#N/A,#N/A,FALSE,"Plan2"}</definedName>
    <definedName name="kdjsfkldjgkty" localSheetId="6">{#N/A,#N/A,FALSE,"Plan1";#N/A,#N/A,FALSE,"Plan2"}</definedName>
    <definedName name="kdjsfkldjgkty" localSheetId="3">{#N/A,#N/A,FALSE,"Plan1";#N/A,#N/A,FALSE,"Plan2"}</definedName>
    <definedName name="kdjsfkldjgkty" localSheetId="8">{#N/A,#N/A,FALSE,"Plan1";#N/A,#N/A,FALSE,"Plan2"}</definedName>
    <definedName name="kdjsfkldjgkty" localSheetId="5">{#N/A,#N/A,FALSE,"Plan1";#N/A,#N/A,FALSE,"Plan2"}</definedName>
    <definedName name="kdjsfkldjgkty" localSheetId="4">{#N/A,#N/A,FALSE,"Plan1";#N/A,#N/A,FALSE,"Plan2"}</definedName>
    <definedName name="kdjsfkldjgkty" localSheetId="13">{#N/A,#N/A,FALSE,"Plan1";#N/A,#N/A,FALSE,"Plan2"}</definedName>
    <definedName name="kdjsfkldjgkty" localSheetId="17">{#N/A,#N/A,FALSE,"Plan1";#N/A,#N/A,FALSE,"Plan2"}</definedName>
    <definedName name="kdjsfkldjgkty" localSheetId="0">{#N/A,#N/A,FALSE,"Plan1";#N/A,#N/A,FALSE,"Plan2"}</definedName>
    <definedName name="kdjsfkldjgkty" localSheetId="19">{#N/A,#N/A,FALSE,"Plan1";#N/A,#N/A,FALSE,"Plan2"}</definedName>
    <definedName name="kdjsfkldjgkty" localSheetId="16">{#N/A,#N/A,FALSE,"Plan1";#N/A,#N/A,FALSE,"Plan2"}</definedName>
    <definedName name="kdjsfkldjgkty" localSheetId="18">{#N/A,#N/A,FALSE,"Plan1";#N/A,#N/A,FALSE,"Plan2"}</definedName>
    <definedName name="kdjsfkldjgkty" localSheetId="10">{#N/A,#N/A,FALSE,"Plan1";#N/A,#N/A,FALSE,"Plan2"}</definedName>
    <definedName name="kdjsfkldjgkty">{#N/A,#N/A,FALSE,"Plan1";#N/A,#N/A,FALSE,"Plan2"}</definedName>
    <definedName name="KDJU" localSheetId="9">{"'장비'!$A$3:$M$12"}</definedName>
    <definedName name="KDJU" localSheetId="6">{"'장비'!$A$3:$M$12"}</definedName>
    <definedName name="KDJU" localSheetId="3">{"'장비'!$A$3:$M$12"}</definedName>
    <definedName name="KDJU" localSheetId="8">{"'장비'!$A$3:$M$12"}</definedName>
    <definedName name="KDJU" localSheetId="5">{"'장비'!$A$3:$M$12"}</definedName>
    <definedName name="KDJU" localSheetId="4">{"'장비'!$A$3:$M$12"}</definedName>
    <definedName name="KDJU" localSheetId="13">{"'장비'!$A$3:$M$12"}</definedName>
    <definedName name="KDJU" localSheetId="17">{"'장비'!$A$3:$M$12"}</definedName>
    <definedName name="KDJU" localSheetId="0">{"'장비'!$A$3:$M$12"}</definedName>
    <definedName name="KDJU" localSheetId="19">{"'장비'!$A$3:$M$12"}</definedName>
    <definedName name="KDJU" localSheetId="16">{"'장비'!$A$3:$M$12"}</definedName>
    <definedName name="KDJU" localSheetId="18">{"'장비'!$A$3:$M$12"}</definedName>
    <definedName name="KDJU" localSheetId="10">{"'장비'!$A$3:$M$12"}</definedName>
    <definedName name="KDJU">{"'장비'!$A$3:$M$12"}</definedName>
    <definedName name="kdkjhgdkfhjk" localSheetId="9">{#N/A,#N/A,FALSE,"Plan1";#N/A,#N/A,FALSE,"Plan2"}</definedName>
    <definedName name="kdkjhgdkfhjk" localSheetId="6">{#N/A,#N/A,FALSE,"Plan1";#N/A,#N/A,FALSE,"Plan2"}</definedName>
    <definedName name="kdkjhgdkfhjk" localSheetId="3">{#N/A,#N/A,FALSE,"Plan1";#N/A,#N/A,FALSE,"Plan2"}</definedName>
    <definedName name="kdkjhgdkfhjk" localSheetId="8">{#N/A,#N/A,FALSE,"Plan1";#N/A,#N/A,FALSE,"Plan2"}</definedName>
    <definedName name="kdkjhgdkfhjk" localSheetId="5">{#N/A,#N/A,FALSE,"Plan1";#N/A,#N/A,FALSE,"Plan2"}</definedName>
    <definedName name="kdkjhgdkfhjk" localSheetId="4">{#N/A,#N/A,FALSE,"Plan1";#N/A,#N/A,FALSE,"Plan2"}</definedName>
    <definedName name="kdkjhgdkfhjk" localSheetId="13">{#N/A,#N/A,FALSE,"Plan1";#N/A,#N/A,FALSE,"Plan2"}</definedName>
    <definedName name="kdkjhgdkfhjk" localSheetId="17">{#N/A,#N/A,FALSE,"Plan1";#N/A,#N/A,FALSE,"Plan2"}</definedName>
    <definedName name="kdkjhgdkfhjk" localSheetId="0">{#N/A,#N/A,FALSE,"Plan1";#N/A,#N/A,FALSE,"Plan2"}</definedName>
    <definedName name="kdkjhgdkfhjk" localSheetId="19">{#N/A,#N/A,FALSE,"Plan1";#N/A,#N/A,FALSE,"Plan2"}</definedName>
    <definedName name="kdkjhgdkfhjk" localSheetId="16">{#N/A,#N/A,FALSE,"Plan1";#N/A,#N/A,FALSE,"Plan2"}</definedName>
    <definedName name="kdkjhgdkfhjk" localSheetId="18">{#N/A,#N/A,FALSE,"Plan1";#N/A,#N/A,FALSE,"Plan2"}</definedName>
    <definedName name="kdkjhgdkfhjk" localSheetId="10">{#N/A,#N/A,FALSE,"Plan1";#N/A,#N/A,FALSE,"Plan2"}</definedName>
    <definedName name="kdkjhgdkfhjk">{#N/A,#N/A,FALSE,"Plan1";#N/A,#N/A,FALSE,"Plan2"}</definedName>
    <definedName name="kdsf" localSheetId="9">{#N/A,#N/A,FALSE,"Plan1";#N/A,#N/A,FALSE,"Plan2"}</definedName>
    <definedName name="kdsf" localSheetId="6">{#N/A,#N/A,FALSE,"Plan1";#N/A,#N/A,FALSE,"Plan2"}</definedName>
    <definedName name="kdsf" localSheetId="3">{#N/A,#N/A,FALSE,"Plan1";#N/A,#N/A,FALSE,"Plan2"}</definedName>
    <definedName name="kdsf" localSheetId="8">{#N/A,#N/A,FALSE,"Plan1";#N/A,#N/A,FALSE,"Plan2"}</definedName>
    <definedName name="kdsf" localSheetId="5">{#N/A,#N/A,FALSE,"Plan1";#N/A,#N/A,FALSE,"Plan2"}</definedName>
    <definedName name="kdsf" localSheetId="4">{#N/A,#N/A,FALSE,"Plan1";#N/A,#N/A,FALSE,"Plan2"}</definedName>
    <definedName name="kdsf" localSheetId="13">{#N/A,#N/A,FALSE,"Plan1";#N/A,#N/A,FALSE,"Plan2"}</definedName>
    <definedName name="kdsf" localSheetId="17">{#N/A,#N/A,FALSE,"Plan1";#N/A,#N/A,FALSE,"Plan2"}</definedName>
    <definedName name="kdsf" localSheetId="0">{#N/A,#N/A,FALSE,"Plan1";#N/A,#N/A,FALSE,"Plan2"}</definedName>
    <definedName name="kdsf" localSheetId="19">{#N/A,#N/A,FALSE,"Plan1";#N/A,#N/A,FALSE,"Plan2"}</definedName>
    <definedName name="kdsf" localSheetId="16">{#N/A,#N/A,FALSE,"Plan1";#N/A,#N/A,FALSE,"Plan2"}</definedName>
    <definedName name="kdsf" localSheetId="18">{#N/A,#N/A,FALSE,"Plan1";#N/A,#N/A,FALSE,"Plan2"}</definedName>
    <definedName name="kdsf" localSheetId="10">{#N/A,#N/A,FALSE,"Plan1";#N/A,#N/A,FALSE,"Plan2"}</definedName>
    <definedName name="kdsf">{#N/A,#N/A,FALSE,"Plan1";#N/A,#N/A,FALSE,"Plan2"}</definedName>
    <definedName name="kdsr" localSheetId="9">{#N/A,#N/A,FALSE,"Plan1";#N/A,#N/A,FALSE,"Plan2"}</definedName>
    <definedName name="kdsr" localSheetId="6">{#N/A,#N/A,FALSE,"Plan1";#N/A,#N/A,FALSE,"Plan2"}</definedName>
    <definedName name="kdsr" localSheetId="3">{#N/A,#N/A,FALSE,"Plan1";#N/A,#N/A,FALSE,"Plan2"}</definedName>
    <definedName name="kdsr" localSheetId="8">{#N/A,#N/A,FALSE,"Plan1";#N/A,#N/A,FALSE,"Plan2"}</definedName>
    <definedName name="kdsr" localSheetId="5">{#N/A,#N/A,FALSE,"Plan1";#N/A,#N/A,FALSE,"Plan2"}</definedName>
    <definedName name="kdsr" localSheetId="4">{#N/A,#N/A,FALSE,"Plan1";#N/A,#N/A,FALSE,"Plan2"}</definedName>
    <definedName name="kdsr" localSheetId="13">{#N/A,#N/A,FALSE,"Plan1";#N/A,#N/A,FALSE,"Plan2"}</definedName>
    <definedName name="kdsr" localSheetId="17">{#N/A,#N/A,FALSE,"Plan1";#N/A,#N/A,FALSE,"Plan2"}</definedName>
    <definedName name="kdsr" localSheetId="0">{#N/A,#N/A,FALSE,"Plan1";#N/A,#N/A,FALSE,"Plan2"}</definedName>
    <definedName name="kdsr" localSheetId="19">{#N/A,#N/A,FALSE,"Plan1";#N/A,#N/A,FALSE,"Plan2"}</definedName>
    <definedName name="kdsr" localSheetId="16">{#N/A,#N/A,FALSE,"Plan1";#N/A,#N/A,FALSE,"Plan2"}</definedName>
    <definedName name="kdsr" localSheetId="18">{#N/A,#N/A,FALSE,"Plan1";#N/A,#N/A,FALSE,"Plan2"}</definedName>
    <definedName name="kdsr" localSheetId="10">{#N/A,#N/A,FALSE,"Plan1";#N/A,#N/A,FALSE,"Plan2"}</definedName>
    <definedName name="kdsr">{#N/A,#N/A,FALSE,"Plan1";#N/A,#N/A,FALSE,"Plan2"}</definedName>
    <definedName name="kergtfdstr" localSheetId="9">{#N/A,#N/A,FALSE,"Plan1";#N/A,#N/A,FALSE,"Plan2"}</definedName>
    <definedName name="kergtfdstr" localSheetId="6">{#N/A,#N/A,FALSE,"Plan1";#N/A,#N/A,FALSE,"Plan2"}</definedName>
    <definedName name="kergtfdstr" localSheetId="3">{#N/A,#N/A,FALSE,"Plan1";#N/A,#N/A,FALSE,"Plan2"}</definedName>
    <definedName name="kergtfdstr" localSheetId="8">{#N/A,#N/A,FALSE,"Plan1";#N/A,#N/A,FALSE,"Plan2"}</definedName>
    <definedName name="kergtfdstr" localSheetId="5">{#N/A,#N/A,FALSE,"Plan1";#N/A,#N/A,FALSE,"Plan2"}</definedName>
    <definedName name="kergtfdstr" localSheetId="4">{#N/A,#N/A,FALSE,"Plan1";#N/A,#N/A,FALSE,"Plan2"}</definedName>
    <definedName name="kergtfdstr" localSheetId="13">{#N/A,#N/A,FALSE,"Plan1";#N/A,#N/A,FALSE,"Plan2"}</definedName>
    <definedName name="kergtfdstr" localSheetId="17">{#N/A,#N/A,FALSE,"Plan1";#N/A,#N/A,FALSE,"Plan2"}</definedName>
    <definedName name="kergtfdstr" localSheetId="0">{#N/A,#N/A,FALSE,"Plan1";#N/A,#N/A,FALSE,"Plan2"}</definedName>
    <definedName name="kergtfdstr" localSheetId="19">{#N/A,#N/A,FALSE,"Plan1";#N/A,#N/A,FALSE,"Plan2"}</definedName>
    <definedName name="kergtfdstr" localSheetId="16">{#N/A,#N/A,FALSE,"Plan1";#N/A,#N/A,FALSE,"Plan2"}</definedName>
    <definedName name="kergtfdstr" localSheetId="18">{#N/A,#N/A,FALSE,"Plan1";#N/A,#N/A,FALSE,"Plan2"}</definedName>
    <definedName name="kergtfdstr" localSheetId="10">{#N/A,#N/A,FALSE,"Plan1";#N/A,#N/A,FALSE,"Plan2"}</definedName>
    <definedName name="kergtfdstr">{#N/A,#N/A,FALSE,"Plan1";#N/A,#N/A,FALSE,"Plan2"}</definedName>
    <definedName name="kesp" localSheetId="3">#REF!</definedName>
    <definedName name="kesp" localSheetId="5">#REF!</definedName>
    <definedName name="kesp" localSheetId="13">#REF!</definedName>
    <definedName name="kesp" localSheetId="26">#REF!</definedName>
    <definedName name="kesp">#REF!</definedName>
    <definedName name="KFDKTHGT" localSheetId="9">{#N/A,#N/A,FALSE,"Plan1";#N/A,#N/A,FALSE,"Plan2"}</definedName>
    <definedName name="KFDKTHGT" localSheetId="6">{#N/A,#N/A,FALSE,"Plan1";#N/A,#N/A,FALSE,"Plan2"}</definedName>
    <definedName name="KFDKTHGT" localSheetId="3">{#N/A,#N/A,FALSE,"Plan1";#N/A,#N/A,FALSE,"Plan2"}</definedName>
    <definedName name="KFDKTHGT" localSheetId="8">{#N/A,#N/A,FALSE,"Plan1";#N/A,#N/A,FALSE,"Plan2"}</definedName>
    <definedName name="KFDKTHGT" localSheetId="5">{#N/A,#N/A,FALSE,"Plan1";#N/A,#N/A,FALSE,"Plan2"}</definedName>
    <definedName name="KFDKTHGT" localSheetId="4">{#N/A,#N/A,FALSE,"Plan1";#N/A,#N/A,FALSE,"Plan2"}</definedName>
    <definedName name="KFDKTHGT" localSheetId="13">{#N/A,#N/A,FALSE,"Plan1";#N/A,#N/A,FALSE,"Plan2"}</definedName>
    <definedName name="KFDKTHGT" localSheetId="17">{#N/A,#N/A,FALSE,"Plan1";#N/A,#N/A,FALSE,"Plan2"}</definedName>
    <definedName name="KFDKTHGT" localSheetId="0">{#N/A,#N/A,FALSE,"Plan1";#N/A,#N/A,FALSE,"Plan2"}</definedName>
    <definedName name="KFDKTHGT" localSheetId="19">{#N/A,#N/A,FALSE,"Plan1";#N/A,#N/A,FALSE,"Plan2"}</definedName>
    <definedName name="KFDKTHGT" localSheetId="16">{#N/A,#N/A,FALSE,"Plan1";#N/A,#N/A,FALSE,"Plan2"}</definedName>
    <definedName name="KFDKTHGT" localSheetId="18">{#N/A,#N/A,FALSE,"Plan1";#N/A,#N/A,FALSE,"Plan2"}</definedName>
    <definedName name="KFDKTHGT" localSheetId="10">{#N/A,#N/A,FALSE,"Plan1";#N/A,#N/A,FALSE,"Plan2"}</definedName>
    <definedName name="KFDKTHGT">{#N/A,#N/A,FALSE,"Plan1";#N/A,#N/A,FALSE,"Plan2"}</definedName>
    <definedName name="kfdxlfdzs" localSheetId="9">{"Econ Consolidado",#N/A,FALSE,"Econ Consol";"Fluxo de Caixa",#N/A,FALSE,"Fluxo Caixa";"Investimentos",#N/A,FALSE,"Investimentos"}</definedName>
    <definedName name="kfdxlfdzs" localSheetId="6">{"Econ Consolidado",#N/A,FALSE,"Econ Consol";"Fluxo de Caixa",#N/A,FALSE,"Fluxo Caixa";"Investimentos",#N/A,FALSE,"Investimentos"}</definedName>
    <definedName name="kfdxlfdzs" localSheetId="3">{"Econ Consolidado",#N/A,FALSE,"Econ Consol";"Fluxo de Caixa",#N/A,FALSE,"Fluxo Caixa";"Investimentos",#N/A,FALSE,"Investimentos"}</definedName>
    <definedName name="kfdxlfdzs" localSheetId="8">{"Econ Consolidado",#N/A,FALSE,"Econ Consol";"Fluxo de Caixa",#N/A,FALSE,"Fluxo Caixa";"Investimentos",#N/A,FALSE,"Investimentos"}</definedName>
    <definedName name="kfdxlfdzs" localSheetId="5">{"Econ Consolidado",#N/A,FALSE,"Econ Consol";"Fluxo de Caixa",#N/A,FALSE,"Fluxo Caixa";"Investimentos",#N/A,FALSE,"Investimentos"}</definedName>
    <definedName name="kfdxlfdzs" localSheetId="4">{"Econ Consolidado",#N/A,FALSE,"Econ Consol";"Fluxo de Caixa",#N/A,FALSE,"Fluxo Caixa";"Investimentos",#N/A,FALSE,"Investimentos"}</definedName>
    <definedName name="kfdxlfdzs" localSheetId="13">{"Econ Consolidado",#N/A,FALSE,"Econ Consol";"Fluxo de Caixa",#N/A,FALSE,"Fluxo Caixa";"Investimentos",#N/A,FALSE,"Investimentos"}</definedName>
    <definedName name="kfdxlfdzs" localSheetId="17">{"Econ Consolidado",#N/A,FALSE,"Econ Consol";"Fluxo de Caixa",#N/A,FALSE,"Fluxo Caixa";"Investimentos",#N/A,FALSE,"Investimentos"}</definedName>
    <definedName name="kfdxlfdzs" localSheetId="0">{"Econ Consolidado",#N/A,FALSE,"Econ Consol";"Fluxo de Caixa",#N/A,FALSE,"Fluxo Caixa";"Investimentos",#N/A,FALSE,"Investimentos"}</definedName>
    <definedName name="kfdxlfdzs" localSheetId="19">{"Econ Consolidado",#N/A,FALSE,"Econ Consol";"Fluxo de Caixa",#N/A,FALSE,"Fluxo Caixa";"Investimentos",#N/A,FALSE,"Investimentos"}</definedName>
    <definedName name="kfdxlfdzs" localSheetId="16">{"Econ Consolidado",#N/A,FALSE,"Econ Consol";"Fluxo de Caixa",#N/A,FALSE,"Fluxo Caixa";"Investimentos",#N/A,FALSE,"Investimentos"}</definedName>
    <definedName name="kfdxlfdzs" localSheetId="18">{"Econ Consolidado",#N/A,FALSE,"Econ Consol";"Fluxo de Caixa",#N/A,FALSE,"Fluxo Caixa";"Investimentos",#N/A,FALSE,"Investimentos"}</definedName>
    <definedName name="kfdxlfdzs" localSheetId="10">{"Econ Consolidado",#N/A,FALSE,"Econ Consol";"Fluxo de Caixa",#N/A,FALSE,"Fluxo Caixa";"Investimentos",#N/A,FALSE,"Investimentos"}</definedName>
    <definedName name="kfdxlfdzs">{"Econ Consolidado",#N/A,FALSE,"Econ Consol";"Fluxo de Caixa",#N/A,FALSE,"Fluxo Caixa";"Investimentos",#N/A,FALSE,"Investimentos"}</definedName>
    <definedName name="kfgkhjkjhy" localSheetId="9">{#N/A,#N/A,FALSE,"Plan1";#N/A,#N/A,FALSE,"Plan2"}</definedName>
    <definedName name="kfgkhjkjhy" localSheetId="6">{#N/A,#N/A,FALSE,"Plan1";#N/A,#N/A,FALSE,"Plan2"}</definedName>
    <definedName name="kfgkhjkjhy" localSheetId="3">{#N/A,#N/A,FALSE,"Plan1";#N/A,#N/A,FALSE,"Plan2"}</definedName>
    <definedName name="kfgkhjkjhy" localSheetId="8">{#N/A,#N/A,FALSE,"Plan1";#N/A,#N/A,FALSE,"Plan2"}</definedName>
    <definedName name="kfgkhjkjhy" localSheetId="5">{#N/A,#N/A,FALSE,"Plan1";#N/A,#N/A,FALSE,"Plan2"}</definedName>
    <definedName name="kfgkhjkjhy" localSheetId="4">{#N/A,#N/A,FALSE,"Plan1";#N/A,#N/A,FALSE,"Plan2"}</definedName>
    <definedName name="kfgkhjkjhy" localSheetId="13">{#N/A,#N/A,FALSE,"Plan1";#N/A,#N/A,FALSE,"Plan2"}</definedName>
    <definedName name="kfgkhjkjhy" localSheetId="17">{#N/A,#N/A,FALSE,"Plan1";#N/A,#N/A,FALSE,"Plan2"}</definedName>
    <definedName name="kfgkhjkjhy" localSheetId="0">{#N/A,#N/A,FALSE,"Plan1";#N/A,#N/A,FALSE,"Plan2"}</definedName>
    <definedName name="kfgkhjkjhy" localSheetId="19">{#N/A,#N/A,FALSE,"Plan1";#N/A,#N/A,FALSE,"Plan2"}</definedName>
    <definedName name="kfgkhjkjhy" localSheetId="16">{#N/A,#N/A,FALSE,"Plan1";#N/A,#N/A,FALSE,"Plan2"}</definedName>
    <definedName name="kfgkhjkjhy" localSheetId="18">{#N/A,#N/A,FALSE,"Plan1";#N/A,#N/A,FALSE,"Plan2"}</definedName>
    <definedName name="kfgkhjkjhy" localSheetId="10">{#N/A,#N/A,FALSE,"Plan1";#N/A,#N/A,FALSE,"Plan2"}</definedName>
    <definedName name="kfgkhjkjhy">{#N/A,#N/A,FALSE,"Plan1";#N/A,#N/A,FALSE,"Plan2"}</definedName>
    <definedName name="KFJFDSDF" localSheetId="9">{#N/A,#N/A,FALSE,"Plan1";#N/A,#N/A,FALSE,"Plan2"}</definedName>
    <definedName name="KFJFDSDF" localSheetId="6">{#N/A,#N/A,FALSE,"Plan1";#N/A,#N/A,FALSE,"Plan2"}</definedName>
    <definedName name="KFJFDSDF" localSheetId="3">{#N/A,#N/A,FALSE,"Plan1";#N/A,#N/A,FALSE,"Plan2"}</definedName>
    <definedName name="KFJFDSDF" localSheetId="8">{#N/A,#N/A,FALSE,"Plan1";#N/A,#N/A,FALSE,"Plan2"}</definedName>
    <definedName name="KFJFDSDF" localSheetId="5">{#N/A,#N/A,FALSE,"Plan1";#N/A,#N/A,FALSE,"Plan2"}</definedName>
    <definedName name="KFJFDSDF" localSheetId="4">{#N/A,#N/A,FALSE,"Plan1";#N/A,#N/A,FALSE,"Plan2"}</definedName>
    <definedName name="KFJFDSDF" localSheetId="13">{#N/A,#N/A,FALSE,"Plan1";#N/A,#N/A,FALSE,"Plan2"}</definedName>
    <definedName name="KFJFDSDF" localSheetId="17">{#N/A,#N/A,FALSE,"Plan1";#N/A,#N/A,FALSE,"Plan2"}</definedName>
    <definedName name="KFJFDSDF" localSheetId="0">{#N/A,#N/A,FALSE,"Plan1";#N/A,#N/A,FALSE,"Plan2"}</definedName>
    <definedName name="KFJFDSDF" localSheetId="19">{#N/A,#N/A,FALSE,"Plan1";#N/A,#N/A,FALSE,"Plan2"}</definedName>
    <definedName name="KFJFDSDF" localSheetId="16">{#N/A,#N/A,FALSE,"Plan1";#N/A,#N/A,FALSE,"Plan2"}</definedName>
    <definedName name="KFJFDSDF" localSheetId="18">{#N/A,#N/A,FALSE,"Plan1";#N/A,#N/A,FALSE,"Plan2"}</definedName>
    <definedName name="KFJFDSDF" localSheetId="10">{#N/A,#N/A,FALSE,"Plan1";#N/A,#N/A,FALSE,"Plan2"}</definedName>
    <definedName name="KFJFDSDF">{#N/A,#N/A,FALSE,"Plan1";#N/A,#N/A,FALSE,"Plan2"}</definedName>
    <definedName name="kfnkeasd" localSheetId="9">{#N/A,#N/A,FALSE,"Plan1";#N/A,#N/A,FALSE,"Plan2"}</definedName>
    <definedName name="kfnkeasd" localSheetId="6">{#N/A,#N/A,FALSE,"Plan1";#N/A,#N/A,FALSE,"Plan2"}</definedName>
    <definedName name="kfnkeasd" localSheetId="3">{#N/A,#N/A,FALSE,"Plan1";#N/A,#N/A,FALSE,"Plan2"}</definedName>
    <definedName name="kfnkeasd" localSheetId="8">{#N/A,#N/A,FALSE,"Plan1";#N/A,#N/A,FALSE,"Plan2"}</definedName>
    <definedName name="kfnkeasd" localSheetId="5">{#N/A,#N/A,FALSE,"Plan1";#N/A,#N/A,FALSE,"Plan2"}</definedName>
    <definedName name="kfnkeasd" localSheetId="4">{#N/A,#N/A,FALSE,"Plan1";#N/A,#N/A,FALSE,"Plan2"}</definedName>
    <definedName name="kfnkeasd" localSheetId="13">{#N/A,#N/A,FALSE,"Plan1";#N/A,#N/A,FALSE,"Plan2"}</definedName>
    <definedName name="kfnkeasd" localSheetId="17">{#N/A,#N/A,FALSE,"Plan1";#N/A,#N/A,FALSE,"Plan2"}</definedName>
    <definedName name="kfnkeasd" localSheetId="0">{#N/A,#N/A,FALSE,"Plan1";#N/A,#N/A,FALSE,"Plan2"}</definedName>
    <definedName name="kfnkeasd" localSheetId="19">{#N/A,#N/A,FALSE,"Plan1";#N/A,#N/A,FALSE,"Plan2"}</definedName>
    <definedName name="kfnkeasd" localSheetId="16">{#N/A,#N/A,FALSE,"Plan1";#N/A,#N/A,FALSE,"Plan2"}</definedName>
    <definedName name="kfnkeasd" localSheetId="18">{#N/A,#N/A,FALSE,"Plan1";#N/A,#N/A,FALSE,"Plan2"}</definedName>
    <definedName name="kfnkeasd" localSheetId="10">{#N/A,#N/A,FALSE,"Plan1";#N/A,#N/A,FALSE,"Plan2"}</definedName>
    <definedName name="kfnkeasd">{#N/A,#N/A,FALSE,"Plan1";#N/A,#N/A,FALSE,"Plan2"}</definedName>
    <definedName name="khdjkfkjhtg" localSheetId="9">{#N/A,#N/A,FALSE,"Plan1";#N/A,#N/A,FALSE,"Plan2"}</definedName>
    <definedName name="khdjkfkjhtg" localSheetId="6">{#N/A,#N/A,FALSE,"Plan1";#N/A,#N/A,FALSE,"Plan2"}</definedName>
    <definedName name="khdjkfkjhtg" localSheetId="3">{#N/A,#N/A,FALSE,"Plan1";#N/A,#N/A,FALSE,"Plan2"}</definedName>
    <definedName name="khdjkfkjhtg" localSheetId="8">{#N/A,#N/A,FALSE,"Plan1";#N/A,#N/A,FALSE,"Plan2"}</definedName>
    <definedName name="khdjkfkjhtg" localSheetId="5">{#N/A,#N/A,FALSE,"Plan1";#N/A,#N/A,FALSE,"Plan2"}</definedName>
    <definedName name="khdjkfkjhtg" localSheetId="4">{#N/A,#N/A,FALSE,"Plan1";#N/A,#N/A,FALSE,"Plan2"}</definedName>
    <definedName name="khdjkfkjhtg" localSheetId="13">{#N/A,#N/A,FALSE,"Plan1";#N/A,#N/A,FALSE,"Plan2"}</definedName>
    <definedName name="khdjkfkjhtg" localSheetId="17">{#N/A,#N/A,FALSE,"Plan1";#N/A,#N/A,FALSE,"Plan2"}</definedName>
    <definedName name="khdjkfkjhtg" localSheetId="0">{#N/A,#N/A,FALSE,"Plan1";#N/A,#N/A,FALSE,"Plan2"}</definedName>
    <definedName name="khdjkfkjhtg" localSheetId="19">{#N/A,#N/A,FALSE,"Plan1";#N/A,#N/A,FALSE,"Plan2"}</definedName>
    <definedName name="khdjkfkjhtg" localSheetId="16">{#N/A,#N/A,FALSE,"Plan1";#N/A,#N/A,FALSE,"Plan2"}</definedName>
    <definedName name="khdjkfkjhtg" localSheetId="18">{#N/A,#N/A,FALSE,"Plan1";#N/A,#N/A,FALSE,"Plan2"}</definedName>
    <definedName name="khdjkfkjhtg" localSheetId="10">{#N/A,#N/A,FALSE,"Plan1";#N/A,#N/A,FALSE,"Plan2"}</definedName>
    <definedName name="khdjkfkjhtg">{#N/A,#N/A,FALSE,"Plan1";#N/A,#N/A,FALSE,"Plan2"}</definedName>
    <definedName name="khdkfjhhfsdg" localSheetId="9">{#N/A,#N/A,FALSE,"Plan1";#N/A,#N/A,FALSE,"Plan2"}</definedName>
    <definedName name="khdkfjhhfsdg" localSheetId="6">{#N/A,#N/A,FALSE,"Plan1";#N/A,#N/A,FALSE,"Plan2"}</definedName>
    <definedName name="khdkfjhhfsdg" localSheetId="3">{#N/A,#N/A,FALSE,"Plan1";#N/A,#N/A,FALSE,"Plan2"}</definedName>
    <definedName name="khdkfjhhfsdg" localSheetId="8">{#N/A,#N/A,FALSE,"Plan1";#N/A,#N/A,FALSE,"Plan2"}</definedName>
    <definedName name="khdkfjhhfsdg" localSheetId="5">{#N/A,#N/A,FALSE,"Plan1";#N/A,#N/A,FALSE,"Plan2"}</definedName>
    <definedName name="khdkfjhhfsdg" localSheetId="4">{#N/A,#N/A,FALSE,"Plan1";#N/A,#N/A,FALSE,"Plan2"}</definedName>
    <definedName name="khdkfjhhfsdg" localSheetId="13">{#N/A,#N/A,FALSE,"Plan1";#N/A,#N/A,FALSE,"Plan2"}</definedName>
    <definedName name="khdkfjhhfsdg" localSheetId="17">{#N/A,#N/A,FALSE,"Plan1";#N/A,#N/A,FALSE,"Plan2"}</definedName>
    <definedName name="khdkfjhhfsdg" localSheetId="0">{#N/A,#N/A,FALSE,"Plan1";#N/A,#N/A,FALSE,"Plan2"}</definedName>
    <definedName name="khdkfjhhfsdg" localSheetId="19">{#N/A,#N/A,FALSE,"Plan1";#N/A,#N/A,FALSE,"Plan2"}</definedName>
    <definedName name="khdkfjhhfsdg" localSheetId="16">{#N/A,#N/A,FALSE,"Plan1";#N/A,#N/A,FALSE,"Plan2"}</definedName>
    <definedName name="khdkfjhhfsdg" localSheetId="18">{#N/A,#N/A,FALSE,"Plan1";#N/A,#N/A,FALSE,"Plan2"}</definedName>
    <definedName name="khdkfjhhfsdg" localSheetId="10">{#N/A,#N/A,FALSE,"Plan1";#N/A,#N/A,FALSE,"Plan2"}</definedName>
    <definedName name="khdkfjhhfsdg">{#N/A,#N/A,FALSE,"Plan1";#N/A,#N/A,FALSE,"Plan2"}</definedName>
    <definedName name="khdkjfhgudytu" localSheetId="9">{#N/A,#N/A,FALSE,"Plan1";#N/A,#N/A,FALSE,"Plan2"}</definedName>
    <definedName name="khdkjfhgudytu" localSheetId="6">{#N/A,#N/A,FALSE,"Plan1";#N/A,#N/A,FALSE,"Plan2"}</definedName>
    <definedName name="khdkjfhgudytu" localSheetId="3">{#N/A,#N/A,FALSE,"Plan1";#N/A,#N/A,FALSE,"Plan2"}</definedName>
    <definedName name="khdkjfhgudytu" localSheetId="8">{#N/A,#N/A,FALSE,"Plan1";#N/A,#N/A,FALSE,"Plan2"}</definedName>
    <definedName name="khdkjfhgudytu" localSheetId="5">{#N/A,#N/A,FALSE,"Plan1";#N/A,#N/A,FALSE,"Plan2"}</definedName>
    <definedName name="khdkjfhgudytu" localSheetId="4">{#N/A,#N/A,FALSE,"Plan1";#N/A,#N/A,FALSE,"Plan2"}</definedName>
    <definedName name="khdkjfhgudytu" localSheetId="13">{#N/A,#N/A,FALSE,"Plan1";#N/A,#N/A,FALSE,"Plan2"}</definedName>
    <definedName name="khdkjfhgudytu" localSheetId="17">{#N/A,#N/A,FALSE,"Plan1";#N/A,#N/A,FALSE,"Plan2"}</definedName>
    <definedName name="khdkjfhgudytu" localSheetId="0">{#N/A,#N/A,FALSE,"Plan1";#N/A,#N/A,FALSE,"Plan2"}</definedName>
    <definedName name="khdkjfhgudytu" localSheetId="19">{#N/A,#N/A,FALSE,"Plan1";#N/A,#N/A,FALSE,"Plan2"}</definedName>
    <definedName name="khdkjfhgudytu" localSheetId="16">{#N/A,#N/A,FALSE,"Plan1";#N/A,#N/A,FALSE,"Plan2"}</definedName>
    <definedName name="khdkjfhgudytu" localSheetId="18">{#N/A,#N/A,FALSE,"Plan1";#N/A,#N/A,FALSE,"Plan2"}</definedName>
    <definedName name="khdkjfhgudytu" localSheetId="10">{#N/A,#N/A,FALSE,"Plan1";#N/A,#N/A,FALSE,"Plan2"}</definedName>
    <definedName name="khdkjfhgudytu">{#N/A,#N/A,FALSE,"Plan1";#N/A,#N/A,FALSE,"Plan2"}</definedName>
    <definedName name="khfdghhhgd" localSheetId="9">{#N/A,#N/A,FALSE,"Plan1";#N/A,#N/A,FALSE,"Plan2"}</definedName>
    <definedName name="khfdghhhgd" localSheetId="6">{#N/A,#N/A,FALSE,"Plan1";#N/A,#N/A,FALSE,"Plan2"}</definedName>
    <definedName name="khfdghhhgd" localSheetId="3">{#N/A,#N/A,FALSE,"Plan1";#N/A,#N/A,FALSE,"Plan2"}</definedName>
    <definedName name="khfdghhhgd" localSheetId="8">{#N/A,#N/A,FALSE,"Plan1";#N/A,#N/A,FALSE,"Plan2"}</definedName>
    <definedName name="khfdghhhgd" localSheetId="5">{#N/A,#N/A,FALSE,"Plan1";#N/A,#N/A,FALSE,"Plan2"}</definedName>
    <definedName name="khfdghhhgd" localSheetId="4">{#N/A,#N/A,FALSE,"Plan1";#N/A,#N/A,FALSE,"Plan2"}</definedName>
    <definedName name="khfdghhhgd" localSheetId="13">{#N/A,#N/A,FALSE,"Plan1";#N/A,#N/A,FALSE,"Plan2"}</definedName>
    <definedName name="khfdghhhgd" localSheetId="17">{#N/A,#N/A,FALSE,"Plan1";#N/A,#N/A,FALSE,"Plan2"}</definedName>
    <definedName name="khfdghhhgd" localSheetId="0">{#N/A,#N/A,FALSE,"Plan1";#N/A,#N/A,FALSE,"Plan2"}</definedName>
    <definedName name="khfdghhhgd" localSheetId="19">{#N/A,#N/A,FALSE,"Plan1";#N/A,#N/A,FALSE,"Plan2"}</definedName>
    <definedName name="khfdghhhgd" localSheetId="16">{#N/A,#N/A,FALSE,"Plan1";#N/A,#N/A,FALSE,"Plan2"}</definedName>
    <definedName name="khfdghhhgd" localSheetId="18">{#N/A,#N/A,FALSE,"Plan1";#N/A,#N/A,FALSE,"Plan2"}</definedName>
    <definedName name="khfdghhhgd" localSheetId="10">{#N/A,#N/A,FALSE,"Plan1";#N/A,#N/A,FALSE,"Plan2"}</definedName>
    <definedName name="khfdghhhgd">{#N/A,#N/A,FALSE,"Plan1";#N/A,#N/A,FALSE,"Plan2"}</definedName>
    <definedName name="khfdkjhsdjf" localSheetId="9">{#N/A,#N/A,FALSE,"Plan1";#N/A,#N/A,FALSE,"Plan2"}</definedName>
    <definedName name="khfdkjhsdjf" localSheetId="6">{#N/A,#N/A,FALSE,"Plan1";#N/A,#N/A,FALSE,"Plan2"}</definedName>
    <definedName name="khfdkjhsdjf" localSheetId="3">{#N/A,#N/A,FALSE,"Plan1";#N/A,#N/A,FALSE,"Plan2"}</definedName>
    <definedName name="khfdkjhsdjf" localSheetId="8">{#N/A,#N/A,FALSE,"Plan1";#N/A,#N/A,FALSE,"Plan2"}</definedName>
    <definedName name="khfdkjhsdjf" localSheetId="5">{#N/A,#N/A,FALSE,"Plan1";#N/A,#N/A,FALSE,"Plan2"}</definedName>
    <definedName name="khfdkjhsdjf" localSheetId="4">{#N/A,#N/A,FALSE,"Plan1";#N/A,#N/A,FALSE,"Plan2"}</definedName>
    <definedName name="khfdkjhsdjf" localSheetId="13">{#N/A,#N/A,FALSE,"Plan1";#N/A,#N/A,FALSE,"Plan2"}</definedName>
    <definedName name="khfdkjhsdjf" localSheetId="17">{#N/A,#N/A,FALSE,"Plan1";#N/A,#N/A,FALSE,"Plan2"}</definedName>
    <definedName name="khfdkjhsdjf" localSheetId="0">{#N/A,#N/A,FALSE,"Plan1";#N/A,#N/A,FALSE,"Plan2"}</definedName>
    <definedName name="khfdkjhsdjf" localSheetId="19">{#N/A,#N/A,FALSE,"Plan1";#N/A,#N/A,FALSE,"Plan2"}</definedName>
    <definedName name="khfdkjhsdjf" localSheetId="16">{#N/A,#N/A,FALSE,"Plan1";#N/A,#N/A,FALSE,"Plan2"}</definedName>
    <definedName name="khfdkjhsdjf" localSheetId="18">{#N/A,#N/A,FALSE,"Plan1";#N/A,#N/A,FALSE,"Plan2"}</definedName>
    <definedName name="khfdkjhsdjf" localSheetId="10">{#N/A,#N/A,FALSE,"Plan1";#N/A,#N/A,FALSE,"Plan2"}</definedName>
    <definedName name="khfdkjhsdjf">{#N/A,#N/A,FALSE,"Plan1";#N/A,#N/A,FALSE,"Plan2"}</definedName>
    <definedName name="khgdkftfy" localSheetId="9">{#N/A,#N/A,FALSE,"Plan1";#N/A,#N/A,FALSE,"Plan2"}</definedName>
    <definedName name="khgdkftfy" localSheetId="6">{#N/A,#N/A,FALSE,"Plan1";#N/A,#N/A,FALSE,"Plan2"}</definedName>
    <definedName name="khgdkftfy" localSheetId="3">{#N/A,#N/A,FALSE,"Plan1";#N/A,#N/A,FALSE,"Plan2"}</definedName>
    <definedName name="khgdkftfy" localSheetId="8">{#N/A,#N/A,FALSE,"Plan1";#N/A,#N/A,FALSE,"Plan2"}</definedName>
    <definedName name="khgdkftfy" localSheetId="5">{#N/A,#N/A,FALSE,"Plan1";#N/A,#N/A,FALSE,"Plan2"}</definedName>
    <definedName name="khgdkftfy" localSheetId="4">{#N/A,#N/A,FALSE,"Plan1";#N/A,#N/A,FALSE,"Plan2"}</definedName>
    <definedName name="khgdkftfy" localSheetId="13">{#N/A,#N/A,FALSE,"Plan1";#N/A,#N/A,FALSE,"Plan2"}</definedName>
    <definedName name="khgdkftfy" localSheetId="17">{#N/A,#N/A,FALSE,"Plan1";#N/A,#N/A,FALSE,"Plan2"}</definedName>
    <definedName name="khgdkftfy" localSheetId="0">{#N/A,#N/A,FALSE,"Plan1";#N/A,#N/A,FALSE,"Plan2"}</definedName>
    <definedName name="khgdkftfy" localSheetId="19">{#N/A,#N/A,FALSE,"Plan1";#N/A,#N/A,FALSE,"Plan2"}</definedName>
    <definedName name="khgdkftfy" localSheetId="16">{#N/A,#N/A,FALSE,"Plan1";#N/A,#N/A,FALSE,"Plan2"}</definedName>
    <definedName name="khgdkftfy" localSheetId="18">{#N/A,#N/A,FALSE,"Plan1";#N/A,#N/A,FALSE,"Plan2"}</definedName>
    <definedName name="khgdkftfy" localSheetId="10">{#N/A,#N/A,FALSE,"Plan1";#N/A,#N/A,FALSE,"Plan2"}</definedName>
    <definedName name="khgdkftfy">{#N/A,#N/A,FALSE,"Plan1";#N/A,#N/A,FALSE,"Plan2"}</definedName>
    <definedName name="khgfhhtuhf" localSheetId="9">{#N/A,#N/A,FALSE,"Plan1";#N/A,#N/A,FALSE,"Plan2"}</definedName>
    <definedName name="khgfhhtuhf" localSheetId="6">{#N/A,#N/A,FALSE,"Plan1";#N/A,#N/A,FALSE,"Plan2"}</definedName>
    <definedName name="khgfhhtuhf" localSheetId="3">{#N/A,#N/A,FALSE,"Plan1";#N/A,#N/A,FALSE,"Plan2"}</definedName>
    <definedName name="khgfhhtuhf" localSheetId="8">{#N/A,#N/A,FALSE,"Plan1";#N/A,#N/A,FALSE,"Plan2"}</definedName>
    <definedName name="khgfhhtuhf" localSheetId="5">{#N/A,#N/A,FALSE,"Plan1";#N/A,#N/A,FALSE,"Plan2"}</definedName>
    <definedName name="khgfhhtuhf" localSheetId="4">{#N/A,#N/A,FALSE,"Plan1";#N/A,#N/A,FALSE,"Plan2"}</definedName>
    <definedName name="khgfhhtuhf" localSheetId="13">{#N/A,#N/A,FALSE,"Plan1";#N/A,#N/A,FALSE,"Plan2"}</definedName>
    <definedName name="khgfhhtuhf" localSheetId="17">{#N/A,#N/A,FALSE,"Plan1";#N/A,#N/A,FALSE,"Plan2"}</definedName>
    <definedName name="khgfhhtuhf" localSheetId="0">{#N/A,#N/A,FALSE,"Plan1";#N/A,#N/A,FALSE,"Plan2"}</definedName>
    <definedName name="khgfhhtuhf" localSheetId="19">{#N/A,#N/A,FALSE,"Plan1";#N/A,#N/A,FALSE,"Plan2"}</definedName>
    <definedName name="khgfhhtuhf" localSheetId="16">{#N/A,#N/A,FALSE,"Plan1";#N/A,#N/A,FALSE,"Plan2"}</definedName>
    <definedName name="khgfhhtuhf" localSheetId="18">{#N/A,#N/A,FALSE,"Plan1";#N/A,#N/A,FALSE,"Plan2"}</definedName>
    <definedName name="khgfhhtuhf" localSheetId="10">{#N/A,#N/A,FALSE,"Plan1";#N/A,#N/A,FALSE,"Plan2"}</definedName>
    <definedName name="khgfhhtuhf">{#N/A,#N/A,FALSE,"Plan1";#N/A,#N/A,FALSE,"Plan2"}</definedName>
    <definedName name="khjk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9">{#N/A,#N/A,FALSE,"Plan1";#N/A,#N/A,FALSE,"Plan2"}</definedName>
    <definedName name="KHJKLSDF" localSheetId="6">{#N/A,#N/A,FALSE,"Plan1";#N/A,#N/A,FALSE,"Plan2"}</definedName>
    <definedName name="KHJKLSDF" localSheetId="3">{#N/A,#N/A,FALSE,"Plan1";#N/A,#N/A,FALSE,"Plan2"}</definedName>
    <definedName name="KHJKLSDF" localSheetId="8">{#N/A,#N/A,FALSE,"Plan1";#N/A,#N/A,FALSE,"Plan2"}</definedName>
    <definedName name="KHJKLSDF" localSheetId="5">{#N/A,#N/A,FALSE,"Plan1";#N/A,#N/A,FALSE,"Plan2"}</definedName>
    <definedName name="KHJKLSDF" localSheetId="4">{#N/A,#N/A,FALSE,"Plan1";#N/A,#N/A,FALSE,"Plan2"}</definedName>
    <definedName name="KHJKLSDF" localSheetId="13">{#N/A,#N/A,FALSE,"Plan1";#N/A,#N/A,FALSE,"Plan2"}</definedName>
    <definedName name="KHJKLSDF" localSheetId="17">{#N/A,#N/A,FALSE,"Plan1";#N/A,#N/A,FALSE,"Plan2"}</definedName>
    <definedName name="KHJKLSDF" localSheetId="0">{#N/A,#N/A,FALSE,"Plan1";#N/A,#N/A,FALSE,"Plan2"}</definedName>
    <definedName name="KHJKLSDF" localSheetId="19">{#N/A,#N/A,FALSE,"Plan1";#N/A,#N/A,FALSE,"Plan2"}</definedName>
    <definedName name="KHJKLSDF" localSheetId="16">{#N/A,#N/A,FALSE,"Plan1";#N/A,#N/A,FALSE,"Plan2"}</definedName>
    <definedName name="KHJKLSDF" localSheetId="18">{#N/A,#N/A,FALSE,"Plan1";#N/A,#N/A,FALSE,"Plan2"}</definedName>
    <definedName name="KHJKLSDF" localSheetId="10">{#N/A,#N/A,FALSE,"Plan1";#N/A,#N/A,FALSE,"Plan2"}</definedName>
    <definedName name="KHJKLSDF">{#N/A,#N/A,FALSE,"Plan1";#N/A,#N/A,FALSE,"Plan2"}</definedName>
    <definedName name="kieret" localSheetId="9">{#N/A,#N/A,FALSE,"Plan1";#N/A,#N/A,FALSE,"Plan2"}</definedName>
    <definedName name="kieret" localSheetId="6">{#N/A,#N/A,FALSE,"Plan1";#N/A,#N/A,FALSE,"Plan2"}</definedName>
    <definedName name="kieret" localSheetId="3">{#N/A,#N/A,FALSE,"Plan1";#N/A,#N/A,FALSE,"Plan2"}</definedName>
    <definedName name="kieret" localSheetId="8">{#N/A,#N/A,FALSE,"Plan1";#N/A,#N/A,FALSE,"Plan2"}</definedName>
    <definedName name="kieret" localSheetId="5">{#N/A,#N/A,FALSE,"Plan1";#N/A,#N/A,FALSE,"Plan2"}</definedName>
    <definedName name="kieret" localSheetId="4">{#N/A,#N/A,FALSE,"Plan1";#N/A,#N/A,FALSE,"Plan2"}</definedName>
    <definedName name="kieret" localSheetId="13">{#N/A,#N/A,FALSE,"Plan1";#N/A,#N/A,FALSE,"Plan2"}</definedName>
    <definedName name="kieret" localSheetId="17">{#N/A,#N/A,FALSE,"Plan1";#N/A,#N/A,FALSE,"Plan2"}</definedName>
    <definedName name="kieret" localSheetId="0">{#N/A,#N/A,FALSE,"Plan1";#N/A,#N/A,FALSE,"Plan2"}</definedName>
    <definedName name="kieret" localSheetId="19">{#N/A,#N/A,FALSE,"Plan1";#N/A,#N/A,FALSE,"Plan2"}</definedName>
    <definedName name="kieret" localSheetId="16">{#N/A,#N/A,FALSE,"Plan1";#N/A,#N/A,FALSE,"Plan2"}</definedName>
    <definedName name="kieret" localSheetId="18">{#N/A,#N/A,FALSE,"Plan1";#N/A,#N/A,FALSE,"Plan2"}</definedName>
    <definedName name="kieret" localSheetId="10">{#N/A,#N/A,FALSE,"Plan1";#N/A,#N/A,FALSE,"Plan2"}</definedName>
    <definedName name="kieret">{#N/A,#N/A,FALSE,"Plan1";#N/A,#N/A,FALSE,"Plan2"}</definedName>
    <definedName name="kiweokwr" localSheetId="3">#REF!</definedName>
    <definedName name="kiweokwr" localSheetId="5">#REF!</definedName>
    <definedName name="kiweokwr" localSheetId="13">#REF!</definedName>
    <definedName name="kiweokwr" localSheetId="26">#REF!</definedName>
    <definedName name="kiweokwr" localSheetId="0">#REF!</definedName>
    <definedName name="kiweokwr">#REF!</definedName>
    <definedName name="kjchkfhsezk" localSheetId="9">{#N/A,#N/A,FALSE,"Plan1";#N/A,#N/A,FALSE,"Plan2"}</definedName>
    <definedName name="kjchkfhsezk" localSheetId="6">{#N/A,#N/A,FALSE,"Plan1";#N/A,#N/A,FALSE,"Plan2"}</definedName>
    <definedName name="kjchkfhsezk" localSheetId="3">{#N/A,#N/A,FALSE,"Plan1";#N/A,#N/A,FALSE,"Plan2"}</definedName>
    <definedName name="kjchkfhsezk" localSheetId="8">{#N/A,#N/A,FALSE,"Plan1";#N/A,#N/A,FALSE,"Plan2"}</definedName>
    <definedName name="kjchkfhsezk" localSheetId="5">{#N/A,#N/A,FALSE,"Plan1";#N/A,#N/A,FALSE,"Plan2"}</definedName>
    <definedName name="kjchkfhsezk" localSheetId="4">{#N/A,#N/A,FALSE,"Plan1";#N/A,#N/A,FALSE,"Plan2"}</definedName>
    <definedName name="kjchkfhsezk" localSheetId="13">{#N/A,#N/A,FALSE,"Plan1";#N/A,#N/A,FALSE,"Plan2"}</definedName>
    <definedName name="kjchkfhsezk" localSheetId="17">{#N/A,#N/A,FALSE,"Plan1";#N/A,#N/A,FALSE,"Plan2"}</definedName>
    <definedName name="kjchkfhsezk" localSheetId="0">{#N/A,#N/A,FALSE,"Plan1";#N/A,#N/A,FALSE,"Plan2"}</definedName>
    <definedName name="kjchkfhsezk" localSheetId="19">{#N/A,#N/A,FALSE,"Plan1";#N/A,#N/A,FALSE,"Plan2"}</definedName>
    <definedName name="kjchkfhsezk" localSheetId="16">{#N/A,#N/A,FALSE,"Plan1";#N/A,#N/A,FALSE,"Plan2"}</definedName>
    <definedName name="kjchkfhsezk" localSheetId="18">{#N/A,#N/A,FALSE,"Plan1";#N/A,#N/A,FALSE,"Plan2"}</definedName>
    <definedName name="kjchkfhsezk" localSheetId="10">{#N/A,#N/A,FALSE,"Plan1";#N/A,#N/A,FALSE,"Plan2"}</definedName>
    <definedName name="kjchkfhsezk">{#N/A,#N/A,FALSE,"Plan1";#N/A,#N/A,FALSE,"Plan2"}</definedName>
    <definedName name="kjdghksef" localSheetId="9">{#N/A,#N/A,FALSE,"Plan1";#N/A,#N/A,FALSE,"Plan2"}</definedName>
    <definedName name="kjdghksef" localSheetId="6">{#N/A,#N/A,FALSE,"Plan1";#N/A,#N/A,FALSE,"Plan2"}</definedName>
    <definedName name="kjdghksef" localSheetId="3">{#N/A,#N/A,FALSE,"Plan1";#N/A,#N/A,FALSE,"Plan2"}</definedName>
    <definedName name="kjdghksef" localSheetId="8">{#N/A,#N/A,FALSE,"Plan1";#N/A,#N/A,FALSE,"Plan2"}</definedName>
    <definedName name="kjdghksef" localSheetId="5">{#N/A,#N/A,FALSE,"Plan1";#N/A,#N/A,FALSE,"Plan2"}</definedName>
    <definedName name="kjdghksef" localSheetId="4">{#N/A,#N/A,FALSE,"Plan1";#N/A,#N/A,FALSE,"Plan2"}</definedName>
    <definedName name="kjdghksef" localSheetId="13">{#N/A,#N/A,FALSE,"Plan1";#N/A,#N/A,FALSE,"Plan2"}</definedName>
    <definedName name="kjdghksef" localSheetId="17">{#N/A,#N/A,FALSE,"Plan1";#N/A,#N/A,FALSE,"Plan2"}</definedName>
    <definedName name="kjdghksef" localSheetId="0">{#N/A,#N/A,FALSE,"Plan1";#N/A,#N/A,FALSE,"Plan2"}</definedName>
    <definedName name="kjdghksef" localSheetId="19">{#N/A,#N/A,FALSE,"Plan1";#N/A,#N/A,FALSE,"Plan2"}</definedName>
    <definedName name="kjdghksef" localSheetId="16">{#N/A,#N/A,FALSE,"Plan1";#N/A,#N/A,FALSE,"Plan2"}</definedName>
    <definedName name="kjdghksef" localSheetId="18">{#N/A,#N/A,FALSE,"Plan1";#N/A,#N/A,FALSE,"Plan2"}</definedName>
    <definedName name="kjdghksef" localSheetId="10">{#N/A,#N/A,FALSE,"Plan1";#N/A,#N/A,FALSE,"Plan2"}</definedName>
    <definedName name="kjdghksef">{#N/A,#N/A,FALSE,"Plan1";#N/A,#N/A,FALSE,"Plan2"}</definedName>
    <definedName name="kjdkftyhtert" localSheetId="9">{#N/A,#N/A,FALSE,"Plan1";#N/A,#N/A,FALSE,"Plan2"}</definedName>
    <definedName name="kjdkftyhtert" localSheetId="6">{#N/A,#N/A,FALSE,"Plan1";#N/A,#N/A,FALSE,"Plan2"}</definedName>
    <definedName name="kjdkftyhtert" localSheetId="3">{#N/A,#N/A,FALSE,"Plan1";#N/A,#N/A,FALSE,"Plan2"}</definedName>
    <definedName name="kjdkftyhtert" localSheetId="8">{#N/A,#N/A,FALSE,"Plan1";#N/A,#N/A,FALSE,"Plan2"}</definedName>
    <definedName name="kjdkftyhtert" localSheetId="5">{#N/A,#N/A,FALSE,"Plan1";#N/A,#N/A,FALSE,"Plan2"}</definedName>
    <definedName name="kjdkftyhtert" localSheetId="4">{#N/A,#N/A,FALSE,"Plan1";#N/A,#N/A,FALSE,"Plan2"}</definedName>
    <definedName name="kjdkftyhtert" localSheetId="13">{#N/A,#N/A,FALSE,"Plan1";#N/A,#N/A,FALSE,"Plan2"}</definedName>
    <definedName name="kjdkftyhtert" localSheetId="17">{#N/A,#N/A,FALSE,"Plan1";#N/A,#N/A,FALSE,"Plan2"}</definedName>
    <definedName name="kjdkftyhtert" localSheetId="0">{#N/A,#N/A,FALSE,"Plan1";#N/A,#N/A,FALSE,"Plan2"}</definedName>
    <definedName name="kjdkftyhtert" localSheetId="19">{#N/A,#N/A,FALSE,"Plan1";#N/A,#N/A,FALSE,"Plan2"}</definedName>
    <definedName name="kjdkftyhtert" localSheetId="16">{#N/A,#N/A,FALSE,"Plan1";#N/A,#N/A,FALSE,"Plan2"}</definedName>
    <definedName name="kjdkftyhtert" localSheetId="18">{#N/A,#N/A,FALSE,"Plan1";#N/A,#N/A,FALSE,"Plan2"}</definedName>
    <definedName name="kjdkftyhtert" localSheetId="10">{#N/A,#N/A,FALSE,"Plan1";#N/A,#N/A,FALSE,"Plan2"}</definedName>
    <definedName name="kjdkftyhtert">{#N/A,#N/A,FALSE,"Plan1";#N/A,#N/A,FALSE,"Plan2"}</definedName>
    <definedName name="kjdlfkjds" localSheetId="9">{#N/A,#N/A,FALSE,"Plan1";#N/A,#N/A,FALSE,"Plan2"}</definedName>
    <definedName name="kjdlfkjds" localSheetId="6">{#N/A,#N/A,FALSE,"Plan1";#N/A,#N/A,FALSE,"Plan2"}</definedName>
    <definedName name="kjdlfkjds" localSheetId="3">{#N/A,#N/A,FALSE,"Plan1";#N/A,#N/A,FALSE,"Plan2"}</definedName>
    <definedName name="kjdlfkjds" localSheetId="8">{#N/A,#N/A,FALSE,"Plan1";#N/A,#N/A,FALSE,"Plan2"}</definedName>
    <definedName name="kjdlfkjds" localSheetId="5">{#N/A,#N/A,FALSE,"Plan1";#N/A,#N/A,FALSE,"Plan2"}</definedName>
    <definedName name="kjdlfkjds" localSheetId="4">{#N/A,#N/A,FALSE,"Plan1";#N/A,#N/A,FALSE,"Plan2"}</definedName>
    <definedName name="kjdlfkjds" localSheetId="13">{#N/A,#N/A,FALSE,"Plan1";#N/A,#N/A,FALSE,"Plan2"}</definedName>
    <definedName name="kjdlfkjds" localSheetId="17">{#N/A,#N/A,FALSE,"Plan1";#N/A,#N/A,FALSE,"Plan2"}</definedName>
    <definedName name="kjdlfkjds" localSheetId="0">{#N/A,#N/A,FALSE,"Plan1";#N/A,#N/A,FALSE,"Plan2"}</definedName>
    <definedName name="kjdlfkjds" localSheetId="19">{#N/A,#N/A,FALSE,"Plan1";#N/A,#N/A,FALSE,"Plan2"}</definedName>
    <definedName name="kjdlfkjds" localSheetId="16">{#N/A,#N/A,FALSE,"Plan1";#N/A,#N/A,FALSE,"Plan2"}</definedName>
    <definedName name="kjdlfkjds" localSheetId="18">{#N/A,#N/A,FALSE,"Plan1";#N/A,#N/A,FALSE,"Plan2"}</definedName>
    <definedName name="kjdlfkjds" localSheetId="10">{#N/A,#N/A,FALSE,"Plan1";#N/A,#N/A,FALSE,"Plan2"}</definedName>
    <definedName name="kjdlfkjds">{#N/A,#N/A,FALSE,"Plan1";#N/A,#N/A,FALSE,"Plan2"}</definedName>
    <definedName name="kjdzhfytrfy" localSheetId="9">{#N/A,#N/A,FALSE,"Plan1";#N/A,#N/A,FALSE,"Plan2"}</definedName>
    <definedName name="kjdzhfytrfy" localSheetId="6">{#N/A,#N/A,FALSE,"Plan1";#N/A,#N/A,FALSE,"Plan2"}</definedName>
    <definedName name="kjdzhfytrfy" localSheetId="3">{#N/A,#N/A,FALSE,"Plan1";#N/A,#N/A,FALSE,"Plan2"}</definedName>
    <definedName name="kjdzhfytrfy" localSheetId="8">{#N/A,#N/A,FALSE,"Plan1";#N/A,#N/A,FALSE,"Plan2"}</definedName>
    <definedName name="kjdzhfytrfy" localSheetId="5">{#N/A,#N/A,FALSE,"Plan1";#N/A,#N/A,FALSE,"Plan2"}</definedName>
    <definedName name="kjdzhfytrfy" localSheetId="4">{#N/A,#N/A,FALSE,"Plan1";#N/A,#N/A,FALSE,"Plan2"}</definedName>
    <definedName name="kjdzhfytrfy" localSheetId="13">{#N/A,#N/A,FALSE,"Plan1";#N/A,#N/A,FALSE,"Plan2"}</definedName>
    <definedName name="kjdzhfytrfy" localSheetId="17">{#N/A,#N/A,FALSE,"Plan1";#N/A,#N/A,FALSE,"Plan2"}</definedName>
    <definedName name="kjdzhfytrfy" localSheetId="0">{#N/A,#N/A,FALSE,"Plan1";#N/A,#N/A,FALSE,"Plan2"}</definedName>
    <definedName name="kjdzhfytrfy" localSheetId="19">{#N/A,#N/A,FALSE,"Plan1";#N/A,#N/A,FALSE,"Plan2"}</definedName>
    <definedName name="kjdzhfytrfy" localSheetId="16">{#N/A,#N/A,FALSE,"Plan1";#N/A,#N/A,FALSE,"Plan2"}</definedName>
    <definedName name="kjdzhfytrfy" localSheetId="18">{#N/A,#N/A,FALSE,"Plan1";#N/A,#N/A,FALSE,"Plan2"}</definedName>
    <definedName name="kjdzhfytrfy" localSheetId="10">{#N/A,#N/A,FALSE,"Plan1";#N/A,#N/A,FALSE,"Plan2"}</definedName>
    <definedName name="kjdzhfytrfy">{#N/A,#N/A,FALSE,"Plan1";#N/A,#N/A,FALSE,"Plan2"}</definedName>
    <definedName name="kjhdfgjthdft" localSheetId="9">{#N/A,#N/A,FALSE,"Plan1";#N/A,#N/A,FALSE,"Plan2"}</definedName>
    <definedName name="kjhdfgjthdft" localSheetId="6">{#N/A,#N/A,FALSE,"Plan1";#N/A,#N/A,FALSE,"Plan2"}</definedName>
    <definedName name="kjhdfgjthdft" localSheetId="3">{#N/A,#N/A,FALSE,"Plan1";#N/A,#N/A,FALSE,"Plan2"}</definedName>
    <definedName name="kjhdfgjthdft" localSheetId="8">{#N/A,#N/A,FALSE,"Plan1";#N/A,#N/A,FALSE,"Plan2"}</definedName>
    <definedName name="kjhdfgjthdft" localSheetId="5">{#N/A,#N/A,FALSE,"Plan1";#N/A,#N/A,FALSE,"Plan2"}</definedName>
    <definedName name="kjhdfgjthdft" localSheetId="4">{#N/A,#N/A,FALSE,"Plan1";#N/A,#N/A,FALSE,"Plan2"}</definedName>
    <definedName name="kjhdfgjthdft" localSheetId="13">{#N/A,#N/A,FALSE,"Plan1";#N/A,#N/A,FALSE,"Plan2"}</definedName>
    <definedName name="kjhdfgjthdft" localSheetId="17">{#N/A,#N/A,FALSE,"Plan1";#N/A,#N/A,FALSE,"Plan2"}</definedName>
    <definedName name="kjhdfgjthdft" localSheetId="0">{#N/A,#N/A,FALSE,"Plan1";#N/A,#N/A,FALSE,"Plan2"}</definedName>
    <definedName name="kjhdfgjthdft" localSheetId="19">{#N/A,#N/A,FALSE,"Plan1";#N/A,#N/A,FALSE,"Plan2"}</definedName>
    <definedName name="kjhdfgjthdft" localSheetId="16">{#N/A,#N/A,FALSE,"Plan1";#N/A,#N/A,FALSE,"Plan2"}</definedName>
    <definedName name="kjhdfgjthdft" localSheetId="18">{#N/A,#N/A,FALSE,"Plan1";#N/A,#N/A,FALSE,"Plan2"}</definedName>
    <definedName name="kjhdfgjthdft" localSheetId="10">{#N/A,#N/A,FALSE,"Plan1";#N/A,#N/A,FALSE,"Plan2"}</definedName>
    <definedName name="kjhdfgjthdft">{#N/A,#N/A,FALSE,"Plan1";#N/A,#N/A,FALSE,"Plan2"}</definedName>
    <definedName name="kjhsdf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9">{#N/A,#N/A,FALSE,"Plan1";#N/A,#N/A,FALSE,"Plan2"}</definedName>
    <definedName name="kjhsiorf" localSheetId="6">{#N/A,#N/A,FALSE,"Plan1";#N/A,#N/A,FALSE,"Plan2"}</definedName>
    <definedName name="kjhsiorf" localSheetId="3">{#N/A,#N/A,FALSE,"Plan1";#N/A,#N/A,FALSE,"Plan2"}</definedName>
    <definedName name="kjhsiorf" localSheetId="8">{#N/A,#N/A,FALSE,"Plan1";#N/A,#N/A,FALSE,"Plan2"}</definedName>
    <definedName name="kjhsiorf" localSheetId="5">{#N/A,#N/A,FALSE,"Plan1";#N/A,#N/A,FALSE,"Plan2"}</definedName>
    <definedName name="kjhsiorf" localSheetId="4">{#N/A,#N/A,FALSE,"Plan1";#N/A,#N/A,FALSE,"Plan2"}</definedName>
    <definedName name="kjhsiorf" localSheetId="13">{#N/A,#N/A,FALSE,"Plan1";#N/A,#N/A,FALSE,"Plan2"}</definedName>
    <definedName name="kjhsiorf" localSheetId="17">{#N/A,#N/A,FALSE,"Plan1";#N/A,#N/A,FALSE,"Plan2"}</definedName>
    <definedName name="kjhsiorf" localSheetId="0">{#N/A,#N/A,FALSE,"Plan1";#N/A,#N/A,FALSE,"Plan2"}</definedName>
    <definedName name="kjhsiorf" localSheetId="19">{#N/A,#N/A,FALSE,"Plan1";#N/A,#N/A,FALSE,"Plan2"}</definedName>
    <definedName name="kjhsiorf" localSheetId="16">{#N/A,#N/A,FALSE,"Plan1";#N/A,#N/A,FALSE,"Plan2"}</definedName>
    <definedName name="kjhsiorf" localSheetId="18">{#N/A,#N/A,FALSE,"Plan1";#N/A,#N/A,FALSE,"Plan2"}</definedName>
    <definedName name="kjhsiorf" localSheetId="10">{#N/A,#N/A,FALSE,"Plan1";#N/A,#N/A,FALSE,"Plan2"}</definedName>
    <definedName name="kjhsiorf">{#N/A,#N/A,FALSE,"Plan1";#N/A,#N/A,FALSE,"Plan2"}</definedName>
    <definedName name="KJ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9">{#N/A,#N/A,FALSE,"Plan1";#N/A,#N/A,FALSE,"Plan2"}</definedName>
    <definedName name="kjjwww" localSheetId="6">{#N/A,#N/A,FALSE,"Plan1";#N/A,#N/A,FALSE,"Plan2"}</definedName>
    <definedName name="kjjwww" localSheetId="3">{#N/A,#N/A,FALSE,"Plan1";#N/A,#N/A,FALSE,"Plan2"}</definedName>
    <definedName name="kjjwww" localSheetId="8">{#N/A,#N/A,FALSE,"Plan1";#N/A,#N/A,FALSE,"Plan2"}</definedName>
    <definedName name="kjjwww" localSheetId="5">{#N/A,#N/A,FALSE,"Plan1";#N/A,#N/A,FALSE,"Plan2"}</definedName>
    <definedName name="kjjwww" localSheetId="4">{#N/A,#N/A,FALSE,"Plan1";#N/A,#N/A,FALSE,"Plan2"}</definedName>
    <definedName name="kjjwww" localSheetId="13">{#N/A,#N/A,FALSE,"Plan1";#N/A,#N/A,FALSE,"Plan2"}</definedName>
    <definedName name="kjjwww" localSheetId="17">{#N/A,#N/A,FALSE,"Plan1";#N/A,#N/A,FALSE,"Plan2"}</definedName>
    <definedName name="kjjwww" localSheetId="0">{#N/A,#N/A,FALSE,"Plan1";#N/A,#N/A,FALSE,"Plan2"}</definedName>
    <definedName name="kjjwww" localSheetId="19">{#N/A,#N/A,FALSE,"Plan1";#N/A,#N/A,FALSE,"Plan2"}</definedName>
    <definedName name="kjjwww" localSheetId="16">{#N/A,#N/A,FALSE,"Plan1";#N/A,#N/A,FALSE,"Plan2"}</definedName>
    <definedName name="kjjwww" localSheetId="18">{#N/A,#N/A,FALSE,"Plan1";#N/A,#N/A,FALSE,"Plan2"}</definedName>
    <definedName name="kjjwww" localSheetId="10">{#N/A,#N/A,FALSE,"Plan1";#N/A,#N/A,FALSE,"Plan2"}</definedName>
    <definedName name="kjjwww">{#N/A,#N/A,FALSE,"Plan1";#N/A,#N/A,FALSE,"Plan2"}</definedName>
    <definedName name="kjl" localSheetId="9">{#N/A,#N/A,FALSE,"ENG'G(보호계전기)"}</definedName>
    <definedName name="kjl" localSheetId="6">{#N/A,#N/A,FALSE,"ENG'G(보호계전기)"}</definedName>
    <definedName name="kjl" localSheetId="3">{#N/A,#N/A,FALSE,"ENG'G(보호계전기)"}</definedName>
    <definedName name="kjl" localSheetId="8">{#N/A,#N/A,FALSE,"ENG'G(보호계전기)"}</definedName>
    <definedName name="kjl" localSheetId="5">{#N/A,#N/A,FALSE,"ENG'G(보호계전기)"}</definedName>
    <definedName name="kjl" localSheetId="4">{#N/A,#N/A,FALSE,"ENG'G(보호계전기)"}</definedName>
    <definedName name="kjl" localSheetId="13">{#N/A,#N/A,FALSE,"ENG'G(보호계전기)"}</definedName>
    <definedName name="kjl" localSheetId="17">{#N/A,#N/A,FALSE,"ENG'G(보호계전기)"}</definedName>
    <definedName name="kjl" localSheetId="0">{#N/A,#N/A,FALSE,"ENG'G(보호계전기)"}</definedName>
    <definedName name="kjl" localSheetId="19">{#N/A,#N/A,FALSE,"ENG'G(보호계전기)"}</definedName>
    <definedName name="kjl" localSheetId="16">{#N/A,#N/A,FALSE,"ENG'G(보호계전기)"}</definedName>
    <definedName name="kjl" localSheetId="18">{#N/A,#N/A,FALSE,"ENG'G(보호계전기)"}</definedName>
    <definedName name="kjl" localSheetId="10">{#N/A,#N/A,FALSE,"ENG'G(보호계전기)"}</definedName>
    <definedName name="kjl">{#N/A,#N/A,FALSE,"ENG'G(보호계전기)"}</definedName>
    <definedName name="KJOI" localSheetId="9">{#N/A,#N/A,FALSE,"Plan1";#N/A,#N/A,FALSE,"Plan2"}</definedName>
    <definedName name="KJOI" localSheetId="6">{#N/A,#N/A,FALSE,"Plan1";#N/A,#N/A,FALSE,"Plan2"}</definedName>
    <definedName name="KJOI" localSheetId="3">{#N/A,#N/A,FALSE,"Plan1";#N/A,#N/A,FALSE,"Plan2"}</definedName>
    <definedName name="KJOI" localSheetId="8">{#N/A,#N/A,FALSE,"Plan1";#N/A,#N/A,FALSE,"Plan2"}</definedName>
    <definedName name="KJOI" localSheetId="5">{#N/A,#N/A,FALSE,"Plan1";#N/A,#N/A,FALSE,"Plan2"}</definedName>
    <definedName name="KJOI" localSheetId="4">{#N/A,#N/A,FALSE,"Plan1";#N/A,#N/A,FALSE,"Plan2"}</definedName>
    <definedName name="KJOI" localSheetId="13">{#N/A,#N/A,FALSE,"Plan1";#N/A,#N/A,FALSE,"Plan2"}</definedName>
    <definedName name="KJOI" localSheetId="17">{#N/A,#N/A,FALSE,"Plan1";#N/A,#N/A,FALSE,"Plan2"}</definedName>
    <definedName name="KJOI" localSheetId="0">{#N/A,#N/A,FALSE,"Plan1";#N/A,#N/A,FALSE,"Plan2"}</definedName>
    <definedName name="KJOI" localSheetId="19">{#N/A,#N/A,FALSE,"Plan1";#N/A,#N/A,FALSE,"Plan2"}</definedName>
    <definedName name="KJOI" localSheetId="16">{#N/A,#N/A,FALSE,"Plan1";#N/A,#N/A,FALSE,"Plan2"}</definedName>
    <definedName name="KJOI" localSheetId="18">{#N/A,#N/A,FALSE,"Plan1";#N/A,#N/A,FALSE,"Plan2"}</definedName>
    <definedName name="KJOI" localSheetId="10">{#N/A,#N/A,FALSE,"Plan1";#N/A,#N/A,FALSE,"Plan2"}</definedName>
    <definedName name="KJOI">{#N/A,#N/A,FALSE,"Plan1";#N/A,#N/A,FALSE,"Plan2"}</definedName>
    <definedName name="kjqwerw" localSheetId="9">{#N/A,#N/A,FALSE,"Plan1";#N/A,#N/A,FALSE,"Plan2"}</definedName>
    <definedName name="kjqwerw" localSheetId="6">{#N/A,#N/A,FALSE,"Plan1";#N/A,#N/A,FALSE,"Plan2"}</definedName>
    <definedName name="kjqwerw" localSheetId="3">{#N/A,#N/A,FALSE,"Plan1";#N/A,#N/A,FALSE,"Plan2"}</definedName>
    <definedName name="kjqwerw" localSheetId="8">{#N/A,#N/A,FALSE,"Plan1";#N/A,#N/A,FALSE,"Plan2"}</definedName>
    <definedName name="kjqwerw" localSheetId="5">{#N/A,#N/A,FALSE,"Plan1";#N/A,#N/A,FALSE,"Plan2"}</definedName>
    <definedName name="kjqwerw" localSheetId="4">{#N/A,#N/A,FALSE,"Plan1";#N/A,#N/A,FALSE,"Plan2"}</definedName>
    <definedName name="kjqwerw" localSheetId="13">{#N/A,#N/A,FALSE,"Plan1";#N/A,#N/A,FALSE,"Plan2"}</definedName>
    <definedName name="kjqwerw" localSheetId="17">{#N/A,#N/A,FALSE,"Plan1";#N/A,#N/A,FALSE,"Plan2"}</definedName>
    <definedName name="kjqwerw" localSheetId="0">{#N/A,#N/A,FALSE,"Plan1";#N/A,#N/A,FALSE,"Plan2"}</definedName>
    <definedName name="kjqwerw" localSheetId="19">{#N/A,#N/A,FALSE,"Plan1";#N/A,#N/A,FALSE,"Plan2"}</definedName>
    <definedName name="kjqwerw" localSheetId="16">{#N/A,#N/A,FALSE,"Plan1";#N/A,#N/A,FALSE,"Plan2"}</definedName>
    <definedName name="kjqwerw" localSheetId="18">{#N/A,#N/A,FALSE,"Plan1";#N/A,#N/A,FALSE,"Plan2"}</definedName>
    <definedName name="kjqwerw" localSheetId="10">{#N/A,#N/A,FALSE,"Plan1";#N/A,#N/A,FALSE,"Plan2"}</definedName>
    <definedName name="kjqwerw">{#N/A,#N/A,FALSE,"Plan1";#N/A,#N/A,FALSE,"Plan2"}</definedName>
    <definedName name="kjsfert" localSheetId="9">{#N/A,#N/A,FALSE,"Plan1";#N/A,#N/A,FALSE,"Plan2"}</definedName>
    <definedName name="kjsfert" localSheetId="6">{#N/A,#N/A,FALSE,"Plan1";#N/A,#N/A,FALSE,"Plan2"}</definedName>
    <definedName name="kjsfert" localSheetId="3">{#N/A,#N/A,FALSE,"Plan1";#N/A,#N/A,FALSE,"Plan2"}</definedName>
    <definedName name="kjsfert" localSheetId="8">{#N/A,#N/A,FALSE,"Plan1";#N/A,#N/A,FALSE,"Plan2"}</definedName>
    <definedName name="kjsfert" localSheetId="5">{#N/A,#N/A,FALSE,"Plan1";#N/A,#N/A,FALSE,"Plan2"}</definedName>
    <definedName name="kjsfert" localSheetId="4">{#N/A,#N/A,FALSE,"Plan1";#N/A,#N/A,FALSE,"Plan2"}</definedName>
    <definedName name="kjsfert" localSheetId="13">{#N/A,#N/A,FALSE,"Plan1";#N/A,#N/A,FALSE,"Plan2"}</definedName>
    <definedName name="kjsfert" localSheetId="17">{#N/A,#N/A,FALSE,"Plan1";#N/A,#N/A,FALSE,"Plan2"}</definedName>
    <definedName name="kjsfert" localSheetId="0">{#N/A,#N/A,FALSE,"Plan1";#N/A,#N/A,FALSE,"Plan2"}</definedName>
    <definedName name="kjsfert" localSheetId="19">{#N/A,#N/A,FALSE,"Plan1";#N/A,#N/A,FALSE,"Plan2"}</definedName>
    <definedName name="kjsfert" localSheetId="16">{#N/A,#N/A,FALSE,"Plan1";#N/A,#N/A,FALSE,"Plan2"}</definedName>
    <definedName name="kjsfert" localSheetId="18">{#N/A,#N/A,FALSE,"Plan1";#N/A,#N/A,FALSE,"Plan2"}</definedName>
    <definedName name="kjsfert" localSheetId="10">{#N/A,#N/A,FALSE,"Plan1";#N/A,#N/A,FALSE,"Plan2"}</definedName>
    <definedName name="kjsfert">{#N/A,#N/A,FALSE,"Plan1";#N/A,#N/A,FALSE,"Plan2"}</definedName>
    <definedName name="KJXCFKR" localSheetId="9">{#N/A,#N/A,FALSE,"Plan1";#N/A,#N/A,FALSE,"Plan2"}</definedName>
    <definedName name="KJXCFKR" localSheetId="6">{#N/A,#N/A,FALSE,"Plan1";#N/A,#N/A,FALSE,"Plan2"}</definedName>
    <definedName name="KJXCFKR" localSheetId="3">{#N/A,#N/A,FALSE,"Plan1";#N/A,#N/A,FALSE,"Plan2"}</definedName>
    <definedName name="KJXCFKR" localSheetId="8">{#N/A,#N/A,FALSE,"Plan1";#N/A,#N/A,FALSE,"Plan2"}</definedName>
    <definedName name="KJXCFKR" localSheetId="5">{#N/A,#N/A,FALSE,"Plan1";#N/A,#N/A,FALSE,"Plan2"}</definedName>
    <definedName name="KJXCFKR" localSheetId="4">{#N/A,#N/A,FALSE,"Plan1";#N/A,#N/A,FALSE,"Plan2"}</definedName>
    <definedName name="KJXCFKR" localSheetId="13">{#N/A,#N/A,FALSE,"Plan1";#N/A,#N/A,FALSE,"Plan2"}</definedName>
    <definedName name="KJXCFKR" localSheetId="17">{#N/A,#N/A,FALSE,"Plan1";#N/A,#N/A,FALSE,"Plan2"}</definedName>
    <definedName name="KJXCFKR" localSheetId="0">{#N/A,#N/A,FALSE,"Plan1";#N/A,#N/A,FALSE,"Plan2"}</definedName>
    <definedName name="KJXCFKR" localSheetId="19">{#N/A,#N/A,FALSE,"Plan1";#N/A,#N/A,FALSE,"Plan2"}</definedName>
    <definedName name="KJXCFKR" localSheetId="16">{#N/A,#N/A,FALSE,"Plan1";#N/A,#N/A,FALSE,"Plan2"}</definedName>
    <definedName name="KJXCFKR" localSheetId="18">{#N/A,#N/A,FALSE,"Plan1";#N/A,#N/A,FALSE,"Plan2"}</definedName>
    <definedName name="KJXCFKR" localSheetId="10">{#N/A,#N/A,FALSE,"Plan1";#N/A,#N/A,FALSE,"Plan2"}</definedName>
    <definedName name="KJXCFKR">{#N/A,#N/A,FALSE,"Plan1";#N/A,#N/A,FALSE,"Plan2"}</definedName>
    <definedName name="KJXDFD" localSheetId="9">{#N/A,#N/A,FALSE,"Plan1";#N/A,#N/A,FALSE,"Plan2"}</definedName>
    <definedName name="KJXDFD" localSheetId="6">{#N/A,#N/A,FALSE,"Plan1";#N/A,#N/A,FALSE,"Plan2"}</definedName>
    <definedName name="KJXDFD" localSheetId="3">{#N/A,#N/A,FALSE,"Plan1";#N/A,#N/A,FALSE,"Plan2"}</definedName>
    <definedName name="KJXDFD" localSheetId="8">{#N/A,#N/A,FALSE,"Plan1";#N/A,#N/A,FALSE,"Plan2"}</definedName>
    <definedName name="KJXDFD" localSheetId="5">{#N/A,#N/A,FALSE,"Plan1";#N/A,#N/A,FALSE,"Plan2"}</definedName>
    <definedName name="KJXDFD" localSheetId="4">{#N/A,#N/A,FALSE,"Plan1";#N/A,#N/A,FALSE,"Plan2"}</definedName>
    <definedName name="KJXDFD" localSheetId="13">{#N/A,#N/A,FALSE,"Plan1";#N/A,#N/A,FALSE,"Plan2"}</definedName>
    <definedName name="KJXDFD" localSheetId="17">{#N/A,#N/A,FALSE,"Plan1";#N/A,#N/A,FALSE,"Plan2"}</definedName>
    <definedName name="KJXDFD" localSheetId="0">{#N/A,#N/A,FALSE,"Plan1";#N/A,#N/A,FALSE,"Plan2"}</definedName>
    <definedName name="KJXDFD" localSheetId="19">{#N/A,#N/A,FALSE,"Plan1";#N/A,#N/A,FALSE,"Plan2"}</definedName>
    <definedName name="KJXDFD" localSheetId="16">{#N/A,#N/A,FALSE,"Plan1";#N/A,#N/A,FALSE,"Plan2"}</definedName>
    <definedName name="KJXDFD" localSheetId="18">{#N/A,#N/A,FALSE,"Plan1";#N/A,#N/A,FALSE,"Plan2"}</definedName>
    <definedName name="KJXDFD" localSheetId="10">{#N/A,#N/A,FALSE,"Plan1";#N/A,#N/A,FALSE,"Plan2"}</definedName>
    <definedName name="KJXDFD">{#N/A,#N/A,FALSE,"Plan1";#N/A,#N/A,FALSE,"Plan2"}</definedName>
    <definedName name="kjydhfkjghkjfh" localSheetId="3">#REF!</definedName>
    <definedName name="kjydhfkjghkjfh" localSheetId="5">#REF!</definedName>
    <definedName name="kjydhfkjghkjfh" localSheetId="13">#REF!</definedName>
    <definedName name="kjydhfkjghkjfh" localSheetId="26">#REF!</definedName>
    <definedName name="kjydhfkjghkjfh" localSheetId="0">#REF!</definedName>
    <definedName name="kjydhfkjghkjfh">#REF!</definedName>
    <definedName name="kk" localSheetId="3">#REF!</definedName>
    <definedName name="kk" localSheetId="5">#REF!</definedName>
    <definedName name="kk" localSheetId="13">#REF!</definedName>
    <definedName name="kk" localSheetId="26">#REF!</definedName>
    <definedName name="kk">#REF!</definedName>
    <definedName name="kk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9">{#N/A,#N/A,FALSE,"Plan1";#N/A,#N/A,FALSE,"Plan2"}</definedName>
    <definedName name="kkk" localSheetId="6">{#N/A,#N/A,FALSE,"Plan1";#N/A,#N/A,FALSE,"Plan2"}</definedName>
    <definedName name="kkk" localSheetId="3">{#N/A,#N/A,FALSE,"Plan1";#N/A,#N/A,FALSE,"Plan2"}</definedName>
    <definedName name="kkk" localSheetId="8">{#N/A,#N/A,FALSE,"Plan1";#N/A,#N/A,FALSE,"Plan2"}</definedName>
    <definedName name="kkk" localSheetId="5">{#N/A,#N/A,FALSE,"Plan1";#N/A,#N/A,FALSE,"Plan2"}</definedName>
    <definedName name="kkk" localSheetId="4">{#N/A,#N/A,FALSE,"Plan1";#N/A,#N/A,FALSE,"Plan2"}</definedName>
    <definedName name="kkk" localSheetId="13">{#N/A,#N/A,FALSE,"Plan1";#N/A,#N/A,FALSE,"Plan2"}</definedName>
    <definedName name="kkk" localSheetId="17">{#N/A,#N/A,FALSE,"Plan1";#N/A,#N/A,FALSE,"Plan2"}</definedName>
    <definedName name="kkk" localSheetId="0">{#N/A,#N/A,FALSE,"Plan1";#N/A,#N/A,FALSE,"Plan2"}</definedName>
    <definedName name="kkk" localSheetId="19">{#N/A,#N/A,FALSE,"Plan1";#N/A,#N/A,FALSE,"Plan2"}</definedName>
    <definedName name="kkk" localSheetId="16">{#N/A,#N/A,FALSE,"Plan1";#N/A,#N/A,FALSE,"Plan2"}</definedName>
    <definedName name="kkk" localSheetId="18">{#N/A,#N/A,FALSE,"Plan1";#N/A,#N/A,FALSE,"Plan2"}</definedName>
    <definedName name="kkk" localSheetId="10">{#N/A,#N/A,FALSE,"Plan1";#N/A,#N/A,FALSE,"Plan2"}</definedName>
    <definedName name="kkk">{#N/A,#N/A,FALSE,"Plan1";#N/A,#N/A,FALSE,"Plan2"}</definedName>
    <definedName name="kkkkk" localSheetId="9">{#N/A,#N/A,FALSE,"Plan1";#N/A,#N/A,FALSE,"Plan2"}</definedName>
    <definedName name="kkkkk" localSheetId="6">{#N/A,#N/A,FALSE,"Plan1";#N/A,#N/A,FALSE,"Plan2"}</definedName>
    <definedName name="kkkkk" localSheetId="3">{#N/A,#N/A,FALSE,"Plan1";#N/A,#N/A,FALSE,"Plan2"}</definedName>
    <definedName name="kkkkk" localSheetId="8">{#N/A,#N/A,FALSE,"Plan1";#N/A,#N/A,FALSE,"Plan2"}</definedName>
    <definedName name="kkkkk" localSheetId="5">{#N/A,#N/A,FALSE,"Plan1";#N/A,#N/A,FALSE,"Plan2"}</definedName>
    <definedName name="kkkkk" localSheetId="4">{#N/A,#N/A,FALSE,"Plan1";#N/A,#N/A,FALSE,"Plan2"}</definedName>
    <definedName name="kkkkk" localSheetId="13">{#N/A,#N/A,FALSE,"Plan1";#N/A,#N/A,FALSE,"Plan2"}</definedName>
    <definedName name="kkkkk" localSheetId="17">{#N/A,#N/A,FALSE,"Plan1";#N/A,#N/A,FALSE,"Plan2"}</definedName>
    <definedName name="kkkkk" localSheetId="0">{#N/A,#N/A,FALSE,"Plan1";#N/A,#N/A,FALSE,"Plan2"}</definedName>
    <definedName name="kkkkk" localSheetId="19">{#N/A,#N/A,FALSE,"Plan1";#N/A,#N/A,FALSE,"Plan2"}</definedName>
    <definedName name="kkkkk" localSheetId="16">{#N/A,#N/A,FALSE,"Plan1";#N/A,#N/A,FALSE,"Plan2"}</definedName>
    <definedName name="kkkkk" localSheetId="18">{#N/A,#N/A,FALSE,"Plan1";#N/A,#N/A,FALSE,"Plan2"}</definedName>
    <definedName name="kkkkk" localSheetId="10">{#N/A,#N/A,FALSE,"Plan1";#N/A,#N/A,FALSE,"Plan2"}</definedName>
    <definedName name="kkkkk">{#N/A,#N/A,FALSE,"Plan1";#N/A,#N/A,FALSE,"Plan2"}</definedName>
    <definedName name="kkkkkk" localSheetId="9">{#N/A,#N/A,FALSE,"Plan1";#N/A,#N/A,FALSE,"Plan2"}</definedName>
    <definedName name="kkkkkk" localSheetId="6">{#N/A,#N/A,FALSE,"Plan1";#N/A,#N/A,FALSE,"Plan2"}</definedName>
    <definedName name="kkkkkk" localSheetId="3">{#N/A,#N/A,FALSE,"Plan1";#N/A,#N/A,FALSE,"Plan2"}</definedName>
    <definedName name="kkkkkk" localSheetId="8">{#N/A,#N/A,FALSE,"Plan1";#N/A,#N/A,FALSE,"Plan2"}</definedName>
    <definedName name="kkkkkk" localSheetId="5">{#N/A,#N/A,FALSE,"Plan1";#N/A,#N/A,FALSE,"Plan2"}</definedName>
    <definedName name="kkkkkk" localSheetId="4">{#N/A,#N/A,FALSE,"Plan1";#N/A,#N/A,FALSE,"Plan2"}</definedName>
    <definedName name="kkkkkk" localSheetId="13">{#N/A,#N/A,FALSE,"Plan1";#N/A,#N/A,FALSE,"Plan2"}</definedName>
    <definedName name="kkkkkk" localSheetId="17">{#N/A,#N/A,FALSE,"Plan1";#N/A,#N/A,FALSE,"Plan2"}</definedName>
    <definedName name="kkkkkk" localSheetId="0">{#N/A,#N/A,FALSE,"Plan1";#N/A,#N/A,FALSE,"Plan2"}</definedName>
    <definedName name="kkkkkk" localSheetId="19">{#N/A,#N/A,FALSE,"Plan1";#N/A,#N/A,FALSE,"Plan2"}</definedName>
    <definedName name="kkkkkk" localSheetId="16">{#N/A,#N/A,FALSE,"Plan1";#N/A,#N/A,FALSE,"Plan2"}</definedName>
    <definedName name="kkkkkk" localSheetId="18">{#N/A,#N/A,FALSE,"Plan1";#N/A,#N/A,FALSE,"Plan2"}</definedName>
    <definedName name="kkkkkk" localSheetId="10">{#N/A,#N/A,FALSE,"Plan1";#N/A,#N/A,FALSE,"Plan2"}</definedName>
    <definedName name="kkkkkk">{#N/A,#N/A,FALSE,"Plan1";#N/A,#N/A,FALSE,"Plan2"}</definedName>
    <definedName name="kk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9">{#N/A,#N/A,FALSE,"Plan1";#N/A,#N/A,FALSE,"Plan2"}</definedName>
    <definedName name="kksaklçer" localSheetId="6">{#N/A,#N/A,FALSE,"Plan1";#N/A,#N/A,FALSE,"Plan2"}</definedName>
    <definedName name="kksaklçer" localSheetId="3">{#N/A,#N/A,FALSE,"Plan1";#N/A,#N/A,FALSE,"Plan2"}</definedName>
    <definedName name="kksaklçer" localSheetId="8">{#N/A,#N/A,FALSE,"Plan1";#N/A,#N/A,FALSE,"Plan2"}</definedName>
    <definedName name="kksaklçer" localSheetId="5">{#N/A,#N/A,FALSE,"Plan1";#N/A,#N/A,FALSE,"Plan2"}</definedName>
    <definedName name="kksaklçer" localSheetId="4">{#N/A,#N/A,FALSE,"Plan1";#N/A,#N/A,FALSE,"Plan2"}</definedName>
    <definedName name="kksaklçer" localSheetId="13">{#N/A,#N/A,FALSE,"Plan1";#N/A,#N/A,FALSE,"Plan2"}</definedName>
    <definedName name="kksaklçer" localSheetId="17">{#N/A,#N/A,FALSE,"Plan1";#N/A,#N/A,FALSE,"Plan2"}</definedName>
    <definedName name="kksaklçer" localSheetId="0">{#N/A,#N/A,FALSE,"Plan1";#N/A,#N/A,FALSE,"Plan2"}</definedName>
    <definedName name="kksaklçer" localSheetId="19">{#N/A,#N/A,FALSE,"Plan1";#N/A,#N/A,FALSE,"Plan2"}</definedName>
    <definedName name="kksaklçer" localSheetId="16">{#N/A,#N/A,FALSE,"Plan1";#N/A,#N/A,FALSE,"Plan2"}</definedName>
    <definedName name="kksaklçer" localSheetId="18">{#N/A,#N/A,FALSE,"Plan1";#N/A,#N/A,FALSE,"Plan2"}</definedName>
    <definedName name="kksaklçer" localSheetId="10">{#N/A,#N/A,FALSE,"Plan1";#N/A,#N/A,FALSE,"Plan2"}</definedName>
    <definedName name="kksaklçer">{#N/A,#N/A,FALSE,"Plan1";#N/A,#N/A,FALSE,"Plan2"}</definedName>
    <definedName name="kksarde" localSheetId="9">{#N/A,#N/A,FALSE,"Plan1";#N/A,#N/A,FALSE,"Plan2"}</definedName>
    <definedName name="kksarde" localSheetId="6">{#N/A,#N/A,FALSE,"Plan1";#N/A,#N/A,FALSE,"Plan2"}</definedName>
    <definedName name="kksarde" localSheetId="3">{#N/A,#N/A,FALSE,"Plan1";#N/A,#N/A,FALSE,"Plan2"}</definedName>
    <definedName name="kksarde" localSheetId="8">{#N/A,#N/A,FALSE,"Plan1";#N/A,#N/A,FALSE,"Plan2"}</definedName>
    <definedName name="kksarde" localSheetId="5">{#N/A,#N/A,FALSE,"Plan1";#N/A,#N/A,FALSE,"Plan2"}</definedName>
    <definedName name="kksarde" localSheetId="4">{#N/A,#N/A,FALSE,"Plan1";#N/A,#N/A,FALSE,"Plan2"}</definedName>
    <definedName name="kksarde" localSheetId="13">{#N/A,#N/A,FALSE,"Plan1";#N/A,#N/A,FALSE,"Plan2"}</definedName>
    <definedName name="kksarde" localSheetId="17">{#N/A,#N/A,FALSE,"Plan1";#N/A,#N/A,FALSE,"Plan2"}</definedName>
    <definedName name="kksarde" localSheetId="0">{#N/A,#N/A,FALSE,"Plan1";#N/A,#N/A,FALSE,"Plan2"}</definedName>
    <definedName name="kksarde" localSheetId="19">{#N/A,#N/A,FALSE,"Plan1";#N/A,#N/A,FALSE,"Plan2"}</definedName>
    <definedName name="kksarde" localSheetId="16">{#N/A,#N/A,FALSE,"Plan1";#N/A,#N/A,FALSE,"Plan2"}</definedName>
    <definedName name="kksarde" localSheetId="18">{#N/A,#N/A,FALSE,"Plan1";#N/A,#N/A,FALSE,"Plan2"}</definedName>
    <definedName name="kksarde" localSheetId="10">{#N/A,#N/A,FALSE,"Plan1";#N/A,#N/A,FALSE,"Plan2"}</definedName>
    <definedName name="kksarde">{#N/A,#N/A,FALSE,"Plan1";#N/A,#N/A,FALSE,"Plan2"}</definedName>
    <definedName name="klaskldjsw" localSheetId="9">{#N/A,#N/A,FALSE,"Plan1";#N/A,#N/A,FALSE,"Plan2"}</definedName>
    <definedName name="klaskldjsw" localSheetId="6">{#N/A,#N/A,FALSE,"Plan1";#N/A,#N/A,FALSE,"Plan2"}</definedName>
    <definedName name="klaskldjsw" localSheetId="3">{#N/A,#N/A,FALSE,"Plan1";#N/A,#N/A,FALSE,"Plan2"}</definedName>
    <definedName name="klaskldjsw" localSheetId="8">{#N/A,#N/A,FALSE,"Plan1";#N/A,#N/A,FALSE,"Plan2"}</definedName>
    <definedName name="klaskldjsw" localSheetId="5">{#N/A,#N/A,FALSE,"Plan1";#N/A,#N/A,FALSE,"Plan2"}</definedName>
    <definedName name="klaskldjsw" localSheetId="4">{#N/A,#N/A,FALSE,"Plan1";#N/A,#N/A,FALSE,"Plan2"}</definedName>
    <definedName name="klaskldjsw" localSheetId="13">{#N/A,#N/A,FALSE,"Plan1";#N/A,#N/A,FALSE,"Plan2"}</definedName>
    <definedName name="klaskldjsw" localSheetId="17">{#N/A,#N/A,FALSE,"Plan1";#N/A,#N/A,FALSE,"Plan2"}</definedName>
    <definedName name="klaskldjsw" localSheetId="0">{#N/A,#N/A,FALSE,"Plan1";#N/A,#N/A,FALSE,"Plan2"}</definedName>
    <definedName name="klaskldjsw" localSheetId="19">{#N/A,#N/A,FALSE,"Plan1";#N/A,#N/A,FALSE,"Plan2"}</definedName>
    <definedName name="klaskldjsw" localSheetId="16">{#N/A,#N/A,FALSE,"Plan1";#N/A,#N/A,FALSE,"Plan2"}</definedName>
    <definedName name="klaskldjsw" localSheetId="18">{#N/A,#N/A,FALSE,"Plan1";#N/A,#N/A,FALSE,"Plan2"}</definedName>
    <definedName name="klaskldjsw" localSheetId="10">{#N/A,#N/A,FALSE,"Plan1";#N/A,#N/A,FALSE,"Plan2"}</definedName>
    <definedName name="klaskldjsw">{#N/A,#N/A,FALSE,"Plan1";#N/A,#N/A,FALSE,"Plan2"}</definedName>
    <definedName name="klçkop" localSheetId="9">{#N/A,#N/A,FALSE,"Plan1";#N/A,#N/A,FALSE,"Plan2"}</definedName>
    <definedName name="klçkop" localSheetId="6">{#N/A,#N/A,FALSE,"Plan1";#N/A,#N/A,FALSE,"Plan2"}</definedName>
    <definedName name="klçkop" localSheetId="3">{#N/A,#N/A,FALSE,"Plan1";#N/A,#N/A,FALSE,"Plan2"}</definedName>
    <definedName name="klçkop" localSheetId="8">{#N/A,#N/A,FALSE,"Plan1";#N/A,#N/A,FALSE,"Plan2"}</definedName>
    <definedName name="klçkop" localSheetId="5">{#N/A,#N/A,FALSE,"Plan1";#N/A,#N/A,FALSE,"Plan2"}</definedName>
    <definedName name="klçkop" localSheetId="4">{#N/A,#N/A,FALSE,"Plan1";#N/A,#N/A,FALSE,"Plan2"}</definedName>
    <definedName name="klçkop" localSheetId="13">{#N/A,#N/A,FALSE,"Plan1";#N/A,#N/A,FALSE,"Plan2"}</definedName>
    <definedName name="klçkop" localSheetId="17">{#N/A,#N/A,FALSE,"Plan1";#N/A,#N/A,FALSE,"Plan2"}</definedName>
    <definedName name="klçkop" localSheetId="0">{#N/A,#N/A,FALSE,"Plan1";#N/A,#N/A,FALSE,"Plan2"}</definedName>
    <definedName name="klçkop" localSheetId="19">{#N/A,#N/A,FALSE,"Plan1";#N/A,#N/A,FALSE,"Plan2"}</definedName>
    <definedName name="klçkop" localSheetId="16">{#N/A,#N/A,FALSE,"Plan1";#N/A,#N/A,FALSE,"Plan2"}</definedName>
    <definedName name="klçkop" localSheetId="18">{#N/A,#N/A,FALSE,"Plan1";#N/A,#N/A,FALSE,"Plan2"}</definedName>
    <definedName name="klçkop" localSheetId="10">{#N/A,#N/A,FALSE,"Plan1";#N/A,#N/A,FALSE,"Plan2"}</definedName>
    <definedName name="klçkop">{#N/A,#N/A,FALSE,"Plan1";#N/A,#N/A,FALSE,"Plan2"}</definedName>
    <definedName name="KLDFNTRDT" localSheetId="9">{#N/A,#N/A,FALSE,"Plan1";#N/A,#N/A,FALSE,"Plan2"}</definedName>
    <definedName name="KLDFNTRDT" localSheetId="6">{#N/A,#N/A,FALSE,"Plan1";#N/A,#N/A,FALSE,"Plan2"}</definedName>
    <definedName name="KLDFNTRDT" localSheetId="3">{#N/A,#N/A,FALSE,"Plan1";#N/A,#N/A,FALSE,"Plan2"}</definedName>
    <definedName name="KLDFNTRDT" localSheetId="8">{#N/A,#N/A,FALSE,"Plan1";#N/A,#N/A,FALSE,"Plan2"}</definedName>
    <definedName name="KLDFNTRDT" localSheetId="5">{#N/A,#N/A,FALSE,"Plan1";#N/A,#N/A,FALSE,"Plan2"}</definedName>
    <definedName name="KLDFNTRDT" localSheetId="4">{#N/A,#N/A,FALSE,"Plan1";#N/A,#N/A,FALSE,"Plan2"}</definedName>
    <definedName name="KLDFNTRDT" localSheetId="13">{#N/A,#N/A,FALSE,"Plan1";#N/A,#N/A,FALSE,"Plan2"}</definedName>
    <definedName name="KLDFNTRDT" localSheetId="17">{#N/A,#N/A,FALSE,"Plan1";#N/A,#N/A,FALSE,"Plan2"}</definedName>
    <definedName name="KLDFNTRDT" localSheetId="0">{#N/A,#N/A,FALSE,"Plan1";#N/A,#N/A,FALSE,"Plan2"}</definedName>
    <definedName name="KLDFNTRDT" localSheetId="19">{#N/A,#N/A,FALSE,"Plan1";#N/A,#N/A,FALSE,"Plan2"}</definedName>
    <definedName name="KLDFNTRDT" localSheetId="16">{#N/A,#N/A,FALSE,"Plan1";#N/A,#N/A,FALSE,"Plan2"}</definedName>
    <definedName name="KLDFNTRDT" localSheetId="18">{#N/A,#N/A,FALSE,"Plan1";#N/A,#N/A,FALSE,"Plan2"}</definedName>
    <definedName name="KLDFNTRDT" localSheetId="10">{#N/A,#N/A,FALSE,"Plan1";#N/A,#N/A,FALSE,"Plan2"}</definedName>
    <definedName name="KLDFNTRDT">{#N/A,#N/A,FALSE,"Plan1";#N/A,#N/A,FALSE,"Plan2"}</definedName>
    <definedName name="klhjsdklhdf" localSheetId="9">{#N/A,#N/A,FALSE,"Plan1";#N/A,#N/A,FALSE,"Plan2"}</definedName>
    <definedName name="klhjsdklhdf" localSheetId="6">{#N/A,#N/A,FALSE,"Plan1";#N/A,#N/A,FALSE,"Plan2"}</definedName>
    <definedName name="klhjsdklhdf" localSheetId="3">{#N/A,#N/A,FALSE,"Plan1";#N/A,#N/A,FALSE,"Plan2"}</definedName>
    <definedName name="klhjsdklhdf" localSheetId="8">{#N/A,#N/A,FALSE,"Plan1";#N/A,#N/A,FALSE,"Plan2"}</definedName>
    <definedName name="klhjsdklhdf" localSheetId="5">{#N/A,#N/A,FALSE,"Plan1";#N/A,#N/A,FALSE,"Plan2"}</definedName>
    <definedName name="klhjsdklhdf" localSheetId="4">{#N/A,#N/A,FALSE,"Plan1";#N/A,#N/A,FALSE,"Plan2"}</definedName>
    <definedName name="klhjsdklhdf" localSheetId="13">{#N/A,#N/A,FALSE,"Plan1";#N/A,#N/A,FALSE,"Plan2"}</definedName>
    <definedName name="klhjsdklhdf" localSheetId="17">{#N/A,#N/A,FALSE,"Plan1";#N/A,#N/A,FALSE,"Plan2"}</definedName>
    <definedName name="klhjsdklhdf" localSheetId="0">{#N/A,#N/A,FALSE,"Plan1";#N/A,#N/A,FALSE,"Plan2"}</definedName>
    <definedName name="klhjsdklhdf" localSheetId="19">{#N/A,#N/A,FALSE,"Plan1";#N/A,#N/A,FALSE,"Plan2"}</definedName>
    <definedName name="klhjsdklhdf" localSheetId="16">{#N/A,#N/A,FALSE,"Plan1";#N/A,#N/A,FALSE,"Plan2"}</definedName>
    <definedName name="klhjsdklhdf" localSheetId="18">{#N/A,#N/A,FALSE,"Plan1";#N/A,#N/A,FALSE,"Plan2"}</definedName>
    <definedName name="klhjsdklhdf" localSheetId="10">{#N/A,#N/A,FALSE,"Plan1";#N/A,#N/A,FALSE,"Plan2"}</definedName>
    <definedName name="klhjsdklhdf">{#N/A,#N/A,FALSE,"Plan1";#N/A,#N/A,FALSE,"Plan2"}</definedName>
    <definedName name="KLHSKLRHWE" localSheetId="9">{#N/A,#N/A,FALSE,"Plan1";#N/A,#N/A,FALSE,"Plan2"}</definedName>
    <definedName name="KLHSKLRHWE" localSheetId="6">{#N/A,#N/A,FALSE,"Plan1";#N/A,#N/A,FALSE,"Plan2"}</definedName>
    <definedName name="KLHSKLRHWE" localSheetId="3">{#N/A,#N/A,FALSE,"Plan1";#N/A,#N/A,FALSE,"Plan2"}</definedName>
    <definedName name="KLHSKLRHWE" localSheetId="8">{#N/A,#N/A,FALSE,"Plan1";#N/A,#N/A,FALSE,"Plan2"}</definedName>
    <definedName name="KLHSKLRHWE" localSheetId="5">{#N/A,#N/A,FALSE,"Plan1";#N/A,#N/A,FALSE,"Plan2"}</definedName>
    <definedName name="KLHSKLRHWE" localSheetId="4">{#N/A,#N/A,FALSE,"Plan1";#N/A,#N/A,FALSE,"Plan2"}</definedName>
    <definedName name="KLHSKLRHWE" localSheetId="13">{#N/A,#N/A,FALSE,"Plan1";#N/A,#N/A,FALSE,"Plan2"}</definedName>
    <definedName name="KLHSKLRHWE" localSheetId="17">{#N/A,#N/A,FALSE,"Plan1";#N/A,#N/A,FALSE,"Plan2"}</definedName>
    <definedName name="KLHSKLRHWE" localSheetId="0">{#N/A,#N/A,FALSE,"Plan1";#N/A,#N/A,FALSE,"Plan2"}</definedName>
    <definedName name="KLHSKLRHWE" localSheetId="19">{#N/A,#N/A,FALSE,"Plan1";#N/A,#N/A,FALSE,"Plan2"}</definedName>
    <definedName name="KLHSKLRHWE" localSheetId="16">{#N/A,#N/A,FALSE,"Plan1";#N/A,#N/A,FALSE,"Plan2"}</definedName>
    <definedName name="KLHSKLRHWE" localSheetId="18">{#N/A,#N/A,FALSE,"Plan1";#N/A,#N/A,FALSE,"Plan2"}</definedName>
    <definedName name="KLHSKLRHWE" localSheetId="10">{#N/A,#N/A,FALSE,"Plan1";#N/A,#N/A,FALSE,"Plan2"}</definedName>
    <definedName name="KLHSKLRHWE">{#N/A,#N/A,FALSE,"Plan1";#N/A,#N/A,FALSE,"Plan2"}</definedName>
    <definedName name="KLJASKJD" localSheetId="9">{#N/A,#N/A,FALSE,"Plan1";#N/A,#N/A,FALSE,"Plan2"}</definedName>
    <definedName name="KLJASKJD" localSheetId="6">{#N/A,#N/A,FALSE,"Plan1";#N/A,#N/A,FALSE,"Plan2"}</definedName>
    <definedName name="KLJASKJD" localSheetId="3">{#N/A,#N/A,FALSE,"Plan1";#N/A,#N/A,FALSE,"Plan2"}</definedName>
    <definedName name="KLJASKJD" localSheetId="8">{#N/A,#N/A,FALSE,"Plan1";#N/A,#N/A,FALSE,"Plan2"}</definedName>
    <definedName name="KLJASKJD" localSheetId="5">{#N/A,#N/A,FALSE,"Plan1";#N/A,#N/A,FALSE,"Plan2"}</definedName>
    <definedName name="KLJASKJD" localSheetId="4">{#N/A,#N/A,FALSE,"Plan1";#N/A,#N/A,FALSE,"Plan2"}</definedName>
    <definedName name="KLJASKJD" localSheetId="13">{#N/A,#N/A,FALSE,"Plan1";#N/A,#N/A,FALSE,"Plan2"}</definedName>
    <definedName name="KLJASKJD" localSheetId="17">{#N/A,#N/A,FALSE,"Plan1";#N/A,#N/A,FALSE,"Plan2"}</definedName>
    <definedName name="KLJASKJD" localSheetId="0">{#N/A,#N/A,FALSE,"Plan1";#N/A,#N/A,FALSE,"Plan2"}</definedName>
    <definedName name="KLJASKJD" localSheetId="19">{#N/A,#N/A,FALSE,"Plan1";#N/A,#N/A,FALSE,"Plan2"}</definedName>
    <definedName name="KLJASKJD" localSheetId="16">{#N/A,#N/A,FALSE,"Plan1";#N/A,#N/A,FALSE,"Plan2"}</definedName>
    <definedName name="KLJASKJD" localSheetId="18">{#N/A,#N/A,FALSE,"Plan1";#N/A,#N/A,FALSE,"Plan2"}</definedName>
    <definedName name="KLJASKJD" localSheetId="10">{#N/A,#N/A,FALSE,"Plan1";#N/A,#N/A,FALSE,"Plan2"}</definedName>
    <definedName name="KLJASKJD">{#N/A,#N/A,FALSE,"Plan1";#N/A,#N/A,FALSE,"Plan2"}</definedName>
    <definedName name="KLJDXL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9">{#N/A,#N/A,FALSE,"Plan1";#N/A,#N/A,FALSE,"Plan2"}</definedName>
    <definedName name="kljeflwr" localSheetId="6">{#N/A,#N/A,FALSE,"Plan1";#N/A,#N/A,FALSE,"Plan2"}</definedName>
    <definedName name="kljeflwr" localSheetId="3">{#N/A,#N/A,FALSE,"Plan1";#N/A,#N/A,FALSE,"Plan2"}</definedName>
    <definedName name="kljeflwr" localSheetId="8">{#N/A,#N/A,FALSE,"Plan1";#N/A,#N/A,FALSE,"Plan2"}</definedName>
    <definedName name="kljeflwr" localSheetId="5">{#N/A,#N/A,FALSE,"Plan1";#N/A,#N/A,FALSE,"Plan2"}</definedName>
    <definedName name="kljeflwr" localSheetId="4">{#N/A,#N/A,FALSE,"Plan1";#N/A,#N/A,FALSE,"Plan2"}</definedName>
    <definedName name="kljeflwr" localSheetId="13">{#N/A,#N/A,FALSE,"Plan1";#N/A,#N/A,FALSE,"Plan2"}</definedName>
    <definedName name="kljeflwr" localSheetId="17">{#N/A,#N/A,FALSE,"Plan1";#N/A,#N/A,FALSE,"Plan2"}</definedName>
    <definedName name="kljeflwr" localSheetId="0">{#N/A,#N/A,FALSE,"Plan1";#N/A,#N/A,FALSE,"Plan2"}</definedName>
    <definedName name="kljeflwr" localSheetId="19">{#N/A,#N/A,FALSE,"Plan1";#N/A,#N/A,FALSE,"Plan2"}</definedName>
    <definedName name="kljeflwr" localSheetId="16">{#N/A,#N/A,FALSE,"Plan1";#N/A,#N/A,FALSE,"Plan2"}</definedName>
    <definedName name="kljeflwr" localSheetId="18">{#N/A,#N/A,FALSE,"Plan1";#N/A,#N/A,FALSE,"Plan2"}</definedName>
    <definedName name="kljeflwr" localSheetId="10">{#N/A,#N/A,FALSE,"Plan1";#N/A,#N/A,FALSE,"Plan2"}</definedName>
    <definedName name="kljeflwr">{#N/A,#N/A,FALSE,"Plan1";#N/A,#N/A,FALSE,"Plan2"}</definedName>
    <definedName name="kljflgjrf" localSheetId="9">{#N/A,#N/A,FALSE,"Plan1";#N/A,#N/A,FALSE,"Plan2"}</definedName>
    <definedName name="kljflgjrf" localSheetId="6">{#N/A,#N/A,FALSE,"Plan1";#N/A,#N/A,FALSE,"Plan2"}</definedName>
    <definedName name="kljflgjrf" localSheetId="3">{#N/A,#N/A,FALSE,"Plan1";#N/A,#N/A,FALSE,"Plan2"}</definedName>
    <definedName name="kljflgjrf" localSheetId="8">{#N/A,#N/A,FALSE,"Plan1";#N/A,#N/A,FALSE,"Plan2"}</definedName>
    <definedName name="kljflgjrf" localSheetId="5">{#N/A,#N/A,FALSE,"Plan1";#N/A,#N/A,FALSE,"Plan2"}</definedName>
    <definedName name="kljflgjrf" localSheetId="4">{#N/A,#N/A,FALSE,"Plan1";#N/A,#N/A,FALSE,"Plan2"}</definedName>
    <definedName name="kljflgjrf" localSheetId="13">{#N/A,#N/A,FALSE,"Plan1";#N/A,#N/A,FALSE,"Plan2"}</definedName>
    <definedName name="kljflgjrf" localSheetId="17">{#N/A,#N/A,FALSE,"Plan1";#N/A,#N/A,FALSE,"Plan2"}</definedName>
    <definedName name="kljflgjrf" localSheetId="0">{#N/A,#N/A,FALSE,"Plan1";#N/A,#N/A,FALSE,"Plan2"}</definedName>
    <definedName name="kljflgjrf" localSheetId="19">{#N/A,#N/A,FALSE,"Plan1";#N/A,#N/A,FALSE,"Plan2"}</definedName>
    <definedName name="kljflgjrf" localSheetId="16">{#N/A,#N/A,FALSE,"Plan1";#N/A,#N/A,FALSE,"Plan2"}</definedName>
    <definedName name="kljflgjrf" localSheetId="18">{#N/A,#N/A,FALSE,"Plan1";#N/A,#N/A,FALSE,"Plan2"}</definedName>
    <definedName name="kljflgjrf" localSheetId="10">{#N/A,#N/A,FALSE,"Plan1";#N/A,#N/A,FALSE,"Plan2"}</definedName>
    <definedName name="kljflgjrf">{#N/A,#N/A,FALSE,"Plan1";#N/A,#N/A,FALSE,"Plan2"}</definedName>
    <definedName name="kljgfdfr" localSheetId="9">{#N/A,#N/A,FALSE,"Plan1";#N/A,#N/A,FALSE,"Plan2"}</definedName>
    <definedName name="kljgfdfr" localSheetId="6">{#N/A,#N/A,FALSE,"Plan1";#N/A,#N/A,FALSE,"Plan2"}</definedName>
    <definedName name="kljgfdfr" localSheetId="3">{#N/A,#N/A,FALSE,"Plan1";#N/A,#N/A,FALSE,"Plan2"}</definedName>
    <definedName name="kljgfdfr" localSheetId="8">{#N/A,#N/A,FALSE,"Plan1";#N/A,#N/A,FALSE,"Plan2"}</definedName>
    <definedName name="kljgfdfr" localSheetId="5">{#N/A,#N/A,FALSE,"Plan1";#N/A,#N/A,FALSE,"Plan2"}</definedName>
    <definedName name="kljgfdfr" localSheetId="4">{#N/A,#N/A,FALSE,"Plan1";#N/A,#N/A,FALSE,"Plan2"}</definedName>
    <definedName name="kljgfdfr" localSheetId="13">{#N/A,#N/A,FALSE,"Plan1";#N/A,#N/A,FALSE,"Plan2"}</definedName>
    <definedName name="kljgfdfr" localSheetId="17">{#N/A,#N/A,FALSE,"Plan1";#N/A,#N/A,FALSE,"Plan2"}</definedName>
    <definedName name="kljgfdfr" localSheetId="0">{#N/A,#N/A,FALSE,"Plan1";#N/A,#N/A,FALSE,"Plan2"}</definedName>
    <definedName name="kljgfdfr" localSheetId="19">{#N/A,#N/A,FALSE,"Plan1";#N/A,#N/A,FALSE,"Plan2"}</definedName>
    <definedName name="kljgfdfr" localSheetId="16">{#N/A,#N/A,FALSE,"Plan1";#N/A,#N/A,FALSE,"Plan2"}</definedName>
    <definedName name="kljgfdfr" localSheetId="18">{#N/A,#N/A,FALSE,"Plan1";#N/A,#N/A,FALSE,"Plan2"}</definedName>
    <definedName name="kljgfdfr" localSheetId="10">{#N/A,#N/A,FALSE,"Plan1";#N/A,#N/A,FALSE,"Plan2"}</definedName>
    <definedName name="kljgfdfr">{#N/A,#N/A,FALSE,"Plan1";#N/A,#N/A,FALSE,"Plan2"}</definedName>
    <definedName name="kljgfjrt" localSheetId="9">{#N/A,#N/A,FALSE,"Plan1";#N/A,#N/A,FALSE,"Plan2"}</definedName>
    <definedName name="kljgfjrt" localSheetId="6">{#N/A,#N/A,FALSE,"Plan1";#N/A,#N/A,FALSE,"Plan2"}</definedName>
    <definedName name="kljgfjrt" localSheetId="3">{#N/A,#N/A,FALSE,"Plan1";#N/A,#N/A,FALSE,"Plan2"}</definedName>
    <definedName name="kljgfjrt" localSheetId="8">{#N/A,#N/A,FALSE,"Plan1";#N/A,#N/A,FALSE,"Plan2"}</definedName>
    <definedName name="kljgfjrt" localSheetId="5">{#N/A,#N/A,FALSE,"Plan1";#N/A,#N/A,FALSE,"Plan2"}</definedName>
    <definedName name="kljgfjrt" localSheetId="4">{#N/A,#N/A,FALSE,"Plan1";#N/A,#N/A,FALSE,"Plan2"}</definedName>
    <definedName name="kljgfjrt" localSheetId="13">{#N/A,#N/A,FALSE,"Plan1";#N/A,#N/A,FALSE,"Plan2"}</definedName>
    <definedName name="kljgfjrt" localSheetId="17">{#N/A,#N/A,FALSE,"Plan1";#N/A,#N/A,FALSE,"Plan2"}</definedName>
    <definedName name="kljgfjrt" localSheetId="0">{#N/A,#N/A,FALSE,"Plan1";#N/A,#N/A,FALSE,"Plan2"}</definedName>
    <definedName name="kljgfjrt" localSheetId="19">{#N/A,#N/A,FALSE,"Plan1";#N/A,#N/A,FALSE,"Plan2"}</definedName>
    <definedName name="kljgfjrt" localSheetId="16">{#N/A,#N/A,FALSE,"Plan1";#N/A,#N/A,FALSE,"Plan2"}</definedName>
    <definedName name="kljgfjrt" localSheetId="18">{#N/A,#N/A,FALSE,"Plan1";#N/A,#N/A,FALSE,"Plan2"}</definedName>
    <definedName name="kljgfjrt" localSheetId="10">{#N/A,#N/A,FALSE,"Plan1";#N/A,#N/A,FALSE,"Plan2"}</definedName>
    <definedName name="kljgfjrt">{#N/A,#N/A,FALSE,"Plan1";#N/A,#N/A,FALSE,"Plan2"}</definedName>
    <definedName name="kljlkdfj" localSheetId="9">{#N/A,#N/A,FALSE,"Plan1";#N/A,#N/A,FALSE,"Plan2"}</definedName>
    <definedName name="kljlkdfj" localSheetId="6">{#N/A,#N/A,FALSE,"Plan1";#N/A,#N/A,FALSE,"Plan2"}</definedName>
    <definedName name="kljlkdfj" localSheetId="3">{#N/A,#N/A,FALSE,"Plan1";#N/A,#N/A,FALSE,"Plan2"}</definedName>
    <definedName name="kljlkdfj" localSheetId="8">{#N/A,#N/A,FALSE,"Plan1";#N/A,#N/A,FALSE,"Plan2"}</definedName>
    <definedName name="kljlkdfj" localSheetId="5">{#N/A,#N/A,FALSE,"Plan1";#N/A,#N/A,FALSE,"Plan2"}</definedName>
    <definedName name="kljlkdfj" localSheetId="4">{#N/A,#N/A,FALSE,"Plan1";#N/A,#N/A,FALSE,"Plan2"}</definedName>
    <definedName name="kljlkdfj" localSheetId="13">{#N/A,#N/A,FALSE,"Plan1";#N/A,#N/A,FALSE,"Plan2"}</definedName>
    <definedName name="kljlkdfj" localSheetId="17">{#N/A,#N/A,FALSE,"Plan1";#N/A,#N/A,FALSE,"Plan2"}</definedName>
    <definedName name="kljlkdfj" localSheetId="0">{#N/A,#N/A,FALSE,"Plan1";#N/A,#N/A,FALSE,"Plan2"}</definedName>
    <definedName name="kljlkdfj" localSheetId="19">{#N/A,#N/A,FALSE,"Plan1";#N/A,#N/A,FALSE,"Plan2"}</definedName>
    <definedName name="kljlkdfj" localSheetId="16">{#N/A,#N/A,FALSE,"Plan1";#N/A,#N/A,FALSE,"Plan2"}</definedName>
    <definedName name="kljlkdfj" localSheetId="18">{#N/A,#N/A,FALSE,"Plan1";#N/A,#N/A,FALSE,"Plan2"}</definedName>
    <definedName name="kljlkdfj" localSheetId="10">{#N/A,#N/A,FALSE,"Plan1";#N/A,#N/A,FALSE,"Plan2"}</definedName>
    <definedName name="kljlkdfj">{#N/A,#N/A,FALSE,"Plan1";#N/A,#N/A,FALSE,"Plan2"}</definedName>
    <definedName name="kljsakjfr" localSheetId="9">{#N/A,#N/A,FALSE,"Plan1";#N/A,#N/A,FALSE,"Plan2"}</definedName>
    <definedName name="kljsakjfr" localSheetId="6">{#N/A,#N/A,FALSE,"Plan1";#N/A,#N/A,FALSE,"Plan2"}</definedName>
    <definedName name="kljsakjfr" localSheetId="3">{#N/A,#N/A,FALSE,"Plan1";#N/A,#N/A,FALSE,"Plan2"}</definedName>
    <definedName name="kljsakjfr" localSheetId="8">{#N/A,#N/A,FALSE,"Plan1";#N/A,#N/A,FALSE,"Plan2"}</definedName>
    <definedName name="kljsakjfr" localSheetId="5">{#N/A,#N/A,FALSE,"Plan1";#N/A,#N/A,FALSE,"Plan2"}</definedName>
    <definedName name="kljsakjfr" localSheetId="4">{#N/A,#N/A,FALSE,"Plan1";#N/A,#N/A,FALSE,"Plan2"}</definedName>
    <definedName name="kljsakjfr" localSheetId="13">{#N/A,#N/A,FALSE,"Plan1";#N/A,#N/A,FALSE,"Plan2"}</definedName>
    <definedName name="kljsakjfr" localSheetId="17">{#N/A,#N/A,FALSE,"Plan1";#N/A,#N/A,FALSE,"Plan2"}</definedName>
    <definedName name="kljsakjfr" localSheetId="0">{#N/A,#N/A,FALSE,"Plan1";#N/A,#N/A,FALSE,"Plan2"}</definedName>
    <definedName name="kljsakjfr" localSheetId="19">{#N/A,#N/A,FALSE,"Plan1";#N/A,#N/A,FALSE,"Plan2"}</definedName>
    <definedName name="kljsakjfr" localSheetId="16">{#N/A,#N/A,FALSE,"Plan1";#N/A,#N/A,FALSE,"Plan2"}</definedName>
    <definedName name="kljsakjfr" localSheetId="18">{#N/A,#N/A,FALSE,"Plan1";#N/A,#N/A,FALSE,"Plan2"}</definedName>
    <definedName name="kljsakjfr" localSheetId="10">{#N/A,#N/A,FALSE,"Plan1";#N/A,#N/A,FALSE,"Plan2"}</definedName>
    <definedName name="kljsakjfr">{#N/A,#N/A,FALSE,"Plan1";#N/A,#N/A,FALSE,"Plan2"}</definedName>
    <definedName name="kljsdje" localSheetId="9">{#N/A,#N/A,FALSE,"Plan1";#N/A,#N/A,FALSE,"Plan2"}</definedName>
    <definedName name="kljsdje" localSheetId="6">{#N/A,#N/A,FALSE,"Plan1";#N/A,#N/A,FALSE,"Plan2"}</definedName>
    <definedName name="kljsdje" localSheetId="3">{#N/A,#N/A,FALSE,"Plan1";#N/A,#N/A,FALSE,"Plan2"}</definedName>
    <definedName name="kljsdje" localSheetId="8">{#N/A,#N/A,FALSE,"Plan1";#N/A,#N/A,FALSE,"Plan2"}</definedName>
    <definedName name="kljsdje" localSheetId="5">{#N/A,#N/A,FALSE,"Plan1";#N/A,#N/A,FALSE,"Plan2"}</definedName>
    <definedName name="kljsdje" localSheetId="4">{#N/A,#N/A,FALSE,"Plan1";#N/A,#N/A,FALSE,"Plan2"}</definedName>
    <definedName name="kljsdje" localSheetId="13">{#N/A,#N/A,FALSE,"Plan1";#N/A,#N/A,FALSE,"Plan2"}</definedName>
    <definedName name="kljsdje" localSheetId="17">{#N/A,#N/A,FALSE,"Plan1";#N/A,#N/A,FALSE,"Plan2"}</definedName>
    <definedName name="kljsdje" localSheetId="0">{#N/A,#N/A,FALSE,"Plan1";#N/A,#N/A,FALSE,"Plan2"}</definedName>
    <definedName name="kljsdje" localSheetId="19">{#N/A,#N/A,FALSE,"Plan1";#N/A,#N/A,FALSE,"Plan2"}</definedName>
    <definedName name="kljsdje" localSheetId="16">{#N/A,#N/A,FALSE,"Plan1";#N/A,#N/A,FALSE,"Plan2"}</definedName>
    <definedName name="kljsdje" localSheetId="18">{#N/A,#N/A,FALSE,"Plan1";#N/A,#N/A,FALSE,"Plan2"}</definedName>
    <definedName name="kljsdje" localSheetId="10">{#N/A,#N/A,FALSE,"Plan1";#N/A,#N/A,FALSE,"Plan2"}</definedName>
    <definedName name="kljsdje">{#N/A,#N/A,FALSE,"Plan1";#N/A,#N/A,FALSE,"Plan2"}</definedName>
    <definedName name="kljsfwe" localSheetId="9">{#N/A,#N/A,FALSE,"Plan1";#N/A,#N/A,FALSE,"Plan2"}</definedName>
    <definedName name="kljsfwe" localSheetId="6">{#N/A,#N/A,FALSE,"Plan1";#N/A,#N/A,FALSE,"Plan2"}</definedName>
    <definedName name="kljsfwe" localSheetId="3">{#N/A,#N/A,FALSE,"Plan1";#N/A,#N/A,FALSE,"Plan2"}</definedName>
    <definedName name="kljsfwe" localSheetId="8">{#N/A,#N/A,FALSE,"Plan1";#N/A,#N/A,FALSE,"Plan2"}</definedName>
    <definedName name="kljsfwe" localSheetId="5">{#N/A,#N/A,FALSE,"Plan1";#N/A,#N/A,FALSE,"Plan2"}</definedName>
    <definedName name="kljsfwe" localSheetId="4">{#N/A,#N/A,FALSE,"Plan1";#N/A,#N/A,FALSE,"Plan2"}</definedName>
    <definedName name="kljsfwe" localSheetId="13">{#N/A,#N/A,FALSE,"Plan1";#N/A,#N/A,FALSE,"Plan2"}</definedName>
    <definedName name="kljsfwe" localSheetId="17">{#N/A,#N/A,FALSE,"Plan1";#N/A,#N/A,FALSE,"Plan2"}</definedName>
    <definedName name="kljsfwe" localSheetId="0">{#N/A,#N/A,FALSE,"Plan1";#N/A,#N/A,FALSE,"Plan2"}</definedName>
    <definedName name="kljsfwe" localSheetId="19">{#N/A,#N/A,FALSE,"Plan1";#N/A,#N/A,FALSE,"Plan2"}</definedName>
    <definedName name="kljsfwe" localSheetId="16">{#N/A,#N/A,FALSE,"Plan1";#N/A,#N/A,FALSE,"Plan2"}</definedName>
    <definedName name="kljsfwe" localSheetId="18">{#N/A,#N/A,FALSE,"Plan1";#N/A,#N/A,FALSE,"Plan2"}</definedName>
    <definedName name="kljsfwe" localSheetId="10">{#N/A,#N/A,FALSE,"Plan1";#N/A,#N/A,FALSE,"Plan2"}</definedName>
    <definedName name="kljsfwe">{#N/A,#N/A,FALSE,"Plan1";#N/A,#N/A,FALSE,"Plan2"}</definedName>
    <definedName name="klk" localSheetId="9">{#N/A,#N/A,FALSE,"Plan1";#N/A,#N/A,FALSE,"Plan2"}</definedName>
    <definedName name="klk" localSheetId="6">{#N/A,#N/A,FALSE,"Plan1";#N/A,#N/A,FALSE,"Plan2"}</definedName>
    <definedName name="klk" localSheetId="3">{#N/A,#N/A,FALSE,"Plan1";#N/A,#N/A,FALSE,"Plan2"}</definedName>
    <definedName name="klk" localSheetId="8">{#N/A,#N/A,FALSE,"Plan1";#N/A,#N/A,FALSE,"Plan2"}</definedName>
    <definedName name="klk" localSheetId="5">{#N/A,#N/A,FALSE,"Plan1";#N/A,#N/A,FALSE,"Plan2"}</definedName>
    <definedName name="klk" localSheetId="4">{#N/A,#N/A,FALSE,"Plan1";#N/A,#N/A,FALSE,"Plan2"}</definedName>
    <definedName name="klk" localSheetId="13">{#N/A,#N/A,FALSE,"Plan1";#N/A,#N/A,FALSE,"Plan2"}</definedName>
    <definedName name="klk" localSheetId="17">{#N/A,#N/A,FALSE,"Plan1";#N/A,#N/A,FALSE,"Plan2"}</definedName>
    <definedName name="klk" localSheetId="0">{#N/A,#N/A,FALSE,"Plan1";#N/A,#N/A,FALSE,"Plan2"}</definedName>
    <definedName name="klk" localSheetId="19">{#N/A,#N/A,FALSE,"Plan1";#N/A,#N/A,FALSE,"Plan2"}</definedName>
    <definedName name="klk" localSheetId="16">{#N/A,#N/A,FALSE,"Plan1";#N/A,#N/A,FALSE,"Plan2"}</definedName>
    <definedName name="klk" localSheetId="18">{#N/A,#N/A,FALSE,"Plan1";#N/A,#N/A,FALSE,"Plan2"}</definedName>
    <definedName name="klk" localSheetId="10">{#N/A,#N/A,FALSE,"Plan1";#N/A,#N/A,FALSE,"Plan2"}</definedName>
    <definedName name="klk">{#N/A,#N/A,FALSE,"Plan1";#N/A,#N/A,FALSE,"Plan2"}</definedName>
    <definedName name="KLKKLKÇJÇ" localSheetId="9">{#N/A,#N/A,FALSE,"Plan1";#N/A,#N/A,FALSE,"Plan2"}</definedName>
    <definedName name="KLKKLKÇJÇ" localSheetId="6">{#N/A,#N/A,FALSE,"Plan1";#N/A,#N/A,FALSE,"Plan2"}</definedName>
    <definedName name="KLKKLKÇJÇ" localSheetId="3">{#N/A,#N/A,FALSE,"Plan1";#N/A,#N/A,FALSE,"Plan2"}</definedName>
    <definedName name="KLKKLKÇJÇ" localSheetId="8">{#N/A,#N/A,FALSE,"Plan1";#N/A,#N/A,FALSE,"Plan2"}</definedName>
    <definedName name="KLKKLKÇJÇ" localSheetId="5">{#N/A,#N/A,FALSE,"Plan1";#N/A,#N/A,FALSE,"Plan2"}</definedName>
    <definedName name="KLKKLKÇJÇ" localSheetId="4">{#N/A,#N/A,FALSE,"Plan1";#N/A,#N/A,FALSE,"Plan2"}</definedName>
    <definedName name="KLKKLKÇJÇ" localSheetId="13">{#N/A,#N/A,FALSE,"Plan1";#N/A,#N/A,FALSE,"Plan2"}</definedName>
    <definedName name="KLKKLKÇJÇ" localSheetId="17">{#N/A,#N/A,FALSE,"Plan1";#N/A,#N/A,FALSE,"Plan2"}</definedName>
    <definedName name="KLKKLKÇJÇ" localSheetId="0">{#N/A,#N/A,FALSE,"Plan1";#N/A,#N/A,FALSE,"Plan2"}</definedName>
    <definedName name="KLKKLKÇJÇ" localSheetId="19">{#N/A,#N/A,FALSE,"Plan1";#N/A,#N/A,FALSE,"Plan2"}</definedName>
    <definedName name="KLKKLKÇJÇ" localSheetId="16">{#N/A,#N/A,FALSE,"Plan1";#N/A,#N/A,FALSE,"Plan2"}</definedName>
    <definedName name="KLKKLKÇJÇ" localSheetId="18">{#N/A,#N/A,FALSE,"Plan1";#N/A,#N/A,FALSE,"Plan2"}</definedName>
    <definedName name="KLKKLKÇJÇ" localSheetId="10">{#N/A,#N/A,FALSE,"Plan1";#N/A,#N/A,FALSE,"Plan2"}</definedName>
    <definedName name="KLKKLKÇJÇ">{#N/A,#N/A,FALSE,"Plan1";#N/A,#N/A,FALSE,"Plan2"}</definedName>
    <definedName name="KLSDFT" localSheetId="9">{#N/A,#N/A,FALSE,"Plan1";#N/A,#N/A,FALSE,"Plan2"}</definedName>
    <definedName name="KLSDFT" localSheetId="6">{#N/A,#N/A,FALSE,"Plan1";#N/A,#N/A,FALSE,"Plan2"}</definedName>
    <definedName name="KLSDFT" localSheetId="3">{#N/A,#N/A,FALSE,"Plan1";#N/A,#N/A,FALSE,"Plan2"}</definedName>
    <definedName name="KLSDFT" localSheetId="8">{#N/A,#N/A,FALSE,"Plan1";#N/A,#N/A,FALSE,"Plan2"}</definedName>
    <definedName name="KLSDFT" localSheetId="5">{#N/A,#N/A,FALSE,"Plan1";#N/A,#N/A,FALSE,"Plan2"}</definedName>
    <definedName name="KLSDFT" localSheetId="4">{#N/A,#N/A,FALSE,"Plan1";#N/A,#N/A,FALSE,"Plan2"}</definedName>
    <definedName name="KLSDFT" localSheetId="13">{#N/A,#N/A,FALSE,"Plan1";#N/A,#N/A,FALSE,"Plan2"}</definedName>
    <definedName name="KLSDFT" localSheetId="17">{#N/A,#N/A,FALSE,"Plan1";#N/A,#N/A,FALSE,"Plan2"}</definedName>
    <definedName name="KLSDFT" localSheetId="0">{#N/A,#N/A,FALSE,"Plan1";#N/A,#N/A,FALSE,"Plan2"}</definedName>
    <definedName name="KLSDFT" localSheetId="19">{#N/A,#N/A,FALSE,"Plan1";#N/A,#N/A,FALSE,"Plan2"}</definedName>
    <definedName name="KLSDFT" localSheetId="16">{#N/A,#N/A,FALSE,"Plan1";#N/A,#N/A,FALSE,"Plan2"}</definedName>
    <definedName name="KLSDFT" localSheetId="18">{#N/A,#N/A,FALSE,"Plan1";#N/A,#N/A,FALSE,"Plan2"}</definedName>
    <definedName name="KLSDFT" localSheetId="10">{#N/A,#N/A,FALSE,"Plan1";#N/A,#N/A,FALSE,"Plan2"}</definedName>
    <definedName name="KLSDFT">{#N/A,#N/A,FALSE,"Plan1";#N/A,#N/A,FALSE,"Plan2"}</definedName>
    <definedName name="KLSDHSJKHF" localSheetId="9">{#N/A,#N/A,FALSE,"Plan1";#N/A,#N/A,FALSE,"Plan2"}</definedName>
    <definedName name="KLSDHSJKHF" localSheetId="6">{#N/A,#N/A,FALSE,"Plan1";#N/A,#N/A,FALSE,"Plan2"}</definedName>
    <definedName name="KLSDHSJKHF" localSheetId="3">{#N/A,#N/A,FALSE,"Plan1";#N/A,#N/A,FALSE,"Plan2"}</definedName>
    <definedName name="KLSDHSJKHF" localSheetId="8">{#N/A,#N/A,FALSE,"Plan1";#N/A,#N/A,FALSE,"Plan2"}</definedName>
    <definedName name="KLSDHSJKHF" localSheetId="5">{#N/A,#N/A,FALSE,"Plan1";#N/A,#N/A,FALSE,"Plan2"}</definedName>
    <definedName name="KLSDHSJKHF" localSheetId="4">{#N/A,#N/A,FALSE,"Plan1";#N/A,#N/A,FALSE,"Plan2"}</definedName>
    <definedName name="KLSDHSJKHF" localSheetId="13">{#N/A,#N/A,FALSE,"Plan1";#N/A,#N/A,FALSE,"Plan2"}</definedName>
    <definedName name="KLSDHSJKHF" localSheetId="17">{#N/A,#N/A,FALSE,"Plan1";#N/A,#N/A,FALSE,"Plan2"}</definedName>
    <definedName name="KLSDHSJKHF" localSheetId="0">{#N/A,#N/A,FALSE,"Plan1";#N/A,#N/A,FALSE,"Plan2"}</definedName>
    <definedName name="KLSDHSJKHF" localSheetId="19">{#N/A,#N/A,FALSE,"Plan1";#N/A,#N/A,FALSE,"Plan2"}</definedName>
    <definedName name="KLSDHSJKHF" localSheetId="16">{#N/A,#N/A,FALSE,"Plan1";#N/A,#N/A,FALSE,"Plan2"}</definedName>
    <definedName name="KLSDHSJKHF" localSheetId="18">{#N/A,#N/A,FALSE,"Plan1";#N/A,#N/A,FALSE,"Plan2"}</definedName>
    <definedName name="KLSDHSJKHF" localSheetId="10">{#N/A,#N/A,FALSE,"Plan1";#N/A,#N/A,FALSE,"Plan2"}</definedName>
    <definedName name="KLSDHSJKHF">{#N/A,#N/A,FALSE,"Plan1";#N/A,#N/A,FALSE,"Plan2"}</definedName>
    <definedName name="klsdkre" localSheetId="9">{#N/A,#N/A,FALSE,"Plan1";#N/A,#N/A,FALSE,"Plan2"}</definedName>
    <definedName name="klsdkre" localSheetId="6">{#N/A,#N/A,FALSE,"Plan1";#N/A,#N/A,FALSE,"Plan2"}</definedName>
    <definedName name="klsdkre" localSheetId="3">{#N/A,#N/A,FALSE,"Plan1";#N/A,#N/A,FALSE,"Plan2"}</definedName>
    <definedName name="klsdkre" localSheetId="8">{#N/A,#N/A,FALSE,"Plan1";#N/A,#N/A,FALSE,"Plan2"}</definedName>
    <definedName name="klsdkre" localSheetId="5">{#N/A,#N/A,FALSE,"Plan1";#N/A,#N/A,FALSE,"Plan2"}</definedName>
    <definedName name="klsdkre" localSheetId="4">{#N/A,#N/A,FALSE,"Plan1";#N/A,#N/A,FALSE,"Plan2"}</definedName>
    <definedName name="klsdkre" localSheetId="13">{#N/A,#N/A,FALSE,"Plan1";#N/A,#N/A,FALSE,"Plan2"}</definedName>
    <definedName name="klsdkre" localSheetId="17">{#N/A,#N/A,FALSE,"Plan1";#N/A,#N/A,FALSE,"Plan2"}</definedName>
    <definedName name="klsdkre" localSheetId="0">{#N/A,#N/A,FALSE,"Plan1";#N/A,#N/A,FALSE,"Plan2"}</definedName>
    <definedName name="klsdkre" localSheetId="19">{#N/A,#N/A,FALSE,"Plan1";#N/A,#N/A,FALSE,"Plan2"}</definedName>
    <definedName name="klsdkre" localSheetId="16">{#N/A,#N/A,FALSE,"Plan1";#N/A,#N/A,FALSE,"Plan2"}</definedName>
    <definedName name="klsdkre" localSheetId="18">{#N/A,#N/A,FALSE,"Plan1";#N/A,#N/A,FALSE,"Plan2"}</definedName>
    <definedName name="klsdkre" localSheetId="10">{#N/A,#N/A,FALSE,"Plan1";#N/A,#N/A,FALSE,"Plan2"}</definedName>
    <definedName name="klsdkre">{#N/A,#N/A,FALSE,"Plan1";#N/A,#N/A,FALSE,"Plan2"}</definedName>
    <definedName name="KLSIDJE" localSheetId="9">{#N/A,#N/A,FALSE,"Plan1";#N/A,#N/A,FALSE,"Plan2"}</definedName>
    <definedName name="KLSIDJE" localSheetId="6">{#N/A,#N/A,FALSE,"Plan1";#N/A,#N/A,FALSE,"Plan2"}</definedName>
    <definedName name="KLSIDJE" localSheetId="3">{#N/A,#N/A,FALSE,"Plan1";#N/A,#N/A,FALSE,"Plan2"}</definedName>
    <definedName name="KLSIDJE" localSheetId="8">{#N/A,#N/A,FALSE,"Plan1";#N/A,#N/A,FALSE,"Plan2"}</definedName>
    <definedName name="KLSIDJE" localSheetId="5">{#N/A,#N/A,FALSE,"Plan1";#N/A,#N/A,FALSE,"Plan2"}</definedName>
    <definedName name="KLSIDJE" localSheetId="4">{#N/A,#N/A,FALSE,"Plan1";#N/A,#N/A,FALSE,"Plan2"}</definedName>
    <definedName name="KLSIDJE" localSheetId="13">{#N/A,#N/A,FALSE,"Plan1";#N/A,#N/A,FALSE,"Plan2"}</definedName>
    <definedName name="KLSIDJE" localSheetId="17">{#N/A,#N/A,FALSE,"Plan1";#N/A,#N/A,FALSE,"Plan2"}</definedName>
    <definedName name="KLSIDJE" localSheetId="0">{#N/A,#N/A,FALSE,"Plan1";#N/A,#N/A,FALSE,"Plan2"}</definedName>
    <definedName name="KLSIDJE" localSheetId="19">{#N/A,#N/A,FALSE,"Plan1";#N/A,#N/A,FALSE,"Plan2"}</definedName>
    <definedName name="KLSIDJE" localSheetId="16">{#N/A,#N/A,FALSE,"Plan1";#N/A,#N/A,FALSE,"Plan2"}</definedName>
    <definedName name="KLSIDJE" localSheetId="18">{#N/A,#N/A,FALSE,"Plan1";#N/A,#N/A,FALSE,"Plan2"}</definedName>
    <definedName name="KLSIDJE" localSheetId="10">{#N/A,#N/A,FALSE,"Plan1";#N/A,#N/A,FALSE,"Plan2"}</definedName>
    <definedName name="KLSIDJE">{#N/A,#N/A,FALSE,"Plan1";#N/A,#N/A,FALSE,"Plan2"}</definedName>
    <definedName name="klsjarsf" localSheetId="9">{#N/A,#N/A,FALSE,"Plan1";#N/A,#N/A,FALSE,"Plan2"}</definedName>
    <definedName name="klsjarsf" localSheetId="6">{#N/A,#N/A,FALSE,"Plan1";#N/A,#N/A,FALSE,"Plan2"}</definedName>
    <definedName name="klsjarsf" localSheetId="3">{#N/A,#N/A,FALSE,"Plan1";#N/A,#N/A,FALSE,"Plan2"}</definedName>
    <definedName name="klsjarsf" localSheetId="8">{#N/A,#N/A,FALSE,"Plan1";#N/A,#N/A,FALSE,"Plan2"}</definedName>
    <definedName name="klsjarsf" localSheetId="5">{#N/A,#N/A,FALSE,"Plan1";#N/A,#N/A,FALSE,"Plan2"}</definedName>
    <definedName name="klsjarsf" localSheetId="4">{#N/A,#N/A,FALSE,"Plan1";#N/A,#N/A,FALSE,"Plan2"}</definedName>
    <definedName name="klsjarsf" localSheetId="13">{#N/A,#N/A,FALSE,"Plan1";#N/A,#N/A,FALSE,"Plan2"}</definedName>
    <definedName name="klsjarsf" localSheetId="17">{#N/A,#N/A,FALSE,"Plan1";#N/A,#N/A,FALSE,"Plan2"}</definedName>
    <definedName name="klsjarsf" localSheetId="0">{#N/A,#N/A,FALSE,"Plan1";#N/A,#N/A,FALSE,"Plan2"}</definedName>
    <definedName name="klsjarsf" localSheetId="19">{#N/A,#N/A,FALSE,"Plan1";#N/A,#N/A,FALSE,"Plan2"}</definedName>
    <definedName name="klsjarsf" localSheetId="16">{#N/A,#N/A,FALSE,"Plan1";#N/A,#N/A,FALSE,"Plan2"}</definedName>
    <definedName name="klsjarsf" localSheetId="18">{#N/A,#N/A,FALSE,"Plan1";#N/A,#N/A,FALSE,"Plan2"}</definedName>
    <definedName name="klsjarsf" localSheetId="10">{#N/A,#N/A,FALSE,"Plan1";#N/A,#N/A,FALSE,"Plan2"}</definedName>
    <definedName name="klsjarsf">{#N/A,#N/A,FALSE,"Plan1";#N/A,#N/A,FALSE,"Plan2"}</definedName>
    <definedName name="klsjdwe" localSheetId="3">#REF!</definedName>
    <definedName name="klsjdwe" localSheetId="5">#REF!</definedName>
    <definedName name="klsjdwe" localSheetId="13">#REF!</definedName>
    <definedName name="klsjdwe" localSheetId="26">#REF!</definedName>
    <definedName name="klsjdwe" localSheetId="0">#REF!</definedName>
    <definedName name="klsjdwe">#REF!</definedName>
    <definedName name="klxhjfdkhser" localSheetId="9">{#N/A,#N/A,FALSE,"Plan1";#N/A,#N/A,FALSE,"Plan2"}</definedName>
    <definedName name="klxhjfdkhser" localSheetId="6">{#N/A,#N/A,FALSE,"Plan1";#N/A,#N/A,FALSE,"Plan2"}</definedName>
    <definedName name="klxhjfdkhser" localSheetId="3">{#N/A,#N/A,FALSE,"Plan1";#N/A,#N/A,FALSE,"Plan2"}</definedName>
    <definedName name="klxhjfdkhser" localSheetId="8">{#N/A,#N/A,FALSE,"Plan1";#N/A,#N/A,FALSE,"Plan2"}</definedName>
    <definedName name="klxhjfdkhser" localSheetId="5">{#N/A,#N/A,FALSE,"Plan1";#N/A,#N/A,FALSE,"Plan2"}</definedName>
    <definedName name="klxhjfdkhser" localSheetId="4">{#N/A,#N/A,FALSE,"Plan1";#N/A,#N/A,FALSE,"Plan2"}</definedName>
    <definedName name="klxhjfdkhser" localSheetId="13">{#N/A,#N/A,FALSE,"Plan1";#N/A,#N/A,FALSE,"Plan2"}</definedName>
    <definedName name="klxhjfdkhser" localSheetId="17">{#N/A,#N/A,FALSE,"Plan1";#N/A,#N/A,FALSE,"Plan2"}</definedName>
    <definedName name="klxhjfdkhser" localSheetId="0">{#N/A,#N/A,FALSE,"Plan1";#N/A,#N/A,FALSE,"Plan2"}</definedName>
    <definedName name="klxhjfdkhser" localSheetId="19">{#N/A,#N/A,FALSE,"Plan1";#N/A,#N/A,FALSE,"Plan2"}</definedName>
    <definedName name="klxhjfdkhser" localSheetId="16">{#N/A,#N/A,FALSE,"Plan1";#N/A,#N/A,FALSE,"Plan2"}</definedName>
    <definedName name="klxhjfdkhser" localSheetId="18">{#N/A,#N/A,FALSE,"Plan1";#N/A,#N/A,FALSE,"Plan2"}</definedName>
    <definedName name="klxhjfdkhser" localSheetId="10">{#N/A,#N/A,FALSE,"Plan1";#N/A,#N/A,FALSE,"Plan2"}</definedName>
    <definedName name="klxhjfdkhser">{#N/A,#N/A,FALSE,"Plan1";#N/A,#N/A,FALSE,"Plan2"}</definedName>
    <definedName name="kopipnsdfne" localSheetId="9">{#N/A,#N/A,FALSE,"Plan1";#N/A,#N/A,FALSE,"Plan2"}</definedName>
    <definedName name="kopipnsdfne" localSheetId="6">{#N/A,#N/A,FALSE,"Plan1";#N/A,#N/A,FALSE,"Plan2"}</definedName>
    <definedName name="kopipnsdfne" localSheetId="3">{#N/A,#N/A,FALSE,"Plan1";#N/A,#N/A,FALSE,"Plan2"}</definedName>
    <definedName name="kopipnsdfne" localSheetId="8">{#N/A,#N/A,FALSE,"Plan1";#N/A,#N/A,FALSE,"Plan2"}</definedName>
    <definedName name="kopipnsdfne" localSheetId="5">{#N/A,#N/A,FALSE,"Plan1";#N/A,#N/A,FALSE,"Plan2"}</definedName>
    <definedName name="kopipnsdfne" localSheetId="4">{#N/A,#N/A,FALSE,"Plan1";#N/A,#N/A,FALSE,"Plan2"}</definedName>
    <definedName name="kopipnsdfne" localSheetId="13">{#N/A,#N/A,FALSE,"Plan1";#N/A,#N/A,FALSE,"Plan2"}</definedName>
    <definedName name="kopipnsdfne" localSheetId="17">{#N/A,#N/A,FALSE,"Plan1";#N/A,#N/A,FALSE,"Plan2"}</definedName>
    <definedName name="kopipnsdfne" localSheetId="0">{#N/A,#N/A,FALSE,"Plan1";#N/A,#N/A,FALSE,"Plan2"}</definedName>
    <definedName name="kopipnsdfne" localSheetId="19">{#N/A,#N/A,FALSE,"Plan1";#N/A,#N/A,FALSE,"Plan2"}</definedName>
    <definedName name="kopipnsdfne" localSheetId="16">{#N/A,#N/A,FALSE,"Plan1";#N/A,#N/A,FALSE,"Plan2"}</definedName>
    <definedName name="kopipnsdfne" localSheetId="18">{#N/A,#N/A,FALSE,"Plan1";#N/A,#N/A,FALSE,"Plan2"}</definedName>
    <definedName name="kopipnsdfne" localSheetId="10">{#N/A,#N/A,FALSE,"Plan1";#N/A,#N/A,FALSE,"Plan2"}</definedName>
    <definedName name="kopipnsdfne">{#N/A,#N/A,FALSE,"Plan1";#N/A,#N/A,FALSE,"Plan2"}</definedName>
    <definedName name="kp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9">{#N/A,#N/A,FALSE,"Plan1";#N/A,#N/A,FALSE,"Plan2"}</definedName>
    <definedName name="KSDLDF" localSheetId="6">{#N/A,#N/A,FALSE,"Plan1";#N/A,#N/A,FALSE,"Plan2"}</definedName>
    <definedName name="KSDLDF" localSheetId="3">{#N/A,#N/A,FALSE,"Plan1";#N/A,#N/A,FALSE,"Plan2"}</definedName>
    <definedName name="KSDLDF" localSheetId="8">{#N/A,#N/A,FALSE,"Plan1";#N/A,#N/A,FALSE,"Plan2"}</definedName>
    <definedName name="KSDLDF" localSheetId="5">{#N/A,#N/A,FALSE,"Plan1";#N/A,#N/A,FALSE,"Plan2"}</definedName>
    <definedName name="KSDLDF" localSheetId="4">{#N/A,#N/A,FALSE,"Plan1";#N/A,#N/A,FALSE,"Plan2"}</definedName>
    <definedName name="KSDLDF" localSheetId="13">{#N/A,#N/A,FALSE,"Plan1";#N/A,#N/A,FALSE,"Plan2"}</definedName>
    <definedName name="KSDLDF" localSheetId="17">{#N/A,#N/A,FALSE,"Plan1";#N/A,#N/A,FALSE,"Plan2"}</definedName>
    <definedName name="KSDLDF" localSheetId="0">{#N/A,#N/A,FALSE,"Plan1";#N/A,#N/A,FALSE,"Plan2"}</definedName>
    <definedName name="KSDLDF" localSheetId="19">{#N/A,#N/A,FALSE,"Plan1";#N/A,#N/A,FALSE,"Plan2"}</definedName>
    <definedName name="KSDLDF" localSheetId="16">{#N/A,#N/A,FALSE,"Plan1";#N/A,#N/A,FALSE,"Plan2"}</definedName>
    <definedName name="KSDLDF" localSheetId="18">{#N/A,#N/A,FALSE,"Plan1";#N/A,#N/A,FALSE,"Plan2"}</definedName>
    <definedName name="KSDLDF" localSheetId="10">{#N/A,#N/A,FALSE,"Plan1";#N/A,#N/A,FALSE,"Plan2"}</definedName>
    <definedName name="KSDLDF">{#N/A,#N/A,FALSE,"Plan1";#N/A,#N/A,FALSE,"Plan2"}</definedName>
    <definedName name="ksdlkfsçzd" localSheetId="9">{#N/A,#N/A,FALSE,"Plan1";#N/A,#N/A,FALSE,"Plan2"}</definedName>
    <definedName name="ksdlkfsçzd" localSheetId="6">{#N/A,#N/A,FALSE,"Plan1";#N/A,#N/A,FALSE,"Plan2"}</definedName>
    <definedName name="ksdlkfsçzd" localSheetId="3">{#N/A,#N/A,FALSE,"Plan1";#N/A,#N/A,FALSE,"Plan2"}</definedName>
    <definedName name="ksdlkfsçzd" localSheetId="8">{#N/A,#N/A,FALSE,"Plan1";#N/A,#N/A,FALSE,"Plan2"}</definedName>
    <definedName name="ksdlkfsçzd" localSheetId="5">{#N/A,#N/A,FALSE,"Plan1";#N/A,#N/A,FALSE,"Plan2"}</definedName>
    <definedName name="ksdlkfsçzd" localSheetId="4">{#N/A,#N/A,FALSE,"Plan1";#N/A,#N/A,FALSE,"Plan2"}</definedName>
    <definedName name="ksdlkfsçzd" localSheetId="13">{#N/A,#N/A,FALSE,"Plan1";#N/A,#N/A,FALSE,"Plan2"}</definedName>
    <definedName name="ksdlkfsçzd" localSheetId="17">{#N/A,#N/A,FALSE,"Plan1";#N/A,#N/A,FALSE,"Plan2"}</definedName>
    <definedName name="ksdlkfsçzd" localSheetId="0">{#N/A,#N/A,FALSE,"Plan1";#N/A,#N/A,FALSE,"Plan2"}</definedName>
    <definedName name="ksdlkfsçzd" localSheetId="19">{#N/A,#N/A,FALSE,"Plan1";#N/A,#N/A,FALSE,"Plan2"}</definedName>
    <definedName name="ksdlkfsçzd" localSheetId="16">{#N/A,#N/A,FALSE,"Plan1";#N/A,#N/A,FALSE,"Plan2"}</definedName>
    <definedName name="ksdlkfsçzd" localSheetId="18">{#N/A,#N/A,FALSE,"Plan1";#N/A,#N/A,FALSE,"Plan2"}</definedName>
    <definedName name="ksdlkfsçzd" localSheetId="10">{#N/A,#N/A,FALSE,"Plan1";#N/A,#N/A,FALSE,"Plan2"}</definedName>
    <definedName name="ksdlkfsçzd">{#N/A,#N/A,FALSE,"Plan1";#N/A,#N/A,FALSE,"Plan2"}</definedName>
    <definedName name="KSDNFK" localSheetId="3">#REF!</definedName>
    <definedName name="KSDNFK" localSheetId="5">#REF!</definedName>
    <definedName name="KSDNFK" localSheetId="13">#REF!</definedName>
    <definedName name="KSDNFK" localSheetId="26">#REF!</definedName>
    <definedName name="KSDNFK">#REF!</definedName>
    <definedName name="ksdoçierfe" localSheetId="9">{#N/A,#N/A,FALSE,"Plan1";#N/A,#N/A,FALSE,"Plan2"}</definedName>
    <definedName name="ksdoçierfe" localSheetId="6">{#N/A,#N/A,FALSE,"Plan1";#N/A,#N/A,FALSE,"Plan2"}</definedName>
    <definedName name="ksdoçierfe" localSheetId="3">{#N/A,#N/A,FALSE,"Plan1";#N/A,#N/A,FALSE,"Plan2"}</definedName>
    <definedName name="ksdoçierfe" localSheetId="8">{#N/A,#N/A,FALSE,"Plan1";#N/A,#N/A,FALSE,"Plan2"}</definedName>
    <definedName name="ksdoçierfe" localSheetId="5">{#N/A,#N/A,FALSE,"Plan1";#N/A,#N/A,FALSE,"Plan2"}</definedName>
    <definedName name="ksdoçierfe" localSheetId="4">{#N/A,#N/A,FALSE,"Plan1";#N/A,#N/A,FALSE,"Plan2"}</definedName>
    <definedName name="ksdoçierfe" localSheetId="13">{#N/A,#N/A,FALSE,"Plan1";#N/A,#N/A,FALSE,"Plan2"}</definedName>
    <definedName name="ksdoçierfe" localSheetId="17">{#N/A,#N/A,FALSE,"Plan1";#N/A,#N/A,FALSE,"Plan2"}</definedName>
    <definedName name="ksdoçierfe" localSheetId="0">{#N/A,#N/A,FALSE,"Plan1";#N/A,#N/A,FALSE,"Plan2"}</definedName>
    <definedName name="ksdoçierfe" localSheetId="19">{#N/A,#N/A,FALSE,"Plan1";#N/A,#N/A,FALSE,"Plan2"}</definedName>
    <definedName name="ksdoçierfe" localSheetId="16">{#N/A,#N/A,FALSE,"Plan1";#N/A,#N/A,FALSE,"Plan2"}</definedName>
    <definedName name="ksdoçierfe" localSheetId="18">{#N/A,#N/A,FALSE,"Plan1";#N/A,#N/A,FALSE,"Plan2"}</definedName>
    <definedName name="ksdoçierfe" localSheetId="10">{#N/A,#N/A,FALSE,"Plan1";#N/A,#N/A,FALSE,"Plan2"}</definedName>
    <definedName name="ksdoçierfe">{#N/A,#N/A,FALSE,"Plan1";#N/A,#N/A,FALSE,"Plan2"}</definedName>
    <definedName name="ksdtrdrkf" localSheetId="9">{#N/A,#N/A,FALSE,"Plan1";#N/A,#N/A,FALSE,"Plan2"}</definedName>
    <definedName name="ksdtrdrkf" localSheetId="6">{#N/A,#N/A,FALSE,"Plan1";#N/A,#N/A,FALSE,"Plan2"}</definedName>
    <definedName name="ksdtrdrkf" localSheetId="3">{#N/A,#N/A,FALSE,"Plan1";#N/A,#N/A,FALSE,"Plan2"}</definedName>
    <definedName name="ksdtrdrkf" localSheetId="8">{#N/A,#N/A,FALSE,"Plan1";#N/A,#N/A,FALSE,"Plan2"}</definedName>
    <definedName name="ksdtrdrkf" localSheetId="5">{#N/A,#N/A,FALSE,"Plan1";#N/A,#N/A,FALSE,"Plan2"}</definedName>
    <definedName name="ksdtrdrkf" localSheetId="4">{#N/A,#N/A,FALSE,"Plan1";#N/A,#N/A,FALSE,"Plan2"}</definedName>
    <definedName name="ksdtrdrkf" localSheetId="13">{#N/A,#N/A,FALSE,"Plan1";#N/A,#N/A,FALSE,"Plan2"}</definedName>
    <definedName name="ksdtrdrkf" localSheetId="17">{#N/A,#N/A,FALSE,"Plan1";#N/A,#N/A,FALSE,"Plan2"}</definedName>
    <definedName name="ksdtrdrkf" localSheetId="0">{#N/A,#N/A,FALSE,"Plan1";#N/A,#N/A,FALSE,"Plan2"}</definedName>
    <definedName name="ksdtrdrkf" localSheetId="19">{#N/A,#N/A,FALSE,"Plan1";#N/A,#N/A,FALSE,"Plan2"}</definedName>
    <definedName name="ksdtrdrkf" localSheetId="16">{#N/A,#N/A,FALSE,"Plan1";#N/A,#N/A,FALSE,"Plan2"}</definedName>
    <definedName name="ksdtrdrkf" localSheetId="18">{#N/A,#N/A,FALSE,"Plan1";#N/A,#N/A,FALSE,"Plan2"}</definedName>
    <definedName name="ksdtrdrkf" localSheetId="10">{#N/A,#N/A,FALSE,"Plan1";#N/A,#N/A,FALSE,"Plan2"}</definedName>
    <definedName name="ksdtrdrkf">{#N/A,#N/A,FALSE,"Plan1";#N/A,#N/A,FALSE,"Plan2"}</definedName>
    <definedName name="KSFÇJDFJL" localSheetId="9">{#N/A,#N/A,FALSE,"Plan1";#N/A,#N/A,FALSE,"Plan2"}</definedName>
    <definedName name="KSFÇJDFJL" localSheetId="6">{#N/A,#N/A,FALSE,"Plan1";#N/A,#N/A,FALSE,"Plan2"}</definedName>
    <definedName name="KSFÇJDFJL" localSheetId="3">{#N/A,#N/A,FALSE,"Plan1";#N/A,#N/A,FALSE,"Plan2"}</definedName>
    <definedName name="KSFÇJDFJL" localSheetId="8">{#N/A,#N/A,FALSE,"Plan1";#N/A,#N/A,FALSE,"Plan2"}</definedName>
    <definedName name="KSFÇJDFJL" localSheetId="5">{#N/A,#N/A,FALSE,"Plan1";#N/A,#N/A,FALSE,"Plan2"}</definedName>
    <definedName name="KSFÇJDFJL" localSheetId="4">{#N/A,#N/A,FALSE,"Plan1";#N/A,#N/A,FALSE,"Plan2"}</definedName>
    <definedName name="KSFÇJDFJL" localSheetId="13">{#N/A,#N/A,FALSE,"Plan1";#N/A,#N/A,FALSE,"Plan2"}</definedName>
    <definedName name="KSFÇJDFJL" localSheetId="17">{#N/A,#N/A,FALSE,"Plan1";#N/A,#N/A,FALSE,"Plan2"}</definedName>
    <definedName name="KSFÇJDFJL" localSheetId="0">{#N/A,#N/A,FALSE,"Plan1";#N/A,#N/A,FALSE,"Plan2"}</definedName>
    <definedName name="KSFÇJDFJL" localSheetId="19">{#N/A,#N/A,FALSE,"Plan1";#N/A,#N/A,FALSE,"Plan2"}</definedName>
    <definedName name="KSFÇJDFJL" localSheetId="16">{#N/A,#N/A,FALSE,"Plan1";#N/A,#N/A,FALSE,"Plan2"}</definedName>
    <definedName name="KSFÇJDFJL" localSheetId="18">{#N/A,#N/A,FALSE,"Plan1";#N/A,#N/A,FALSE,"Plan2"}</definedName>
    <definedName name="KSFÇJDFJL" localSheetId="10">{#N/A,#N/A,FALSE,"Plan1";#N/A,#N/A,FALSE,"Plan2"}</definedName>
    <definedName name="KSFÇJDFJL">{#N/A,#N/A,FALSE,"Plan1";#N/A,#N/A,FALSE,"Plan2"}</definedName>
    <definedName name="ksfhse" localSheetId="9">{#N/A,#N/A,FALSE,"Plan1";#N/A,#N/A,FALSE,"Plan2"}</definedName>
    <definedName name="ksfhse" localSheetId="6">{#N/A,#N/A,FALSE,"Plan1";#N/A,#N/A,FALSE,"Plan2"}</definedName>
    <definedName name="ksfhse" localSheetId="3">{#N/A,#N/A,FALSE,"Plan1";#N/A,#N/A,FALSE,"Plan2"}</definedName>
    <definedName name="ksfhse" localSheetId="8">{#N/A,#N/A,FALSE,"Plan1";#N/A,#N/A,FALSE,"Plan2"}</definedName>
    <definedName name="ksfhse" localSheetId="5">{#N/A,#N/A,FALSE,"Plan1";#N/A,#N/A,FALSE,"Plan2"}</definedName>
    <definedName name="ksfhse" localSheetId="4">{#N/A,#N/A,FALSE,"Plan1";#N/A,#N/A,FALSE,"Plan2"}</definedName>
    <definedName name="ksfhse" localSheetId="13">{#N/A,#N/A,FALSE,"Plan1";#N/A,#N/A,FALSE,"Plan2"}</definedName>
    <definedName name="ksfhse" localSheetId="17">{#N/A,#N/A,FALSE,"Plan1";#N/A,#N/A,FALSE,"Plan2"}</definedName>
    <definedName name="ksfhse" localSheetId="0">{#N/A,#N/A,FALSE,"Plan1";#N/A,#N/A,FALSE,"Plan2"}</definedName>
    <definedName name="ksfhse" localSheetId="19">{#N/A,#N/A,FALSE,"Plan1";#N/A,#N/A,FALSE,"Plan2"}</definedName>
    <definedName name="ksfhse" localSheetId="16">{#N/A,#N/A,FALSE,"Plan1";#N/A,#N/A,FALSE,"Plan2"}</definedName>
    <definedName name="ksfhse" localSheetId="18">{#N/A,#N/A,FALSE,"Plan1";#N/A,#N/A,FALSE,"Plan2"}</definedName>
    <definedName name="ksfhse" localSheetId="10">{#N/A,#N/A,FALSE,"Plan1";#N/A,#N/A,FALSE,"Plan2"}</definedName>
    <definedName name="ksfhse">{#N/A,#N/A,FALSE,"Plan1";#N/A,#N/A,FALSE,"Plan2"}</definedName>
    <definedName name="KSRKOE" localSheetId="9">{#N/A,#N/A,FALSE,"Plan1";#N/A,#N/A,FALSE,"Plan2"}</definedName>
    <definedName name="KSRKOE" localSheetId="6">{#N/A,#N/A,FALSE,"Plan1";#N/A,#N/A,FALSE,"Plan2"}</definedName>
    <definedName name="KSRKOE" localSheetId="3">{#N/A,#N/A,FALSE,"Plan1";#N/A,#N/A,FALSE,"Plan2"}</definedName>
    <definedName name="KSRKOE" localSheetId="8">{#N/A,#N/A,FALSE,"Plan1";#N/A,#N/A,FALSE,"Plan2"}</definedName>
    <definedName name="KSRKOE" localSheetId="5">{#N/A,#N/A,FALSE,"Plan1";#N/A,#N/A,FALSE,"Plan2"}</definedName>
    <definedName name="KSRKOE" localSheetId="4">{#N/A,#N/A,FALSE,"Plan1";#N/A,#N/A,FALSE,"Plan2"}</definedName>
    <definedName name="KSRKOE" localSheetId="13">{#N/A,#N/A,FALSE,"Plan1";#N/A,#N/A,FALSE,"Plan2"}</definedName>
    <definedName name="KSRKOE" localSheetId="17">{#N/A,#N/A,FALSE,"Plan1";#N/A,#N/A,FALSE,"Plan2"}</definedName>
    <definedName name="KSRKOE" localSheetId="0">{#N/A,#N/A,FALSE,"Plan1";#N/A,#N/A,FALSE,"Plan2"}</definedName>
    <definedName name="KSRKOE" localSheetId="19">{#N/A,#N/A,FALSE,"Plan1";#N/A,#N/A,FALSE,"Plan2"}</definedName>
    <definedName name="KSRKOE" localSheetId="16">{#N/A,#N/A,FALSE,"Plan1";#N/A,#N/A,FALSE,"Plan2"}</definedName>
    <definedName name="KSRKOE" localSheetId="18">{#N/A,#N/A,FALSE,"Plan1";#N/A,#N/A,FALSE,"Plan2"}</definedName>
    <definedName name="KSRKOE" localSheetId="10">{#N/A,#N/A,FALSE,"Plan1";#N/A,#N/A,FALSE,"Plan2"}</definedName>
    <definedName name="KSRKOE">{#N/A,#N/A,FALSE,"Plan1";#N/A,#N/A,FALSE,"Plan2"}</definedName>
    <definedName name="KSWKE" localSheetId="9">{#N/A,#N/A,FALSE,"Plan1";#N/A,#N/A,FALSE,"Plan2"}</definedName>
    <definedName name="KSWKE" localSheetId="6">{#N/A,#N/A,FALSE,"Plan1";#N/A,#N/A,FALSE,"Plan2"}</definedName>
    <definedName name="KSWKE" localSheetId="3">{#N/A,#N/A,FALSE,"Plan1";#N/A,#N/A,FALSE,"Plan2"}</definedName>
    <definedName name="KSWKE" localSheetId="8">{#N/A,#N/A,FALSE,"Plan1";#N/A,#N/A,FALSE,"Plan2"}</definedName>
    <definedName name="KSWKE" localSheetId="5">{#N/A,#N/A,FALSE,"Plan1";#N/A,#N/A,FALSE,"Plan2"}</definedName>
    <definedName name="KSWKE" localSheetId="4">{#N/A,#N/A,FALSE,"Plan1";#N/A,#N/A,FALSE,"Plan2"}</definedName>
    <definedName name="KSWKE" localSheetId="13">{#N/A,#N/A,FALSE,"Plan1";#N/A,#N/A,FALSE,"Plan2"}</definedName>
    <definedName name="KSWKE" localSheetId="17">{#N/A,#N/A,FALSE,"Plan1";#N/A,#N/A,FALSE,"Plan2"}</definedName>
    <definedName name="KSWKE" localSheetId="0">{#N/A,#N/A,FALSE,"Plan1";#N/A,#N/A,FALSE,"Plan2"}</definedName>
    <definedName name="KSWKE" localSheetId="19">{#N/A,#N/A,FALSE,"Plan1";#N/A,#N/A,FALSE,"Plan2"}</definedName>
    <definedName name="KSWKE" localSheetId="16">{#N/A,#N/A,FALSE,"Plan1";#N/A,#N/A,FALSE,"Plan2"}</definedName>
    <definedName name="KSWKE" localSheetId="18">{#N/A,#N/A,FALSE,"Plan1";#N/A,#N/A,FALSE,"Plan2"}</definedName>
    <definedName name="KSWKE" localSheetId="10">{#N/A,#N/A,FALSE,"Plan1";#N/A,#N/A,FALSE,"Plan2"}</definedName>
    <definedName name="KSWKE">{#N/A,#N/A,FALSE,"Plan1";#N/A,#N/A,FALSE,"Plan2"}</definedName>
    <definedName name="kubus" localSheetId="3">#REF!</definedName>
    <definedName name="kubus" localSheetId="8">#REF!</definedName>
    <definedName name="kubus" localSheetId="5">#REF!</definedName>
    <definedName name="kubus" localSheetId="13">#REF!</definedName>
    <definedName name="kubus" localSheetId="26">#REF!</definedName>
    <definedName name="kubus">#REF!</definedName>
    <definedName name="kubus1" localSheetId="3">#REF!</definedName>
    <definedName name="kubus1" localSheetId="5">#REF!</definedName>
    <definedName name="kubus1" localSheetId="13">#REF!</definedName>
    <definedName name="kubus1" localSheetId="26">#REF!</definedName>
    <definedName name="kubus1">#REF!</definedName>
    <definedName name="kysdusf" localSheetId="9">{#N/A,#N/A,FALSE,"Plan1";#N/A,#N/A,FALSE,"Plan2"}</definedName>
    <definedName name="kysdusf" localSheetId="6">{#N/A,#N/A,FALSE,"Plan1";#N/A,#N/A,FALSE,"Plan2"}</definedName>
    <definedName name="kysdusf" localSheetId="3">{#N/A,#N/A,FALSE,"Plan1";#N/A,#N/A,FALSE,"Plan2"}</definedName>
    <definedName name="kysdusf" localSheetId="8">{#N/A,#N/A,FALSE,"Plan1";#N/A,#N/A,FALSE,"Plan2"}</definedName>
    <definedName name="kysdusf" localSheetId="5">{#N/A,#N/A,FALSE,"Plan1";#N/A,#N/A,FALSE,"Plan2"}</definedName>
    <definedName name="kysdusf" localSheetId="4">{#N/A,#N/A,FALSE,"Plan1";#N/A,#N/A,FALSE,"Plan2"}</definedName>
    <definedName name="kysdusf" localSheetId="13">{#N/A,#N/A,FALSE,"Plan1";#N/A,#N/A,FALSE,"Plan2"}</definedName>
    <definedName name="kysdusf" localSheetId="17">{#N/A,#N/A,FALSE,"Plan1";#N/A,#N/A,FALSE,"Plan2"}</definedName>
    <definedName name="kysdusf" localSheetId="0">{#N/A,#N/A,FALSE,"Plan1";#N/A,#N/A,FALSE,"Plan2"}</definedName>
    <definedName name="kysdusf" localSheetId="19">{#N/A,#N/A,FALSE,"Plan1";#N/A,#N/A,FALSE,"Plan2"}</definedName>
    <definedName name="kysdusf" localSheetId="16">{#N/A,#N/A,FALSE,"Plan1";#N/A,#N/A,FALSE,"Plan2"}</definedName>
    <definedName name="kysdusf" localSheetId="18">{#N/A,#N/A,FALSE,"Plan1";#N/A,#N/A,FALSE,"Plan2"}</definedName>
    <definedName name="kysdusf" localSheetId="10">{#N/A,#N/A,FALSE,"Plan1";#N/A,#N/A,FALSE,"Plan2"}</definedName>
    <definedName name="kysdusf">{#N/A,#N/A,FALSE,"Plan1";#N/A,#N/A,FALSE,"Plan2"}</definedName>
    <definedName name="kzslçdkçle" localSheetId="9">{#N/A,#N/A,FALSE,"Plan1";#N/A,#N/A,FALSE,"Plan2"}</definedName>
    <definedName name="kzslçdkçle" localSheetId="6">{#N/A,#N/A,FALSE,"Plan1";#N/A,#N/A,FALSE,"Plan2"}</definedName>
    <definedName name="kzslçdkçle" localSheetId="3">{#N/A,#N/A,FALSE,"Plan1";#N/A,#N/A,FALSE,"Plan2"}</definedName>
    <definedName name="kzslçdkçle" localSheetId="8">{#N/A,#N/A,FALSE,"Plan1";#N/A,#N/A,FALSE,"Plan2"}</definedName>
    <definedName name="kzslçdkçle" localSheetId="5">{#N/A,#N/A,FALSE,"Plan1";#N/A,#N/A,FALSE,"Plan2"}</definedName>
    <definedName name="kzslçdkçle" localSheetId="4">{#N/A,#N/A,FALSE,"Plan1";#N/A,#N/A,FALSE,"Plan2"}</definedName>
    <definedName name="kzslçdkçle" localSheetId="13">{#N/A,#N/A,FALSE,"Plan1";#N/A,#N/A,FALSE,"Plan2"}</definedName>
    <definedName name="kzslçdkçle" localSheetId="17">{#N/A,#N/A,FALSE,"Plan1";#N/A,#N/A,FALSE,"Plan2"}</definedName>
    <definedName name="kzslçdkçle" localSheetId="0">{#N/A,#N/A,FALSE,"Plan1";#N/A,#N/A,FALSE,"Plan2"}</definedName>
    <definedName name="kzslçdkçle" localSheetId="19">{#N/A,#N/A,FALSE,"Plan1";#N/A,#N/A,FALSE,"Plan2"}</definedName>
    <definedName name="kzslçdkçle" localSheetId="16">{#N/A,#N/A,FALSE,"Plan1";#N/A,#N/A,FALSE,"Plan2"}</definedName>
    <definedName name="kzslçdkçle" localSheetId="18">{#N/A,#N/A,FALSE,"Plan1";#N/A,#N/A,FALSE,"Plan2"}</definedName>
    <definedName name="kzslçdkçle" localSheetId="10">{#N/A,#N/A,FALSE,"Plan1";#N/A,#N/A,FALSE,"Plan2"}</definedName>
    <definedName name="kzslçdkçle">{#N/A,#N/A,FALSE,"Plan1";#N/A,#N/A,FALSE,"Plan2"}</definedName>
    <definedName name="L_" localSheetId="3">#REF!</definedName>
    <definedName name="L_" localSheetId="8">#REF!</definedName>
    <definedName name="L_" localSheetId="5">#REF!</definedName>
    <definedName name="L_" localSheetId="13">#REF!</definedName>
    <definedName name="L_" localSheetId="26">#REF!</definedName>
    <definedName name="L_">#REF!</definedName>
    <definedName name="LAEKWRK" localSheetId="9">{#N/A,#N/A,FALSE,"Plan1";#N/A,#N/A,FALSE,"Plan2"}</definedName>
    <definedName name="LAEKWRK" localSheetId="6">{#N/A,#N/A,FALSE,"Plan1";#N/A,#N/A,FALSE,"Plan2"}</definedName>
    <definedName name="LAEKWRK" localSheetId="3">{#N/A,#N/A,FALSE,"Plan1";#N/A,#N/A,FALSE,"Plan2"}</definedName>
    <definedName name="LAEKWRK" localSheetId="8">{#N/A,#N/A,FALSE,"Plan1";#N/A,#N/A,FALSE,"Plan2"}</definedName>
    <definedName name="LAEKWRK" localSheetId="5">{#N/A,#N/A,FALSE,"Plan1";#N/A,#N/A,FALSE,"Plan2"}</definedName>
    <definedName name="LAEKWRK" localSheetId="4">{#N/A,#N/A,FALSE,"Plan1";#N/A,#N/A,FALSE,"Plan2"}</definedName>
    <definedName name="LAEKWRK" localSheetId="13">{#N/A,#N/A,FALSE,"Plan1";#N/A,#N/A,FALSE,"Plan2"}</definedName>
    <definedName name="LAEKWRK" localSheetId="17">{#N/A,#N/A,FALSE,"Plan1";#N/A,#N/A,FALSE,"Plan2"}</definedName>
    <definedName name="LAEKWRK" localSheetId="0">{#N/A,#N/A,FALSE,"Plan1";#N/A,#N/A,FALSE,"Plan2"}</definedName>
    <definedName name="LAEKWRK" localSheetId="19">{#N/A,#N/A,FALSE,"Plan1";#N/A,#N/A,FALSE,"Plan2"}</definedName>
    <definedName name="LAEKWRK" localSheetId="16">{#N/A,#N/A,FALSE,"Plan1";#N/A,#N/A,FALSE,"Plan2"}</definedName>
    <definedName name="LAEKWRK" localSheetId="18">{#N/A,#N/A,FALSE,"Plan1";#N/A,#N/A,FALSE,"Plan2"}</definedName>
    <definedName name="LAEKWRK" localSheetId="10">{#N/A,#N/A,FALSE,"Plan1";#N/A,#N/A,FALSE,"Plan2"}</definedName>
    <definedName name="LAEKWRK">{#N/A,#N/A,FALSE,"Plan1";#N/A,#N/A,FALSE,"Plan2"}</definedName>
    <definedName name="laeqwep" localSheetId="3">#REF!</definedName>
    <definedName name="laeqwep" localSheetId="5">#REF!</definedName>
    <definedName name="laeqwep" localSheetId="13">#REF!</definedName>
    <definedName name="laeqwep" localSheetId="26">#REF!</definedName>
    <definedName name="laeqwep" localSheetId="0">#REF!</definedName>
    <definedName name="laeqwep">#REF!</definedName>
    <definedName name="LAKDEWRF" localSheetId="9">{#N/A,#N/A,FALSE,"Plan1";#N/A,#N/A,FALSE,"Plan2"}</definedName>
    <definedName name="LAKDEWRF" localSheetId="6">{#N/A,#N/A,FALSE,"Plan1";#N/A,#N/A,FALSE,"Plan2"}</definedName>
    <definedName name="LAKDEWRF" localSheetId="3">{#N/A,#N/A,FALSE,"Plan1";#N/A,#N/A,FALSE,"Plan2"}</definedName>
    <definedName name="LAKDEWRF" localSheetId="8">{#N/A,#N/A,FALSE,"Plan1";#N/A,#N/A,FALSE,"Plan2"}</definedName>
    <definedName name="LAKDEWRF" localSheetId="5">{#N/A,#N/A,FALSE,"Plan1";#N/A,#N/A,FALSE,"Plan2"}</definedName>
    <definedName name="LAKDEWRF" localSheetId="4">{#N/A,#N/A,FALSE,"Plan1";#N/A,#N/A,FALSE,"Plan2"}</definedName>
    <definedName name="LAKDEWRF" localSheetId="13">{#N/A,#N/A,FALSE,"Plan1";#N/A,#N/A,FALSE,"Plan2"}</definedName>
    <definedName name="LAKDEWRF" localSheetId="17">{#N/A,#N/A,FALSE,"Plan1";#N/A,#N/A,FALSE,"Plan2"}</definedName>
    <definedName name="LAKDEWRF" localSheetId="0">{#N/A,#N/A,FALSE,"Plan1";#N/A,#N/A,FALSE,"Plan2"}</definedName>
    <definedName name="LAKDEWRF" localSheetId="19">{#N/A,#N/A,FALSE,"Plan1";#N/A,#N/A,FALSE,"Plan2"}</definedName>
    <definedName name="LAKDEWRF" localSheetId="16">{#N/A,#N/A,FALSE,"Plan1";#N/A,#N/A,FALSE,"Plan2"}</definedName>
    <definedName name="LAKDEWRF" localSheetId="18">{#N/A,#N/A,FALSE,"Plan1";#N/A,#N/A,FALSE,"Plan2"}</definedName>
    <definedName name="LAKDEWRF" localSheetId="10">{#N/A,#N/A,FALSE,"Plan1";#N/A,#N/A,FALSE,"Plan2"}</definedName>
    <definedName name="LAKDEWRF">{#N/A,#N/A,FALSE,"Plan1";#N/A,#N/A,FALSE,"Plan2"}</definedName>
    <definedName name="Lancamentos" localSheetId="3">#REF!</definedName>
    <definedName name="Lancamentos" localSheetId="5">#REF!</definedName>
    <definedName name="Lancamentos" localSheetId="13">#REF!</definedName>
    <definedName name="Lancamentos" localSheetId="26">#REF!</definedName>
    <definedName name="Lancamentos">#REF!</definedName>
    <definedName name="LARGURA" localSheetId="3">#REF!</definedName>
    <definedName name="LARGURA" localSheetId="5">#REF!</definedName>
    <definedName name="LARGURA" localSheetId="13">#REF!</definedName>
    <definedName name="LARGURA" localSheetId="26">#REF!</definedName>
    <definedName name="LARGURA">#REF!</definedName>
    <definedName name="LASÇDSRLF" localSheetId="9">{#N/A,#N/A,FALSE,"Plan1";#N/A,#N/A,FALSE,"Plan2"}</definedName>
    <definedName name="LASÇDSRLF" localSheetId="6">{#N/A,#N/A,FALSE,"Plan1";#N/A,#N/A,FALSE,"Plan2"}</definedName>
    <definedName name="LASÇDSRLF" localSheetId="3">{#N/A,#N/A,FALSE,"Plan1";#N/A,#N/A,FALSE,"Plan2"}</definedName>
    <definedName name="LASÇDSRLF" localSheetId="8">{#N/A,#N/A,FALSE,"Plan1";#N/A,#N/A,FALSE,"Plan2"}</definedName>
    <definedName name="LASÇDSRLF" localSheetId="5">{#N/A,#N/A,FALSE,"Plan1";#N/A,#N/A,FALSE,"Plan2"}</definedName>
    <definedName name="LASÇDSRLF" localSheetId="4">{#N/A,#N/A,FALSE,"Plan1";#N/A,#N/A,FALSE,"Plan2"}</definedName>
    <definedName name="LASÇDSRLF" localSheetId="13">{#N/A,#N/A,FALSE,"Plan1";#N/A,#N/A,FALSE,"Plan2"}</definedName>
    <definedName name="LASÇDSRLF" localSheetId="17">{#N/A,#N/A,FALSE,"Plan1";#N/A,#N/A,FALSE,"Plan2"}</definedName>
    <definedName name="LASÇDSRLF" localSheetId="0">{#N/A,#N/A,FALSE,"Plan1";#N/A,#N/A,FALSE,"Plan2"}</definedName>
    <definedName name="LASÇDSRLF" localSheetId="19">{#N/A,#N/A,FALSE,"Plan1";#N/A,#N/A,FALSE,"Plan2"}</definedName>
    <definedName name="LASÇDSRLF" localSheetId="16">{#N/A,#N/A,FALSE,"Plan1";#N/A,#N/A,FALSE,"Plan2"}</definedName>
    <definedName name="LASÇDSRLF" localSheetId="18">{#N/A,#N/A,FALSE,"Plan1";#N/A,#N/A,FALSE,"Plan2"}</definedName>
    <definedName name="LASÇDSRLF" localSheetId="10">{#N/A,#N/A,FALSE,"Plan1";#N/A,#N/A,FALSE,"Plan2"}</definedName>
    <definedName name="LASÇDSRLF">{#N/A,#N/A,FALSE,"Plan1";#N/A,#N/A,FALSE,"Plan2"}</definedName>
    <definedName name="LASDAKWE">25</definedName>
    <definedName name="lasrlswer" localSheetId="9">{#N/A,#N/A,FALSE,"Plan1";#N/A,#N/A,FALSE,"Plan2"}</definedName>
    <definedName name="lasrlswer" localSheetId="6">{#N/A,#N/A,FALSE,"Plan1";#N/A,#N/A,FALSE,"Plan2"}</definedName>
    <definedName name="lasrlswer" localSheetId="3">{#N/A,#N/A,FALSE,"Plan1";#N/A,#N/A,FALSE,"Plan2"}</definedName>
    <definedName name="lasrlswer" localSheetId="8">{#N/A,#N/A,FALSE,"Plan1";#N/A,#N/A,FALSE,"Plan2"}</definedName>
    <definedName name="lasrlswer" localSheetId="5">{#N/A,#N/A,FALSE,"Plan1";#N/A,#N/A,FALSE,"Plan2"}</definedName>
    <definedName name="lasrlswer" localSheetId="4">{#N/A,#N/A,FALSE,"Plan1";#N/A,#N/A,FALSE,"Plan2"}</definedName>
    <definedName name="lasrlswer" localSheetId="13">{#N/A,#N/A,FALSE,"Plan1";#N/A,#N/A,FALSE,"Plan2"}</definedName>
    <definedName name="lasrlswer" localSheetId="17">{#N/A,#N/A,FALSE,"Plan1";#N/A,#N/A,FALSE,"Plan2"}</definedName>
    <definedName name="lasrlswer" localSheetId="0">{#N/A,#N/A,FALSE,"Plan1";#N/A,#N/A,FALSE,"Plan2"}</definedName>
    <definedName name="lasrlswer" localSheetId="19">{#N/A,#N/A,FALSE,"Plan1";#N/A,#N/A,FALSE,"Plan2"}</definedName>
    <definedName name="lasrlswer" localSheetId="16">{#N/A,#N/A,FALSE,"Plan1";#N/A,#N/A,FALSE,"Plan2"}</definedName>
    <definedName name="lasrlswer" localSheetId="18">{#N/A,#N/A,FALSE,"Plan1";#N/A,#N/A,FALSE,"Plan2"}</definedName>
    <definedName name="lasrlswer" localSheetId="10">{#N/A,#N/A,FALSE,"Plan1";#N/A,#N/A,FALSE,"Plan2"}</definedName>
    <definedName name="lasrlswer">{#N/A,#N/A,FALSE,"Plan1";#N/A,#N/A,FALSE,"Plan2"}</definedName>
    <definedName name="LAZER" localSheetId="3">#REF!</definedName>
    <definedName name="LAZER" localSheetId="5">#REF!</definedName>
    <definedName name="LAZER" localSheetId="13">#REF!</definedName>
    <definedName name="LAZER" localSheetId="26">#REF!</definedName>
    <definedName name="LAZER">#REF!</definedName>
    <definedName name="lbla1" localSheetId="3">#REF!</definedName>
    <definedName name="lbla1" localSheetId="5">#REF!</definedName>
    <definedName name="lbla1" localSheetId="13">#REF!</definedName>
    <definedName name="lbla1" localSheetId="26">#REF!</definedName>
    <definedName name="lbla1">#REF!</definedName>
    <definedName name="lbla10" localSheetId="3">#REF!</definedName>
    <definedName name="lbla10" localSheetId="5">#REF!</definedName>
    <definedName name="lbla10" localSheetId="13">#REF!</definedName>
    <definedName name="lbla10" localSheetId="26">#REF!</definedName>
    <definedName name="lbla10">#REF!</definedName>
    <definedName name="lbla11" localSheetId="3">#REF!</definedName>
    <definedName name="lbla11" localSheetId="5">#REF!</definedName>
    <definedName name="lbla11" localSheetId="13">#REF!</definedName>
    <definedName name="lbla11" localSheetId="26">#REF!</definedName>
    <definedName name="lbla11">#REF!</definedName>
    <definedName name="lbla12" localSheetId="13">#REF!</definedName>
    <definedName name="lbla12">#REF!</definedName>
    <definedName name="lbla13" localSheetId="13">#REF!</definedName>
    <definedName name="lbla13">#REF!</definedName>
    <definedName name="lbla14" localSheetId="13">#REF!</definedName>
    <definedName name="lbla14">#REF!</definedName>
    <definedName name="lbla15" localSheetId="13">#REF!</definedName>
    <definedName name="lbla15">#REF!</definedName>
    <definedName name="lbla16" localSheetId="13">#REF!</definedName>
    <definedName name="lbla16">#REF!</definedName>
    <definedName name="lbla17" localSheetId="13">#REF!</definedName>
    <definedName name="lbla17">#REF!</definedName>
    <definedName name="lbla18" localSheetId="13">#REF!</definedName>
    <definedName name="lbla18">#REF!</definedName>
    <definedName name="lbla19" localSheetId="13">#REF!</definedName>
    <definedName name="lbla19">#REF!</definedName>
    <definedName name="lbla2" localSheetId="13">#REF!</definedName>
    <definedName name="lbla2">#REF!</definedName>
    <definedName name="lbla20" localSheetId="13">#REF!</definedName>
    <definedName name="lbla20">#REF!</definedName>
    <definedName name="lbla21" localSheetId="13">#REF!</definedName>
    <definedName name="lbla21">#REF!</definedName>
    <definedName name="lbla22" localSheetId="13">#REF!</definedName>
    <definedName name="lbla22">#REF!</definedName>
    <definedName name="lbla23" localSheetId="13">#REF!</definedName>
    <definedName name="lbla23">#REF!</definedName>
    <definedName name="lbla24" localSheetId="13">#REF!</definedName>
    <definedName name="lbla24">#REF!</definedName>
    <definedName name="lbla25" localSheetId="13">#REF!</definedName>
    <definedName name="lbla25">#REF!</definedName>
    <definedName name="lbla27" localSheetId="13">#REF!</definedName>
    <definedName name="lbla27">#REF!</definedName>
    <definedName name="lbla28" localSheetId="13">#REF!</definedName>
    <definedName name="lbla28">#REF!</definedName>
    <definedName name="lçadple4r" localSheetId="9">{#N/A,#N/A,FALSE,"Plan1";#N/A,#N/A,FALSE,"Plan2"}</definedName>
    <definedName name="lçadple4r" localSheetId="6">{#N/A,#N/A,FALSE,"Plan1";#N/A,#N/A,FALSE,"Plan2"}</definedName>
    <definedName name="lçadple4r" localSheetId="3">{#N/A,#N/A,FALSE,"Plan1";#N/A,#N/A,FALSE,"Plan2"}</definedName>
    <definedName name="lçadple4r" localSheetId="8">{#N/A,#N/A,FALSE,"Plan1";#N/A,#N/A,FALSE,"Plan2"}</definedName>
    <definedName name="lçadple4r" localSheetId="5">{#N/A,#N/A,FALSE,"Plan1";#N/A,#N/A,FALSE,"Plan2"}</definedName>
    <definedName name="lçadple4r" localSheetId="4">{#N/A,#N/A,FALSE,"Plan1";#N/A,#N/A,FALSE,"Plan2"}</definedName>
    <definedName name="lçadple4r" localSheetId="13">{#N/A,#N/A,FALSE,"Plan1";#N/A,#N/A,FALSE,"Plan2"}</definedName>
    <definedName name="lçadple4r" localSheetId="17">{#N/A,#N/A,FALSE,"Plan1";#N/A,#N/A,FALSE,"Plan2"}</definedName>
    <definedName name="lçadple4r" localSheetId="0">{#N/A,#N/A,FALSE,"Plan1";#N/A,#N/A,FALSE,"Plan2"}</definedName>
    <definedName name="lçadple4r" localSheetId="19">{#N/A,#N/A,FALSE,"Plan1";#N/A,#N/A,FALSE,"Plan2"}</definedName>
    <definedName name="lçadple4r" localSheetId="16">{#N/A,#N/A,FALSE,"Plan1";#N/A,#N/A,FALSE,"Plan2"}</definedName>
    <definedName name="lçadple4r" localSheetId="18">{#N/A,#N/A,FALSE,"Plan1";#N/A,#N/A,FALSE,"Plan2"}</definedName>
    <definedName name="lçadple4r" localSheetId="10">{#N/A,#N/A,FALSE,"Plan1";#N/A,#N/A,FALSE,"Plan2"}</definedName>
    <definedName name="lçadple4r">{#N/A,#N/A,FALSE,"Plan1";#N/A,#N/A,FALSE,"Plan2"}</definedName>
    <definedName name="lçasser" localSheetId="9">{#N/A,#N/A,FALSE,"Plan1";#N/A,#N/A,FALSE,"Plan2"}</definedName>
    <definedName name="lçasser" localSheetId="6">{#N/A,#N/A,FALSE,"Plan1";#N/A,#N/A,FALSE,"Plan2"}</definedName>
    <definedName name="lçasser" localSheetId="3">{#N/A,#N/A,FALSE,"Plan1";#N/A,#N/A,FALSE,"Plan2"}</definedName>
    <definedName name="lçasser" localSheetId="8">{#N/A,#N/A,FALSE,"Plan1";#N/A,#N/A,FALSE,"Plan2"}</definedName>
    <definedName name="lçasser" localSheetId="5">{#N/A,#N/A,FALSE,"Plan1";#N/A,#N/A,FALSE,"Plan2"}</definedName>
    <definedName name="lçasser" localSheetId="4">{#N/A,#N/A,FALSE,"Plan1";#N/A,#N/A,FALSE,"Plan2"}</definedName>
    <definedName name="lçasser" localSheetId="13">{#N/A,#N/A,FALSE,"Plan1";#N/A,#N/A,FALSE,"Plan2"}</definedName>
    <definedName name="lçasser" localSheetId="17">{#N/A,#N/A,FALSE,"Plan1";#N/A,#N/A,FALSE,"Plan2"}</definedName>
    <definedName name="lçasser" localSheetId="0">{#N/A,#N/A,FALSE,"Plan1";#N/A,#N/A,FALSE,"Plan2"}</definedName>
    <definedName name="lçasser" localSheetId="19">{#N/A,#N/A,FALSE,"Plan1";#N/A,#N/A,FALSE,"Plan2"}</definedName>
    <definedName name="lçasser" localSheetId="16">{#N/A,#N/A,FALSE,"Plan1";#N/A,#N/A,FALSE,"Plan2"}</definedName>
    <definedName name="lçasser" localSheetId="18">{#N/A,#N/A,FALSE,"Plan1";#N/A,#N/A,FALSE,"Plan2"}</definedName>
    <definedName name="lçasser" localSheetId="10">{#N/A,#N/A,FALSE,"Plan1";#N/A,#N/A,FALSE,"Plan2"}</definedName>
    <definedName name="lçasser">{#N/A,#N/A,FALSE,"Plan1";#N/A,#N/A,FALSE,"Plan2"}</definedName>
    <definedName name="lcdgjtklfrn" localSheetId="9">{#N/A,#N/A,FALSE,"Plan1";#N/A,#N/A,FALSE,"Plan2"}</definedName>
    <definedName name="lcdgjtklfrn" localSheetId="6">{#N/A,#N/A,FALSE,"Plan1";#N/A,#N/A,FALSE,"Plan2"}</definedName>
    <definedName name="lcdgjtklfrn" localSheetId="3">{#N/A,#N/A,FALSE,"Plan1";#N/A,#N/A,FALSE,"Plan2"}</definedName>
    <definedName name="lcdgjtklfrn" localSheetId="8">{#N/A,#N/A,FALSE,"Plan1";#N/A,#N/A,FALSE,"Plan2"}</definedName>
    <definedName name="lcdgjtklfrn" localSheetId="5">{#N/A,#N/A,FALSE,"Plan1";#N/A,#N/A,FALSE,"Plan2"}</definedName>
    <definedName name="lcdgjtklfrn" localSheetId="4">{#N/A,#N/A,FALSE,"Plan1";#N/A,#N/A,FALSE,"Plan2"}</definedName>
    <definedName name="lcdgjtklfrn" localSheetId="13">{#N/A,#N/A,FALSE,"Plan1";#N/A,#N/A,FALSE,"Plan2"}</definedName>
    <definedName name="lcdgjtklfrn" localSheetId="17">{#N/A,#N/A,FALSE,"Plan1";#N/A,#N/A,FALSE,"Plan2"}</definedName>
    <definedName name="lcdgjtklfrn" localSheetId="0">{#N/A,#N/A,FALSE,"Plan1";#N/A,#N/A,FALSE,"Plan2"}</definedName>
    <definedName name="lcdgjtklfrn" localSheetId="19">{#N/A,#N/A,FALSE,"Plan1";#N/A,#N/A,FALSE,"Plan2"}</definedName>
    <definedName name="lcdgjtklfrn" localSheetId="16">{#N/A,#N/A,FALSE,"Plan1";#N/A,#N/A,FALSE,"Plan2"}</definedName>
    <definedName name="lcdgjtklfrn" localSheetId="18">{#N/A,#N/A,FALSE,"Plan1";#N/A,#N/A,FALSE,"Plan2"}</definedName>
    <definedName name="lcdgjtklfrn" localSheetId="10">{#N/A,#N/A,FALSE,"Plan1";#N/A,#N/A,FALSE,"Plan2"}</definedName>
    <definedName name="lcdgjtklfrn">{#N/A,#N/A,FALSE,"Plan1";#N/A,#N/A,FALSE,"Plan2"}</definedName>
    <definedName name="lçfklsdkçaer" localSheetId="9">{#N/A,#N/A,FALSE,"Plan1";#N/A,#N/A,FALSE,"Plan2"}</definedName>
    <definedName name="lçfklsdkçaer" localSheetId="6">{#N/A,#N/A,FALSE,"Plan1";#N/A,#N/A,FALSE,"Plan2"}</definedName>
    <definedName name="lçfklsdkçaer" localSheetId="3">{#N/A,#N/A,FALSE,"Plan1";#N/A,#N/A,FALSE,"Plan2"}</definedName>
    <definedName name="lçfklsdkçaer" localSheetId="8">{#N/A,#N/A,FALSE,"Plan1";#N/A,#N/A,FALSE,"Plan2"}</definedName>
    <definedName name="lçfklsdkçaer" localSheetId="5">{#N/A,#N/A,FALSE,"Plan1";#N/A,#N/A,FALSE,"Plan2"}</definedName>
    <definedName name="lçfklsdkçaer" localSheetId="4">{#N/A,#N/A,FALSE,"Plan1";#N/A,#N/A,FALSE,"Plan2"}</definedName>
    <definedName name="lçfklsdkçaer" localSheetId="13">{#N/A,#N/A,FALSE,"Plan1";#N/A,#N/A,FALSE,"Plan2"}</definedName>
    <definedName name="lçfklsdkçaer" localSheetId="17">{#N/A,#N/A,FALSE,"Plan1";#N/A,#N/A,FALSE,"Plan2"}</definedName>
    <definedName name="lçfklsdkçaer" localSheetId="0">{#N/A,#N/A,FALSE,"Plan1";#N/A,#N/A,FALSE,"Plan2"}</definedName>
    <definedName name="lçfklsdkçaer" localSheetId="19">{#N/A,#N/A,FALSE,"Plan1";#N/A,#N/A,FALSE,"Plan2"}</definedName>
    <definedName name="lçfklsdkçaer" localSheetId="16">{#N/A,#N/A,FALSE,"Plan1";#N/A,#N/A,FALSE,"Plan2"}</definedName>
    <definedName name="lçfklsdkçaer" localSheetId="18">{#N/A,#N/A,FALSE,"Plan1";#N/A,#N/A,FALSE,"Plan2"}</definedName>
    <definedName name="lçfklsdkçaer" localSheetId="10">{#N/A,#N/A,FALSE,"Plan1";#N/A,#N/A,FALSE,"Plan2"}</definedName>
    <definedName name="lçfklsdkçaer">{#N/A,#N/A,FALSE,"Plan1";#N/A,#N/A,FALSE,"Plan2"}</definedName>
    <definedName name="lçjkgf" localSheetId="9">{#N/A,#N/A,FALSE,"Plan1";#N/A,#N/A,FALSE,"Plan2"}</definedName>
    <definedName name="lçjkgf" localSheetId="6">{#N/A,#N/A,FALSE,"Plan1";#N/A,#N/A,FALSE,"Plan2"}</definedName>
    <definedName name="lçjkgf" localSheetId="3">{#N/A,#N/A,FALSE,"Plan1";#N/A,#N/A,FALSE,"Plan2"}</definedName>
    <definedName name="lçjkgf" localSheetId="8">{#N/A,#N/A,FALSE,"Plan1";#N/A,#N/A,FALSE,"Plan2"}</definedName>
    <definedName name="lçjkgf" localSheetId="5">{#N/A,#N/A,FALSE,"Plan1";#N/A,#N/A,FALSE,"Plan2"}</definedName>
    <definedName name="lçjkgf" localSheetId="4">{#N/A,#N/A,FALSE,"Plan1";#N/A,#N/A,FALSE,"Plan2"}</definedName>
    <definedName name="lçjkgf" localSheetId="13">{#N/A,#N/A,FALSE,"Plan1";#N/A,#N/A,FALSE,"Plan2"}</definedName>
    <definedName name="lçjkgf" localSheetId="17">{#N/A,#N/A,FALSE,"Plan1";#N/A,#N/A,FALSE,"Plan2"}</definedName>
    <definedName name="lçjkgf" localSheetId="0">{#N/A,#N/A,FALSE,"Plan1";#N/A,#N/A,FALSE,"Plan2"}</definedName>
    <definedName name="lçjkgf" localSheetId="19">{#N/A,#N/A,FALSE,"Plan1";#N/A,#N/A,FALSE,"Plan2"}</definedName>
    <definedName name="lçjkgf" localSheetId="16">{#N/A,#N/A,FALSE,"Plan1";#N/A,#N/A,FALSE,"Plan2"}</definedName>
    <definedName name="lçjkgf" localSheetId="18">{#N/A,#N/A,FALSE,"Plan1";#N/A,#N/A,FALSE,"Plan2"}</definedName>
    <definedName name="lçjkgf" localSheetId="10">{#N/A,#N/A,FALSE,"Plan1";#N/A,#N/A,FALSE,"Plan2"}</definedName>
    <definedName name="lçjkgf">{#N/A,#N/A,FALSE,"Plan1";#N/A,#N/A,FALSE,"Plan2"}</definedName>
    <definedName name="LÇJSLDFJ" localSheetId="9">{#N/A,#N/A,FALSE,"Plan1";#N/A,#N/A,FALSE,"Plan2"}</definedName>
    <definedName name="LÇJSLDFJ" localSheetId="6">{#N/A,#N/A,FALSE,"Plan1";#N/A,#N/A,FALSE,"Plan2"}</definedName>
    <definedName name="LÇJSLDFJ" localSheetId="3">{#N/A,#N/A,FALSE,"Plan1";#N/A,#N/A,FALSE,"Plan2"}</definedName>
    <definedName name="LÇJSLDFJ" localSheetId="8">{#N/A,#N/A,FALSE,"Plan1";#N/A,#N/A,FALSE,"Plan2"}</definedName>
    <definedName name="LÇJSLDFJ" localSheetId="5">{#N/A,#N/A,FALSE,"Plan1";#N/A,#N/A,FALSE,"Plan2"}</definedName>
    <definedName name="LÇJSLDFJ" localSheetId="4">{#N/A,#N/A,FALSE,"Plan1";#N/A,#N/A,FALSE,"Plan2"}</definedName>
    <definedName name="LÇJSLDFJ" localSheetId="13">{#N/A,#N/A,FALSE,"Plan1";#N/A,#N/A,FALSE,"Plan2"}</definedName>
    <definedName name="LÇJSLDFJ" localSheetId="17">{#N/A,#N/A,FALSE,"Plan1";#N/A,#N/A,FALSE,"Plan2"}</definedName>
    <definedName name="LÇJSLDFJ" localSheetId="0">{#N/A,#N/A,FALSE,"Plan1";#N/A,#N/A,FALSE,"Plan2"}</definedName>
    <definedName name="LÇJSLDFJ" localSheetId="19">{#N/A,#N/A,FALSE,"Plan1";#N/A,#N/A,FALSE,"Plan2"}</definedName>
    <definedName name="LÇJSLDFJ" localSheetId="16">{#N/A,#N/A,FALSE,"Plan1";#N/A,#N/A,FALSE,"Plan2"}</definedName>
    <definedName name="LÇJSLDFJ" localSheetId="18">{#N/A,#N/A,FALSE,"Plan1";#N/A,#N/A,FALSE,"Plan2"}</definedName>
    <definedName name="LÇJSLDFJ" localSheetId="10">{#N/A,#N/A,FALSE,"Plan1";#N/A,#N/A,FALSE,"Plan2"}</definedName>
    <definedName name="LÇJSLDFJ">{#N/A,#N/A,FALSE,"Plan1";#N/A,#N/A,FALSE,"Plan2"}</definedName>
    <definedName name="LÇKÇSDRLK" localSheetId="9">{#N/A,#N/A,FALSE,"Plan1";#N/A,#N/A,FALSE,"Plan2"}</definedName>
    <definedName name="LÇKÇSDRLK" localSheetId="6">{#N/A,#N/A,FALSE,"Plan1";#N/A,#N/A,FALSE,"Plan2"}</definedName>
    <definedName name="LÇKÇSDRLK" localSheetId="3">{#N/A,#N/A,FALSE,"Plan1";#N/A,#N/A,FALSE,"Plan2"}</definedName>
    <definedName name="LÇKÇSDRLK" localSheetId="8">{#N/A,#N/A,FALSE,"Plan1";#N/A,#N/A,FALSE,"Plan2"}</definedName>
    <definedName name="LÇKÇSDRLK" localSheetId="5">{#N/A,#N/A,FALSE,"Plan1";#N/A,#N/A,FALSE,"Plan2"}</definedName>
    <definedName name="LÇKÇSDRLK" localSheetId="4">{#N/A,#N/A,FALSE,"Plan1";#N/A,#N/A,FALSE,"Plan2"}</definedName>
    <definedName name="LÇKÇSDRLK" localSheetId="13">{#N/A,#N/A,FALSE,"Plan1";#N/A,#N/A,FALSE,"Plan2"}</definedName>
    <definedName name="LÇKÇSDRLK" localSheetId="17">{#N/A,#N/A,FALSE,"Plan1";#N/A,#N/A,FALSE,"Plan2"}</definedName>
    <definedName name="LÇKÇSDRLK" localSheetId="0">{#N/A,#N/A,FALSE,"Plan1";#N/A,#N/A,FALSE,"Plan2"}</definedName>
    <definedName name="LÇKÇSDRLK" localSheetId="19">{#N/A,#N/A,FALSE,"Plan1";#N/A,#N/A,FALSE,"Plan2"}</definedName>
    <definedName name="LÇKÇSDRLK" localSheetId="16">{#N/A,#N/A,FALSE,"Plan1";#N/A,#N/A,FALSE,"Plan2"}</definedName>
    <definedName name="LÇKÇSDRLK" localSheetId="18">{#N/A,#N/A,FALSE,"Plan1";#N/A,#N/A,FALSE,"Plan2"}</definedName>
    <definedName name="LÇKÇSDRLK" localSheetId="10">{#N/A,#N/A,FALSE,"Plan1";#N/A,#N/A,FALSE,"Plan2"}</definedName>
    <definedName name="LÇKÇSDRLK">{#N/A,#N/A,FALSE,"Plan1";#N/A,#N/A,FALSE,"Plan2"}</definedName>
    <definedName name="lçkdfkdstkre">25</definedName>
    <definedName name="lçk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9">{#N/A,#N/A,FALSE,"Plan1";#N/A,#N/A,FALSE,"Plan2"}</definedName>
    <definedName name="lçlfklçdglfdgt" localSheetId="6">{#N/A,#N/A,FALSE,"Plan1";#N/A,#N/A,FALSE,"Plan2"}</definedName>
    <definedName name="lçlfklçdglfdgt" localSheetId="3">{#N/A,#N/A,FALSE,"Plan1";#N/A,#N/A,FALSE,"Plan2"}</definedName>
    <definedName name="lçlfklçdglfdgt" localSheetId="8">{#N/A,#N/A,FALSE,"Plan1";#N/A,#N/A,FALSE,"Plan2"}</definedName>
    <definedName name="lçlfklçdglfdgt" localSheetId="5">{#N/A,#N/A,FALSE,"Plan1";#N/A,#N/A,FALSE,"Plan2"}</definedName>
    <definedName name="lçlfklçdglfdgt" localSheetId="4">{#N/A,#N/A,FALSE,"Plan1";#N/A,#N/A,FALSE,"Plan2"}</definedName>
    <definedName name="lçlfklçdglfdgt" localSheetId="13">{#N/A,#N/A,FALSE,"Plan1";#N/A,#N/A,FALSE,"Plan2"}</definedName>
    <definedName name="lçlfklçdglfdgt" localSheetId="17">{#N/A,#N/A,FALSE,"Plan1";#N/A,#N/A,FALSE,"Plan2"}</definedName>
    <definedName name="lçlfklçdglfdgt" localSheetId="0">{#N/A,#N/A,FALSE,"Plan1";#N/A,#N/A,FALSE,"Plan2"}</definedName>
    <definedName name="lçlfklçdglfdgt" localSheetId="19">{#N/A,#N/A,FALSE,"Plan1";#N/A,#N/A,FALSE,"Plan2"}</definedName>
    <definedName name="lçlfklçdglfdgt" localSheetId="16">{#N/A,#N/A,FALSE,"Plan1";#N/A,#N/A,FALSE,"Plan2"}</definedName>
    <definedName name="lçlfklçdglfdgt" localSheetId="18">{#N/A,#N/A,FALSE,"Plan1";#N/A,#N/A,FALSE,"Plan2"}</definedName>
    <definedName name="lçlfklçdglfdgt" localSheetId="10">{#N/A,#N/A,FALSE,"Plan1";#N/A,#N/A,FALSE,"Plan2"}</definedName>
    <definedName name="lçlfklçdglfdgt">{#N/A,#N/A,FALSE,"Plan1";#N/A,#N/A,FALSE,"Plan2"}</definedName>
    <definedName name="lçslrr4r" localSheetId="9">{#N/A,#N/A,FALSE,"Plan1";#N/A,#N/A,FALSE,"Plan2"}</definedName>
    <definedName name="lçslrr4r" localSheetId="6">{#N/A,#N/A,FALSE,"Plan1";#N/A,#N/A,FALSE,"Plan2"}</definedName>
    <definedName name="lçslrr4r" localSheetId="3">{#N/A,#N/A,FALSE,"Plan1";#N/A,#N/A,FALSE,"Plan2"}</definedName>
    <definedName name="lçslrr4r" localSheetId="8">{#N/A,#N/A,FALSE,"Plan1";#N/A,#N/A,FALSE,"Plan2"}</definedName>
    <definedName name="lçslrr4r" localSheetId="5">{#N/A,#N/A,FALSE,"Plan1";#N/A,#N/A,FALSE,"Plan2"}</definedName>
    <definedName name="lçslrr4r" localSheetId="4">{#N/A,#N/A,FALSE,"Plan1";#N/A,#N/A,FALSE,"Plan2"}</definedName>
    <definedName name="lçslrr4r" localSheetId="13">{#N/A,#N/A,FALSE,"Plan1";#N/A,#N/A,FALSE,"Plan2"}</definedName>
    <definedName name="lçslrr4r" localSheetId="17">{#N/A,#N/A,FALSE,"Plan1";#N/A,#N/A,FALSE,"Plan2"}</definedName>
    <definedName name="lçslrr4r" localSheetId="0">{#N/A,#N/A,FALSE,"Plan1";#N/A,#N/A,FALSE,"Plan2"}</definedName>
    <definedName name="lçslrr4r" localSheetId="19">{#N/A,#N/A,FALSE,"Plan1";#N/A,#N/A,FALSE,"Plan2"}</definedName>
    <definedName name="lçslrr4r" localSheetId="16">{#N/A,#N/A,FALSE,"Plan1";#N/A,#N/A,FALSE,"Plan2"}</definedName>
    <definedName name="lçslrr4r" localSheetId="18">{#N/A,#N/A,FALSE,"Plan1";#N/A,#N/A,FALSE,"Plan2"}</definedName>
    <definedName name="lçslrr4r" localSheetId="10">{#N/A,#N/A,FALSE,"Plan1";#N/A,#N/A,FALSE,"Plan2"}</definedName>
    <definedName name="lçslrr4r">{#N/A,#N/A,FALSE,"Plan1";#N/A,#N/A,FALSE,"Plan2"}</definedName>
    <definedName name="ldfjgry" localSheetId="9">{#N/A,#N/A,FALSE,"Plan1";#N/A,#N/A,FALSE,"Plan2"}</definedName>
    <definedName name="ldfjgry" localSheetId="6">{#N/A,#N/A,FALSE,"Plan1";#N/A,#N/A,FALSE,"Plan2"}</definedName>
    <definedName name="ldfjgry" localSheetId="3">{#N/A,#N/A,FALSE,"Plan1";#N/A,#N/A,FALSE,"Plan2"}</definedName>
    <definedName name="ldfjgry" localSheetId="8">{#N/A,#N/A,FALSE,"Plan1";#N/A,#N/A,FALSE,"Plan2"}</definedName>
    <definedName name="ldfjgry" localSheetId="5">{#N/A,#N/A,FALSE,"Plan1";#N/A,#N/A,FALSE,"Plan2"}</definedName>
    <definedName name="ldfjgry" localSheetId="4">{#N/A,#N/A,FALSE,"Plan1";#N/A,#N/A,FALSE,"Plan2"}</definedName>
    <definedName name="ldfjgry" localSheetId="13">{#N/A,#N/A,FALSE,"Plan1";#N/A,#N/A,FALSE,"Plan2"}</definedName>
    <definedName name="ldfjgry" localSheetId="17">{#N/A,#N/A,FALSE,"Plan1";#N/A,#N/A,FALSE,"Plan2"}</definedName>
    <definedName name="ldfjgry" localSheetId="0">{#N/A,#N/A,FALSE,"Plan1";#N/A,#N/A,FALSE,"Plan2"}</definedName>
    <definedName name="ldfjgry" localSheetId="19">{#N/A,#N/A,FALSE,"Plan1";#N/A,#N/A,FALSE,"Plan2"}</definedName>
    <definedName name="ldfjgry" localSheetId="16">{#N/A,#N/A,FALSE,"Plan1";#N/A,#N/A,FALSE,"Plan2"}</definedName>
    <definedName name="ldfjgry" localSheetId="18">{#N/A,#N/A,FALSE,"Plan1";#N/A,#N/A,FALSE,"Plan2"}</definedName>
    <definedName name="ldfjgry" localSheetId="10">{#N/A,#N/A,FALSE,"Plan1";#N/A,#N/A,FALSE,"Plan2"}</definedName>
    <definedName name="ldfjgry">{#N/A,#N/A,FALSE,"Plan1";#N/A,#N/A,FALSE,"Plan2"}</definedName>
    <definedName name="ldfjgtilrf" localSheetId="9">{#N/A,#N/A,FALSE,"Plan1";#N/A,#N/A,FALSE,"Plan2"}</definedName>
    <definedName name="ldfjgtilrf" localSheetId="6">{#N/A,#N/A,FALSE,"Plan1";#N/A,#N/A,FALSE,"Plan2"}</definedName>
    <definedName name="ldfjgtilrf" localSheetId="3">{#N/A,#N/A,FALSE,"Plan1";#N/A,#N/A,FALSE,"Plan2"}</definedName>
    <definedName name="ldfjgtilrf" localSheetId="8">{#N/A,#N/A,FALSE,"Plan1";#N/A,#N/A,FALSE,"Plan2"}</definedName>
    <definedName name="ldfjgtilrf" localSheetId="5">{#N/A,#N/A,FALSE,"Plan1";#N/A,#N/A,FALSE,"Plan2"}</definedName>
    <definedName name="ldfjgtilrf" localSheetId="4">{#N/A,#N/A,FALSE,"Plan1";#N/A,#N/A,FALSE,"Plan2"}</definedName>
    <definedName name="ldfjgtilrf" localSheetId="13">{#N/A,#N/A,FALSE,"Plan1";#N/A,#N/A,FALSE,"Plan2"}</definedName>
    <definedName name="ldfjgtilrf" localSheetId="17">{#N/A,#N/A,FALSE,"Plan1";#N/A,#N/A,FALSE,"Plan2"}</definedName>
    <definedName name="ldfjgtilrf" localSheetId="0">{#N/A,#N/A,FALSE,"Plan1";#N/A,#N/A,FALSE,"Plan2"}</definedName>
    <definedName name="ldfjgtilrf" localSheetId="19">{#N/A,#N/A,FALSE,"Plan1";#N/A,#N/A,FALSE,"Plan2"}</definedName>
    <definedName name="ldfjgtilrf" localSheetId="16">{#N/A,#N/A,FALSE,"Plan1";#N/A,#N/A,FALSE,"Plan2"}</definedName>
    <definedName name="ldfjgtilrf" localSheetId="18">{#N/A,#N/A,FALSE,"Plan1";#N/A,#N/A,FALSE,"Plan2"}</definedName>
    <definedName name="ldfjgtilrf" localSheetId="10">{#N/A,#N/A,FALSE,"Plan1";#N/A,#N/A,FALSE,"Plan2"}</definedName>
    <definedName name="ldfjgtilrf">{#N/A,#N/A,FALSE,"Plan1";#N/A,#N/A,FALSE,"Plan2"}</definedName>
    <definedName name="ldk" localSheetId="9">{#N/A,#N/A,FALSE,"Plan1";#N/A,#N/A,FALSE,"Plan2"}</definedName>
    <definedName name="ldk" localSheetId="6">{#N/A,#N/A,FALSE,"Plan1";#N/A,#N/A,FALSE,"Plan2"}</definedName>
    <definedName name="ldk" localSheetId="3">{#N/A,#N/A,FALSE,"Plan1";#N/A,#N/A,FALSE,"Plan2"}</definedName>
    <definedName name="ldk" localSheetId="8">{#N/A,#N/A,FALSE,"Plan1";#N/A,#N/A,FALSE,"Plan2"}</definedName>
    <definedName name="ldk" localSheetId="5">{#N/A,#N/A,FALSE,"Plan1";#N/A,#N/A,FALSE,"Plan2"}</definedName>
    <definedName name="ldk" localSheetId="4">{#N/A,#N/A,FALSE,"Plan1";#N/A,#N/A,FALSE,"Plan2"}</definedName>
    <definedName name="ldk" localSheetId="13">{#N/A,#N/A,FALSE,"Plan1";#N/A,#N/A,FALSE,"Plan2"}</definedName>
    <definedName name="ldk" localSheetId="17">{#N/A,#N/A,FALSE,"Plan1";#N/A,#N/A,FALSE,"Plan2"}</definedName>
    <definedName name="ldk" localSheetId="0">{#N/A,#N/A,FALSE,"Plan1";#N/A,#N/A,FALSE,"Plan2"}</definedName>
    <definedName name="ldk" localSheetId="19">{#N/A,#N/A,FALSE,"Plan1";#N/A,#N/A,FALSE,"Plan2"}</definedName>
    <definedName name="ldk" localSheetId="16">{#N/A,#N/A,FALSE,"Plan1";#N/A,#N/A,FALSE,"Plan2"}</definedName>
    <definedName name="ldk" localSheetId="18">{#N/A,#N/A,FALSE,"Plan1";#N/A,#N/A,FALSE,"Plan2"}</definedName>
    <definedName name="ldk" localSheetId="10">{#N/A,#N/A,FALSE,"Plan1";#N/A,#N/A,FALSE,"Plan2"}</definedName>
    <definedName name="ldk">{#N/A,#N/A,FALSE,"Plan1";#N/A,#N/A,FALSE,"Plan2"}</definedName>
    <definedName name="ldkgkdfjgkh" localSheetId="9">{#N/A,#N/A,FALSE,"Plan1";#N/A,#N/A,FALSE,"Plan2"}</definedName>
    <definedName name="ldkgkdfjgkh" localSheetId="6">{#N/A,#N/A,FALSE,"Plan1";#N/A,#N/A,FALSE,"Plan2"}</definedName>
    <definedName name="ldkgkdfjgkh" localSheetId="3">{#N/A,#N/A,FALSE,"Plan1";#N/A,#N/A,FALSE,"Plan2"}</definedName>
    <definedName name="ldkgkdfjgkh" localSheetId="8">{#N/A,#N/A,FALSE,"Plan1";#N/A,#N/A,FALSE,"Plan2"}</definedName>
    <definedName name="ldkgkdfjgkh" localSheetId="5">{#N/A,#N/A,FALSE,"Plan1";#N/A,#N/A,FALSE,"Plan2"}</definedName>
    <definedName name="ldkgkdfjgkh" localSheetId="4">{#N/A,#N/A,FALSE,"Plan1";#N/A,#N/A,FALSE,"Plan2"}</definedName>
    <definedName name="ldkgkdfjgkh" localSheetId="13">{#N/A,#N/A,FALSE,"Plan1";#N/A,#N/A,FALSE,"Plan2"}</definedName>
    <definedName name="ldkgkdfjgkh" localSheetId="17">{#N/A,#N/A,FALSE,"Plan1";#N/A,#N/A,FALSE,"Plan2"}</definedName>
    <definedName name="ldkgkdfjgkh" localSheetId="0">{#N/A,#N/A,FALSE,"Plan1";#N/A,#N/A,FALSE,"Plan2"}</definedName>
    <definedName name="ldkgkdfjgkh" localSheetId="19">{#N/A,#N/A,FALSE,"Plan1";#N/A,#N/A,FALSE,"Plan2"}</definedName>
    <definedName name="ldkgkdfjgkh" localSheetId="16">{#N/A,#N/A,FALSE,"Plan1";#N/A,#N/A,FALSE,"Plan2"}</definedName>
    <definedName name="ldkgkdfjgkh" localSheetId="18">{#N/A,#N/A,FALSE,"Plan1";#N/A,#N/A,FALSE,"Plan2"}</definedName>
    <definedName name="ldkgkdfjgkh" localSheetId="10">{#N/A,#N/A,FALSE,"Plan1";#N/A,#N/A,FALSE,"Plan2"}</definedName>
    <definedName name="ldkgkdfjgkh">{#N/A,#N/A,FALSE,"Plan1";#N/A,#N/A,FALSE,"Plan2"}</definedName>
    <definedName name="LDTJGR" localSheetId="9">{#N/A,#N/A,FALSE,"Plan1";#N/A,#N/A,FALSE,"Plan2"}</definedName>
    <definedName name="LDTJGR" localSheetId="6">{#N/A,#N/A,FALSE,"Plan1";#N/A,#N/A,FALSE,"Plan2"}</definedName>
    <definedName name="LDTJGR" localSheetId="3">{#N/A,#N/A,FALSE,"Plan1";#N/A,#N/A,FALSE,"Plan2"}</definedName>
    <definedName name="LDTJGR" localSheetId="8">{#N/A,#N/A,FALSE,"Plan1";#N/A,#N/A,FALSE,"Plan2"}</definedName>
    <definedName name="LDTJGR" localSheetId="5">{#N/A,#N/A,FALSE,"Plan1";#N/A,#N/A,FALSE,"Plan2"}</definedName>
    <definedName name="LDTJGR" localSheetId="4">{#N/A,#N/A,FALSE,"Plan1";#N/A,#N/A,FALSE,"Plan2"}</definedName>
    <definedName name="LDTJGR" localSheetId="13">{#N/A,#N/A,FALSE,"Plan1";#N/A,#N/A,FALSE,"Plan2"}</definedName>
    <definedName name="LDTJGR" localSheetId="17">{#N/A,#N/A,FALSE,"Plan1";#N/A,#N/A,FALSE,"Plan2"}</definedName>
    <definedName name="LDTJGR" localSheetId="0">{#N/A,#N/A,FALSE,"Plan1";#N/A,#N/A,FALSE,"Plan2"}</definedName>
    <definedName name="LDTJGR" localSheetId="19">{#N/A,#N/A,FALSE,"Plan1";#N/A,#N/A,FALSE,"Plan2"}</definedName>
    <definedName name="LDTJGR" localSheetId="16">{#N/A,#N/A,FALSE,"Plan1";#N/A,#N/A,FALSE,"Plan2"}</definedName>
    <definedName name="LDTJGR" localSheetId="18">{#N/A,#N/A,FALSE,"Plan1";#N/A,#N/A,FALSE,"Plan2"}</definedName>
    <definedName name="LDTJGR" localSheetId="10">{#N/A,#N/A,FALSE,"Plan1";#N/A,#N/A,FALSE,"Plan2"}</definedName>
    <definedName name="LDTJGR">{#N/A,#N/A,FALSE,"Plan1";#N/A,#N/A,FALSE,"Plan2"}</definedName>
    <definedName name="Leg" localSheetId="3">#REF!</definedName>
    <definedName name="Leg" localSheetId="5">#REF!</definedName>
    <definedName name="Leg" localSheetId="13">#REF!</definedName>
    <definedName name="Leg" localSheetId="26">#REF!</definedName>
    <definedName name="Leg" localSheetId="0">#REF!</definedName>
    <definedName name="Leg">#REF!</definedName>
    <definedName name="legr_cdi" localSheetId="3">#REF!</definedName>
    <definedName name="legr_cdi" localSheetId="5">#REF!</definedName>
    <definedName name="legr_cdi" localSheetId="13">#REF!</definedName>
    <definedName name="legr_cdi" localSheetId="26">#REF!</definedName>
    <definedName name="legr_cdi">#REF!</definedName>
    <definedName name="legr_hist" localSheetId="3">#REF!</definedName>
    <definedName name="legr_hist" localSheetId="5">#REF!</definedName>
    <definedName name="legr_hist" localSheetId="13">#REF!</definedName>
    <definedName name="legr_hist" localSheetId="26">#REF!</definedName>
    <definedName name="legr_hist">#REF!</definedName>
    <definedName name="legr_uss" localSheetId="3">#REF!</definedName>
    <definedName name="legr_uss" localSheetId="5">#REF!</definedName>
    <definedName name="legr_uss" localSheetId="13">#REF!</definedName>
    <definedName name="legr_uss" localSheetId="26">#REF!</definedName>
    <definedName name="legr_uss">#REF!</definedName>
    <definedName name="LEK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3">#REF!</definedName>
    <definedName name="LEVANTAMENTO" localSheetId="5">#REF!</definedName>
    <definedName name="LEVANTAMENTO" localSheetId="13">#REF!</definedName>
    <definedName name="LEVANTAMENTO" localSheetId="26">#REF!</definedName>
    <definedName name="LEVANTAMENTO">#REF!</definedName>
    <definedName name="lfjdjrt" localSheetId="9">{#N/A,#N/A,FALSE,"Plan1";#N/A,#N/A,FALSE,"Plan2"}</definedName>
    <definedName name="lfjdjrt" localSheetId="6">{#N/A,#N/A,FALSE,"Plan1";#N/A,#N/A,FALSE,"Plan2"}</definedName>
    <definedName name="lfjdjrt" localSheetId="3">{#N/A,#N/A,FALSE,"Plan1";#N/A,#N/A,FALSE,"Plan2"}</definedName>
    <definedName name="lfjdjrt" localSheetId="8">{#N/A,#N/A,FALSE,"Plan1";#N/A,#N/A,FALSE,"Plan2"}</definedName>
    <definedName name="lfjdjrt" localSheetId="5">{#N/A,#N/A,FALSE,"Plan1";#N/A,#N/A,FALSE,"Plan2"}</definedName>
    <definedName name="lfjdjrt" localSheetId="4">{#N/A,#N/A,FALSE,"Plan1";#N/A,#N/A,FALSE,"Plan2"}</definedName>
    <definedName name="lfjdjrt" localSheetId="13">{#N/A,#N/A,FALSE,"Plan1";#N/A,#N/A,FALSE,"Plan2"}</definedName>
    <definedName name="lfjdjrt" localSheetId="17">{#N/A,#N/A,FALSE,"Plan1";#N/A,#N/A,FALSE,"Plan2"}</definedName>
    <definedName name="lfjdjrt" localSheetId="0">{#N/A,#N/A,FALSE,"Plan1";#N/A,#N/A,FALSE,"Plan2"}</definedName>
    <definedName name="lfjdjrt" localSheetId="19">{#N/A,#N/A,FALSE,"Plan1";#N/A,#N/A,FALSE,"Plan2"}</definedName>
    <definedName name="lfjdjrt" localSheetId="16">{#N/A,#N/A,FALSE,"Plan1";#N/A,#N/A,FALSE,"Plan2"}</definedName>
    <definedName name="lfjdjrt" localSheetId="18">{#N/A,#N/A,FALSE,"Plan1";#N/A,#N/A,FALSE,"Plan2"}</definedName>
    <definedName name="lfjdjrt" localSheetId="10">{#N/A,#N/A,FALSE,"Plan1";#N/A,#N/A,FALSE,"Plan2"}</definedName>
    <definedName name="lfjdjrt">{#N/A,#N/A,FALSE,"Plan1";#N/A,#N/A,FALSE,"Plan2"}</definedName>
    <definedName name="LI" localSheetId="3">#REF!</definedName>
    <definedName name="LI" localSheetId="8">#REF!</definedName>
    <definedName name="LI" localSheetId="5">#REF!</definedName>
    <definedName name="LI" localSheetId="13">#REF!</definedName>
    <definedName name="LI" localSheetId="26">#REF!</definedName>
    <definedName name="LI">#REF!</definedName>
    <definedName name="LIDER_OPER" localSheetId="3">#REF!</definedName>
    <definedName name="LIDER_OPER" localSheetId="5">#REF!</definedName>
    <definedName name="LIDER_OPER" localSheetId="13">#REF!</definedName>
    <definedName name="LIDER_OPER" localSheetId="26">#REF!</definedName>
    <definedName name="LIDER_OPER">#REF!</definedName>
    <definedName name="lidfjgklruf" localSheetId="9">{#N/A,#N/A,FALSE,"Plan1";#N/A,#N/A,FALSE,"Plan2"}</definedName>
    <definedName name="lidfjgklruf" localSheetId="6">{#N/A,#N/A,FALSE,"Plan1";#N/A,#N/A,FALSE,"Plan2"}</definedName>
    <definedName name="lidfjgklruf" localSheetId="3">{#N/A,#N/A,FALSE,"Plan1";#N/A,#N/A,FALSE,"Plan2"}</definedName>
    <definedName name="lidfjgklruf" localSheetId="8">{#N/A,#N/A,FALSE,"Plan1";#N/A,#N/A,FALSE,"Plan2"}</definedName>
    <definedName name="lidfjgklruf" localSheetId="5">{#N/A,#N/A,FALSE,"Plan1";#N/A,#N/A,FALSE,"Plan2"}</definedName>
    <definedName name="lidfjgklruf" localSheetId="4">{#N/A,#N/A,FALSE,"Plan1";#N/A,#N/A,FALSE,"Plan2"}</definedName>
    <definedName name="lidfjgklruf" localSheetId="13">{#N/A,#N/A,FALSE,"Plan1";#N/A,#N/A,FALSE,"Plan2"}</definedName>
    <definedName name="lidfjgklruf" localSheetId="17">{#N/A,#N/A,FALSE,"Plan1";#N/A,#N/A,FALSE,"Plan2"}</definedName>
    <definedName name="lidfjgklruf" localSheetId="0">{#N/A,#N/A,FALSE,"Plan1";#N/A,#N/A,FALSE,"Plan2"}</definedName>
    <definedName name="lidfjgklruf" localSheetId="19">{#N/A,#N/A,FALSE,"Plan1";#N/A,#N/A,FALSE,"Plan2"}</definedName>
    <definedName name="lidfjgklruf" localSheetId="16">{#N/A,#N/A,FALSE,"Plan1";#N/A,#N/A,FALSE,"Plan2"}</definedName>
    <definedName name="lidfjgklruf" localSheetId="18">{#N/A,#N/A,FALSE,"Plan1";#N/A,#N/A,FALSE,"Plan2"}</definedName>
    <definedName name="lidfjgklruf" localSheetId="10">{#N/A,#N/A,FALSE,"Plan1";#N/A,#N/A,FALSE,"Plan2"}</definedName>
    <definedName name="lidfjgklruf">{#N/A,#N/A,FALSE,"Plan1";#N/A,#N/A,FALSE,"Plan2"}</definedName>
    <definedName name="LII" localSheetId="3">#REF!</definedName>
    <definedName name="LII" localSheetId="8">#REF!</definedName>
    <definedName name="LII" localSheetId="5">#REF!</definedName>
    <definedName name="LII" localSheetId="13">#REF!</definedName>
    <definedName name="LII" localSheetId="26">#REF!</definedName>
    <definedName name="LII">#REF!</definedName>
    <definedName name="LIII" localSheetId="3">#REF!</definedName>
    <definedName name="LIII" localSheetId="5">#REF!</definedName>
    <definedName name="LIII" localSheetId="13">#REF!</definedName>
    <definedName name="LIII" localSheetId="26">#REF!</definedName>
    <definedName name="LIII">#REF!</definedName>
    <definedName name="LIMBO" localSheetId="3">#REF!</definedName>
    <definedName name="LIMBO" localSheetId="5">#REF!</definedName>
    <definedName name="LIMBO" localSheetId="13">#REF!</definedName>
    <definedName name="LIMBO" localSheetId="26">#REF!</definedName>
    <definedName name="LIMBO">#REF!</definedName>
    <definedName name="limcount">3</definedName>
    <definedName name="LIN" localSheetId="3">#REF!</definedName>
    <definedName name="LIN" localSheetId="5">#REF!</definedName>
    <definedName name="LIN" localSheetId="13">#REF!</definedName>
    <definedName name="LIN" localSheetId="26">#REF!</definedName>
    <definedName name="LIN">#REF!</definedName>
    <definedName name="list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3">#REF!</definedName>
    <definedName name="LISTA" localSheetId="5">#REF!</definedName>
    <definedName name="LISTA" localSheetId="13">#REF!</definedName>
    <definedName name="LISTA" localSheetId="26">#REF!</definedName>
    <definedName name="LISTA">#REF!</definedName>
    <definedName name="LISTA_CONTAS" localSheetId="3">#REF!</definedName>
    <definedName name="LISTA_CONTAS" localSheetId="5">#REF!</definedName>
    <definedName name="LISTA_CONTAS" localSheetId="13">#REF!</definedName>
    <definedName name="LISTA_CONTAS" localSheetId="26">#REF!</definedName>
    <definedName name="LISTA_CONTAS">#REF!</definedName>
    <definedName name="lista_empresa" localSheetId="6">OFFSET(INDEX(#REF!,MATCH(#REF!,#REF!,0)),1,0,COUNTA(#REF!)-1)</definedName>
    <definedName name="lista_empresa" localSheetId="4">OFFSET(INDEX(#REF!,MATCH(#REF!,#REF!,0)),1,0,COUNTA(#REF!)-1)</definedName>
    <definedName name="lista_empresa" localSheetId="13">OFFSET(INDEX(#REF!,MATCH(#REF!,#REF!,0)),1,0,COUNTA(#REF!)-1)</definedName>
    <definedName name="lista_empresa" localSheetId="19">OFFSET(INDEX(#REF!,MATCH(#REF!,#REF!,0)),1,0,COUNTA(#REF!)-1)</definedName>
    <definedName name="lista_empresa">OFFSET(INDEX(#REF!,MATCH(#REF!,#REF!,0)),1,0,COUNTA(#REF!)-1)</definedName>
    <definedName name="LISTA_FORNECEDORES" localSheetId="3">#REF!</definedName>
    <definedName name="LISTA_FORNECEDORES" localSheetId="5">#REF!</definedName>
    <definedName name="LISTA_FORNECEDORES" localSheetId="13">#REF!</definedName>
    <definedName name="LISTA_FORNECEDORES" localSheetId="26">#REF!</definedName>
    <definedName name="LISTA_FORNECEDORES">#REF!</definedName>
    <definedName name="LISTSEL" localSheetId="3">#REF!</definedName>
    <definedName name="LISTSEL" localSheetId="5">#REF!</definedName>
    <definedName name="LISTSEL" localSheetId="13">#REF!</definedName>
    <definedName name="LISTSEL" localSheetId="26">#REF!</definedName>
    <definedName name="LISTSEL">#REF!</definedName>
    <definedName name="listt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3">#REF!</definedName>
    <definedName name="LIV" localSheetId="8">#REF!</definedName>
    <definedName name="LIV" localSheetId="5">#REF!</definedName>
    <definedName name="LIV" localSheetId="13">#REF!</definedName>
    <definedName name="LIV" localSheetId="26">#REF!</definedName>
    <definedName name="LIV">#REF!</definedName>
    <definedName name="LIX" localSheetId="3">#REF!</definedName>
    <definedName name="LIX" localSheetId="5">#REF!</definedName>
    <definedName name="LIX" localSheetId="13">#REF!</definedName>
    <definedName name="LIX" localSheetId="26">#REF!</definedName>
    <definedName name="LIX">#REF!</definedName>
    <definedName name="ljdfkgyt" localSheetId="9">{#N/A,#N/A,FALSE,"Plan1";#N/A,#N/A,FALSE,"Plan2"}</definedName>
    <definedName name="ljdfkgyt" localSheetId="6">{#N/A,#N/A,FALSE,"Plan1";#N/A,#N/A,FALSE,"Plan2"}</definedName>
    <definedName name="ljdfkgyt" localSheetId="3">{#N/A,#N/A,FALSE,"Plan1";#N/A,#N/A,FALSE,"Plan2"}</definedName>
    <definedName name="ljdfkgyt" localSheetId="8">{#N/A,#N/A,FALSE,"Plan1";#N/A,#N/A,FALSE,"Plan2"}</definedName>
    <definedName name="ljdfkgyt" localSheetId="5">{#N/A,#N/A,FALSE,"Plan1";#N/A,#N/A,FALSE,"Plan2"}</definedName>
    <definedName name="ljdfkgyt" localSheetId="4">{#N/A,#N/A,FALSE,"Plan1";#N/A,#N/A,FALSE,"Plan2"}</definedName>
    <definedName name="ljdfkgyt" localSheetId="13">{#N/A,#N/A,FALSE,"Plan1";#N/A,#N/A,FALSE,"Plan2"}</definedName>
    <definedName name="ljdfkgyt" localSheetId="17">{#N/A,#N/A,FALSE,"Plan1";#N/A,#N/A,FALSE,"Plan2"}</definedName>
    <definedName name="ljdfkgyt" localSheetId="0">{#N/A,#N/A,FALSE,"Plan1";#N/A,#N/A,FALSE,"Plan2"}</definedName>
    <definedName name="ljdfkgyt" localSheetId="19">{#N/A,#N/A,FALSE,"Plan1";#N/A,#N/A,FALSE,"Plan2"}</definedName>
    <definedName name="ljdfkgyt" localSheetId="16">{#N/A,#N/A,FALSE,"Plan1";#N/A,#N/A,FALSE,"Plan2"}</definedName>
    <definedName name="ljdfkgyt" localSheetId="18">{#N/A,#N/A,FALSE,"Plan1";#N/A,#N/A,FALSE,"Plan2"}</definedName>
    <definedName name="ljdfkgyt" localSheetId="10">{#N/A,#N/A,FALSE,"Plan1";#N/A,#N/A,FALSE,"Plan2"}</definedName>
    <definedName name="ljdfkgyt">{#N/A,#N/A,FALSE,"Plan1";#N/A,#N/A,FALSE,"Plan2"}</definedName>
    <definedName name="LJDFLJRL" localSheetId="9">{#N/A,#N/A,FALSE,"Plan1";#N/A,#N/A,FALSE,"Plan2"}</definedName>
    <definedName name="LJDFLJRL" localSheetId="6">{#N/A,#N/A,FALSE,"Plan1";#N/A,#N/A,FALSE,"Plan2"}</definedName>
    <definedName name="LJDFLJRL" localSheetId="3">{#N/A,#N/A,FALSE,"Plan1";#N/A,#N/A,FALSE,"Plan2"}</definedName>
    <definedName name="LJDFLJRL" localSheetId="8">{#N/A,#N/A,FALSE,"Plan1";#N/A,#N/A,FALSE,"Plan2"}</definedName>
    <definedName name="LJDFLJRL" localSheetId="5">{#N/A,#N/A,FALSE,"Plan1";#N/A,#N/A,FALSE,"Plan2"}</definedName>
    <definedName name="LJDFLJRL" localSheetId="4">{#N/A,#N/A,FALSE,"Plan1";#N/A,#N/A,FALSE,"Plan2"}</definedName>
    <definedName name="LJDFLJRL" localSheetId="13">{#N/A,#N/A,FALSE,"Plan1";#N/A,#N/A,FALSE,"Plan2"}</definedName>
    <definedName name="LJDFLJRL" localSheetId="17">{#N/A,#N/A,FALSE,"Plan1";#N/A,#N/A,FALSE,"Plan2"}</definedName>
    <definedName name="LJDFLJRL" localSheetId="0">{#N/A,#N/A,FALSE,"Plan1";#N/A,#N/A,FALSE,"Plan2"}</definedName>
    <definedName name="LJDFLJRL" localSheetId="19">{#N/A,#N/A,FALSE,"Plan1";#N/A,#N/A,FALSE,"Plan2"}</definedName>
    <definedName name="LJDFLJRL" localSheetId="16">{#N/A,#N/A,FALSE,"Plan1";#N/A,#N/A,FALSE,"Plan2"}</definedName>
    <definedName name="LJDFLJRL" localSheetId="18">{#N/A,#N/A,FALSE,"Plan1";#N/A,#N/A,FALSE,"Plan2"}</definedName>
    <definedName name="LJDFLJRL" localSheetId="10">{#N/A,#N/A,FALSE,"Plan1";#N/A,#N/A,FALSE,"Plan2"}</definedName>
    <definedName name="LJDFLJRL">{#N/A,#N/A,FALSE,"Plan1";#N/A,#N/A,FALSE,"Plan2"}</definedName>
    <definedName name="ljsdfrd" localSheetId="9">{#N/A,#N/A,FALSE,"Plan1";#N/A,#N/A,FALSE,"Plan2"}</definedName>
    <definedName name="ljsdfrd" localSheetId="6">{#N/A,#N/A,FALSE,"Plan1";#N/A,#N/A,FALSE,"Plan2"}</definedName>
    <definedName name="ljsdfrd" localSheetId="3">{#N/A,#N/A,FALSE,"Plan1";#N/A,#N/A,FALSE,"Plan2"}</definedName>
    <definedName name="ljsdfrd" localSheetId="8">{#N/A,#N/A,FALSE,"Plan1";#N/A,#N/A,FALSE,"Plan2"}</definedName>
    <definedName name="ljsdfrd" localSheetId="5">{#N/A,#N/A,FALSE,"Plan1";#N/A,#N/A,FALSE,"Plan2"}</definedName>
    <definedName name="ljsdfrd" localSheetId="4">{#N/A,#N/A,FALSE,"Plan1";#N/A,#N/A,FALSE,"Plan2"}</definedName>
    <definedName name="ljsdfrd" localSheetId="13">{#N/A,#N/A,FALSE,"Plan1";#N/A,#N/A,FALSE,"Plan2"}</definedName>
    <definedName name="ljsdfrd" localSheetId="17">{#N/A,#N/A,FALSE,"Plan1";#N/A,#N/A,FALSE,"Plan2"}</definedName>
    <definedName name="ljsdfrd" localSheetId="0">{#N/A,#N/A,FALSE,"Plan1";#N/A,#N/A,FALSE,"Plan2"}</definedName>
    <definedName name="ljsdfrd" localSheetId="19">{#N/A,#N/A,FALSE,"Plan1";#N/A,#N/A,FALSE,"Plan2"}</definedName>
    <definedName name="ljsdfrd" localSheetId="16">{#N/A,#N/A,FALSE,"Plan1";#N/A,#N/A,FALSE,"Plan2"}</definedName>
    <definedName name="ljsdfrd" localSheetId="18">{#N/A,#N/A,FALSE,"Plan1";#N/A,#N/A,FALSE,"Plan2"}</definedName>
    <definedName name="ljsdfrd" localSheetId="10">{#N/A,#N/A,FALSE,"Plan1";#N/A,#N/A,FALSE,"Plan2"}</definedName>
    <definedName name="ljsdfrd">{#N/A,#N/A,FALSE,"Plan1";#N/A,#N/A,FALSE,"Plan2"}</definedName>
    <definedName name="LJSFLDJDLKFJG" localSheetId="3">#REF!</definedName>
    <definedName name="LJSFLDJDLKFJG" localSheetId="5">#REF!</definedName>
    <definedName name="LJSFLDJDLKFJG" localSheetId="13">#REF!</definedName>
    <definedName name="LJSFLDJDLKFJG" localSheetId="26">#REF!</definedName>
    <definedName name="LJSFLDJDLKFJG" localSheetId="0">#REF!</definedName>
    <definedName name="LJSFLDJDLKFJG">#REF!</definedName>
    <definedName name="LK" localSheetId="9">{#N/A,#N/A,TRUE,"Quinzena 01 à 15-04-98 "}</definedName>
    <definedName name="LK" localSheetId="6">{#N/A,#N/A,TRUE,"Quinzena 01 à 15-04-98 "}</definedName>
    <definedName name="LK" localSheetId="3">{#N/A,#N/A,TRUE,"Quinzena 01 à 15-04-98 "}</definedName>
    <definedName name="LK" localSheetId="8">{#N/A,#N/A,TRUE,"Quinzena 01 à 15-04-98 "}</definedName>
    <definedName name="LK" localSheetId="5">{#N/A,#N/A,TRUE,"Quinzena 01 à 15-04-98 "}</definedName>
    <definedName name="LK" localSheetId="4">{#N/A,#N/A,TRUE,"Quinzena 01 à 15-04-98 "}</definedName>
    <definedName name="LK" localSheetId="13">{#N/A,#N/A,TRUE,"Quinzena 01 à 15-04-98 "}</definedName>
    <definedName name="LK" localSheetId="17">{#N/A,#N/A,TRUE,"Quinzena 01 à 15-04-98 "}</definedName>
    <definedName name="LK" localSheetId="0">{#N/A,#N/A,TRUE,"Quinzena 01 à 15-04-98 "}</definedName>
    <definedName name="LK" localSheetId="19">{#N/A,#N/A,TRUE,"Quinzena 01 à 15-04-98 "}</definedName>
    <definedName name="LK" localSheetId="16">{#N/A,#N/A,TRUE,"Quinzena 01 à 15-04-98 "}</definedName>
    <definedName name="LK" localSheetId="18">{#N/A,#N/A,TRUE,"Quinzena 01 à 15-04-98 "}</definedName>
    <definedName name="LK" localSheetId="10">{#N/A,#N/A,TRUE,"Quinzena 01 à 15-04-98 "}</definedName>
    <definedName name="LK">{#N/A,#N/A,TRUE,"Quinzena 01 à 15-04-98 "}</definedName>
    <definedName name="lkasdkeo" localSheetId="9">{#N/A,#N/A,FALSE,"Plan1";#N/A,#N/A,FALSE,"Plan2"}</definedName>
    <definedName name="lkasdkeo" localSheetId="6">{#N/A,#N/A,FALSE,"Plan1";#N/A,#N/A,FALSE,"Plan2"}</definedName>
    <definedName name="lkasdkeo" localSheetId="3">{#N/A,#N/A,FALSE,"Plan1";#N/A,#N/A,FALSE,"Plan2"}</definedName>
    <definedName name="lkasdkeo" localSheetId="8">{#N/A,#N/A,FALSE,"Plan1";#N/A,#N/A,FALSE,"Plan2"}</definedName>
    <definedName name="lkasdkeo" localSheetId="5">{#N/A,#N/A,FALSE,"Plan1";#N/A,#N/A,FALSE,"Plan2"}</definedName>
    <definedName name="lkasdkeo" localSheetId="4">{#N/A,#N/A,FALSE,"Plan1";#N/A,#N/A,FALSE,"Plan2"}</definedName>
    <definedName name="lkasdkeo" localSheetId="13">{#N/A,#N/A,FALSE,"Plan1";#N/A,#N/A,FALSE,"Plan2"}</definedName>
    <definedName name="lkasdkeo" localSheetId="17">{#N/A,#N/A,FALSE,"Plan1";#N/A,#N/A,FALSE,"Plan2"}</definedName>
    <definedName name="lkasdkeo" localSheetId="0">{#N/A,#N/A,FALSE,"Plan1";#N/A,#N/A,FALSE,"Plan2"}</definedName>
    <definedName name="lkasdkeo" localSheetId="19">{#N/A,#N/A,FALSE,"Plan1";#N/A,#N/A,FALSE,"Plan2"}</definedName>
    <definedName name="lkasdkeo" localSheetId="16">{#N/A,#N/A,FALSE,"Plan1";#N/A,#N/A,FALSE,"Plan2"}</definedName>
    <definedName name="lkasdkeo" localSheetId="18">{#N/A,#N/A,FALSE,"Plan1";#N/A,#N/A,FALSE,"Plan2"}</definedName>
    <definedName name="lkasdkeo" localSheetId="10">{#N/A,#N/A,FALSE,"Plan1";#N/A,#N/A,FALSE,"Plan2"}</definedName>
    <definedName name="lkasdkeo">{#N/A,#N/A,FALSE,"Plan1";#N/A,#N/A,FALSE,"Plan2"}</definedName>
    <definedName name="lkdeas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9">{#N/A,#N/A,FALSE,"Plan1";#N/A,#N/A,FALSE,"Plan2"}</definedName>
    <definedName name="lkdzxfsdrf" localSheetId="6">{#N/A,#N/A,FALSE,"Plan1";#N/A,#N/A,FALSE,"Plan2"}</definedName>
    <definedName name="lkdzxfsdrf" localSheetId="3">{#N/A,#N/A,FALSE,"Plan1";#N/A,#N/A,FALSE,"Plan2"}</definedName>
    <definedName name="lkdzxfsdrf" localSheetId="8">{#N/A,#N/A,FALSE,"Plan1";#N/A,#N/A,FALSE,"Plan2"}</definedName>
    <definedName name="lkdzxfsdrf" localSheetId="5">{#N/A,#N/A,FALSE,"Plan1";#N/A,#N/A,FALSE,"Plan2"}</definedName>
    <definedName name="lkdzxfsdrf" localSheetId="4">{#N/A,#N/A,FALSE,"Plan1";#N/A,#N/A,FALSE,"Plan2"}</definedName>
    <definedName name="lkdzxfsdrf" localSheetId="13">{#N/A,#N/A,FALSE,"Plan1";#N/A,#N/A,FALSE,"Plan2"}</definedName>
    <definedName name="lkdzxfsdrf" localSheetId="17">{#N/A,#N/A,FALSE,"Plan1";#N/A,#N/A,FALSE,"Plan2"}</definedName>
    <definedName name="lkdzxfsdrf" localSheetId="0">{#N/A,#N/A,FALSE,"Plan1";#N/A,#N/A,FALSE,"Plan2"}</definedName>
    <definedName name="lkdzxfsdrf" localSheetId="19">{#N/A,#N/A,FALSE,"Plan1";#N/A,#N/A,FALSE,"Plan2"}</definedName>
    <definedName name="lkdzxfsdrf" localSheetId="16">{#N/A,#N/A,FALSE,"Plan1";#N/A,#N/A,FALSE,"Plan2"}</definedName>
    <definedName name="lkdzxfsdrf" localSheetId="18">{#N/A,#N/A,FALSE,"Plan1";#N/A,#N/A,FALSE,"Plan2"}</definedName>
    <definedName name="lkdzxfsdrf" localSheetId="10">{#N/A,#N/A,FALSE,"Plan1";#N/A,#N/A,FALSE,"Plan2"}</definedName>
    <definedName name="lkdzxfsdrf">{#N/A,#N/A,FALSE,"Plan1";#N/A,#N/A,FALSE,"Plan2"}</definedName>
    <definedName name="lkfdkçtktr" localSheetId="9">{#N/A,#N/A,FALSE,"Plan1";#N/A,#N/A,FALSE,"Plan2"}</definedName>
    <definedName name="lkfdkçtktr" localSheetId="6">{#N/A,#N/A,FALSE,"Plan1";#N/A,#N/A,FALSE,"Plan2"}</definedName>
    <definedName name="lkfdkçtktr" localSheetId="3">{#N/A,#N/A,FALSE,"Plan1";#N/A,#N/A,FALSE,"Plan2"}</definedName>
    <definedName name="lkfdkçtktr" localSheetId="8">{#N/A,#N/A,FALSE,"Plan1";#N/A,#N/A,FALSE,"Plan2"}</definedName>
    <definedName name="lkfdkçtktr" localSheetId="5">{#N/A,#N/A,FALSE,"Plan1";#N/A,#N/A,FALSE,"Plan2"}</definedName>
    <definedName name="lkfdkçtktr" localSheetId="4">{#N/A,#N/A,FALSE,"Plan1";#N/A,#N/A,FALSE,"Plan2"}</definedName>
    <definedName name="lkfdkçtktr" localSheetId="13">{#N/A,#N/A,FALSE,"Plan1";#N/A,#N/A,FALSE,"Plan2"}</definedName>
    <definedName name="lkfdkçtktr" localSheetId="17">{#N/A,#N/A,FALSE,"Plan1";#N/A,#N/A,FALSE,"Plan2"}</definedName>
    <definedName name="lkfdkçtktr" localSheetId="0">{#N/A,#N/A,FALSE,"Plan1";#N/A,#N/A,FALSE,"Plan2"}</definedName>
    <definedName name="lkfdkçtktr" localSheetId="19">{#N/A,#N/A,FALSE,"Plan1";#N/A,#N/A,FALSE,"Plan2"}</definedName>
    <definedName name="lkfdkçtktr" localSheetId="16">{#N/A,#N/A,FALSE,"Plan1";#N/A,#N/A,FALSE,"Plan2"}</definedName>
    <definedName name="lkfdkçtktr" localSheetId="18">{#N/A,#N/A,FALSE,"Plan1";#N/A,#N/A,FALSE,"Plan2"}</definedName>
    <definedName name="lkfdkçtktr" localSheetId="10">{#N/A,#N/A,FALSE,"Plan1";#N/A,#N/A,FALSE,"Plan2"}</definedName>
    <definedName name="lkfdkçtktr">{#N/A,#N/A,FALSE,"Plan1";#N/A,#N/A,FALSE,"Plan2"}</definedName>
    <definedName name="lkjr4">17</definedName>
    <definedName name="lkt" localSheetId="9">{#N/A,#N/A,FALSE,"Plan1";#N/A,#N/A,FALSE,"Plan2"}</definedName>
    <definedName name="lkt" localSheetId="6">{#N/A,#N/A,FALSE,"Plan1";#N/A,#N/A,FALSE,"Plan2"}</definedName>
    <definedName name="lkt" localSheetId="3">{#N/A,#N/A,FALSE,"Plan1";#N/A,#N/A,FALSE,"Plan2"}</definedName>
    <definedName name="lkt" localSheetId="8">{#N/A,#N/A,FALSE,"Plan1";#N/A,#N/A,FALSE,"Plan2"}</definedName>
    <definedName name="lkt" localSheetId="5">{#N/A,#N/A,FALSE,"Plan1";#N/A,#N/A,FALSE,"Plan2"}</definedName>
    <definedName name="lkt" localSheetId="4">{#N/A,#N/A,FALSE,"Plan1";#N/A,#N/A,FALSE,"Plan2"}</definedName>
    <definedName name="lkt" localSheetId="13">{#N/A,#N/A,FALSE,"Plan1";#N/A,#N/A,FALSE,"Plan2"}</definedName>
    <definedName name="lkt" localSheetId="17">{#N/A,#N/A,FALSE,"Plan1";#N/A,#N/A,FALSE,"Plan2"}</definedName>
    <definedName name="lkt" localSheetId="0">{#N/A,#N/A,FALSE,"Plan1";#N/A,#N/A,FALSE,"Plan2"}</definedName>
    <definedName name="lkt" localSheetId="19">{#N/A,#N/A,FALSE,"Plan1";#N/A,#N/A,FALSE,"Plan2"}</definedName>
    <definedName name="lkt" localSheetId="16">{#N/A,#N/A,FALSE,"Plan1";#N/A,#N/A,FALSE,"Plan2"}</definedName>
    <definedName name="lkt" localSheetId="18">{#N/A,#N/A,FALSE,"Plan1";#N/A,#N/A,FALSE,"Plan2"}</definedName>
    <definedName name="lkt" localSheetId="10">{#N/A,#N/A,FALSE,"Plan1";#N/A,#N/A,FALSE,"Plan2"}</definedName>
    <definedName name="lkt">{#N/A,#N/A,FALSE,"Plan1";#N/A,#N/A,FALSE,"Plan2"}</definedName>
    <definedName name="lktlyklt" localSheetId="9">{#N/A,#N/A,FALSE,"Plan1";#N/A,#N/A,FALSE,"Plan2"}</definedName>
    <definedName name="lktlyklt" localSheetId="6">{#N/A,#N/A,FALSE,"Plan1";#N/A,#N/A,FALSE,"Plan2"}</definedName>
    <definedName name="lktlyklt" localSheetId="3">{#N/A,#N/A,FALSE,"Plan1";#N/A,#N/A,FALSE,"Plan2"}</definedName>
    <definedName name="lktlyklt" localSheetId="8">{#N/A,#N/A,FALSE,"Plan1";#N/A,#N/A,FALSE,"Plan2"}</definedName>
    <definedName name="lktlyklt" localSheetId="5">{#N/A,#N/A,FALSE,"Plan1";#N/A,#N/A,FALSE,"Plan2"}</definedName>
    <definedName name="lktlyklt" localSheetId="4">{#N/A,#N/A,FALSE,"Plan1";#N/A,#N/A,FALSE,"Plan2"}</definedName>
    <definedName name="lktlyklt" localSheetId="13">{#N/A,#N/A,FALSE,"Plan1";#N/A,#N/A,FALSE,"Plan2"}</definedName>
    <definedName name="lktlyklt" localSheetId="17">{#N/A,#N/A,FALSE,"Plan1";#N/A,#N/A,FALSE,"Plan2"}</definedName>
    <definedName name="lktlyklt" localSheetId="0">{#N/A,#N/A,FALSE,"Plan1";#N/A,#N/A,FALSE,"Plan2"}</definedName>
    <definedName name="lktlyklt" localSheetId="19">{#N/A,#N/A,FALSE,"Plan1";#N/A,#N/A,FALSE,"Plan2"}</definedName>
    <definedName name="lktlyklt" localSheetId="16">{#N/A,#N/A,FALSE,"Plan1";#N/A,#N/A,FALSE,"Plan2"}</definedName>
    <definedName name="lktlyklt" localSheetId="18">{#N/A,#N/A,FALSE,"Plan1";#N/A,#N/A,FALSE,"Plan2"}</definedName>
    <definedName name="lktlyklt" localSheetId="10">{#N/A,#N/A,FALSE,"Plan1";#N/A,#N/A,FALSE,"Plan2"}</definedName>
    <definedName name="lktlyklt">{#N/A,#N/A,FALSE,"Plan1";#N/A,#N/A,FALSE,"Plan2"}</definedName>
    <definedName name="LKTTYT" localSheetId="9">{#N/A,#N/A,FALSE,"Plan1";#N/A,#N/A,FALSE,"Plan2"}</definedName>
    <definedName name="LKTTYT" localSheetId="6">{#N/A,#N/A,FALSE,"Plan1";#N/A,#N/A,FALSE,"Plan2"}</definedName>
    <definedName name="LKTTYT" localSheetId="3">{#N/A,#N/A,FALSE,"Plan1";#N/A,#N/A,FALSE,"Plan2"}</definedName>
    <definedName name="LKTTYT" localSheetId="8">{#N/A,#N/A,FALSE,"Plan1";#N/A,#N/A,FALSE,"Plan2"}</definedName>
    <definedName name="LKTTYT" localSheetId="5">{#N/A,#N/A,FALSE,"Plan1";#N/A,#N/A,FALSE,"Plan2"}</definedName>
    <definedName name="LKTTYT" localSheetId="4">{#N/A,#N/A,FALSE,"Plan1";#N/A,#N/A,FALSE,"Plan2"}</definedName>
    <definedName name="LKTTYT" localSheetId="13">{#N/A,#N/A,FALSE,"Plan1";#N/A,#N/A,FALSE,"Plan2"}</definedName>
    <definedName name="LKTTYT" localSheetId="17">{#N/A,#N/A,FALSE,"Plan1";#N/A,#N/A,FALSE,"Plan2"}</definedName>
    <definedName name="LKTTYT" localSheetId="0">{#N/A,#N/A,FALSE,"Plan1";#N/A,#N/A,FALSE,"Plan2"}</definedName>
    <definedName name="LKTTYT" localSheetId="19">{#N/A,#N/A,FALSE,"Plan1";#N/A,#N/A,FALSE,"Plan2"}</definedName>
    <definedName name="LKTTYT" localSheetId="16">{#N/A,#N/A,FALSE,"Plan1";#N/A,#N/A,FALSE,"Plan2"}</definedName>
    <definedName name="LKTTYT" localSheetId="18">{#N/A,#N/A,FALSE,"Plan1";#N/A,#N/A,FALSE,"Plan2"}</definedName>
    <definedName name="LKTTYT" localSheetId="10">{#N/A,#N/A,FALSE,"Plan1";#N/A,#N/A,FALSE,"Plan2"}</definedName>
    <definedName name="LKTTYT">{#N/A,#N/A,FALSE,"Plan1";#N/A,#N/A,FALSE,"Plan2"}</definedName>
    <definedName name="llgg" localSheetId="9">{#N/A,#N/A,FALSE,"Plan1";#N/A,#N/A,FALSE,"Plan2"}</definedName>
    <definedName name="llgg" localSheetId="6">{#N/A,#N/A,FALSE,"Plan1";#N/A,#N/A,FALSE,"Plan2"}</definedName>
    <definedName name="llgg" localSheetId="3">{#N/A,#N/A,FALSE,"Plan1";#N/A,#N/A,FALSE,"Plan2"}</definedName>
    <definedName name="llgg" localSheetId="8">{#N/A,#N/A,FALSE,"Plan1";#N/A,#N/A,FALSE,"Plan2"}</definedName>
    <definedName name="llgg" localSheetId="5">{#N/A,#N/A,FALSE,"Plan1";#N/A,#N/A,FALSE,"Plan2"}</definedName>
    <definedName name="llgg" localSheetId="4">{#N/A,#N/A,FALSE,"Plan1";#N/A,#N/A,FALSE,"Plan2"}</definedName>
    <definedName name="llgg" localSheetId="13">{#N/A,#N/A,FALSE,"Plan1";#N/A,#N/A,FALSE,"Plan2"}</definedName>
    <definedName name="llgg" localSheetId="17">{#N/A,#N/A,FALSE,"Plan1";#N/A,#N/A,FALSE,"Plan2"}</definedName>
    <definedName name="llgg" localSheetId="0">{#N/A,#N/A,FALSE,"Plan1";#N/A,#N/A,FALSE,"Plan2"}</definedName>
    <definedName name="llgg" localSheetId="19">{#N/A,#N/A,FALSE,"Plan1";#N/A,#N/A,FALSE,"Plan2"}</definedName>
    <definedName name="llgg" localSheetId="16">{#N/A,#N/A,FALSE,"Plan1";#N/A,#N/A,FALSE,"Plan2"}</definedName>
    <definedName name="llgg" localSheetId="18">{#N/A,#N/A,FALSE,"Plan1";#N/A,#N/A,FALSE,"Plan2"}</definedName>
    <definedName name="llgg" localSheetId="10">{#N/A,#N/A,FALSE,"Plan1";#N/A,#N/A,FALSE,"Plan2"}</definedName>
    <definedName name="llgg">{#N/A,#N/A,FALSE,"Plan1";#N/A,#N/A,FALSE,"Plan2"}</definedName>
    <definedName name="LLL" localSheetId="9">{#N/A,#N/A,FALSE,"Plan1";#N/A,#N/A,FALSE,"Plan2"}</definedName>
    <definedName name="LLL" localSheetId="6">{#N/A,#N/A,FALSE,"Plan1";#N/A,#N/A,FALSE,"Plan2"}</definedName>
    <definedName name="LLL" localSheetId="3">{#N/A,#N/A,FALSE,"Plan1";#N/A,#N/A,FALSE,"Plan2"}</definedName>
    <definedName name="LLL" localSheetId="8">{#N/A,#N/A,FALSE,"Plan1";#N/A,#N/A,FALSE,"Plan2"}</definedName>
    <definedName name="LLL" localSheetId="5">{#N/A,#N/A,FALSE,"Plan1";#N/A,#N/A,FALSE,"Plan2"}</definedName>
    <definedName name="LLL" localSheetId="4">{#N/A,#N/A,FALSE,"Plan1";#N/A,#N/A,FALSE,"Plan2"}</definedName>
    <definedName name="LLL" localSheetId="13">{#N/A,#N/A,FALSE,"Plan1";#N/A,#N/A,FALSE,"Plan2"}</definedName>
    <definedName name="LLL" localSheetId="17">{#N/A,#N/A,FALSE,"Plan1";#N/A,#N/A,FALSE,"Plan2"}</definedName>
    <definedName name="LLL" localSheetId="0">{#N/A,#N/A,FALSE,"Plan1";#N/A,#N/A,FALSE,"Plan2"}</definedName>
    <definedName name="LLL" localSheetId="19">{#N/A,#N/A,FALSE,"Plan1";#N/A,#N/A,FALSE,"Plan2"}</definedName>
    <definedName name="LLL" localSheetId="16">{#N/A,#N/A,FALSE,"Plan1";#N/A,#N/A,FALSE,"Plan2"}</definedName>
    <definedName name="LLL" localSheetId="18">{#N/A,#N/A,FALSE,"Plan1";#N/A,#N/A,FALSE,"Plan2"}</definedName>
    <definedName name="LLL" localSheetId="10">{#N/A,#N/A,FALSE,"Plan1";#N/A,#N/A,FALSE,"Plan2"}</definedName>
    <definedName name="LLL">{#N/A,#N/A,FALSE,"Plan1";#N/A,#N/A,FALSE,"Plan2"}</definedName>
    <definedName name="LM_AR" localSheetId="9">{#N/A,#N/A,FALSE,"F-01"}</definedName>
    <definedName name="LM_AR" localSheetId="6">{#N/A,#N/A,FALSE,"F-01"}</definedName>
    <definedName name="LM_AR" localSheetId="3">{#N/A,#N/A,FALSE,"F-01"}</definedName>
    <definedName name="LM_AR" localSheetId="8">{#N/A,#N/A,FALSE,"F-01"}</definedName>
    <definedName name="LM_AR" localSheetId="5">{#N/A,#N/A,FALSE,"F-01"}</definedName>
    <definedName name="LM_AR" localSheetId="4">{#N/A,#N/A,FALSE,"F-01"}</definedName>
    <definedName name="LM_AR" localSheetId="13">{#N/A,#N/A,FALSE,"F-01"}</definedName>
    <definedName name="LM_AR" localSheetId="17">{#N/A,#N/A,FALSE,"F-01"}</definedName>
    <definedName name="LM_AR" localSheetId="0">{#N/A,#N/A,FALSE,"F-01"}</definedName>
    <definedName name="LM_AR" localSheetId="19">{#N/A,#N/A,FALSE,"F-01"}</definedName>
    <definedName name="LM_AR" localSheetId="16">{#N/A,#N/A,FALSE,"F-01"}</definedName>
    <definedName name="LM_AR" localSheetId="18">{#N/A,#N/A,FALSE,"F-01"}</definedName>
    <definedName name="LM_AR" localSheetId="10">{#N/A,#N/A,FALSE,"F-01"}</definedName>
    <definedName name="LM_AR">{#N/A,#N/A,FALSE,"F-01"}</definedName>
    <definedName name="LM_AT" localSheetId="9">{#N/A,#N/A,FALSE,"F-01"}</definedName>
    <definedName name="LM_AT" localSheetId="6">{#N/A,#N/A,FALSE,"F-01"}</definedName>
    <definedName name="LM_AT" localSheetId="3">{#N/A,#N/A,FALSE,"F-01"}</definedName>
    <definedName name="LM_AT" localSheetId="8">{#N/A,#N/A,FALSE,"F-01"}</definedName>
    <definedName name="LM_AT" localSheetId="5">{#N/A,#N/A,FALSE,"F-01"}</definedName>
    <definedName name="LM_AT" localSheetId="4">{#N/A,#N/A,FALSE,"F-01"}</definedName>
    <definedName name="LM_AT" localSheetId="13">{#N/A,#N/A,FALSE,"F-01"}</definedName>
    <definedName name="LM_AT" localSheetId="17">{#N/A,#N/A,FALSE,"F-01"}</definedName>
    <definedName name="LM_AT" localSheetId="0">{#N/A,#N/A,FALSE,"F-01"}</definedName>
    <definedName name="LM_AT" localSheetId="19">{#N/A,#N/A,FALSE,"F-01"}</definedName>
    <definedName name="LM_AT" localSheetId="16">{#N/A,#N/A,FALSE,"F-01"}</definedName>
    <definedName name="LM_AT" localSheetId="18">{#N/A,#N/A,FALSE,"F-01"}</definedName>
    <definedName name="LM_AT" localSheetId="10">{#N/A,#N/A,FALSE,"F-01"}</definedName>
    <definedName name="LM_AT">{#N/A,#N/A,FALSE,"F-01"}</definedName>
    <definedName name="LM_INC" localSheetId="9">{#N/A,#N/A,FALSE,"F-01"}</definedName>
    <definedName name="LM_INC" localSheetId="6">{#N/A,#N/A,FALSE,"F-01"}</definedName>
    <definedName name="LM_INC" localSheetId="3">{#N/A,#N/A,FALSE,"F-01"}</definedName>
    <definedName name="LM_INC" localSheetId="8">{#N/A,#N/A,FALSE,"F-01"}</definedName>
    <definedName name="LM_INC" localSheetId="5">{#N/A,#N/A,FALSE,"F-01"}</definedName>
    <definedName name="LM_INC" localSheetId="4">{#N/A,#N/A,FALSE,"F-01"}</definedName>
    <definedName name="LM_INC" localSheetId="13">{#N/A,#N/A,FALSE,"F-01"}</definedName>
    <definedName name="LM_INC" localSheetId="17">{#N/A,#N/A,FALSE,"F-01"}</definedName>
    <definedName name="LM_INC" localSheetId="0">{#N/A,#N/A,FALSE,"F-01"}</definedName>
    <definedName name="LM_INC" localSheetId="19">{#N/A,#N/A,FALSE,"F-01"}</definedName>
    <definedName name="LM_INC" localSheetId="16">{#N/A,#N/A,FALSE,"F-01"}</definedName>
    <definedName name="LM_INC" localSheetId="18">{#N/A,#N/A,FALSE,"F-01"}</definedName>
    <definedName name="LM_INC" localSheetId="10">{#N/A,#N/A,FALSE,"F-01"}</definedName>
    <definedName name="LM_INC">{#N/A,#N/A,FALSE,"F-01"}</definedName>
    <definedName name="LMPAS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3">#REF!</definedName>
    <definedName name="LOCALMENU" localSheetId="8">#REF!</definedName>
    <definedName name="LOCALMENU" localSheetId="5">#REF!</definedName>
    <definedName name="LOCALMENU" localSheetId="13">#REF!</definedName>
    <definedName name="LOCALMENU" localSheetId="26">#REF!</definedName>
    <definedName name="LOCALMENU">#REF!</definedName>
    <definedName name="LOCALOBRA" localSheetId="3">#REF!</definedName>
    <definedName name="LOCALOBRA" localSheetId="5">#REF!</definedName>
    <definedName name="LOCALOBRA" localSheetId="13">#REF!</definedName>
    <definedName name="LOCALOBRA" localSheetId="26">#REF!</definedName>
    <definedName name="LOCALOBRA">#REF!</definedName>
    <definedName name="LS" localSheetId="3">#REF!</definedName>
    <definedName name="LS" localSheetId="1">#REF!</definedName>
    <definedName name="LS" localSheetId="8">#REF!</definedName>
    <definedName name="LS" localSheetId="5">#REF!</definedName>
    <definedName name="LS" localSheetId="21">#REF!</definedName>
    <definedName name="LS" localSheetId="22">#REF!</definedName>
    <definedName name="LS" localSheetId="13">#REF!</definedName>
    <definedName name="LS" localSheetId="17">#REF!</definedName>
    <definedName name="LS" localSheetId="26">#REF!</definedName>
    <definedName name="LS" localSheetId="0">#REF!</definedName>
    <definedName name="LS" localSheetId="16">#REF!</definedName>
    <definedName name="LS" localSheetId="18">#REF!</definedName>
    <definedName name="LS">#REF!</definedName>
    <definedName name="LSDFKLDKFTR" localSheetId="9">{#N/A,#N/A,FALSE,"Plan1";#N/A,#N/A,FALSE,"Plan2"}</definedName>
    <definedName name="LSDFKLDKFTR" localSheetId="6">{#N/A,#N/A,FALSE,"Plan1";#N/A,#N/A,FALSE,"Plan2"}</definedName>
    <definedName name="LSDFKLDKFTR" localSheetId="3">{#N/A,#N/A,FALSE,"Plan1";#N/A,#N/A,FALSE,"Plan2"}</definedName>
    <definedName name="LSDFKLDKFTR" localSheetId="8">{#N/A,#N/A,FALSE,"Plan1";#N/A,#N/A,FALSE,"Plan2"}</definedName>
    <definedName name="LSDFKLDKFTR" localSheetId="5">{#N/A,#N/A,FALSE,"Plan1";#N/A,#N/A,FALSE,"Plan2"}</definedName>
    <definedName name="LSDFKLDKFTR" localSheetId="4">{#N/A,#N/A,FALSE,"Plan1";#N/A,#N/A,FALSE,"Plan2"}</definedName>
    <definedName name="LSDFKLDKFTR" localSheetId="13">{#N/A,#N/A,FALSE,"Plan1";#N/A,#N/A,FALSE,"Plan2"}</definedName>
    <definedName name="LSDFKLDKFTR" localSheetId="17">{#N/A,#N/A,FALSE,"Plan1";#N/A,#N/A,FALSE,"Plan2"}</definedName>
    <definedName name="LSDFKLDKFTR" localSheetId="0">{#N/A,#N/A,FALSE,"Plan1";#N/A,#N/A,FALSE,"Plan2"}</definedName>
    <definedName name="LSDFKLDKFTR" localSheetId="19">{#N/A,#N/A,FALSE,"Plan1";#N/A,#N/A,FALSE,"Plan2"}</definedName>
    <definedName name="LSDFKLDKFTR" localSheetId="16">{#N/A,#N/A,FALSE,"Plan1";#N/A,#N/A,FALSE,"Plan2"}</definedName>
    <definedName name="LSDFKLDKFTR" localSheetId="18">{#N/A,#N/A,FALSE,"Plan1";#N/A,#N/A,FALSE,"Plan2"}</definedName>
    <definedName name="LSDFKLDKFTR" localSheetId="10">{#N/A,#N/A,FALSE,"Plan1";#N/A,#N/A,FALSE,"Plan2"}</definedName>
    <definedName name="LSDFKLDKFTR">{#N/A,#N/A,FALSE,"Plan1";#N/A,#N/A,FALSE,"Plan2"}</definedName>
    <definedName name="lsdjs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9">{#N/A,#N/A,FALSE,"Plan1";#N/A,#N/A,FALSE,"Plan2"}</definedName>
    <definedName name="lsdkljfkg" localSheetId="6">{#N/A,#N/A,FALSE,"Plan1";#N/A,#N/A,FALSE,"Plan2"}</definedName>
    <definedName name="lsdkljfkg" localSheetId="3">{#N/A,#N/A,FALSE,"Plan1";#N/A,#N/A,FALSE,"Plan2"}</definedName>
    <definedName name="lsdkljfkg" localSheetId="8">{#N/A,#N/A,FALSE,"Plan1";#N/A,#N/A,FALSE,"Plan2"}</definedName>
    <definedName name="lsdkljfkg" localSheetId="5">{#N/A,#N/A,FALSE,"Plan1";#N/A,#N/A,FALSE,"Plan2"}</definedName>
    <definedName name="lsdkljfkg" localSheetId="4">{#N/A,#N/A,FALSE,"Plan1";#N/A,#N/A,FALSE,"Plan2"}</definedName>
    <definedName name="lsdkljfkg" localSheetId="13">{#N/A,#N/A,FALSE,"Plan1";#N/A,#N/A,FALSE,"Plan2"}</definedName>
    <definedName name="lsdkljfkg" localSheetId="17">{#N/A,#N/A,FALSE,"Plan1";#N/A,#N/A,FALSE,"Plan2"}</definedName>
    <definedName name="lsdkljfkg" localSheetId="0">{#N/A,#N/A,FALSE,"Plan1";#N/A,#N/A,FALSE,"Plan2"}</definedName>
    <definedName name="lsdkljfkg" localSheetId="19">{#N/A,#N/A,FALSE,"Plan1";#N/A,#N/A,FALSE,"Plan2"}</definedName>
    <definedName name="lsdkljfkg" localSheetId="16">{#N/A,#N/A,FALSE,"Plan1";#N/A,#N/A,FALSE,"Plan2"}</definedName>
    <definedName name="lsdkljfkg" localSheetId="18">{#N/A,#N/A,FALSE,"Plan1";#N/A,#N/A,FALSE,"Plan2"}</definedName>
    <definedName name="lsdkljfkg" localSheetId="10">{#N/A,#N/A,FALSE,"Plan1";#N/A,#N/A,FALSE,"Plan2"}</definedName>
    <definedName name="lsdkljfkg">{#N/A,#N/A,FALSE,"Plan1";#N/A,#N/A,FALSE,"Plan2"}</definedName>
    <definedName name="lsdsder" localSheetId="9">{#N/A,#N/A,FALSE,"Plan1";#N/A,#N/A,FALSE,"Plan2"}</definedName>
    <definedName name="lsdsder" localSheetId="6">{#N/A,#N/A,FALSE,"Plan1";#N/A,#N/A,FALSE,"Plan2"}</definedName>
    <definedName name="lsdsder" localSheetId="3">{#N/A,#N/A,FALSE,"Plan1";#N/A,#N/A,FALSE,"Plan2"}</definedName>
    <definedName name="lsdsder" localSheetId="8">{#N/A,#N/A,FALSE,"Plan1";#N/A,#N/A,FALSE,"Plan2"}</definedName>
    <definedName name="lsdsder" localSheetId="5">{#N/A,#N/A,FALSE,"Plan1";#N/A,#N/A,FALSE,"Plan2"}</definedName>
    <definedName name="lsdsder" localSheetId="4">{#N/A,#N/A,FALSE,"Plan1";#N/A,#N/A,FALSE,"Plan2"}</definedName>
    <definedName name="lsdsder" localSheetId="13">{#N/A,#N/A,FALSE,"Plan1";#N/A,#N/A,FALSE,"Plan2"}</definedName>
    <definedName name="lsdsder" localSheetId="17">{#N/A,#N/A,FALSE,"Plan1";#N/A,#N/A,FALSE,"Plan2"}</definedName>
    <definedName name="lsdsder" localSheetId="0">{#N/A,#N/A,FALSE,"Plan1";#N/A,#N/A,FALSE,"Plan2"}</definedName>
    <definedName name="lsdsder" localSheetId="19">{#N/A,#N/A,FALSE,"Plan1";#N/A,#N/A,FALSE,"Plan2"}</definedName>
    <definedName name="lsdsder" localSheetId="16">{#N/A,#N/A,FALSE,"Plan1";#N/A,#N/A,FALSE,"Plan2"}</definedName>
    <definedName name="lsdsder" localSheetId="18">{#N/A,#N/A,FALSE,"Plan1";#N/A,#N/A,FALSE,"Plan2"}</definedName>
    <definedName name="lsdsder" localSheetId="10">{#N/A,#N/A,FALSE,"Plan1";#N/A,#N/A,FALSE,"Plan2"}</definedName>
    <definedName name="lsdsder">{#N/A,#N/A,FALSE,"Plan1";#N/A,#N/A,FALSE,"Plan2"}</definedName>
    <definedName name="ltj6ljyhdjhngças" localSheetId="9">{#N/A,#N/A,FALSE,"Plan1";#N/A,#N/A,FALSE,"Plan2"}</definedName>
    <definedName name="ltj6ljyhdjhngças" localSheetId="6">{#N/A,#N/A,FALSE,"Plan1";#N/A,#N/A,FALSE,"Plan2"}</definedName>
    <definedName name="ltj6ljyhdjhngças" localSheetId="3">{#N/A,#N/A,FALSE,"Plan1";#N/A,#N/A,FALSE,"Plan2"}</definedName>
    <definedName name="ltj6ljyhdjhngças" localSheetId="8">{#N/A,#N/A,FALSE,"Plan1";#N/A,#N/A,FALSE,"Plan2"}</definedName>
    <definedName name="ltj6ljyhdjhngças" localSheetId="5">{#N/A,#N/A,FALSE,"Plan1";#N/A,#N/A,FALSE,"Plan2"}</definedName>
    <definedName name="ltj6ljyhdjhngças" localSheetId="4">{#N/A,#N/A,FALSE,"Plan1";#N/A,#N/A,FALSE,"Plan2"}</definedName>
    <definedName name="ltj6ljyhdjhngças" localSheetId="13">{#N/A,#N/A,FALSE,"Plan1";#N/A,#N/A,FALSE,"Plan2"}</definedName>
    <definedName name="ltj6ljyhdjhngças" localSheetId="17">{#N/A,#N/A,FALSE,"Plan1";#N/A,#N/A,FALSE,"Plan2"}</definedName>
    <definedName name="ltj6ljyhdjhngças" localSheetId="0">{#N/A,#N/A,FALSE,"Plan1";#N/A,#N/A,FALSE,"Plan2"}</definedName>
    <definedName name="ltj6ljyhdjhngças" localSheetId="19">{#N/A,#N/A,FALSE,"Plan1";#N/A,#N/A,FALSE,"Plan2"}</definedName>
    <definedName name="ltj6ljyhdjhngças" localSheetId="16">{#N/A,#N/A,FALSE,"Plan1";#N/A,#N/A,FALSE,"Plan2"}</definedName>
    <definedName name="ltj6ljyhdjhngças" localSheetId="18">{#N/A,#N/A,FALSE,"Plan1";#N/A,#N/A,FALSE,"Plan2"}</definedName>
    <definedName name="ltj6ljyhdjhngças" localSheetId="10">{#N/A,#N/A,FALSE,"Plan1";#N/A,#N/A,FALSE,"Plan2"}</definedName>
    <definedName name="ltj6ljyhdjhngças">{#N/A,#N/A,FALSE,"Plan1";#N/A,#N/A,FALSE,"Plan2"}</definedName>
    <definedName name="LUCRO" localSheetId="3">#REF!</definedName>
    <definedName name="LUCRO" localSheetId="5">#REF!</definedName>
    <definedName name="LUCRO" localSheetId="13">#REF!</definedName>
    <definedName name="LUCRO" localSheetId="26">#REF!</definedName>
    <definedName name="LUCRO">#REF!</definedName>
    <definedName name="luis_cdi" localSheetId="3">#REF!</definedName>
    <definedName name="luis_cdi" localSheetId="5">#REF!</definedName>
    <definedName name="luis_cdi" localSheetId="13">#REF!</definedName>
    <definedName name="luis_cdi" localSheetId="26">#REF!</definedName>
    <definedName name="luis_cdi">#REF!</definedName>
    <definedName name="luis_hist" localSheetId="3">#REF!</definedName>
    <definedName name="luis_hist" localSheetId="5">#REF!</definedName>
    <definedName name="luis_hist" localSheetId="13">#REF!</definedName>
    <definedName name="luis_hist" localSheetId="26">#REF!</definedName>
    <definedName name="luis_hist">#REF!</definedName>
    <definedName name="luis_uss" localSheetId="3">#REF!</definedName>
    <definedName name="luis_uss" localSheetId="5">#REF!</definedName>
    <definedName name="luis_uss" localSheetId="13">#REF!</definedName>
    <definedName name="luis_uss" localSheetId="26">#REF!</definedName>
    <definedName name="luis_uss">#REF!</definedName>
    <definedName name="LV" localSheetId="3">#REF!</definedName>
    <definedName name="LV" localSheetId="5">#REF!</definedName>
    <definedName name="LV" localSheetId="13">#REF!</definedName>
    <definedName name="LV" localSheetId="26">#REF!</definedName>
    <definedName name="LV">#REF!</definedName>
    <definedName name="LVI" localSheetId="3">#REF!</definedName>
    <definedName name="LVI" localSheetId="5">#REF!</definedName>
    <definedName name="LVI" localSheetId="13">#REF!</definedName>
    <definedName name="LVI" localSheetId="26">#REF!</definedName>
    <definedName name="LVI">#REF!</definedName>
    <definedName name="LVII" localSheetId="3">#REF!</definedName>
    <definedName name="LVII" localSheetId="5">#REF!</definedName>
    <definedName name="LVII" localSheetId="13">#REF!</definedName>
    <definedName name="LVII" localSheetId="26">#REF!</definedName>
    <definedName name="LVII">#REF!</definedName>
    <definedName name="LVIII" localSheetId="3">#REF!</definedName>
    <definedName name="LVIII" localSheetId="5">#REF!</definedName>
    <definedName name="LVIII" localSheetId="13">#REF!</definedName>
    <definedName name="LVIII" localSheetId="26">#REF!</definedName>
    <definedName name="LVIII">#REF!</definedName>
    <definedName name="lwaeddew" localSheetId="3">#REF!</definedName>
    <definedName name="lwaeddew" localSheetId="13">#REF!</definedName>
    <definedName name="lwaeddew" localSheetId="0">#REF!</definedName>
    <definedName name="lwaeddew">#REF!</definedName>
    <definedName name="LXX" localSheetId="3">#REF!</definedName>
    <definedName name="LXX" localSheetId="5">#REF!</definedName>
    <definedName name="LXX" localSheetId="13">#REF!</definedName>
    <definedName name="LXX" localSheetId="26">#REF!</definedName>
    <definedName name="LXX">#REF!</definedName>
    <definedName name="LXXI" localSheetId="3">#REF!</definedName>
    <definedName name="LXXI" localSheetId="5">#REF!</definedName>
    <definedName name="LXXI" localSheetId="13">#REF!</definedName>
    <definedName name="LXXI" localSheetId="26">#REF!</definedName>
    <definedName name="LXXI">#REF!</definedName>
    <definedName name="LXXII" localSheetId="3">#REF!</definedName>
    <definedName name="LXXII" localSheetId="5">#REF!</definedName>
    <definedName name="LXXII" localSheetId="13">#REF!</definedName>
    <definedName name="LXXII" localSheetId="26">#REF!</definedName>
    <definedName name="LXXII">#REF!</definedName>
    <definedName name="LXXIII" localSheetId="3">#REF!</definedName>
    <definedName name="LXXIII" localSheetId="5">#REF!</definedName>
    <definedName name="LXXIII" localSheetId="13">#REF!</definedName>
    <definedName name="LXXIII" localSheetId="26">#REF!</definedName>
    <definedName name="LXXIII">#REF!</definedName>
    <definedName name="LXXIV" localSheetId="3">#REF!</definedName>
    <definedName name="LXXIV" localSheetId="5">#REF!</definedName>
    <definedName name="LXXIV" localSheetId="13">#REF!</definedName>
    <definedName name="LXXIV" localSheetId="26">#REF!</definedName>
    <definedName name="LXXIV">#REF!</definedName>
    <definedName name="LXXIX" localSheetId="3">#REF!</definedName>
    <definedName name="LXXIX" localSheetId="5">#REF!</definedName>
    <definedName name="LXXIX" localSheetId="13">#REF!</definedName>
    <definedName name="LXXIX" localSheetId="26">#REF!</definedName>
    <definedName name="LXXIX">#REF!</definedName>
    <definedName name="LXXV" localSheetId="3">#REF!</definedName>
    <definedName name="LXXV" localSheetId="5">#REF!</definedName>
    <definedName name="LXXV" localSheetId="13">#REF!</definedName>
    <definedName name="LXXV" localSheetId="26">#REF!</definedName>
    <definedName name="LXXV">#REF!</definedName>
    <definedName name="LXXVI" localSheetId="3">#REF!</definedName>
    <definedName name="LXXVI" localSheetId="5">#REF!</definedName>
    <definedName name="LXXVI" localSheetId="13">#REF!</definedName>
    <definedName name="LXXVI" localSheetId="26">#REF!</definedName>
    <definedName name="LXXVI">#REF!</definedName>
    <definedName name="LXXVII" localSheetId="3">#REF!</definedName>
    <definedName name="LXXVII" localSheetId="5">#REF!</definedName>
    <definedName name="LXXVII" localSheetId="13">#REF!</definedName>
    <definedName name="LXXVII" localSheetId="26">#REF!</definedName>
    <definedName name="LXXVII">#REF!</definedName>
    <definedName name="LXXVIII" localSheetId="3">#REF!</definedName>
    <definedName name="LXXVIII" localSheetId="5">#REF!</definedName>
    <definedName name="LXXVIII" localSheetId="13">#REF!</definedName>
    <definedName name="LXXVIII" localSheetId="26">#REF!</definedName>
    <definedName name="LXXVIII">#REF!</definedName>
    <definedName name="LXXX" localSheetId="3">#REF!</definedName>
    <definedName name="LXXX" localSheetId="5">#REF!</definedName>
    <definedName name="LXXX" localSheetId="13">#REF!</definedName>
    <definedName name="LXXX" localSheetId="26">#REF!</definedName>
    <definedName name="LXXX">#REF!</definedName>
    <definedName name="LXXXI" localSheetId="3">#REF!</definedName>
    <definedName name="LXXXI" localSheetId="5">#REF!</definedName>
    <definedName name="LXXXI" localSheetId="13">#REF!</definedName>
    <definedName name="LXXXI" localSheetId="26">#REF!</definedName>
    <definedName name="LXXXI">#REF!</definedName>
    <definedName name="LXXXII" localSheetId="3">#REF!</definedName>
    <definedName name="LXXXII" localSheetId="5">#REF!</definedName>
    <definedName name="LXXXII" localSheetId="13">#REF!</definedName>
    <definedName name="LXXXII" localSheetId="26">#REF!</definedName>
    <definedName name="LXXXII">#REF!</definedName>
    <definedName name="LXXXIII" localSheetId="3">#REF!</definedName>
    <definedName name="LXXXIII" localSheetId="5">#REF!</definedName>
    <definedName name="LXXXIII" localSheetId="13">#REF!</definedName>
    <definedName name="LXXXIII" localSheetId="26">#REF!</definedName>
    <definedName name="LXXXIII">#REF!</definedName>
    <definedName name="LXXXIV" localSheetId="3">#REF!</definedName>
    <definedName name="LXXXIV" localSheetId="5">#REF!</definedName>
    <definedName name="LXXXIV" localSheetId="13">#REF!</definedName>
    <definedName name="LXXXIV" localSheetId="26">#REF!</definedName>
    <definedName name="LXXXIV">#REF!</definedName>
    <definedName name="LXXXV" localSheetId="3">#REF!</definedName>
    <definedName name="LXXXV" localSheetId="5">#REF!</definedName>
    <definedName name="LXXXV" localSheetId="13">#REF!</definedName>
    <definedName name="LXXXV" localSheetId="26">#REF!</definedName>
    <definedName name="LXXXV">#REF!</definedName>
    <definedName name="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3">#REF!</definedName>
    <definedName name="MADRI" localSheetId="5">#REF!</definedName>
    <definedName name="MADRI" localSheetId="13">#REF!</definedName>
    <definedName name="MADRI" localSheetId="26">#REF!</definedName>
    <definedName name="MADRI">#REF!</definedName>
    <definedName name="mai17RJ" localSheetId="3">#REF!</definedName>
    <definedName name="mai17RJ" localSheetId="5">#REF!</definedName>
    <definedName name="mai17RJ" localSheetId="13">#REF!</definedName>
    <definedName name="mai17RJ" localSheetId="26">#REF!</definedName>
    <definedName name="mai17RJ">#REF!</definedName>
    <definedName name="MAIO" localSheetId="3">#REF!</definedName>
    <definedName name="MAIO" localSheetId="5">#REF!</definedName>
    <definedName name="MAIO" localSheetId="13">#REF!</definedName>
    <definedName name="MAIO" localSheetId="26">#REF!</definedName>
    <definedName name="MAIO">#REF!</definedName>
    <definedName name="MAIO2001" localSheetId="3">#REF!</definedName>
    <definedName name="MAIO2001" localSheetId="5">#REF!</definedName>
    <definedName name="MAIO2001" localSheetId="13">#REF!</definedName>
    <definedName name="MAIO2001" localSheetId="26">#REF!</definedName>
    <definedName name="MAIO2001">#REF!</definedName>
    <definedName name="MAISAP" localSheetId="9">{#N/A,#N/A,FALSE,"Plan1";#N/A,#N/A,FALSE,"Plan2"}</definedName>
    <definedName name="MAISAP" localSheetId="6">{#N/A,#N/A,FALSE,"Plan1";#N/A,#N/A,FALSE,"Plan2"}</definedName>
    <definedName name="MAISAP" localSheetId="3">{#N/A,#N/A,FALSE,"Plan1";#N/A,#N/A,FALSE,"Plan2"}</definedName>
    <definedName name="MAISAP" localSheetId="8">{#N/A,#N/A,FALSE,"Plan1";#N/A,#N/A,FALSE,"Plan2"}</definedName>
    <definedName name="MAISAP" localSheetId="5">{#N/A,#N/A,FALSE,"Plan1";#N/A,#N/A,FALSE,"Plan2"}</definedName>
    <definedName name="MAISAP" localSheetId="4">{#N/A,#N/A,FALSE,"Plan1";#N/A,#N/A,FALSE,"Plan2"}</definedName>
    <definedName name="MAISAP" localSheetId="13">{#N/A,#N/A,FALSE,"Plan1";#N/A,#N/A,FALSE,"Plan2"}</definedName>
    <definedName name="MAISAP" localSheetId="17">{#N/A,#N/A,FALSE,"Plan1";#N/A,#N/A,FALSE,"Plan2"}</definedName>
    <definedName name="MAISAP" localSheetId="0">{#N/A,#N/A,FALSE,"Plan1";#N/A,#N/A,FALSE,"Plan2"}</definedName>
    <definedName name="MAISAP" localSheetId="19">{#N/A,#N/A,FALSE,"Plan1";#N/A,#N/A,FALSE,"Plan2"}</definedName>
    <definedName name="MAISAP" localSheetId="16">{#N/A,#N/A,FALSE,"Plan1";#N/A,#N/A,FALSE,"Plan2"}</definedName>
    <definedName name="MAISAP" localSheetId="18">{#N/A,#N/A,FALSE,"Plan1";#N/A,#N/A,FALSE,"Plan2"}</definedName>
    <definedName name="MAISAP" localSheetId="10">{#N/A,#N/A,FALSE,"Plan1";#N/A,#N/A,FALSE,"Plan2"}</definedName>
    <definedName name="MAISAP">{#N/A,#N/A,FALSE,"Plan1";#N/A,#N/A,FALSE,"Plan2"}</definedName>
    <definedName name="MANT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3">#REF!</definedName>
    <definedName name="MAO_DE_OBRA" localSheetId="5">#REF!</definedName>
    <definedName name="MAO_DE_OBRA" localSheetId="13">#REF!</definedName>
    <definedName name="MAO_DE_OBRA" localSheetId="26">#REF!</definedName>
    <definedName name="MAO_DE_OBRA">#REF!</definedName>
    <definedName name="mar17RJ" localSheetId="3">#REF!</definedName>
    <definedName name="mar17RJ" localSheetId="5">#REF!</definedName>
    <definedName name="mar17RJ" localSheetId="13">#REF!</definedName>
    <definedName name="mar17RJ" localSheetId="26">#REF!</definedName>
    <definedName name="mar17RJ">#REF!</definedName>
    <definedName name="MARCAX" localSheetId="3">#REF!</definedName>
    <definedName name="MARCAX" localSheetId="5">#REF!</definedName>
    <definedName name="MARCAX" localSheetId="13">#REF!</definedName>
    <definedName name="MARCAX" localSheetId="26">#REF!</definedName>
    <definedName name="MARCAX">#REF!</definedName>
    <definedName name="MARÇO" localSheetId="3">#REF!</definedName>
    <definedName name="MARÇO" localSheetId="5">#REF!</definedName>
    <definedName name="MARÇO" localSheetId="13">#REF!</definedName>
    <definedName name="MARÇO" localSheetId="26">#REF!</definedName>
    <definedName name="MARÇO">#REF!</definedName>
    <definedName name="MARÇO2001" localSheetId="3">#REF!</definedName>
    <definedName name="MARÇO2001" localSheetId="5">#REF!</definedName>
    <definedName name="MARÇO2001" localSheetId="13">#REF!</definedName>
    <definedName name="MARÇO2001" localSheetId="26">#REF!</definedName>
    <definedName name="MARÇO2001">#REF!</definedName>
    <definedName name="martha" localSheetId="3">#REF!</definedName>
    <definedName name="martha" localSheetId="5">#REF!</definedName>
    <definedName name="martha" localSheetId="13">#REF!</definedName>
    <definedName name="martha" localSheetId="26">#REF!</definedName>
    <definedName name="martha">#REF!</definedName>
    <definedName name="MASTER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3">#REF!</definedName>
    <definedName name="MATERIAL" localSheetId="5">#REF!</definedName>
    <definedName name="MATERIAL" localSheetId="13">#REF!</definedName>
    <definedName name="MATERIAL" localSheetId="26">#REF!</definedName>
    <definedName name="MATERIAL">#REF!</definedName>
    <definedName name="mattubcus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9">{#N/A,#N/A,FALSE,"Plan1";#N/A,#N/A,FALSE,"Plan2"}</definedName>
    <definedName name="MAURILIO" localSheetId="6">{#N/A,#N/A,FALSE,"Plan1";#N/A,#N/A,FALSE,"Plan2"}</definedName>
    <definedName name="MAURILIO" localSheetId="3">{#N/A,#N/A,FALSE,"Plan1";#N/A,#N/A,FALSE,"Plan2"}</definedName>
    <definedName name="MAURILIO" localSheetId="8">{#N/A,#N/A,FALSE,"Plan1";#N/A,#N/A,FALSE,"Plan2"}</definedName>
    <definedName name="MAURILIO" localSheetId="5">{#N/A,#N/A,FALSE,"Plan1";#N/A,#N/A,FALSE,"Plan2"}</definedName>
    <definedName name="MAURILIO" localSheetId="4">{#N/A,#N/A,FALSE,"Plan1";#N/A,#N/A,FALSE,"Plan2"}</definedName>
    <definedName name="MAURILIO" localSheetId="13">{#N/A,#N/A,FALSE,"Plan1";#N/A,#N/A,FALSE,"Plan2"}</definedName>
    <definedName name="MAURILIO" localSheetId="17">{#N/A,#N/A,FALSE,"Plan1";#N/A,#N/A,FALSE,"Plan2"}</definedName>
    <definedName name="MAURILIO" localSheetId="0">{#N/A,#N/A,FALSE,"Plan1";#N/A,#N/A,FALSE,"Plan2"}</definedName>
    <definedName name="MAURILIO" localSheetId="19">{#N/A,#N/A,FALSE,"Plan1";#N/A,#N/A,FALSE,"Plan2"}</definedName>
    <definedName name="MAURILIO" localSheetId="16">{#N/A,#N/A,FALSE,"Plan1";#N/A,#N/A,FALSE,"Plan2"}</definedName>
    <definedName name="MAURILIO" localSheetId="18">{#N/A,#N/A,FALSE,"Plan1";#N/A,#N/A,FALSE,"Plan2"}</definedName>
    <definedName name="MAURILIO" localSheetId="10">{#N/A,#N/A,FALSE,"Plan1";#N/A,#N/A,FALSE,"Plan2"}</definedName>
    <definedName name="MAURILIO">{#N/A,#N/A,FALSE,"Plan1";#N/A,#N/A,FALSE,"Plan2"}</definedName>
    <definedName name="MC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3">#REF!</definedName>
    <definedName name="MCMV" localSheetId="5">#REF!</definedName>
    <definedName name="MCMV" localSheetId="13">#REF!</definedName>
    <definedName name="MCMV" localSheetId="26">#REF!</definedName>
    <definedName name="MCMV">#REF!</definedName>
    <definedName name="mdfgtr" localSheetId="9">{#N/A,#N/A,FALSE,"Plan1";#N/A,#N/A,FALSE,"Plan2"}</definedName>
    <definedName name="mdfgtr" localSheetId="6">{#N/A,#N/A,FALSE,"Plan1";#N/A,#N/A,FALSE,"Plan2"}</definedName>
    <definedName name="mdfgtr" localSheetId="3">{#N/A,#N/A,FALSE,"Plan1";#N/A,#N/A,FALSE,"Plan2"}</definedName>
    <definedName name="mdfgtr" localSheetId="8">{#N/A,#N/A,FALSE,"Plan1";#N/A,#N/A,FALSE,"Plan2"}</definedName>
    <definedName name="mdfgtr" localSheetId="5">{#N/A,#N/A,FALSE,"Plan1";#N/A,#N/A,FALSE,"Plan2"}</definedName>
    <definedName name="mdfgtr" localSheetId="4">{#N/A,#N/A,FALSE,"Plan1";#N/A,#N/A,FALSE,"Plan2"}</definedName>
    <definedName name="mdfgtr" localSheetId="13">{#N/A,#N/A,FALSE,"Plan1";#N/A,#N/A,FALSE,"Plan2"}</definedName>
    <definedName name="mdfgtr" localSheetId="17">{#N/A,#N/A,FALSE,"Plan1";#N/A,#N/A,FALSE,"Plan2"}</definedName>
    <definedName name="mdfgtr" localSheetId="0">{#N/A,#N/A,FALSE,"Plan1";#N/A,#N/A,FALSE,"Plan2"}</definedName>
    <definedName name="mdfgtr" localSheetId="19">{#N/A,#N/A,FALSE,"Plan1";#N/A,#N/A,FALSE,"Plan2"}</definedName>
    <definedName name="mdfgtr" localSheetId="16">{#N/A,#N/A,FALSE,"Plan1";#N/A,#N/A,FALSE,"Plan2"}</definedName>
    <definedName name="mdfgtr" localSheetId="18">{#N/A,#N/A,FALSE,"Plan1";#N/A,#N/A,FALSE,"Plan2"}</definedName>
    <definedName name="mdfgtr" localSheetId="10">{#N/A,#N/A,FALSE,"Plan1";#N/A,#N/A,FALSE,"Plan2"}</definedName>
    <definedName name="mdfgtr">{#N/A,#N/A,FALSE,"Plan1";#N/A,#N/A,FALSE,"Plan2"}</definedName>
    <definedName name="MDSÇLFJKJSD" localSheetId="9">{#N/A,#N/A,FALSE,"Plan1";#N/A,#N/A,FALSE,"Plan2"}</definedName>
    <definedName name="MDSÇLFJKJSD" localSheetId="6">{#N/A,#N/A,FALSE,"Plan1";#N/A,#N/A,FALSE,"Plan2"}</definedName>
    <definedName name="MDSÇLFJKJSD" localSheetId="3">{#N/A,#N/A,FALSE,"Plan1";#N/A,#N/A,FALSE,"Plan2"}</definedName>
    <definedName name="MDSÇLFJKJSD" localSheetId="8">{#N/A,#N/A,FALSE,"Plan1";#N/A,#N/A,FALSE,"Plan2"}</definedName>
    <definedName name="MDSÇLFJKJSD" localSheetId="5">{#N/A,#N/A,FALSE,"Plan1";#N/A,#N/A,FALSE,"Plan2"}</definedName>
    <definedName name="MDSÇLFJKJSD" localSheetId="4">{#N/A,#N/A,FALSE,"Plan1";#N/A,#N/A,FALSE,"Plan2"}</definedName>
    <definedName name="MDSÇLFJKJSD" localSheetId="13">{#N/A,#N/A,FALSE,"Plan1";#N/A,#N/A,FALSE,"Plan2"}</definedName>
    <definedName name="MDSÇLFJKJSD" localSheetId="17">{#N/A,#N/A,FALSE,"Plan1";#N/A,#N/A,FALSE,"Plan2"}</definedName>
    <definedName name="MDSÇLFJKJSD" localSheetId="0">{#N/A,#N/A,FALSE,"Plan1";#N/A,#N/A,FALSE,"Plan2"}</definedName>
    <definedName name="MDSÇLFJKJSD" localSheetId="19">{#N/A,#N/A,FALSE,"Plan1";#N/A,#N/A,FALSE,"Plan2"}</definedName>
    <definedName name="MDSÇLFJKJSD" localSheetId="16">{#N/A,#N/A,FALSE,"Plan1";#N/A,#N/A,FALSE,"Plan2"}</definedName>
    <definedName name="MDSÇLFJKJSD" localSheetId="18">{#N/A,#N/A,FALSE,"Plan1";#N/A,#N/A,FALSE,"Plan2"}</definedName>
    <definedName name="MDSÇLFJKJSD" localSheetId="10">{#N/A,#N/A,FALSE,"Plan1";#N/A,#N/A,FALSE,"Plan2"}</definedName>
    <definedName name="MDSÇLFJKJSD">{#N/A,#N/A,FALSE,"Plan1";#N/A,#N/A,FALSE,"Plan2"}</definedName>
    <definedName name="ME" localSheetId="9">{"HW",#N/A,FALSE,"1998"}</definedName>
    <definedName name="ME" localSheetId="6">{"HW",#N/A,FALSE,"1998"}</definedName>
    <definedName name="ME" localSheetId="3">{"HW",#N/A,FALSE,"1998"}</definedName>
    <definedName name="ME" localSheetId="8">{"HW",#N/A,FALSE,"1998"}</definedName>
    <definedName name="ME" localSheetId="5">{"HW",#N/A,FALSE,"1998"}</definedName>
    <definedName name="ME" localSheetId="4">{"HW",#N/A,FALSE,"1998"}</definedName>
    <definedName name="ME" localSheetId="13">{"HW",#N/A,FALSE,"1998"}</definedName>
    <definedName name="ME" localSheetId="17">{"HW",#N/A,FALSE,"1998"}</definedName>
    <definedName name="ME" localSheetId="0">{"HW",#N/A,FALSE,"1998"}</definedName>
    <definedName name="ME" localSheetId="19">{"HW",#N/A,FALSE,"1998"}</definedName>
    <definedName name="ME" localSheetId="16">{"HW",#N/A,FALSE,"1998"}</definedName>
    <definedName name="ME" localSheetId="18">{"HW",#N/A,FALSE,"1998"}</definedName>
    <definedName name="ME" localSheetId="10">{"HW",#N/A,FALSE,"1998"}</definedName>
    <definedName name="ME">{"HW",#N/A,FALSE,"1998"}</definedName>
    <definedName name="Medido_Fin_Medições" localSheetId="3">#REF!</definedName>
    <definedName name="Medido_Fin_Medições" localSheetId="5">#REF!</definedName>
    <definedName name="Medido_Fin_Medições" localSheetId="13">#REF!</definedName>
    <definedName name="Medido_Fin_Medições" localSheetId="26">#REF!</definedName>
    <definedName name="Medido_Fin_Medições">#REF!</definedName>
    <definedName name="melo_cdi" localSheetId="3">#REF!</definedName>
    <definedName name="melo_cdi" localSheetId="5">#REF!</definedName>
    <definedName name="melo_cdi" localSheetId="13">#REF!</definedName>
    <definedName name="melo_cdi" localSheetId="26">#REF!</definedName>
    <definedName name="melo_cdi">#REF!</definedName>
    <definedName name="melo_hist" localSheetId="3">#REF!</definedName>
    <definedName name="melo_hist" localSheetId="5">#REF!</definedName>
    <definedName name="melo_hist" localSheetId="13">#REF!</definedName>
    <definedName name="melo_hist" localSheetId="26">#REF!</definedName>
    <definedName name="melo_hist">#REF!</definedName>
    <definedName name="melo_uss" localSheetId="3">#REF!</definedName>
    <definedName name="melo_uss" localSheetId="5">#REF!</definedName>
    <definedName name="melo_uss" localSheetId="13">#REF!</definedName>
    <definedName name="melo_uss" localSheetId="26">#REF!</definedName>
    <definedName name="melo_uss">#REF!</definedName>
    <definedName name="MEMÓRIA" localSheetId="3">#REF!</definedName>
    <definedName name="MEMÓRIA" localSheetId="5">#REF!</definedName>
    <definedName name="MEMÓRIA" localSheetId="13">#REF!</definedName>
    <definedName name="MEMÓRIA" localSheetId="26">#REF!</definedName>
    <definedName name="MEMÓRIA">#REF!</definedName>
    <definedName name="memória2" localSheetId="3">#REF!</definedName>
    <definedName name="memória2" localSheetId="5">#REF!</definedName>
    <definedName name="memória2" localSheetId="13">#REF!</definedName>
    <definedName name="memória2" localSheetId="26">#REF!</definedName>
    <definedName name="memória2">#REF!</definedName>
    <definedName name="mensal" localSheetId="3">#REF!</definedName>
    <definedName name="mensal" localSheetId="5">#REF!</definedName>
    <definedName name="mensal" localSheetId="13">#REF!</definedName>
    <definedName name="mensal" localSheetId="26">#REF!</definedName>
    <definedName name="mensal">#REF!</definedName>
    <definedName name="MENU" localSheetId="2">#REF!</definedName>
    <definedName name="MENU" localSheetId="3">#REF!</definedName>
    <definedName name="MENU" localSheetId="1">#REF!</definedName>
    <definedName name="MENU" localSheetId="5">#REF!</definedName>
    <definedName name="MENU" localSheetId="21">#REF!</definedName>
    <definedName name="MENU" localSheetId="22">#REF!</definedName>
    <definedName name="MENU" localSheetId="13">#REF!</definedName>
    <definedName name="MENU" localSheetId="26">#REF!</definedName>
    <definedName name="MENU" localSheetId="0">#REF!</definedName>
    <definedName name="MENU">#REF!</definedName>
    <definedName name="MENU1" localSheetId="3">#REF!</definedName>
    <definedName name="MENU1" localSheetId="1">#REF!</definedName>
    <definedName name="MENU1" localSheetId="5">#REF!</definedName>
    <definedName name="MENU1" localSheetId="21">#REF!</definedName>
    <definedName name="MENU1" localSheetId="22">#REF!</definedName>
    <definedName name="MENU1" localSheetId="13">#REF!</definedName>
    <definedName name="MENU1" localSheetId="26">#REF!</definedName>
    <definedName name="MENU1" localSheetId="0">#REF!</definedName>
    <definedName name="MENU1">#REF!</definedName>
    <definedName name="MENU2" localSheetId="3">#REF!</definedName>
    <definedName name="MENU2" localSheetId="1">#REF!</definedName>
    <definedName name="MENU2" localSheetId="5">#REF!</definedName>
    <definedName name="MENU2" localSheetId="21">#REF!</definedName>
    <definedName name="MENU2" localSheetId="22">#REF!</definedName>
    <definedName name="MENU2" localSheetId="13">#REF!</definedName>
    <definedName name="MENU2" localSheetId="26">#REF!</definedName>
    <definedName name="MENU2" localSheetId="0">#REF!</definedName>
    <definedName name="MENU2">#REF!</definedName>
    <definedName name="MENU3" localSheetId="3">#REF!</definedName>
    <definedName name="MENU3" localSheetId="1">#REF!</definedName>
    <definedName name="MENU3" localSheetId="5">#REF!</definedName>
    <definedName name="MENU3" localSheetId="21">#REF!</definedName>
    <definedName name="MENU3" localSheetId="22">#REF!</definedName>
    <definedName name="MENU3" localSheetId="13">#REF!</definedName>
    <definedName name="MENU3" localSheetId="26">#REF!</definedName>
    <definedName name="MENU3" localSheetId="0">#REF!</definedName>
    <definedName name="MENU3">#REF!</definedName>
    <definedName name="MENU4" localSheetId="3">#REF!</definedName>
    <definedName name="MENU4" localSheetId="1">#REF!</definedName>
    <definedName name="MENU4" localSheetId="5">#REF!</definedName>
    <definedName name="MENU4" localSheetId="21">#REF!</definedName>
    <definedName name="MENU4" localSheetId="22">#REF!</definedName>
    <definedName name="MENU4" localSheetId="13">#REF!</definedName>
    <definedName name="MENU4" localSheetId="26">#REF!</definedName>
    <definedName name="MENU4" localSheetId="0">#REF!</definedName>
    <definedName name="MENU4">#REF!</definedName>
    <definedName name="MENU5" localSheetId="3">#REF!</definedName>
    <definedName name="MENU5" localSheetId="1">#REF!</definedName>
    <definedName name="MENU5" localSheetId="5">#REF!</definedName>
    <definedName name="MENU5" localSheetId="21">#REF!</definedName>
    <definedName name="MENU5" localSheetId="22">#REF!</definedName>
    <definedName name="MENU5" localSheetId="13">#REF!</definedName>
    <definedName name="MENU5" localSheetId="26">#REF!</definedName>
    <definedName name="MENU5" localSheetId="0">#REF!</definedName>
    <definedName name="MENU5">#REF!</definedName>
    <definedName name="MENU6" localSheetId="3">#REF!</definedName>
    <definedName name="MENU6" localSheetId="1">#REF!</definedName>
    <definedName name="MENU6" localSheetId="5">#REF!</definedName>
    <definedName name="MENU6" localSheetId="21">#REF!</definedName>
    <definedName name="MENU6" localSheetId="22">#REF!</definedName>
    <definedName name="MENU6" localSheetId="13">#REF!</definedName>
    <definedName name="MENU6" localSheetId="26">#REF!</definedName>
    <definedName name="MENU6" localSheetId="0">#REF!</definedName>
    <definedName name="MENU6">#REF!</definedName>
    <definedName name="MENUBOM" localSheetId="3">#REF!</definedName>
    <definedName name="MENUBOM" localSheetId="5">#REF!</definedName>
    <definedName name="MENUBOM" localSheetId="13">#REF!</definedName>
    <definedName name="MENUBOM" localSheetId="26">#REF!</definedName>
    <definedName name="MENUBOM">#REF!</definedName>
    <definedName name="MENUEQP" localSheetId="3">#REF!</definedName>
    <definedName name="MENUEQP" localSheetId="5">#REF!</definedName>
    <definedName name="MENUEQP" localSheetId="13">#REF!</definedName>
    <definedName name="MENUEQP" localSheetId="26">#REF!</definedName>
    <definedName name="MENUEQP">#REF!</definedName>
    <definedName name="MENUFIM" localSheetId="3">#REF!</definedName>
    <definedName name="MENUFIM" localSheetId="5">#REF!</definedName>
    <definedName name="MENUFIM" localSheetId="13">#REF!</definedName>
    <definedName name="MENUFIM" localSheetId="26">#REF!</definedName>
    <definedName name="MENUFIM">#REF!</definedName>
    <definedName name="MENUMED" localSheetId="3">#REF!</definedName>
    <definedName name="MENUMED" localSheetId="5">#REF!</definedName>
    <definedName name="MENUMED" localSheetId="13">#REF!</definedName>
    <definedName name="MENUMED" localSheetId="26">#REF!</definedName>
    <definedName name="MENUMED">#REF!</definedName>
    <definedName name="MENUOBRA" localSheetId="3">#REF!</definedName>
    <definedName name="MENUOBRA" localSheetId="5">#REF!</definedName>
    <definedName name="MENUOBRA" localSheetId="13">#REF!</definedName>
    <definedName name="MENUOBRA" localSheetId="26">#REF!</definedName>
    <definedName name="MENUOBRA">#REF!</definedName>
    <definedName name="MENUOUT" localSheetId="3">#REF!</definedName>
    <definedName name="MENUOUT" localSheetId="5">#REF!</definedName>
    <definedName name="MENUOUT" localSheetId="13">#REF!</definedName>
    <definedName name="MENUOUT" localSheetId="26">#REF!</definedName>
    <definedName name="MENUOUT">#REF!</definedName>
    <definedName name="MENUOUTRO" localSheetId="3">#REF!</definedName>
    <definedName name="MENUOUTRO" localSheetId="5">#REF!</definedName>
    <definedName name="MENUOUTRO" localSheetId="13">#REF!</definedName>
    <definedName name="MENUOUTRO" localSheetId="26">#REF!</definedName>
    <definedName name="MENUOUTRO">#REF!</definedName>
    <definedName name="menures" localSheetId="3">#REF!</definedName>
    <definedName name="menures" localSheetId="5">#REF!</definedName>
    <definedName name="menures" localSheetId="13">#REF!</definedName>
    <definedName name="menures" localSheetId="26">#REF!</definedName>
    <definedName name="menures">#REF!</definedName>
    <definedName name="Mês_data_base" localSheetId="3">#REF!</definedName>
    <definedName name="Mês_data_base" localSheetId="5">#REF!</definedName>
    <definedName name="Mês_data_base" localSheetId="13">#REF!</definedName>
    <definedName name="Mês_data_base" localSheetId="26">#REF!</definedName>
    <definedName name="Mês_data_base">#REF!</definedName>
    <definedName name="Mês_Medição_Fin_Medições" localSheetId="3">#REF!</definedName>
    <definedName name="Mês_Medição_Fin_Medições" localSheetId="5">#REF!</definedName>
    <definedName name="Mês_Medição_Fin_Medições" localSheetId="13">#REF!</definedName>
    <definedName name="Mês_Medição_Fin_Medições" localSheetId="26">#REF!</definedName>
    <definedName name="Mês_Medição_Fin_Medições">#REF!</definedName>
    <definedName name="mes_relatorio" localSheetId="3">#REF!</definedName>
    <definedName name="mes_relatorio" localSheetId="5">#REF!</definedName>
    <definedName name="mes_relatorio" localSheetId="13">#REF!</definedName>
    <definedName name="mes_relatorio" localSheetId="26">#REF!</definedName>
    <definedName name="mes_relatorio">#REF!</definedName>
    <definedName name="Meses" localSheetId="3">#REF!</definedName>
    <definedName name="Meses" localSheetId="5">#REF!</definedName>
    <definedName name="Meses" localSheetId="13">#REF!</definedName>
    <definedName name="Meses" localSheetId="26">#REF!</definedName>
    <definedName name="Meses">#REF!</definedName>
    <definedName name="MESTRE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3">#REF!</definedName>
    <definedName name="meta_venda" localSheetId="5">#REF!</definedName>
    <definedName name="meta_venda" localSheetId="13">#REF!</definedName>
    <definedName name="meta_venda" localSheetId="26">#REF!</definedName>
    <definedName name="meta_venda">#REF!</definedName>
    <definedName name="MetaBP" localSheetId="3">#REF!</definedName>
    <definedName name="MetaBP" localSheetId="5">#REF!</definedName>
    <definedName name="MetaBP" localSheetId="13">#REF!</definedName>
    <definedName name="MetaBP" localSheetId="26">#REF!</definedName>
    <definedName name="MetaBP">#REF!</definedName>
    <definedName name="MILENA" localSheetId="3">#REF!</definedName>
    <definedName name="MILENA" localSheetId="13">#REF!</definedName>
    <definedName name="MILENA" localSheetId="0">#REF!</definedName>
    <definedName name="MILENA">#REF!</definedName>
    <definedName name="Minha_Casa_Minha_Vida" localSheetId="3">#REF!</definedName>
    <definedName name="Minha_Casa_Minha_Vida" localSheetId="5">#REF!</definedName>
    <definedName name="Minha_Casa_Minha_Vida" localSheetId="13">#REF!</definedName>
    <definedName name="Minha_Casa_Minha_Vida" localSheetId="26">#REF!</definedName>
    <definedName name="Minha_Casa_Minha_Vida">#REF!</definedName>
    <definedName name="MLMÇLKJKI" localSheetId="9">{#N/A,#N/A,FALSE,"Plan1";#N/A,#N/A,FALSE,"Plan2"}</definedName>
    <definedName name="MLMÇLKJKI" localSheetId="6">{#N/A,#N/A,FALSE,"Plan1";#N/A,#N/A,FALSE,"Plan2"}</definedName>
    <definedName name="MLMÇLKJKI" localSheetId="3">{#N/A,#N/A,FALSE,"Plan1";#N/A,#N/A,FALSE,"Plan2"}</definedName>
    <definedName name="MLMÇLKJKI" localSheetId="8">{#N/A,#N/A,FALSE,"Plan1";#N/A,#N/A,FALSE,"Plan2"}</definedName>
    <definedName name="MLMÇLKJKI" localSheetId="5">{#N/A,#N/A,FALSE,"Plan1";#N/A,#N/A,FALSE,"Plan2"}</definedName>
    <definedName name="MLMÇLKJKI" localSheetId="4">{#N/A,#N/A,FALSE,"Plan1";#N/A,#N/A,FALSE,"Plan2"}</definedName>
    <definedName name="MLMÇLKJKI" localSheetId="13">{#N/A,#N/A,FALSE,"Plan1";#N/A,#N/A,FALSE,"Plan2"}</definedName>
    <definedName name="MLMÇLKJKI" localSheetId="17">{#N/A,#N/A,FALSE,"Plan1";#N/A,#N/A,FALSE,"Plan2"}</definedName>
    <definedName name="MLMÇLKJKI" localSheetId="0">{#N/A,#N/A,FALSE,"Plan1";#N/A,#N/A,FALSE,"Plan2"}</definedName>
    <definedName name="MLMÇLKJKI" localSheetId="19">{#N/A,#N/A,FALSE,"Plan1";#N/A,#N/A,FALSE,"Plan2"}</definedName>
    <definedName name="MLMÇLKJKI" localSheetId="16">{#N/A,#N/A,FALSE,"Plan1";#N/A,#N/A,FALSE,"Plan2"}</definedName>
    <definedName name="MLMÇLKJKI" localSheetId="18">{#N/A,#N/A,FALSE,"Plan1";#N/A,#N/A,FALSE,"Plan2"}</definedName>
    <definedName name="MLMÇLKJKI" localSheetId="10">{#N/A,#N/A,FALSE,"Plan1";#N/A,#N/A,FALSE,"Plan2"}</definedName>
    <definedName name="MLMÇLKJKI">{#N/A,#N/A,FALSE,"Plan1";#N/A,#N/A,FALSE,"Plan2"}</definedName>
    <definedName name="M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9">{"tabela",#N/A,FALSE,"Tabela";"decoração",#N/A,FALSE,"Decor.";"Informações",#N/A,FALSE,"Inform."}</definedName>
    <definedName name="mmmmm" localSheetId="6">{"tabela",#N/A,FALSE,"Tabela";"decoração",#N/A,FALSE,"Decor.";"Informações",#N/A,FALSE,"Inform."}</definedName>
    <definedName name="mmmmm" localSheetId="3">{"tabela",#N/A,FALSE,"Tabela";"decoração",#N/A,FALSE,"Decor.";"Informações",#N/A,FALSE,"Inform."}</definedName>
    <definedName name="mmmmm" localSheetId="8">{"tabela",#N/A,FALSE,"Tabela";"decoração",#N/A,FALSE,"Decor.";"Informações",#N/A,FALSE,"Inform."}</definedName>
    <definedName name="mmmmm" localSheetId="5">{"tabela",#N/A,FALSE,"Tabela";"decoração",#N/A,FALSE,"Decor.";"Informações",#N/A,FALSE,"Inform."}</definedName>
    <definedName name="mmmmm" localSheetId="4">{"tabela",#N/A,FALSE,"Tabela";"decoração",#N/A,FALSE,"Decor.";"Informações",#N/A,FALSE,"Inform."}</definedName>
    <definedName name="mmmmm" localSheetId="13">{"tabela",#N/A,FALSE,"Tabela";"decoração",#N/A,FALSE,"Decor.";"Informações",#N/A,FALSE,"Inform."}</definedName>
    <definedName name="mmmmm" localSheetId="17">{"tabela",#N/A,FALSE,"Tabela";"decoração",#N/A,FALSE,"Decor.";"Informações",#N/A,FALSE,"Inform."}</definedName>
    <definedName name="mmmmm" localSheetId="0">{"tabela",#N/A,FALSE,"Tabela";"decoração",#N/A,FALSE,"Decor.";"Informações",#N/A,FALSE,"Inform."}</definedName>
    <definedName name="mmmmm" localSheetId="19">{"tabela",#N/A,FALSE,"Tabela";"decoração",#N/A,FALSE,"Decor.";"Informações",#N/A,FALSE,"Inform."}</definedName>
    <definedName name="mmmmm" localSheetId="16">{"tabela",#N/A,FALSE,"Tabela";"decoração",#N/A,FALSE,"Decor.";"Informações",#N/A,FALSE,"Inform."}</definedName>
    <definedName name="mmmmm" localSheetId="18">{"tabela",#N/A,FALSE,"Tabela";"decoração",#N/A,FALSE,"Decor.";"Informações",#N/A,FALSE,"Inform."}</definedName>
    <definedName name="mmmmm" localSheetId="10">{"tabela",#N/A,FALSE,"Tabela";"decoração",#N/A,FALSE,"Decor.";"Informações",#N/A,FALSE,"Inform."}</definedName>
    <definedName name="mmmmm">{"tabela",#N/A,FALSE,"Tabela";"decoração",#N/A,FALSE,"Decor.";"Informações",#N/A,FALSE,"Inform."}</definedName>
    <definedName name="mmmmmm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9">{#N/A,#N/A,FALSE,"Plan1";#N/A,#N/A,FALSE,"Plan2"}</definedName>
    <definedName name="MNBXFKGS" localSheetId="6">{#N/A,#N/A,FALSE,"Plan1";#N/A,#N/A,FALSE,"Plan2"}</definedName>
    <definedName name="MNBXFKGS" localSheetId="3">{#N/A,#N/A,FALSE,"Plan1";#N/A,#N/A,FALSE,"Plan2"}</definedName>
    <definedName name="MNBXFKGS" localSheetId="8">{#N/A,#N/A,FALSE,"Plan1";#N/A,#N/A,FALSE,"Plan2"}</definedName>
    <definedName name="MNBXFKGS" localSheetId="5">{#N/A,#N/A,FALSE,"Plan1";#N/A,#N/A,FALSE,"Plan2"}</definedName>
    <definedName name="MNBXFKGS" localSheetId="4">{#N/A,#N/A,FALSE,"Plan1";#N/A,#N/A,FALSE,"Plan2"}</definedName>
    <definedName name="MNBXFKGS" localSheetId="13">{#N/A,#N/A,FALSE,"Plan1";#N/A,#N/A,FALSE,"Plan2"}</definedName>
    <definedName name="MNBXFKGS" localSheetId="17">{#N/A,#N/A,FALSE,"Plan1";#N/A,#N/A,FALSE,"Plan2"}</definedName>
    <definedName name="MNBXFKGS" localSheetId="0">{#N/A,#N/A,FALSE,"Plan1";#N/A,#N/A,FALSE,"Plan2"}</definedName>
    <definedName name="MNBXFKGS" localSheetId="19">{#N/A,#N/A,FALSE,"Plan1";#N/A,#N/A,FALSE,"Plan2"}</definedName>
    <definedName name="MNBXFKGS" localSheetId="16">{#N/A,#N/A,FALSE,"Plan1";#N/A,#N/A,FALSE,"Plan2"}</definedName>
    <definedName name="MNBXFKGS" localSheetId="18">{#N/A,#N/A,FALSE,"Plan1";#N/A,#N/A,FALSE,"Plan2"}</definedName>
    <definedName name="MNBXFKGS" localSheetId="10">{#N/A,#N/A,FALSE,"Plan1";#N/A,#N/A,FALSE,"Plan2"}</definedName>
    <definedName name="MNBXFKGS">{#N/A,#N/A,FALSE,"Plan1";#N/A,#N/A,FALSE,"Plan2"}</definedName>
    <definedName name="mncvbgcvmc" localSheetId="9">{#N/A,#N/A,FALSE,"Plan1";#N/A,#N/A,FALSE,"Plan2"}</definedName>
    <definedName name="mncvbgcvmc" localSheetId="6">{#N/A,#N/A,FALSE,"Plan1";#N/A,#N/A,FALSE,"Plan2"}</definedName>
    <definedName name="mncvbgcvmc" localSheetId="3">{#N/A,#N/A,FALSE,"Plan1";#N/A,#N/A,FALSE,"Plan2"}</definedName>
    <definedName name="mncvbgcvmc" localSheetId="8">{#N/A,#N/A,FALSE,"Plan1";#N/A,#N/A,FALSE,"Plan2"}</definedName>
    <definedName name="mncvbgcvmc" localSheetId="5">{#N/A,#N/A,FALSE,"Plan1";#N/A,#N/A,FALSE,"Plan2"}</definedName>
    <definedName name="mncvbgcvmc" localSheetId="4">{#N/A,#N/A,FALSE,"Plan1";#N/A,#N/A,FALSE,"Plan2"}</definedName>
    <definedName name="mncvbgcvmc" localSheetId="13">{#N/A,#N/A,FALSE,"Plan1";#N/A,#N/A,FALSE,"Plan2"}</definedName>
    <definedName name="mncvbgcvmc" localSheetId="17">{#N/A,#N/A,FALSE,"Plan1";#N/A,#N/A,FALSE,"Plan2"}</definedName>
    <definedName name="mncvbgcvmc" localSheetId="0">{#N/A,#N/A,FALSE,"Plan1";#N/A,#N/A,FALSE,"Plan2"}</definedName>
    <definedName name="mncvbgcvmc" localSheetId="19">{#N/A,#N/A,FALSE,"Plan1";#N/A,#N/A,FALSE,"Plan2"}</definedName>
    <definedName name="mncvbgcvmc" localSheetId="16">{#N/A,#N/A,FALSE,"Plan1";#N/A,#N/A,FALSE,"Plan2"}</definedName>
    <definedName name="mncvbgcvmc" localSheetId="18">{#N/A,#N/A,FALSE,"Plan1";#N/A,#N/A,FALSE,"Plan2"}</definedName>
    <definedName name="mncvbgcvmc" localSheetId="10">{#N/A,#N/A,FALSE,"Plan1";#N/A,#N/A,FALSE,"Plan2"}</definedName>
    <definedName name="mncvbgcvmc">{#N/A,#N/A,FALSE,"Plan1";#N/A,#N/A,FALSE,"Plan2"}</definedName>
    <definedName name="MNDKZSFNCEA" localSheetId="9">{#N/A,#N/A,FALSE,"Plan1";#N/A,#N/A,FALSE,"Plan2"}</definedName>
    <definedName name="MNDKZSFNCEA" localSheetId="6">{#N/A,#N/A,FALSE,"Plan1";#N/A,#N/A,FALSE,"Plan2"}</definedName>
    <definedName name="MNDKZSFNCEA" localSheetId="3">{#N/A,#N/A,FALSE,"Plan1";#N/A,#N/A,FALSE,"Plan2"}</definedName>
    <definedName name="MNDKZSFNCEA" localSheetId="8">{#N/A,#N/A,FALSE,"Plan1";#N/A,#N/A,FALSE,"Plan2"}</definedName>
    <definedName name="MNDKZSFNCEA" localSheetId="5">{#N/A,#N/A,FALSE,"Plan1";#N/A,#N/A,FALSE,"Plan2"}</definedName>
    <definedName name="MNDKZSFNCEA" localSheetId="4">{#N/A,#N/A,FALSE,"Plan1";#N/A,#N/A,FALSE,"Plan2"}</definedName>
    <definedName name="MNDKZSFNCEA" localSheetId="13">{#N/A,#N/A,FALSE,"Plan1";#N/A,#N/A,FALSE,"Plan2"}</definedName>
    <definedName name="MNDKZSFNCEA" localSheetId="17">{#N/A,#N/A,FALSE,"Plan1";#N/A,#N/A,FALSE,"Plan2"}</definedName>
    <definedName name="MNDKZSFNCEA" localSheetId="0">{#N/A,#N/A,FALSE,"Plan1";#N/A,#N/A,FALSE,"Plan2"}</definedName>
    <definedName name="MNDKZSFNCEA" localSheetId="19">{#N/A,#N/A,FALSE,"Plan1";#N/A,#N/A,FALSE,"Plan2"}</definedName>
    <definedName name="MNDKZSFNCEA" localSheetId="16">{#N/A,#N/A,FALSE,"Plan1";#N/A,#N/A,FALSE,"Plan2"}</definedName>
    <definedName name="MNDKZSFNCEA" localSheetId="18">{#N/A,#N/A,FALSE,"Plan1";#N/A,#N/A,FALSE,"Plan2"}</definedName>
    <definedName name="MNDKZSFNCEA" localSheetId="10">{#N/A,#N/A,FALSE,"Plan1";#N/A,#N/A,FALSE,"Plan2"}</definedName>
    <definedName name="MNDKZSFNCEA">{#N/A,#N/A,FALSE,"Plan1";#N/A,#N/A,FALSE,"Plan2"}</definedName>
    <definedName name="mnhdshfgfhd" localSheetId="9">{#N/A,#N/A,FALSE,"Plan1";#N/A,#N/A,FALSE,"Plan2"}</definedName>
    <definedName name="mnhdshfgfhd" localSheetId="6">{#N/A,#N/A,FALSE,"Plan1";#N/A,#N/A,FALSE,"Plan2"}</definedName>
    <definedName name="mnhdshfgfhd" localSheetId="3">{#N/A,#N/A,FALSE,"Plan1";#N/A,#N/A,FALSE,"Plan2"}</definedName>
    <definedName name="mnhdshfgfhd" localSheetId="8">{#N/A,#N/A,FALSE,"Plan1";#N/A,#N/A,FALSE,"Plan2"}</definedName>
    <definedName name="mnhdshfgfhd" localSheetId="5">{#N/A,#N/A,FALSE,"Plan1";#N/A,#N/A,FALSE,"Plan2"}</definedName>
    <definedName name="mnhdshfgfhd" localSheetId="4">{#N/A,#N/A,FALSE,"Plan1";#N/A,#N/A,FALSE,"Plan2"}</definedName>
    <definedName name="mnhdshfgfhd" localSheetId="13">{#N/A,#N/A,FALSE,"Plan1";#N/A,#N/A,FALSE,"Plan2"}</definedName>
    <definedName name="mnhdshfgfhd" localSheetId="17">{#N/A,#N/A,FALSE,"Plan1";#N/A,#N/A,FALSE,"Plan2"}</definedName>
    <definedName name="mnhdshfgfhd" localSheetId="0">{#N/A,#N/A,FALSE,"Plan1";#N/A,#N/A,FALSE,"Plan2"}</definedName>
    <definedName name="mnhdshfgfhd" localSheetId="19">{#N/A,#N/A,FALSE,"Plan1";#N/A,#N/A,FALSE,"Plan2"}</definedName>
    <definedName name="mnhdshfgfhd" localSheetId="16">{#N/A,#N/A,FALSE,"Plan1";#N/A,#N/A,FALSE,"Plan2"}</definedName>
    <definedName name="mnhdshfgfhd" localSheetId="18">{#N/A,#N/A,FALSE,"Plan1";#N/A,#N/A,FALSE,"Plan2"}</definedName>
    <definedName name="mnhdshfgfhd" localSheetId="10">{#N/A,#N/A,FALSE,"Plan1";#N/A,#N/A,FALSE,"Plan2"}</definedName>
    <definedName name="mnhdshfgfhd">{#N/A,#N/A,FALSE,"Plan1";#N/A,#N/A,FALSE,"Plan2"}</definedName>
    <definedName name="mo" localSheetId="3">#REF!</definedName>
    <definedName name="mo" localSheetId="1">#REF!</definedName>
    <definedName name="mo" localSheetId="5">#REF!</definedName>
    <definedName name="mo" localSheetId="21">#REF!</definedName>
    <definedName name="mo" localSheetId="22">#REF!</definedName>
    <definedName name="mo" localSheetId="13">#REF!</definedName>
    <definedName name="mo" localSheetId="26">#REF!</definedName>
    <definedName name="mo" localSheetId="0">#REF!</definedName>
    <definedName name="mo">#REF!</definedName>
    <definedName name="mobr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9">{#N/A,#N/A,FALSE,"cdi";#N/A,#N/A,FALSE,"debent";#N/A,#N/A,FALSE,"fdos";#N/A,#N/A,FALSE,"resumo"}</definedName>
    <definedName name="Modelo1" localSheetId="6">{#N/A,#N/A,FALSE,"cdi";#N/A,#N/A,FALSE,"debent";#N/A,#N/A,FALSE,"fdos";#N/A,#N/A,FALSE,"resumo"}</definedName>
    <definedName name="Modelo1" localSheetId="3">{#N/A,#N/A,FALSE,"cdi";#N/A,#N/A,FALSE,"debent";#N/A,#N/A,FALSE,"fdos";#N/A,#N/A,FALSE,"resumo"}</definedName>
    <definedName name="Modelo1" localSheetId="8">{#N/A,#N/A,FALSE,"cdi";#N/A,#N/A,FALSE,"debent";#N/A,#N/A,FALSE,"fdos";#N/A,#N/A,FALSE,"resumo"}</definedName>
    <definedName name="Modelo1" localSheetId="5">{#N/A,#N/A,FALSE,"cdi";#N/A,#N/A,FALSE,"debent";#N/A,#N/A,FALSE,"fdos";#N/A,#N/A,FALSE,"resumo"}</definedName>
    <definedName name="Modelo1" localSheetId="4">{#N/A,#N/A,FALSE,"cdi";#N/A,#N/A,FALSE,"debent";#N/A,#N/A,FALSE,"fdos";#N/A,#N/A,FALSE,"resumo"}</definedName>
    <definedName name="Modelo1" localSheetId="13">{#N/A,#N/A,FALSE,"cdi";#N/A,#N/A,FALSE,"debent";#N/A,#N/A,FALSE,"fdos";#N/A,#N/A,FALSE,"resumo"}</definedName>
    <definedName name="Modelo1" localSheetId="17">{#N/A,#N/A,FALSE,"cdi";#N/A,#N/A,FALSE,"debent";#N/A,#N/A,FALSE,"fdos";#N/A,#N/A,FALSE,"resumo"}</definedName>
    <definedName name="Modelo1" localSheetId="0">{#N/A,#N/A,FALSE,"cdi";#N/A,#N/A,FALSE,"debent";#N/A,#N/A,FALSE,"fdos";#N/A,#N/A,FALSE,"resumo"}</definedName>
    <definedName name="Modelo1" localSheetId="19">{#N/A,#N/A,FALSE,"cdi";#N/A,#N/A,FALSE,"debent";#N/A,#N/A,FALSE,"fdos";#N/A,#N/A,FALSE,"resumo"}</definedName>
    <definedName name="Modelo1" localSheetId="16">{#N/A,#N/A,FALSE,"cdi";#N/A,#N/A,FALSE,"debent";#N/A,#N/A,FALSE,"fdos";#N/A,#N/A,FALSE,"resumo"}</definedName>
    <definedName name="Modelo1" localSheetId="18">{#N/A,#N/A,FALSE,"cdi";#N/A,#N/A,FALSE,"debent";#N/A,#N/A,FALSE,"fdos";#N/A,#N/A,FALSE,"resumo"}</definedName>
    <definedName name="Modelo1" localSheetId="10">{#N/A,#N/A,FALSE,"cdi";#N/A,#N/A,FALSE,"debent";#N/A,#N/A,FALSE,"fdos";#N/A,#N/A,FALSE,"resumo"}</definedName>
    <definedName name="Modelo1">{#N/A,#N/A,FALSE,"cdi";#N/A,#N/A,FALSE,"debent";#N/A,#N/A,FALSE,"fdos";#N/A,#N/A,FALSE,"resumo"}</definedName>
    <definedName name="Modelo1a" localSheetId="9">{#N/A,#N/A,FALSE,"cdi";#N/A,#N/A,FALSE,"debent";#N/A,#N/A,FALSE,"fdos";#N/A,#N/A,FALSE,"resumo"}</definedName>
    <definedName name="Modelo1a" localSheetId="6">{#N/A,#N/A,FALSE,"cdi";#N/A,#N/A,FALSE,"debent";#N/A,#N/A,FALSE,"fdos";#N/A,#N/A,FALSE,"resumo"}</definedName>
    <definedName name="Modelo1a" localSheetId="3">{#N/A,#N/A,FALSE,"cdi";#N/A,#N/A,FALSE,"debent";#N/A,#N/A,FALSE,"fdos";#N/A,#N/A,FALSE,"resumo"}</definedName>
    <definedName name="Modelo1a" localSheetId="8">{#N/A,#N/A,FALSE,"cdi";#N/A,#N/A,FALSE,"debent";#N/A,#N/A,FALSE,"fdos";#N/A,#N/A,FALSE,"resumo"}</definedName>
    <definedName name="Modelo1a" localSheetId="5">{#N/A,#N/A,FALSE,"cdi";#N/A,#N/A,FALSE,"debent";#N/A,#N/A,FALSE,"fdos";#N/A,#N/A,FALSE,"resumo"}</definedName>
    <definedName name="Modelo1a" localSheetId="4">{#N/A,#N/A,FALSE,"cdi";#N/A,#N/A,FALSE,"debent";#N/A,#N/A,FALSE,"fdos";#N/A,#N/A,FALSE,"resumo"}</definedName>
    <definedName name="Modelo1a" localSheetId="13">{#N/A,#N/A,FALSE,"cdi";#N/A,#N/A,FALSE,"debent";#N/A,#N/A,FALSE,"fdos";#N/A,#N/A,FALSE,"resumo"}</definedName>
    <definedName name="Modelo1a" localSheetId="17">{#N/A,#N/A,FALSE,"cdi";#N/A,#N/A,FALSE,"debent";#N/A,#N/A,FALSE,"fdos";#N/A,#N/A,FALSE,"resumo"}</definedName>
    <definedName name="Modelo1a" localSheetId="0">{#N/A,#N/A,FALSE,"cdi";#N/A,#N/A,FALSE,"debent";#N/A,#N/A,FALSE,"fdos";#N/A,#N/A,FALSE,"resumo"}</definedName>
    <definedName name="Modelo1a" localSheetId="19">{#N/A,#N/A,FALSE,"cdi";#N/A,#N/A,FALSE,"debent";#N/A,#N/A,FALSE,"fdos";#N/A,#N/A,FALSE,"resumo"}</definedName>
    <definedName name="Modelo1a" localSheetId="16">{#N/A,#N/A,FALSE,"cdi";#N/A,#N/A,FALSE,"debent";#N/A,#N/A,FALSE,"fdos";#N/A,#N/A,FALSE,"resumo"}</definedName>
    <definedName name="Modelo1a" localSheetId="18">{#N/A,#N/A,FALSE,"cdi";#N/A,#N/A,FALSE,"debent";#N/A,#N/A,FALSE,"fdos";#N/A,#N/A,FALSE,"resumo"}</definedName>
    <definedName name="Modelo1a" localSheetId="10">{#N/A,#N/A,FALSE,"cdi";#N/A,#N/A,FALSE,"debent";#N/A,#N/A,FALSE,"fdos";#N/A,#N/A,FALSE,"resumo"}</definedName>
    <definedName name="Modelo1a">{#N/A,#N/A,FALSE,"cdi";#N/A,#N/A,FALSE,"debent";#N/A,#N/A,FALSE,"fdos";#N/A,#N/A,FALSE,"resumo"}</definedName>
    <definedName name="Modelo2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7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3">#REF!</definedName>
    <definedName name="módulo" localSheetId="5">#REF!</definedName>
    <definedName name="módulo" localSheetId="13">#REF!</definedName>
    <definedName name="módulo" localSheetId="26">#REF!</definedName>
    <definedName name="módulo">#REF!</definedName>
    <definedName name="mond_cdi" localSheetId="3">#REF!</definedName>
    <definedName name="mond_cdi" localSheetId="5">#REF!</definedName>
    <definedName name="mond_cdi" localSheetId="13">#REF!</definedName>
    <definedName name="mond_cdi" localSheetId="26">#REF!</definedName>
    <definedName name="mond_cdi">#REF!</definedName>
    <definedName name="mond_hist" localSheetId="3">#REF!</definedName>
    <definedName name="mond_hist" localSheetId="5">#REF!</definedName>
    <definedName name="mond_hist" localSheetId="13">#REF!</definedName>
    <definedName name="mond_hist" localSheetId="26">#REF!</definedName>
    <definedName name="mond_hist">#REF!</definedName>
    <definedName name="mond_uss" localSheetId="3">#REF!</definedName>
    <definedName name="mond_uss" localSheetId="5">#REF!</definedName>
    <definedName name="mond_uss" localSheetId="13">#REF!</definedName>
    <definedName name="mond_uss" localSheetId="26">#REF!</definedName>
    <definedName name="mond_uss">#REF!</definedName>
    <definedName name="MP" localSheetId="9">{#N/A,#N/A,FALSE,"CCTV"}</definedName>
    <definedName name="MP" localSheetId="6">{#N/A,#N/A,FALSE,"CCTV"}</definedName>
    <definedName name="MP" localSheetId="3">{#N/A,#N/A,FALSE,"CCTV"}</definedName>
    <definedName name="MP" localSheetId="8">{#N/A,#N/A,FALSE,"CCTV"}</definedName>
    <definedName name="MP" localSheetId="5">{#N/A,#N/A,FALSE,"CCTV"}</definedName>
    <definedName name="MP" localSheetId="4">{#N/A,#N/A,FALSE,"CCTV"}</definedName>
    <definedName name="MP" localSheetId="13">{#N/A,#N/A,FALSE,"CCTV"}</definedName>
    <definedName name="MP" localSheetId="17">{#N/A,#N/A,FALSE,"CCTV"}</definedName>
    <definedName name="MP" localSheetId="0">{#N/A,#N/A,FALSE,"CCTV"}</definedName>
    <definedName name="MP" localSheetId="19">{#N/A,#N/A,FALSE,"CCTV"}</definedName>
    <definedName name="MP" localSheetId="16">{#N/A,#N/A,FALSE,"CCTV"}</definedName>
    <definedName name="MP" localSheetId="18">{#N/A,#N/A,FALSE,"CCTV"}</definedName>
    <definedName name="MP" localSheetId="10">{#N/A,#N/A,FALSE,"CCTV"}</definedName>
    <definedName name="MP">{#N/A,#N/A,FALSE,"CCTV"}</definedName>
    <definedName name="MSDFJKDT">25</definedName>
    <definedName name="MSDRFSWER" localSheetId="9">{"Econ Consolidado",#N/A,FALSE,"Econ Consol";"Fluxo de Caixa",#N/A,FALSE,"Fluxo Caixa";"Investimentos",#N/A,FALSE,"Investimentos"}</definedName>
    <definedName name="MSDRFSWER" localSheetId="6">{"Econ Consolidado",#N/A,FALSE,"Econ Consol";"Fluxo de Caixa",#N/A,FALSE,"Fluxo Caixa";"Investimentos",#N/A,FALSE,"Investimentos"}</definedName>
    <definedName name="MSDRFSWER" localSheetId="3">{"Econ Consolidado",#N/A,FALSE,"Econ Consol";"Fluxo de Caixa",#N/A,FALSE,"Fluxo Caixa";"Investimentos",#N/A,FALSE,"Investimentos"}</definedName>
    <definedName name="MSDRFSWER" localSheetId="8">{"Econ Consolidado",#N/A,FALSE,"Econ Consol";"Fluxo de Caixa",#N/A,FALSE,"Fluxo Caixa";"Investimentos",#N/A,FALSE,"Investimentos"}</definedName>
    <definedName name="MSDRFSWER" localSheetId="5">{"Econ Consolidado",#N/A,FALSE,"Econ Consol";"Fluxo de Caixa",#N/A,FALSE,"Fluxo Caixa";"Investimentos",#N/A,FALSE,"Investimentos"}</definedName>
    <definedName name="MSDRFSWER" localSheetId="4">{"Econ Consolidado",#N/A,FALSE,"Econ Consol";"Fluxo de Caixa",#N/A,FALSE,"Fluxo Caixa";"Investimentos",#N/A,FALSE,"Investimentos"}</definedName>
    <definedName name="MSDRFSWER" localSheetId="13">{"Econ Consolidado",#N/A,FALSE,"Econ Consol";"Fluxo de Caixa",#N/A,FALSE,"Fluxo Caixa";"Investimentos",#N/A,FALSE,"Investimentos"}</definedName>
    <definedName name="MSDRFSWER" localSheetId="17">{"Econ Consolidado",#N/A,FALSE,"Econ Consol";"Fluxo de Caixa",#N/A,FALSE,"Fluxo Caixa";"Investimentos",#N/A,FALSE,"Investimentos"}</definedName>
    <definedName name="MSDRFSWER" localSheetId="0">{"Econ Consolidado",#N/A,FALSE,"Econ Consol";"Fluxo de Caixa",#N/A,FALSE,"Fluxo Caixa";"Investimentos",#N/A,FALSE,"Investimentos"}</definedName>
    <definedName name="MSDRFSWER" localSheetId="19">{"Econ Consolidado",#N/A,FALSE,"Econ Consol";"Fluxo de Caixa",#N/A,FALSE,"Fluxo Caixa";"Investimentos",#N/A,FALSE,"Investimentos"}</definedName>
    <definedName name="MSDRFSWER" localSheetId="16">{"Econ Consolidado",#N/A,FALSE,"Econ Consol";"Fluxo de Caixa",#N/A,FALSE,"Fluxo Caixa";"Investimentos",#N/A,FALSE,"Investimentos"}</definedName>
    <definedName name="MSDRFSWER" localSheetId="18">{"Econ Consolidado",#N/A,FALSE,"Econ Consol";"Fluxo de Caixa",#N/A,FALSE,"Fluxo Caixa";"Investimentos",#N/A,FALSE,"Investimentos"}</definedName>
    <definedName name="MSDRFSWER" localSheetId="10">{"Econ Consolidado",#N/A,FALSE,"Econ Consol";"Fluxo de Caixa",#N/A,FALSE,"Fluxo Caixa";"Investimentos",#N/A,FALSE,"Investimentos"}</definedName>
    <definedName name="MSDRFSWER">{"Econ Consolidado",#N/A,FALSE,"Econ Consol";"Fluxo de Caixa",#N/A,FALSE,"Fluxo Caixa";"Investimentos",#N/A,FALSE,"Investimentos"}</definedName>
    <definedName name="MURBOMB" localSheetId="3">#REF!</definedName>
    <definedName name="MURBOMB" localSheetId="5">#REF!</definedName>
    <definedName name="MURBOMB" localSheetId="13">#REF!</definedName>
    <definedName name="MURBOMB" localSheetId="26">#REF!</definedName>
    <definedName name="MURBOMB">#REF!</definedName>
    <definedName name="mzshdjshjs" localSheetId="9">{#N/A,#N/A,FALSE,"Plan1";#N/A,#N/A,FALSE,"Plan2"}</definedName>
    <definedName name="mzshdjshjs" localSheetId="6">{#N/A,#N/A,FALSE,"Plan1";#N/A,#N/A,FALSE,"Plan2"}</definedName>
    <definedName name="mzshdjshjs" localSheetId="3">{#N/A,#N/A,FALSE,"Plan1";#N/A,#N/A,FALSE,"Plan2"}</definedName>
    <definedName name="mzshdjshjs" localSheetId="8">{#N/A,#N/A,FALSE,"Plan1";#N/A,#N/A,FALSE,"Plan2"}</definedName>
    <definedName name="mzshdjshjs" localSheetId="5">{#N/A,#N/A,FALSE,"Plan1";#N/A,#N/A,FALSE,"Plan2"}</definedName>
    <definedName name="mzshdjshjs" localSheetId="4">{#N/A,#N/A,FALSE,"Plan1";#N/A,#N/A,FALSE,"Plan2"}</definedName>
    <definedName name="mzshdjshjs" localSheetId="13">{#N/A,#N/A,FALSE,"Plan1";#N/A,#N/A,FALSE,"Plan2"}</definedName>
    <definedName name="mzshdjshjs" localSheetId="17">{#N/A,#N/A,FALSE,"Plan1";#N/A,#N/A,FALSE,"Plan2"}</definedName>
    <definedName name="mzshdjshjs" localSheetId="0">{#N/A,#N/A,FALSE,"Plan1";#N/A,#N/A,FALSE,"Plan2"}</definedName>
    <definedName name="mzshdjshjs" localSheetId="19">{#N/A,#N/A,FALSE,"Plan1";#N/A,#N/A,FALSE,"Plan2"}</definedName>
    <definedName name="mzshdjshjs" localSheetId="16">{#N/A,#N/A,FALSE,"Plan1";#N/A,#N/A,FALSE,"Plan2"}</definedName>
    <definedName name="mzshdjshjs" localSheetId="18">{#N/A,#N/A,FALSE,"Plan1";#N/A,#N/A,FALSE,"Plan2"}</definedName>
    <definedName name="mzshdjshjs" localSheetId="10">{#N/A,#N/A,FALSE,"Plan1";#N/A,#N/A,FALSE,"Plan2"}</definedName>
    <definedName name="mzshdjshjs">{#N/A,#N/A,FALSE,"Plan1";#N/A,#N/A,FALSE,"Plan2"}</definedName>
    <definedName name="na" localSheetId="9">{#N/A,#N/A,FALSE,"$170M Cash";#N/A,#N/A,FALSE,"$250M Cash";#N/A,#N/A,FALSE,"$325M Cash"}</definedName>
    <definedName name="na" localSheetId="6">{#N/A,#N/A,FALSE,"$170M Cash";#N/A,#N/A,FALSE,"$250M Cash";#N/A,#N/A,FALSE,"$325M Cash"}</definedName>
    <definedName name="na" localSheetId="3">{#N/A,#N/A,FALSE,"$170M Cash";#N/A,#N/A,FALSE,"$250M Cash";#N/A,#N/A,FALSE,"$325M Cash"}</definedName>
    <definedName name="na" localSheetId="8">{#N/A,#N/A,FALSE,"$170M Cash";#N/A,#N/A,FALSE,"$250M Cash";#N/A,#N/A,FALSE,"$325M Cash"}</definedName>
    <definedName name="na" localSheetId="5">{#N/A,#N/A,FALSE,"$170M Cash";#N/A,#N/A,FALSE,"$250M Cash";#N/A,#N/A,FALSE,"$325M Cash"}</definedName>
    <definedName name="na" localSheetId="4">{#N/A,#N/A,FALSE,"$170M Cash";#N/A,#N/A,FALSE,"$250M Cash";#N/A,#N/A,FALSE,"$325M Cash"}</definedName>
    <definedName name="na" localSheetId="13">{#N/A,#N/A,FALSE,"$170M Cash";#N/A,#N/A,FALSE,"$250M Cash";#N/A,#N/A,FALSE,"$325M Cash"}</definedName>
    <definedName name="na" localSheetId="17">{#N/A,#N/A,FALSE,"$170M Cash";#N/A,#N/A,FALSE,"$250M Cash";#N/A,#N/A,FALSE,"$325M Cash"}</definedName>
    <definedName name="na" localSheetId="0">{#N/A,#N/A,FALSE,"$170M Cash";#N/A,#N/A,FALSE,"$250M Cash";#N/A,#N/A,FALSE,"$325M Cash"}</definedName>
    <definedName name="na" localSheetId="19">{#N/A,#N/A,FALSE,"$170M Cash";#N/A,#N/A,FALSE,"$250M Cash";#N/A,#N/A,FALSE,"$325M Cash"}</definedName>
    <definedName name="na" localSheetId="16">{#N/A,#N/A,FALSE,"$170M Cash";#N/A,#N/A,FALSE,"$250M Cash";#N/A,#N/A,FALSE,"$325M Cash"}</definedName>
    <definedName name="na" localSheetId="18">{#N/A,#N/A,FALSE,"$170M Cash";#N/A,#N/A,FALSE,"$250M Cash";#N/A,#N/A,FALSE,"$325M Cash"}</definedName>
    <definedName name="na" localSheetId="10">{#N/A,#N/A,FALSE,"$170M Cash";#N/A,#N/A,FALSE,"$250M Cash";#N/A,#N/A,FALSE,"$325M Cash"}</definedName>
    <definedName name="na">{#N/A,#N/A,FALSE,"$170M Cash";#N/A,#N/A,FALSE,"$250M Cash";#N/A,#N/A,FALSE,"$325M Cash"}</definedName>
    <definedName name="ncdgrdhrtg" localSheetId="9">{#N/A,#N/A,FALSE,"Plan1";#N/A,#N/A,FALSE,"Plan2"}</definedName>
    <definedName name="ncdgrdhrtg" localSheetId="6">{#N/A,#N/A,FALSE,"Plan1";#N/A,#N/A,FALSE,"Plan2"}</definedName>
    <definedName name="ncdgrdhrtg" localSheetId="3">{#N/A,#N/A,FALSE,"Plan1";#N/A,#N/A,FALSE,"Plan2"}</definedName>
    <definedName name="ncdgrdhrtg" localSheetId="8">{#N/A,#N/A,FALSE,"Plan1";#N/A,#N/A,FALSE,"Plan2"}</definedName>
    <definedName name="ncdgrdhrtg" localSheetId="5">{#N/A,#N/A,FALSE,"Plan1";#N/A,#N/A,FALSE,"Plan2"}</definedName>
    <definedName name="ncdgrdhrtg" localSheetId="4">{#N/A,#N/A,FALSE,"Plan1";#N/A,#N/A,FALSE,"Plan2"}</definedName>
    <definedName name="ncdgrdhrtg" localSheetId="13">{#N/A,#N/A,FALSE,"Plan1";#N/A,#N/A,FALSE,"Plan2"}</definedName>
    <definedName name="ncdgrdhrtg" localSheetId="17">{#N/A,#N/A,FALSE,"Plan1";#N/A,#N/A,FALSE,"Plan2"}</definedName>
    <definedName name="ncdgrdhrtg" localSheetId="0">{#N/A,#N/A,FALSE,"Plan1";#N/A,#N/A,FALSE,"Plan2"}</definedName>
    <definedName name="ncdgrdhrtg" localSheetId="19">{#N/A,#N/A,FALSE,"Plan1";#N/A,#N/A,FALSE,"Plan2"}</definedName>
    <definedName name="ncdgrdhrtg" localSheetId="16">{#N/A,#N/A,FALSE,"Plan1";#N/A,#N/A,FALSE,"Plan2"}</definedName>
    <definedName name="ncdgrdhrtg" localSheetId="18">{#N/A,#N/A,FALSE,"Plan1";#N/A,#N/A,FALSE,"Plan2"}</definedName>
    <definedName name="ncdgrdhrtg" localSheetId="10">{#N/A,#N/A,FALSE,"Plan1";#N/A,#N/A,FALSE,"Plan2"}</definedName>
    <definedName name="ncdgrdhrtg">{#N/A,#N/A,FALSE,"Plan1";#N/A,#N/A,FALSE,"Plan2"}</definedName>
    <definedName name="nchngdfhgdh" localSheetId="9">{#N/A,#N/A,FALSE,"Plan1";#N/A,#N/A,FALSE,"Plan2"}</definedName>
    <definedName name="nchngdfhgdh" localSheetId="6">{#N/A,#N/A,FALSE,"Plan1";#N/A,#N/A,FALSE,"Plan2"}</definedName>
    <definedName name="nchngdfhgdh" localSheetId="3">{#N/A,#N/A,FALSE,"Plan1";#N/A,#N/A,FALSE,"Plan2"}</definedName>
    <definedName name="nchngdfhgdh" localSheetId="8">{#N/A,#N/A,FALSE,"Plan1";#N/A,#N/A,FALSE,"Plan2"}</definedName>
    <definedName name="nchngdfhgdh" localSheetId="5">{#N/A,#N/A,FALSE,"Plan1";#N/A,#N/A,FALSE,"Plan2"}</definedName>
    <definedName name="nchngdfhgdh" localSheetId="4">{#N/A,#N/A,FALSE,"Plan1";#N/A,#N/A,FALSE,"Plan2"}</definedName>
    <definedName name="nchngdfhgdh" localSheetId="13">{#N/A,#N/A,FALSE,"Plan1";#N/A,#N/A,FALSE,"Plan2"}</definedName>
    <definedName name="nchngdfhgdh" localSheetId="17">{#N/A,#N/A,FALSE,"Plan1";#N/A,#N/A,FALSE,"Plan2"}</definedName>
    <definedName name="nchngdfhgdh" localSheetId="0">{#N/A,#N/A,FALSE,"Plan1";#N/A,#N/A,FALSE,"Plan2"}</definedName>
    <definedName name="nchngdfhgdh" localSheetId="19">{#N/A,#N/A,FALSE,"Plan1";#N/A,#N/A,FALSE,"Plan2"}</definedName>
    <definedName name="nchngdfhgdh" localSheetId="16">{#N/A,#N/A,FALSE,"Plan1";#N/A,#N/A,FALSE,"Plan2"}</definedName>
    <definedName name="nchngdfhgdh" localSheetId="18">{#N/A,#N/A,FALSE,"Plan1";#N/A,#N/A,FALSE,"Plan2"}</definedName>
    <definedName name="nchngdfhgdh" localSheetId="10">{#N/A,#N/A,FALSE,"Plan1";#N/A,#N/A,FALSE,"Plan2"}</definedName>
    <definedName name="nchngdfhgdh">{#N/A,#N/A,FALSE,"Plan1";#N/A,#N/A,FALSE,"Plan2"}</definedName>
    <definedName name="NCJFKNGJHF" localSheetId="9">{#N/A,#N/A,FALSE,"Plan1";#N/A,#N/A,FALSE,"Plan2"}</definedName>
    <definedName name="NCJFKNGJHF" localSheetId="6">{#N/A,#N/A,FALSE,"Plan1";#N/A,#N/A,FALSE,"Plan2"}</definedName>
    <definedName name="NCJFKNGJHF" localSheetId="3">{#N/A,#N/A,FALSE,"Plan1";#N/A,#N/A,FALSE,"Plan2"}</definedName>
    <definedName name="NCJFKNGJHF" localSheetId="8">{#N/A,#N/A,FALSE,"Plan1";#N/A,#N/A,FALSE,"Plan2"}</definedName>
    <definedName name="NCJFKNGJHF" localSheetId="5">{#N/A,#N/A,FALSE,"Plan1";#N/A,#N/A,FALSE,"Plan2"}</definedName>
    <definedName name="NCJFKNGJHF" localSheetId="4">{#N/A,#N/A,FALSE,"Plan1";#N/A,#N/A,FALSE,"Plan2"}</definedName>
    <definedName name="NCJFKNGJHF" localSheetId="13">{#N/A,#N/A,FALSE,"Plan1";#N/A,#N/A,FALSE,"Plan2"}</definedName>
    <definedName name="NCJFKNGJHF" localSheetId="17">{#N/A,#N/A,FALSE,"Plan1";#N/A,#N/A,FALSE,"Plan2"}</definedName>
    <definedName name="NCJFKNGJHF" localSheetId="0">{#N/A,#N/A,FALSE,"Plan1";#N/A,#N/A,FALSE,"Plan2"}</definedName>
    <definedName name="NCJFKNGJHF" localSheetId="19">{#N/A,#N/A,FALSE,"Plan1";#N/A,#N/A,FALSE,"Plan2"}</definedName>
    <definedName name="NCJFKNGJHF" localSheetId="16">{#N/A,#N/A,FALSE,"Plan1";#N/A,#N/A,FALSE,"Plan2"}</definedName>
    <definedName name="NCJFKNGJHF" localSheetId="18">{#N/A,#N/A,FALSE,"Plan1";#N/A,#N/A,FALSE,"Plan2"}</definedName>
    <definedName name="NCJFKNGJHF" localSheetId="10">{#N/A,#N/A,FALSE,"Plan1";#N/A,#N/A,FALSE,"Plan2"}</definedName>
    <definedName name="NCJFKNGJHF">{#N/A,#N/A,FALSE,"Plan1";#N/A,#N/A,FALSE,"Plan2"}</definedName>
    <definedName name="NDATA" localSheetId="3">#REF!</definedName>
    <definedName name="NDATA" localSheetId="5">#REF!</definedName>
    <definedName name="NDATA" localSheetId="13">#REF!</definedName>
    <definedName name="NDATA" localSheetId="26">#REF!</definedName>
    <definedName name="NDATA">#REF!</definedName>
    <definedName name="ndcxhgdhf" localSheetId="9">{#N/A,#N/A,FALSE,"Plan1";#N/A,#N/A,FALSE,"Plan2"}</definedName>
    <definedName name="ndcxhgdhf" localSheetId="6">{#N/A,#N/A,FALSE,"Plan1";#N/A,#N/A,FALSE,"Plan2"}</definedName>
    <definedName name="ndcxhgdhf" localSheetId="3">{#N/A,#N/A,FALSE,"Plan1";#N/A,#N/A,FALSE,"Plan2"}</definedName>
    <definedName name="ndcxhgdhf" localSheetId="8">{#N/A,#N/A,FALSE,"Plan1";#N/A,#N/A,FALSE,"Plan2"}</definedName>
    <definedName name="ndcxhgdhf" localSheetId="5">{#N/A,#N/A,FALSE,"Plan1";#N/A,#N/A,FALSE,"Plan2"}</definedName>
    <definedName name="ndcxhgdhf" localSheetId="4">{#N/A,#N/A,FALSE,"Plan1";#N/A,#N/A,FALSE,"Plan2"}</definedName>
    <definedName name="ndcxhgdhf" localSheetId="13">{#N/A,#N/A,FALSE,"Plan1";#N/A,#N/A,FALSE,"Plan2"}</definedName>
    <definedName name="ndcxhgdhf" localSheetId="17">{#N/A,#N/A,FALSE,"Plan1";#N/A,#N/A,FALSE,"Plan2"}</definedName>
    <definedName name="ndcxhgdhf" localSheetId="0">{#N/A,#N/A,FALSE,"Plan1";#N/A,#N/A,FALSE,"Plan2"}</definedName>
    <definedName name="ndcxhgdhf" localSheetId="19">{#N/A,#N/A,FALSE,"Plan1";#N/A,#N/A,FALSE,"Plan2"}</definedName>
    <definedName name="ndcxhgdhf" localSheetId="16">{#N/A,#N/A,FALSE,"Plan1";#N/A,#N/A,FALSE,"Plan2"}</definedName>
    <definedName name="ndcxhgdhf" localSheetId="18">{#N/A,#N/A,FALSE,"Plan1";#N/A,#N/A,FALSE,"Plan2"}</definedName>
    <definedName name="ndcxhgdhf" localSheetId="10">{#N/A,#N/A,FALSE,"Plan1";#N/A,#N/A,FALSE,"Plan2"}</definedName>
    <definedName name="ndcxhgdhf">{#N/A,#N/A,FALSE,"Plan1";#N/A,#N/A,FALSE,"Plan2"}</definedName>
    <definedName name="ndfjnjkrhdgt" localSheetId="9">{#N/A,#N/A,FALSE,"Plan1";#N/A,#N/A,FALSE,"Plan2"}</definedName>
    <definedName name="ndfjnjkrhdgt" localSheetId="6">{#N/A,#N/A,FALSE,"Plan1";#N/A,#N/A,FALSE,"Plan2"}</definedName>
    <definedName name="ndfjnjkrhdgt" localSheetId="3">{#N/A,#N/A,FALSE,"Plan1";#N/A,#N/A,FALSE,"Plan2"}</definedName>
    <definedName name="ndfjnjkrhdgt" localSheetId="8">{#N/A,#N/A,FALSE,"Plan1";#N/A,#N/A,FALSE,"Plan2"}</definedName>
    <definedName name="ndfjnjkrhdgt" localSheetId="5">{#N/A,#N/A,FALSE,"Plan1";#N/A,#N/A,FALSE,"Plan2"}</definedName>
    <definedName name="ndfjnjkrhdgt" localSheetId="4">{#N/A,#N/A,FALSE,"Plan1";#N/A,#N/A,FALSE,"Plan2"}</definedName>
    <definedName name="ndfjnjkrhdgt" localSheetId="13">{#N/A,#N/A,FALSE,"Plan1";#N/A,#N/A,FALSE,"Plan2"}</definedName>
    <definedName name="ndfjnjkrhdgt" localSheetId="17">{#N/A,#N/A,FALSE,"Plan1";#N/A,#N/A,FALSE,"Plan2"}</definedName>
    <definedName name="ndfjnjkrhdgt" localSheetId="0">{#N/A,#N/A,FALSE,"Plan1";#N/A,#N/A,FALSE,"Plan2"}</definedName>
    <definedName name="ndfjnjkrhdgt" localSheetId="19">{#N/A,#N/A,FALSE,"Plan1";#N/A,#N/A,FALSE,"Plan2"}</definedName>
    <definedName name="ndfjnjkrhdgt" localSheetId="16">{#N/A,#N/A,FALSE,"Plan1";#N/A,#N/A,FALSE,"Plan2"}</definedName>
    <definedName name="ndfjnjkrhdgt" localSheetId="18">{#N/A,#N/A,FALSE,"Plan1";#N/A,#N/A,FALSE,"Plan2"}</definedName>
    <definedName name="ndfjnjkrhdgt" localSheetId="10">{#N/A,#N/A,FALSE,"Plan1";#N/A,#N/A,FALSE,"Plan2"}</definedName>
    <definedName name="ndfjnjkrhdgt">{#N/A,#N/A,FALSE,"Plan1";#N/A,#N/A,FALSE,"Plan2"}</definedName>
    <definedName name="ndfkghkjthfyst" localSheetId="9">{#N/A,#N/A,FALSE,"Plan1";#N/A,#N/A,FALSE,"Plan2"}</definedName>
    <definedName name="ndfkghkjthfyst" localSheetId="6">{#N/A,#N/A,FALSE,"Plan1";#N/A,#N/A,FALSE,"Plan2"}</definedName>
    <definedName name="ndfkghkjthfyst" localSheetId="3">{#N/A,#N/A,FALSE,"Plan1";#N/A,#N/A,FALSE,"Plan2"}</definedName>
    <definedName name="ndfkghkjthfyst" localSheetId="8">{#N/A,#N/A,FALSE,"Plan1";#N/A,#N/A,FALSE,"Plan2"}</definedName>
    <definedName name="ndfkghkjthfyst" localSheetId="5">{#N/A,#N/A,FALSE,"Plan1";#N/A,#N/A,FALSE,"Plan2"}</definedName>
    <definedName name="ndfkghkjthfyst" localSheetId="4">{#N/A,#N/A,FALSE,"Plan1";#N/A,#N/A,FALSE,"Plan2"}</definedName>
    <definedName name="ndfkghkjthfyst" localSheetId="13">{#N/A,#N/A,FALSE,"Plan1";#N/A,#N/A,FALSE,"Plan2"}</definedName>
    <definedName name="ndfkghkjthfyst" localSheetId="17">{#N/A,#N/A,FALSE,"Plan1";#N/A,#N/A,FALSE,"Plan2"}</definedName>
    <definedName name="ndfkghkjthfyst" localSheetId="0">{#N/A,#N/A,FALSE,"Plan1";#N/A,#N/A,FALSE,"Plan2"}</definedName>
    <definedName name="ndfkghkjthfyst" localSheetId="19">{#N/A,#N/A,FALSE,"Plan1";#N/A,#N/A,FALSE,"Plan2"}</definedName>
    <definedName name="ndfkghkjthfyst" localSheetId="16">{#N/A,#N/A,FALSE,"Plan1";#N/A,#N/A,FALSE,"Plan2"}</definedName>
    <definedName name="ndfkghkjthfyst" localSheetId="18">{#N/A,#N/A,FALSE,"Plan1";#N/A,#N/A,FALSE,"Plan2"}</definedName>
    <definedName name="ndfkghkjthfyst" localSheetId="10">{#N/A,#N/A,FALSE,"Plan1";#N/A,#N/A,FALSE,"Plan2"}</definedName>
    <definedName name="ndfkghkjthfyst">{#N/A,#N/A,FALSE,"Plan1";#N/A,#N/A,FALSE,"Plan2"}</definedName>
    <definedName name="ndfldslvjnvberugberqubquierbv" localSheetId="3">#REF!</definedName>
    <definedName name="ndfldslvjnvberugberqubquierbv" localSheetId="5">#REF!</definedName>
    <definedName name="ndfldslvjnvberugberqubquierbv" localSheetId="13">#REF!</definedName>
    <definedName name="ndfldslvjnvberugberqubquierbv" localSheetId="26">#REF!</definedName>
    <definedName name="ndfldslvjnvberugberqubquierbv">#REF!</definedName>
    <definedName name="NDJGKFKGHUFG" localSheetId="9">{#N/A,#N/A,FALSE,"Plan1";#N/A,#N/A,FALSE,"Plan2"}</definedName>
    <definedName name="NDJGKFKGHUFG" localSheetId="6">{#N/A,#N/A,FALSE,"Plan1";#N/A,#N/A,FALSE,"Plan2"}</definedName>
    <definedName name="NDJGKFKGHUFG" localSheetId="3">{#N/A,#N/A,FALSE,"Plan1";#N/A,#N/A,FALSE,"Plan2"}</definedName>
    <definedName name="NDJGKFKGHUFG" localSheetId="8">{#N/A,#N/A,FALSE,"Plan1";#N/A,#N/A,FALSE,"Plan2"}</definedName>
    <definedName name="NDJGKFKGHUFG" localSheetId="5">{#N/A,#N/A,FALSE,"Plan1";#N/A,#N/A,FALSE,"Plan2"}</definedName>
    <definedName name="NDJGKFKGHUFG" localSheetId="4">{#N/A,#N/A,FALSE,"Plan1";#N/A,#N/A,FALSE,"Plan2"}</definedName>
    <definedName name="NDJGKFKGHUFG" localSheetId="13">{#N/A,#N/A,FALSE,"Plan1";#N/A,#N/A,FALSE,"Plan2"}</definedName>
    <definedName name="NDJGKFKGHUFG" localSheetId="17">{#N/A,#N/A,FALSE,"Plan1";#N/A,#N/A,FALSE,"Plan2"}</definedName>
    <definedName name="NDJGKFKGHUFG" localSheetId="0">{#N/A,#N/A,FALSE,"Plan1";#N/A,#N/A,FALSE,"Plan2"}</definedName>
    <definedName name="NDJGKFKGHUFG" localSheetId="19">{#N/A,#N/A,FALSE,"Plan1";#N/A,#N/A,FALSE,"Plan2"}</definedName>
    <definedName name="NDJGKFKGHUFG" localSheetId="16">{#N/A,#N/A,FALSE,"Plan1";#N/A,#N/A,FALSE,"Plan2"}</definedName>
    <definedName name="NDJGKFKGHUFG" localSheetId="18">{#N/A,#N/A,FALSE,"Plan1";#N/A,#N/A,FALSE,"Plan2"}</definedName>
    <definedName name="NDJGKFKGHUFG" localSheetId="10">{#N/A,#N/A,FALSE,"Plan1";#N/A,#N/A,FALSE,"Plan2"}</definedName>
    <definedName name="NDJGKFKGHUFG">{#N/A,#N/A,FALSE,"Plan1";#N/A,#N/A,FALSE,"Plan2"}</definedName>
    <definedName name="ndrjkt" localSheetId="9">{#N/A,#N/A,FALSE,"Plan1";#N/A,#N/A,FALSE,"Plan2"}</definedName>
    <definedName name="ndrjkt" localSheetId="6">{#N/A,#N/A,FALSE,"Plan1";#N/A,#N/A,FALSE,"Plan2"}</definedName>
    <definedName name="ndrjkt" localSheetId="3">{#N/A,#N/A,FALSE,"Plan1";#N/A,#N/A,FALSE,"Plan2"}</definedName>
    <definedName name="ndrjkt" localSheetId="8">{#N/A,#N/A,FALSE,"Plan1";#N/A,#N/A,FALSE,"Plan2"}</definedName>
    <definedName name="ndrjkt" localSheetId="5">{#N/A,#N/A,FALSE,"Plan1";#N/A,#N/A,FALSE,"Plan2"}</definedName>
    <definedName name="ndrjkt" localSheetId="4">{#N/A,#N/A,FALSE,"Plan1";#N/A,#N/A,FALSE,"Plan2"}</definedName>
    <definedName name="ndrjkt" localSheetId="13">{#N/A,#N/A,FALSE,"Plan1";#N/A,#N/A,FALSE,"Plan2"}</definedName>
    <definedName name="ndrjkt" localSheetId="17">{#N/A,#N/A,FALSE,"Plan1";#N/A,#N/A,FALSE,"Plan2"}</definedName>
    <definedName name="ndrjkt" localSheetId="0">{#N/A,#N/A,FALSE,"Plan1";#N/A,#N/A,FALSE,"Plan2"}</definedName>
    <definedName name="ndrjkt" localSheetId="19">{#N/A,#N/A,FALSE,"Plan1";#N/A,#N/A,FALSE,"Plan2"}</definedName>
    <definedName name="ndrjkt" localSheetId="16">{#N/A,#N/A,FALSE,"Plan1";#N/A,#N/A,FALSE,"Plan2"}</definedName>
    <definedName name="ndrjkt" localSheetId="18">{#N/A,#N/A,FALSE,"Plan1";#N/A,#N/A,FALSE,"Plan2"}</definedName>
    <definedName name="ndrjkt" localSheetId="10">{#N/A,#N/A,FALSE,"Plan1";#N/A,#N/A,FALSE,"Plan2"}</definedName>
    <definedName name="ndrjkt">{#N/A,#N/A,FALSE,"Plan1";#N/A,#N/A,FALSE,"Plan2"}</definedName>
    <definedName name="new" localSheetId="9">{#N/A,#N/A,FALSE,"Global by BU";#N/A,#N/A,FALSE,"U.S. by BU";#N/A,#N/A,FALSE,"Canada by BU";#N/A,#N/A,FALSE,"Europe by BU";#N/A,#N/A,FALSE,"Asia by BU";#N/A,#N/A,FALSE,"Cala by BU"}</definedName>
    <definedName name="new" localSheetId="6">{#N/A,#N/A,FALSE,"Global by BU";#N/A,#N/A,FALSE,"U.S. by BU";#N/A,#N/A,FALSE,"Canada by BU";#N/A,#N/A,FALSE,"Europe by BU";#N/A,#N/A,FALSE,"Asia by BU";#N/A,#N/A,FALSE,"Cala by BU"}</definedName>
    <definedName name="new" localSheetId="3">{#N/A,#N/A,FALSE,"Global by BU";#N/A,#N/A,FALSE,"U.S. by BU";#N/A,#N/A,FALSE,"Canada by BU";#N/A,#N/A,FALSE,"Europe by BU";#N/A,#N/A,FALSE,"Asia by BU";#N/A,#N/A,FALSE,"Cala by BU"}</definedName>
    <definedName name="new" localSheetId="8">{#N/A,#N/A,FALSE,"Global by BU";#N/A,#N/A,FALSE,"U.S. by BU";#N/A,#N/A,FALSE,"Canada by BU";#N/A,#N/A,FALSE,"Europe by BU";#N/A,#N/A,FALSE,"Asia by BU";#N/A,#N/A,FALSE,"Cala by BU"}</definedName>
    <definedName name="new" localSheetId="5">{#N/A,#N/A,FALSE,"Global by BU";#N/A,#N/A,FALSE,"U.S. by BU";#N/A,#N/A,FALSE,"Canada by BU";#N/A,#N/A,FALSE,"Europe by BU";#N/A,#N/A,FALSE,"Asia by BU";#N/A,#N/A,FALSE,"Cala by BU"}</definedName>
    <definedName name="new" localSheetId="4">{#N/A,#N/A,FALSE,"Global by BU";#N/A,#N/A,FALSE,"U.S. by BU";#N/A,#N/A,FALSE,"Canada by BU";#N/A,#N/A,FALSE,"Europe by BU";#N/A,#N/A,FALSE,"Asia by BU";#N/A,#N/A,FALSE,"Cala by BU"}</definedName>
    <definedName name="new" localSheetId="13">{#N/A,#N/A,FALSE,"Global by BU";#N/A,#N/A,FALSE,"U.S. by BU";#N/A,#N/A,FALSE,"Canada by BU";#N/A,#N/A,FALSE,"Europe by BU";#N/A,#N/A,FALSE,"Asia by BU";#N/A,#N/A,FALSE,"Cala by BU"}</definedName>
    <definedName name="new" localSheetId="17">{#N/A,#N/A,FALSE,"Global by BU";#N/A,#N/A,FALSE,"U.S. by BU";#N/A,#N/A,FALSE,"Canada by BU";#N/A,#N/A,FALSE,"Europe by BU";#N/A,#N/A,FALSE,"Asia by BU";#N/A,#N/A,FALSE,"Cala by BU"}</definedName>
    <definedName name="new" localSheetId="0">{#N/A,#N/A,FALSE,"Global by BU";#N/A,#N/A,FALSE,"U.S. by BU";#N/A,#N/A,FALSE,"Canada by BU";#N/A,#N/A,FALSE,"Europe by BU";#N/A,#N/A,FALSE,"Asia by BU";#N/A,#N/A,FALSE,"Cala by BU"}</definedName>
    <definedName name="new" localSheetId="19">{#N/A,#N/A,FALSE,"Global by BU";#N/A,#N/A,FALSE,"U.S. by BU";#N/A,#N/A,FALSE,"Canada by BU";#N/A,#N/A,FALSE,"Europe by BU";#N/A,#N/A,FALSE,"Asia by BU";#N/A,#N/A,FALSE,"Cala by BU"}</definedName>
    <definedName name="new" localSheetId="16">{#N/A,#N/A,FALSE,"Global by BU";#N/A,#N/A,FALSE,"U.S. by BU";#N/A,#N/A,FALSE,"Canada by BU";#N/A,#N/A,FALSE,"Europe by BU";#N/A,#N/A,FALSE,"Asia by BU";#N/A,#N/A,FALSE,"Cala by BU"}</definedName>
    <definedName name="new" localSheetId="18">{#N/A,#N/A,FALSE,"Global by BU";#N/A,#N/A,FALSE,"U.S. by BU";#N/A,#N/A,FALSE,"Canada by BU";#N/A,#N/A,FALSE,"Europe by BU";#N/A,#N/A,FALSE,"Asia by BU";#N/A,#N/A,FALSE,"Cala by BU"}</definedName>
    <definedName name="new" localSheetId="10">{#N/A,#N/A,FALSE,"Global by BU";#N/A,#N/A,FALSE,"U.S. by BU";#N/A,#N/A,FALSE,"Canada by BU";#N/A,#N/A,FALSE,"Europe by BU";#N/A,#N/A,FALSE,"Asia by BU";#N/A,#N/A,FALSE,"Cala by BU"}</definedName>
    <definedName name="new">{#N/A,#N/A,FALSE,"Global by BU";#N/A,#N/A,FALSE,"U.S. by BU";#N/A,#N/A,FALSE,"Canada by BU";#N/A,#N/A,FALSE,"Europe by BU";#N/A,#N/A,FALSE,"Asia by BU";#N/A,#N/A,FALSE,"Cala by BU"}</definedName>
    <definedName name="NEWNAME" localSheetId="9">{#N/A,#N/A,FALSE,"CCTV"}</definedName>
    <definedName name="NEWNAME" localSheetId="6">{#N/A,#N/A,FALSE,"CCTV"}</definedName>
    <definedName name="NEWNAME" localSheetId="3">{#N/A,#N/A,FALSE,"CCTV"}</definedName>
    <definedName name="NEWNAME" localSheetId="8">{#N/A,#N/A,FALSE,"CCTV"}</definedName>
    <definedName name="NEWNAME" localSheetId="5">{#N/A,#N/A,FALSE,"CCTV"}</definedName>
    <definedName name="NEWNAME" localSheetId="4">{#N/A,#N/A,FALSE,"CCTV"}</definedName>
    <definedName name="NEWNAME" localSheetId="13">{#N/A,#N/A,FALSE,"CCTV"}</definedName>
    <definedName name="NEWNAME" localSheetId="17">{#N/A,#N/A,FALSE,"CCTV"}</definedName>
    <definedName name="NEWNAME" localSheetId="0">{#N/A,#N/A,FALSE,"CCTV"}</definedName>
    <definedName name="NEWNAME" localSheetId="19">{#N/A,#N/A,FALSE,"CCTV"}</definedName>
    <definedName name="NEWNAME" localSheetId="16">{#N/A,#N/A,FALSE,"CCTV"}</definedName>
    <definedName name="NEWNAME" localSheetId="18">{#N/A,#N/A,FALSE,"CCTV"}</definedName>
    <definedName name="NEWNAME" localSheetId="10">{#N/A,#N/A,FALSE,"CCTV"}</definedName>
    <definedName name="NEWNAME">{#N/A,#N/A,FALSE,"CCTV"}</definedName>
    <definedName name="nfgjkhvhfghn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9">{#N/A,#N/A,FALSE,"Plan1";#N/A,#N/A,FALSE,"Plan2"}</definedName>
    <definedName name="nfkhdjkthde" localSheetId="6">{#N/A,#N/A,FALSE,"Plan1";#N/A,#N/A,FALSE,"Plan2"}</definedName>
    <definedName name="nfkhdjkthde" localSheetId="3">{#N/A,#N/A,FALSE,"Plan1";#N/A,#N/A,FALSE,"Plan2"}</definedName>
    <definedName name="nfkhdjkthde" localSheetId="8">{#N/A,#N/A,FALSE,"Plan1";#N/A,#N/A,FALSE,"Plan2"}</definedName>
    <definedName name="nfkhdjkthde" localSheetId="5">{#N/A,#N/A,FALSE,"Plan1";#N/A,#N/A,FALSE,"Plan2"}</definedName>
    <definedName name="nfkhdjkthde" localSheetId="4">{#N/A,#N/A,FALSE,"Plan1";#N/A,#N/A,FALSE,"Plan2"}</definedName>
    <definedName name="nfkhdjkthde" localSheetId="13">{#N/A,#N/A,FALSE,"Plan1";#N/A,#N/A,FALSE,"Plan2"}</definedName>
    <definedName name="nfkhdjkthde" localSheetId="17">{#N/A,#N/A,FALSE,"Plan1";#N/A,#N/A,FALSE,"Plan2"}</definedName>
    <definedName name="nfkhdjkthde" localSheetId="0">{#N/A,#N/A,FALSE,"Plan1";#N/A,#N/A,FALSE,"Plan2"}</definedName>
    <definedName name="nfkhdjkthde" localSheetId="19">{#N/A,#N/A,FALSE,"Plan1";#N/A,#N/A,FALSE,"Plan2"}</definedName>
    <definedName name="nfkhdjkthde" localSheetId="16">{#N/A,#N/A,FALSE,"Plan1";#N/A,#N/A,FALSE,"Plan2"}</definedName>
    <definedName name="nfkhdjkthde" localSheetId="18">{#N/A,#N/A,FALSE,"Plan1";#N/A,#N/A,FALSE,"Plan2"}</definedName>
    <definedName name="nfkhdjkthde" localSheetId="10">{#N/A,#N/A,FALSE,"Plan1";#N/A,#N/A,FALSE,"Plan2"}</definedName>
    <definedName name="nfkhdjkthde">{#N/A,#N/A,FALSE,"Plan1";#N/A,#N/A,FALSE,"Plan2"}</definedName>
    <definedName name="n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9">{#N/A,#N/A,FALSE,"Plan1";#N/A,#N/A,FALSE,"Plan2"}</definedName>
    <definedName name="NHJHFDSHF" localSheetId="6">{#N/A,#N/A,FALSE,"Plan1";#N/A,#N/A,FALSE,"Plan2"}</definedName>
    <definedName name="NHJHFDSHF" localSheetId="3">{#N/A,#N/A,FALSE,"Plan1";#N/A,#N/A,FALSE,"Plan2"}</definedName>
    <definedName name="NHJHFDSHF" localSheetId="8">{#N/A,#N/A,FALSE,"Plan1";#N/A,#N/A,FALSE,"Plan2"}</definedName>
    <definedName name="NHJHFDSHF" localSheetId="5">{#N/A,#N/A,FALSE,"Plan1";#N/A,#N/A,FALSE,"Plan2"}</definedName>
    <definedName name="NHJHFDSHF" localSheetId="4">{#N/A,#N/A,FALSE,"Plan1";#N/A,#N/A,FALSE,"Plan2"}</definedName>
    <definedName name="NHJHFDSHF" localSheetId="13">{#N/A,#N/A,FALSE,"Plan1";#N/A,#N/A,FALSE,"Plan2"}</definedName>
    <definedName name="NHJHFDSHF" localSheetId="17">{#N/A,#N/A,FALSE,"Plan1";#N/A,#N/A,FALSE,"Plan2"}</definedName>
    <definedName name="NHJHFDSHF" localSheetId="0">{#N/A,#N/A,FALSE,"Plan1";#N/A,#N/A,FALSE,"Plan2"}</definedName>
    <definedName name="NHJHFDSHF" localSheetId="19">{#N/A,#N/A,FALSE,"Plan1";#N/A,#N/A,FALSE,"Plan2"}</definedName>
    <definedName name="NHJHFDSHF" localSheetId="16">{#N/A,#N/A,FALSE,"Plan1";#N/A,#N/A,FALSE,"Plan2"}</definedName>
    <definedName name="NHJHFDSHF" localSheetId="18">{#N/A,#N/A,FALSE,"Plan1";#N/A,#N/A,FALSE,"Plan2"}</definedName>
    <definedName name="NHJHFDSHF" localSheetId="10">{#N/A,#N/A,FALSE,"Plan1";#N/A,#N/A,FALSE,"Plan2"}</definedName>
    <definedName name="NHJHFDSHF">{#N/A,#N/A,FALSE,"Plan1";#N/A,#N/A,FALSE,"Plan2"}</definedName>
    <definedName name="NJSDFHERTG" localSheetId="9">{#N/A,#N/A,FALSE,"Plan1";#N/A,#N/A,FALSE,"Plan2"}</definedName>
    <definedName name="NJSDFHERTG" localSheetId="6">{#N/A,#N/A,FALSE,"Plan1";#N/A,#N/A,FALSE,"Plan2"}</definedName>
    <definedName name="NJSDFHERTG" localSheetId="3">{#N/A,#N/A,FALSE,"Plan1";#N/A,#N/A,FALSE,"Plan2"}</definedName>
    <definedName name="NJSDFHERTG" localSheetId="8">{#N/A,#N/A,FALSE,"Plan1";#N/A,#N/A,FALSE,"Plan2"}</definedName>
    <definedName name="NJSDFHERTG" localSheetId="5">{#N/A,#N/A,FALSE,"Plan1";#N/A,#N/A,FALSE,"Plan2"}</definedName>
    <definedName name="NJSDFHERTG" localSheetId="4">{#N/A,#N/A,FALSE,"Plan1";#N/A,#N/A,FALSE,"Plan2"}</definedName>
    <definedName name="NJSDFHERTG" localSheetId="13">{#N/A,#N/A,FALSE,"Plan1";#N/A,#N/A,FALSE,"Plan2"}</definedName>
    <definedName name="NJSDFHERTG" localSheetId="17">{#N/A,#N/A,FALSE,"Plan1";#N/A,#N/A,FALSE,"Plan2"}</definedName>
    <definedName name="NJSDFHERTG" localSheetId="0">{#N/A,#N/A,FALSE,"Plan1";#N/A,#N/A,FALSE,"Plan2"}</definedName>
    <definedName name="NJSDFHERTG" localSheetId="19">{#N/A,#N/A,FALSE,"Plan1";#N/A,#N/A,FALSE,"Plan2"}</definedName>
    <definedName name="NJSDFHERTG" localSheetId="16">{#N/A,#N/A,FALSE,"Plan1";#N/A,#N/A,FALSE,"Plan2"}</definedName>
    <definedName name="NJSDFHERTG" localSheetId="18">{#N/A,#N/A,FALSE,"Plan1";#N/A,#N/A,FALSE,"Plan2"}</definedName>
    <definedName name="NJSDFHERTG" localSheetId="10">{#N/A,#N/A,FALSE,"Plan1";#N/A,#N/A,FALSE,"Plan2"}</definedName>
    <definedName name="NJSDFHERTG">{#N/A,#N/A,FALSE,"Plan1";#N/A,#N/A,FALSE,"Plan2"}</definedName>
    <definedName name="nkfnsskdn" localSheetId="9">{#N/A,#N/A,FALSE,"Plan1";#N/A,#N/A,FALSE,"Plan2"}</definedName>
    <definedName name="nkfnsskdn" localSheetId="6">{#N/A,#N/A,FALSE,"Plan1";#N/A,#N/A,FALSE,"Plan2"}</definedName>
    <definedName name="nkfnsskdn" localSheetId="3">{#N/A,#N/A,FALSE,"Plan1";#N/A,#N/A,FALSE,"Plan2"}</definedName>
    <definedName name="nkfnsskdn" localSheetId="8">{#N/A,#N/A,FALSE,"Plan1";#N/A,#N/A,FALSE,"Plan2"}</definedName>
    <definedName name="nkfnsskdn" localSheetId="5">{#N/A,#N/A,FALSE,"Plan1";#N/A,#N/A,FALSE,"Plan2"}</definedName>
    <definedName name="nkfnsskdn" localSheetId="4">{#N/A,#N/A,FALSE,"Plan1";#N/A,#N/A,FALSE,"Plan2"}</definedName>
    <definedName name="nkfnsskdn" localSheetId="13">{#N/A,#N/A,FALSE,"Plan1";#N/A,#N/A,FALSE,"Plan2"}</definedName>
    <definedName name="nkfnsskdn" localSheetId="17">{#N/A,#N/A,FALSE,"Plan1";#N/A,#N/A,FALSE,"Plan2"}</definedName>
    <definedName name="nkfnsskdn" localSheetId="0">{#N/A,#N/A,FALSE,"Plan1";#N/A,#N/A,FALSE,"Plan2"}</definedName>
    <definedName name="nkfnsskdn" localSheetId="19">{#N/A,#N/A,FALSE,"Plan1";#N/A,#N/A,FALSE,"Plan2"}</definedName>
    <definedName name="nkfnsskdn" localSheetId="16">{#N/A,#N/A,FALSE,"Plan1";#N/A,#N/A,FALSE,"Plan2"}</definedName>
    <definedName name="nkfnsskdn" localSheetId="18">{#N/A,#N/A,FALSE,"Plan1";#N/A,#N/A,FALSE,"Plan2"}</definedName>
    <definedName name="nkfnsskdn" localSheetId="10">{#N/A,#N/A,FALSE,"Plan1";#N/A,#N/A,FALSE,"Plan2"}</definedName>
    <definedName name="nkfnsskdn">{#N/A,#N/A,FALSE,"Plan1";#N/A,#N/A,FALSE,"Plan2"}</definedName>
    <definedName name="NKJ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3">#REF!</definedName>
    <definedName name="nl" localSheetId="5">#REF!</definedName>
    <definedName name="nl" localSheetId="13">#REF!</definedName>
    <definedName name="nl" localSheetId="26">#REF!</definedName>
    <definedName name="nl">#REF!</definedName>
    <definedName name="nlaksjdwe" localSheetId="9">{#N/A,#N/A,FALSE,"Plan1";#N/A,#N/A,FALSE,"Plan2"}</definedName>
    <definedName name="nlaksjdwe" localSheetId="6">{#N/A,#N/A,FALSE,"Plan1";#N/A,#N/A,FALSE,"Plan2"}</definedName>
    <definedName name="nlaksjdwe" localSheetId="3">{#N/A,#N/A,FALSE,"Plan1";#N/A,#N/A,FALSE,"Plan2"}</definedName>
    <definedName name="nlaksjdwe" localSheetId="8">{#N/A,#N/A,FALSE,"Plan1";#N/A,#N/A,FALSE,"Plan2"}</definedName>
    <definedName name="nlaksjdwe" localSheetId="5">{#N/A,#N/A,FALSE,"Plan1";#N/A,#N/A,FALSE,"Plan2"}</definedName>
    <definedName name="nlaksjdwe" localSheetId="4">{#N/A,#N/A,FALSE,"Plan1";#N/A,#N/A,FALSE,"Plan2"}</definedName>
    <definedName name="nlaksjdwe" localSheetId="13">{#N/A,#N/A,FALSE,"Plan1";#N/A,#N/A,FALSE,"Plan2"}</definedName>
    <definedName name="nlaksjdwe" localSheetId="17">{#N/A,#N/A,FALSE,"Plan1";#N/A,#N/A,FALSE,"Plan2"}</definedName>
    <definedName name="nlaksjdwe" localSheetId="0">{#N/A,#N/A,FALSE,"Plan1";#N/A,#N/A,FALSE,"Plan2"}</definedName>
    <definedName name="nlaksjdwe" localSheetId="19">{#N/A,#N/A,FALSE,"Plan1";#N/A,#N/A,FALSE,"Plan2"}</definedName>
    <definedName name="nlaksjdwe" localSheetId="16">{#N/A,#N/A,FALSE,"Plan1";#N/A,#N/A,FALSE,"Plan2"}</definedName>
    <definedName name="nlaksjdwe" localSheetId="18">{#N/A,#N/A,FALSE,"Plan1";#N/A,#N/A,FALSE,"Plan2"}</definedName>
    <definedName name="nlaksjdwe" localSheetId="10">{#N/A,#N/A,FALSE,"Plan1";#N/A,#N/A,FALSE,"Plan2"}</definedName>
    <definedName name="nlaksjdwe">{#N/A,#N/A,FALSE,"Plan1";#N/A,#N/A,FALSE,"Plan2"}</definedName>
    <definedName name="nljsdfljfdsfr" localSheetId="9">{#N/A,#N/A,FALSE,"Plan1";#N/A,#N/A,FALSE,"Plan2"}</definedName>
    <definedName name="nljsdfljfdsfr" localSheetId="6">{#N/A,#N/A,FALSE,"Plan1";#N/A,#N/A,FALSE,"Plan2"}</definedName>
    <definedName name="nljsdfljfdsfr" localSheetId="3">{#N/A,#N/A,FALSE,"Plan1";#N/A,#N/A,FALSE,"Plan2"}</definedName>
    <definedName name="nljsdfljfdsfr" localSheetId="8">{#N/A,#N/A,FALSE,"Plan1";#N/A,#N/A,FALSE,"Plan2"}</definedName>
    <definedName name="nljsdfljfdsfr" localSheetId="5">{#N/A,#N/A,FALSE,"Plan1";#N/A,#N/A,FALSE,"Plan2"}</definedName>
    <definedName name="nljsdfljfdsfr" localSheetId="4">{#N/A,#N/A,FALSE,"Plan1";#N/A,#N/A,FALSE,"Plan2"}</definedName>
    <definedName name="nljsdfljfdsfr" localSheetId="13">{#N/A,#N/A,FALSE,"Plan1";#N/A,#N/A,FALSE,"Plan2"}</definedName>
    <definedName name="nljsdfljfdsfr" localSheetId="17">{#N/A,#N/A,FALSE,"Plan1";#N/A,#N/A,FALSE,"Plan2"}</definedName>
    <definedName name="nljsdfljfdsfr" localSheetId="0">{#N/A,#N/A,FALSE,"Plan1";#N/A,#N/A,FALSE,"Plan2"}</definedName>
    <definedName name="nljsdfljfdsfr" localSheetId="19">{#N/A,#N/A,FALSE,"Plan1";#N/A,#N/A,FALSE,"Plan2"}</definedName>
    <definedName name="nljsdfljfdsfr" localSheetId="16">{#N/A,#N/A,FALSE,"Plan1";#N/A,#N/A,FALSE,"Plan2"}</definedName>
    <definedName name="nljsdfljfdsfr" localSheetId="18">{#N/A,#N/A,FALSE,"Plan1";#N/A,#N/A,FALSE,"Plan2"}</definedName>
    <definedName name="nljsdfljfdsfr" localSheetId="10">{#N/A,#N/A,FALSE,"Plan1";#N/A,#N/A,FALSE,"Plan2"}</definedName>
    <definedName name="nljsdfljfdsfr">{#N/A,#N/A,FALSE,"Plan1";#N/A,#N/A,FALSE,"Plan2"}</definedName>
    <definedName name="nm_k1" localSheetId="3">#REF!</definedName>
    <definedName name="nm_k1" localSheetId="5">#REF!</definedName>
    <definedName name="nm_k1" localSheetId="13">#REF!</definedName>
    <definedName name="nm_k1" localSheetId="26">#REF!</definedName>
    <definedName name="nm_k1">#REF!</definedName>
    <definedName name="nm_k2" localSheetId="3">#REF!</definedName>
    <definedName name="nm_k2" localSheetId="5">#REF!</definedName>
    <definedName name="nm_k2" localSheetId="13">#REF!</definedName>
    <definedName name="nm_k2" localSheetId="26">#REF!</definedName>
    <definedName name="nm_k2">#REF!</definedName>
    <definedName name="nm_k3" localSheetId="3">#REF!</definedName>
    <definedName name="nm_k3" localSheetId="5">#REF!</definedName>
    <definedName name="nm_k3" localSheetId="13">#REF!</definedName>
    <definedName name="nm_k3" localSheetId="26">#REF!</definedName>
    <definedName name="nm_k3">#REF!</definedName>
    <definedName name="nmjdfhxj" localSheetId="9">{#N/A,#N/A,FALSE,"Plan1";#N/A,#N/A,FALSE,"Plan2"}</definedName>
    <definedName name="nmjdfhxj" localSheetId="6">{#N/A,#N/A,FALSE,"Plan1";#N/A,#N/A,FALSE,"Plan2"}</definedName>
    <definedName name="nmjdfhxj" localSheetId="3">{#N/A,#N/A,FALSE,"Plan1";#N/A,#N/A,FALSE,"Plan2"}</definedName>
    <definedName name="nmjdfhxj" localSheetId="8">{#N/A,#N/A,FALSE,"Plan1";#N/A,#N/A,FALSE,"Plan2"}</definedName>
    <definedName name="nmjdfhxj" localSheetId="5">{#N/A,#N/A,FALSE,"Plan1";#N/A,#N/A,FALSE,"Plan2"}</definedName>
    <definedName name="nmjdfhxj" localSheetId="4">{#N/A,#N/A,FALSE,"Plan1";#N/A,#N/A,FALSE,"Plan2"}</definedName>
    <definedName name="nmjdfhxj" localSheetId="13">{#N/A,#N/A,FALSE,"Plan1";#N/A,#N/A,FALSE,"Plan2"}</definedName>
    <definedName name="nmjdfhxj" localSheetId="17">{#N/A,#N/A,FALSE,"Plan1";#N/A,#N/A,FALSE,"Plan2"}</definedName>
    <definedName name="nmjdfhxj" localSheetId="0">{#N/A,#N/A,FALSE,"Plan1";#N/A,#N/A,FALSE,"Plan2"}</definedName>
    <definedName name="nmjdfhxj" localSheetId="19">{#N/A,#N/A,FALSE,"Plan1";#N/A,#N/A,FALSE,"Plan2"}</definedName>
    <definedName name="nmjdfhxj" localSheetId="16">{#N/A,#N/A,FALSE,"Plan1";#N/A,#N/A,FALSE,"Plan2"}</definedName>
    <definedName name="nmjdfhxj" localSheetId="18">{#N/A,#N/A,FALSE,"Plan1";#N/A,#N/A,FALSE,"Plan2"}</definedName>
    <definedName name="nmjdfhxj" localSheetId="10">{#N/A,#N/A,FALSE,"Plan1";#N/A,#N/A,FALSE,"Plan2"}</definedName>
    <definedName name="nmjdfhxj">{#N/A,#N/A,FALSE,"Plan1";#N/A,#N/A,FALSE,"Plan2"}</definedName>
    <definedName name="nnmn" localSheetId="9">{#N/A,#N/A,FALSE,"Plan1";#N/A,#N/A,FALSE,"Plan2"}</definedName>
    <definedName name="nnmn" localSheetId="6">{#N/A,#N/A,FALSE,"Plan1";#N/A,#N/A,FALSE,"Plan2"}</definedName>
    <definedName name="nnmn" localSheetId="3">{#N/A,#N/A,FALSE,"Plan1";#N/A,#N/A,FALSE,"Plan2"}</definedName>
    <definedName name="nnmn" localSheetId="8">{#N/A,#N/A,FALSE,"Plan1";#N/A,#N/A,FALSE,"Plan2"}</definedName>
    <definedName name="nnmn" localSheetId="5">{#N/A,#N/A,FALSE,"Plan1";#N/A,#N/A,FALSE,"Plan2"}</definedName>
    <definedName name="nnmn" localSheetId="4">{#N/A,#N/A,FALSE,"Plan1";#N/A,#N/A,FALSE,"Plan2"}</definedName>
    <definedName name="nnmn" localSheetId="13">{#N/A,#N/A,FALSE,"Plan1";#N/A,#N/A,FALSE,"Plan2"}</definedName>
    <definedName name="nnmn" localSheetId="17">{#N/A,#N/A,FALSE,"Plan1";#N/A,#N/A,FALSE,"Plan2"}</definedName>
    <definedName name="nnmn" localSheetId="0">{#N/A,#N/A,FALSE,"Plan1";#N/A,#N/A,FALSE,"Plan2"}</definedName>
    <definedName name="nnmn" localSheetId="19">{#N/A,#N/A,FALSE,"Plan1";#N/A,#N/A,FALSE,"Plan2"}</definedName>
    <definedName name="nnmn" localSheetId="16">{#N/A,#N/A,FALSE,"Plan1";#N/A,#N/A,FALSE,"Plan2"}</definedName>
    <definedName name="nnmn" localSheetId="18">{#N/A,#N/A,FALSE,"Plan1";#N/A,#N/A,FALSE,"Plan2"}</definedName>
    <definedName name="nnmn" localSheetId="10">{#N/A,#N/A,FALSE,"Plan1";#N/A,#N/A,FALSE,"Plan2"}</definedName>
    <definedName name="nnmn">{#N/A,#N/A,FALSE,"Plan1";#N/A,#N/A,FALSE,"Plan2"}</definedName>
    <definedName name="nnn" localSheetId="9">{#N/A,#N/A,FALSE,"Plan1";#N/A,#N/A,FALSE,"Plan2"}</definedName>
    <definedName name="nnn" localSheetId="6">{#N/A,#N/A,FALSE,"Plan1";#N/A,#N/A,FALSE,"Plan2"}</definedName>
    <definedName name="nnn" localSheetId="3">{#N/A,#N/A,FALSE,"Plan1";#N/A,#N/A,FALSE,"Plan2"}</definedName>
    <definedName name="nnn" localSheetId="8">{#N/A,#N/A,FALSE,"$170M Cash";#N/A,#N/A,FALSE,"$250M Cash";#N/A,#N/A,FALSE,"$325M Cash"}</definedName>
    <definedName name="nnn" localSheetId="5">{#N/A,#N/A,FALSE,"$170M Cash";#N/A,#N/A,FALSE,"$250M Cash";#N/A,#N/A,FALSE,"$325M Cash"}</definedName>
    <definedName name="nnn" localSheetId="4">{#N/A,#N/A,FALSE,"Plan1";#N/A,#N/A,FALSE,"Plan2"}</definedName>
    <definedName name="nnn" localSheetId="13">{#N/A,#N/A,FALSE,"Plan1";#N/A,#N/A,FALSE,"Plan2"}</definedName>
    <definedName name="nnn" localSheetId="17">{#N/A,#N/A,FALSE,"Plan1";#N/A,#N/A,FALSE,"Plan2"}</definedName>
    <definedName name="nnn" localSheetId="0">{#N/A,#N/A,FALSE,"Plan1";#N/A,#N/A,FALSE,"Plan2"}</definedName>
    <definedName name="nnn" localSheetId="19">{#N/A,#N/A,FALSE,"$170M Cash";#N/A,#N/A,FALSE,"$250M Cash";#N/A,#N/A,FALSE,"$325M Cash"}</definedName>
    <definedName name="nnn" localSheetId="16">{#N/A,#N/A,FALSE,"Plan1";#N/A,#N/A,FALSE,"Plan2"}</definedName>
    <definedName name="nnn" localSheetId="18">{#N/A,#N/A,FALSE,"Plan1";#N/A,#N/A,FALSE,"Plan2"}</definedName>
    <definedName name="nnn" localSheetId="10">{#N/A,#N/A,FALSE,"Plan1";#N/A,#N/A,FALSE,"Plan2"}</definedName>
    <definedName name="nnn">{#N/A,#N/A,FALSE,"Plan1";#N/A,#N/A,FALSE,"Plan2"}</definedName>
    <definedName name="nnnnnnnnnnn" localSheetId="9">{"HW",#N/A,FALSE,"1998"}</definedName>
    <definedName name="nnnnnnnnnnn" localSheetId="6">{"HW",#N/A,FALSE,"1998"}</definedName>
    <definedName name="nnnnnnnnnnn" localSheetId="3">{"HW",#N/A,FALSE,"1998"}</definedName>
    <definedName name="nnnnnnnnnnn" localSheetId="8">{"HW",#N/A,FALSE,"1998"}</definedName>
    <definedName name="nnnnnnnnnnn" localSheetId="5">{"HW",#N/A,FALSE,"1998"}</definedName>
    <definedName name="nnnnnnnnnnn" localSheetId="4">{"HW",#N/A,FALSE,"1998"}</definedName>
    <definedName name="nnnnnnnnnnn" localSheetId="13">{"HW",#N/A,FALSE,"1998"}</definedName>
    <definedName name="nnnnnnnnnnn" localSheetId="17">{"HW",#N/A,FALSE,"1998"}</definedName>
    <definedName name="nnnnnnnnnnn" localSheetId="0">{"HW",#N/A,FALSE,"1998"}</definedName>
    <definedName name="nnnnnnnnnnn" localSheetId="19">{"HW",#N/A,FALSE,"1998"}</definedName>
    <definedName name="nnnnnnnnnnn" localSheetId="16">{"HW",#N/A,FALSE,"1998"}</definedName>
    <definedName name="nnnnnnnnnnn" localSheetId="18">{"HW",#N/A,FALSE,"1998"}</definedName>
    <definedName name="nnnnnnnnnnn" localSheetId="10">{"HW",#N/A,FALSE,"1998"}</definedName>
    <definedName name="nnnnnnnnnnn">{"HW",#N/A,FALSE,"1998"}</definedName>
    <definedName name="NNNNNNNNNNNNNNN" localSheetId="9">{#N/A,#N/A,FALSE,"Plan1";#N/A,#N/A,FALSE,"Plan2"}</definedName>
    <definedName name="NNNNNNNNNNNNNNN" localSheetId="6">{#N/A,#N/A,FALSE,"Plan1";#N/A,#N/A,FALSE,"Plan2"}</definedName>
    <definedName name="NNNNNNNNNNNNNNN" localSheetId="3">{#N/A,#N/A,FALSE,"Plan1";#N/A,#N/A,FALSE,"Plan2"}</definedName>
    <definedName name="NNNNNNNNNNNNNNN" localSheetId="8">{#N/A,#N/A,FALSE,"Plan1";#N/A,#N/A,FALSE,"Plan2"}</definedName>
    <definedName name="NNNNNNNNNNNNNNN" localSheetId="5">{#N/A,#N/A,FALSE,"Plan1";#N/A,#N/A,FALSE,"Plan2"}</definedName>
    <definedName name="NNNNNNNNNNNNNNN" localSheetId="4">{#N/A,#N/A,FALSE,"Plan1";#N/A,#N/A,FALSE,"Plan2"}</definedName>
    <definedName name="NNNNNNNNNNNNNNN" localSheetId="13">{#N/A,#N/A,FALSE,"Plan1";#N/A,#N/A,FALSE,"Plan2"}</definedName>
    <definedName name="NNNNNNNNNNNNNNN" localSheetId="17">{#N/A,#N/A,FALSE,"Plan1";#N/A,#N/A,FALSE,"Plan2"}</definedName>
    <definedName name="NNNNNNNNNNNNNNN" localSheetId="0">{#N/A,#N/A,FALSE,"Plan1";#N/A,#N/A,FALSE,"Plan2"}</definedName>
    <definedName name="NNNNNNNNNNNNNNN" localSheetId="19">{#N/A,#N/A,FALSE,"Plan1";#N/A,#N/A,FALSE,"Plan2"}</definedName>
    <definedName name="NNNNNNNNNNNNNNN" localSheetId="16">{#N/A,#N/A,FALSE,"Plan1";#N/A,#N/A,FALSE,"Plan2"}</definedName>
    <definedName name="NNNNNNNNNNNNNNN" localSheetId="18">{#N/A,#N/A,FALSE,"Plan1";#N/A,#N/A,FALSE,"Plan2"}</definedName>
    <definedName name="NNNNNNNNNNNNNNN" localSheetId="10">{#N/A,#N/A,FALSE,"Plan1";#N/A,#N/A,FALSE,"Plan2"}</definedName>
    <definedName name="NNNNNNNNNNNNNNN">{#N/A,#N/A,FALSE,"Plan1";#N/A,#N/A,FALSE,"Plan2"}</definedName>
    <definedName name="nnnnnnnnnnnnnnnnnnnn" localSheetId="9">{#N/A,#N/A,FALSE,"Plan1";#N/A,#N/A,FALSE,"Plan2"}</definedName>
    <definedName name="nnnnnnnnnnnnnnnnnnnn" localSheetId="6">{#N/A,#N/A,FALSE,"Plan1";#N/A,#N/A,FALSE,"Plan2"}</definedName>
    <definedName name="nnnnnnnnnnnnnnnnnnnn" localSheetId="3">{#N/A,#N/A,FALSE,"Plan1";#N/A,#N/A,FALSE,"Plan2"}</definedName>
    <definedName name="nnnnnnnnnnnnnnnnnnnn" localSheetId="8">{#N/A,#N/A,FALSE,"Plan1";#N/A,#N/A,FALSE,"Plan2"}</definedName>
    <definedName name="nnnnnnnnnnnnnnnnnnnn" localSheetId="5">{#N/A,#N/A,FALSE,"Plan1";#N/A,#N/A,FALSE,"Plan2"}</definedName>
    <definedName name="nnnnnnnnnnnnnnnnnnnn" localSheetId="4">{#N/A,#N/A,FALSE,"Plan1";#N/A,#N/A,FALSE,"Plan2"}</definedName>
    <definedName name="nnnnnnnnnnnnnnnnnnnn" localSheetId="13">{#N/A,#N/A,FALSE,"Plan1";#N/A,#N/A,FALSE,"Plan2"}</definedName>
    <definedName name="nnnnnnnnnnnnnnnnnnnn" localSheetId="17">{#N/A,#N/A,FALSE,"Plan1";#N/A,#N/A,FALSE,"Plan2"}</definedName>
    <definedName name="nnnnnnnnnnnnnnnnnnnn" localSheetId="0">{#N/A,#N/A,FALSE,"Plan1";#N/A,#N/A,FALSE,"Plan2"}</definedName>
    <definedName name="nnnnnnnnnnnnnnnnnnnn" localSheetId="19">{#N/A,#N/A,FALSE,"Plan1";#N/A,#N/A,FALSE,"Plan2"}</definedName>
    <definedName name="nnnnnnnnnnnnnnnnnnnn" localSheetId="16">{#N/A,#N/A,FALSE,"Plan1";#N/A,#N/A,FALSE,"Plan2"}</definedName>
    <definedName name="nnnnnnnnnnnnnnnnnnnn" localSheetId="18">{#N/A,#N/A,FALSE,"Plan1";#N/A,#N/A,FALSE,"Plan2"}</definedName>
    <definedName name="nnnnnnnnnnnnnnnnnnnn" localSheetId="10">{#N/A,#N/A,FALSE,"Plan1";#N/A,#N/A,FALSE,"Plan2"}</definedName>
    <definedName name="nnnnnnnnnnnnnnnnnnnn">{#N/A,#N/A,FALSE,"Plan1";#N/A,#N/A,FALSE,"Plan2"}</definedName>
    <definedName name="NNXFT" localSheetId="9">{#N/A,#N/A,FALSE,"Plan1";#N/A,#N/A,FALSE,"Plan2"}</definedName>
    <definedName name="NNXFT" localSheetId="6">{#N/A,#N/A,FALSE,"Plan1";#N/A,#N/A,FALSE,"Plan2"}</definedName>
    <definedName name="NNXFT" localSheetId="3">{#N/A,#N/A,FALSE,"Plan1";#N/A,#N/A,FALSE,"Plan2"}</definedName>
    <definedName name="NNXFT" localSheetId="8">{#N/A,#N/A,FALSE,"Plan1";#N/A,#N/A,FALSE,"Plan2"}</definedName>
    <definedName name="NNXFT" localSheetId="5">{#N/A,#N/A,FALSE,"Plan1";#N/A,#N/A,FALSE,"Plan2"}</definedName>
    <definedName name="NNXFT" localSheetId="4">{#N/A,#N/A,FALSE,"Plan1";#N/A,#N/A,FALSE,"Plan2"}</definedName>
    <definedName name="NNXFT" localSheetId="13">{#N/A,#N/A,FALSE,"Plan1";#N/A,#N/A,FALSE,"Plan2"}</definedName>
    <definedName name="NNXFT" localSheetId="17">{#N/A,#N/A,FALSE,"Plan1";#N/A,#N/A,FALSE,"Plan2"}</definedName>
    <definedName name="NNXFT" localSheetId="0">{#N/A,#N/A,FALSE,"Plan1";#N/A,#N/A,FALSE,"Plan2"}</definedName>
    <definedName name="NNXFT" localSheetId="19">{#N/A,#N/A,FALSE,"Plan1";#N/A,#N/A,FALSE,"Plan2"}</definedName>
    <definedName name="NNXFT" localSheetId="16">{#N/A,#N/A,FALSE,"Plan1";#N/A,#N/A,FALSE,"Plan2"}</definedName>
    <definedName name="NNXFT" localSheetId="18">{#N/A,#N/A,FALSE,"Plan1";#N/A,#N/A,FALSE,"Plan2"}</definedName>
    <definedName name="NNXFT" localSheetId="10">{#N/A,#N/A,FALSE,"Plan1";#N/A,#N/A,FALSE,"Plan2"}</definedName>
    <definedName name="NNXFT">{#N/A,#N/A,FALSE,"Plan1";#N/A,#N/A,FALSE,"Plan2"}</definedName>
    <definedName name="no" localSheetId="3">#REF!</definedName>
    <definedName name="no" localSheetId="8">#REF!</definedName>
    <definedName name="no" localSheetId="5">#REF!</definedName>
    <definedName name="no" localSheetId="13">#REF!</definedName>
    <definedName name="no" localSheetId="26">#REF!</definedName>
    <definedName name="no">#REF!</definedName>
    <definedName name="NOME" localSheetId="3">#REF!</definedName>
    <definedName name="NOME" localSheetId="5">#REF!</definedName>
    <definedName name="NOME" localSheetId="13">#REF!</definedName>
    <definedName name="NOME" localSheetId="26">#REF!</definedName>
    <definedName name="NOME">#REF!</definedName>
    <definedName name="nome2" localSheetId="3">#REF!</definedName>
    <definedName name="nome2" localSheetId="5">#REF!</definedName>
    <definedName name="nome2" localSheetId="13">#REF!</definedName>
    <definedName name="nome2" localSheetId="26">#REF!</definedName>
    <definedName name="nome2">#REF!</definedName>
    <definedName name="NOMEITEM" localSheetId="3">#REF!</definedName>
    <definedName name="NOMEITEM" localSheetId="5">#REF!</definedName>
    <definedName name="NOMEITEM" localSheetId="13">#REF!</definedName>
    <definedName name="NOMEITEM" localSheetId="26">#REF!</definedName>
    <definedName name="NOMEITEM">#REF!</definedName>
    <definedName name="NOMEOBRA" localSheetId="3">#REF!</definedName>
    <definedName name="NOMEOBRA" localSheetId="5">#REF!</definedName>
    <definedName name="NOMEOBRA" localSheetId="13">#REF!</definedName>
    <definedName name="NOMEOBRA" localSheetId="26">#REF!</definedName>
    <definedName name="NOMEOBRA">#REF!</definedName>
    <definedName name="nov17RJ" localSheetId="3">#REF!</definedName>
    <definedName name="nov17RJ" localSheetId="5">#REF!</definedName>
    <definedName name="nov17RJ" localSheetId="13">#REF!</definedName>
    <definedName name="nov17RJ" localSheetId="26">#REF!</definedName>
    <definedName name="nov17RJ">#REF!</definedName>
    <definedName name="NOVE" localSheetId="3">#REF!</definedName>
    <definedName name="NOVE" localSheetId="5">#REF!</definedName>
    <definedName name="NOVE" localSheetId="13">#REF!</definedName>
    <definedName name="NOVE" localSheetId="26">#REF!</definedName>
    <definedName name="NOVE">#REF!</definedName>
    <definedName name="NOVEMBRO" localSheetId="3">#REF!</definedName>
    <definedName name="NOVEMBRO" localSheetId="5">#REF!</definedName>
    <definedName name="NOVEMBRO" localSheetId="13">#REF!</definedName>
    <definedName name="NOVEMBRO" localSheetId="26">#REF!</definedName>
    <definedName name="NOVEMBRO">#REF!</definedName>
    <definedName name="nsdkfndgfdnatf" localSheetId="9">{#N/A,#N/A,FALSE,"Plan1";#N/A,#N/A,FALSE,"Plan2"}</definedName>
    <definedName name="nsdkfndgfdnatf" localSheetId="6">{#N/A,#N/A,FALSE,"Plan1";#N/A,#N/A,FALSE,"Plan2"}</definedName>
    <definedName name="nsdkfndgfdnatf" localSheetId="3">{#N/A,#N/A,FALSE,"Plan1";#N/A,#N/A,FALSE,"Plan2"}</definedName>
    <definedName name="nsdkfndgfdnatf" localSheetId="8">{#N/A,#N/A,FALSE,"Plan1";#N/A,#N/A,FALSE,"Plan2"}</definedName>
    <definedName name="nsdkfndgfdnatf" localSheetId="5">{#N/A,#N/A,FALSE,"Plan1";#N/A,#N/A,FALSE,"Plan2"}</definedName>
    <definedName name="nsdkfndgfdnatf" localSheetId="4">{#N/A,#N/A,FALSE,"Plan1";#N/A,#N/A,FALSE,"Plan2"}</definedName>
    <definedName name="nsdkfndgfdnatf" localSheetId="13">{#N/A,#N/A,FALSE,"Plan1";#N/A,#N/A,FALSE,"Plan2"}</definedName>
    <definedName name="nsdkfndgfdnatf" localSheetId="17">{#N/A,#N/A,FALSE,"Plan1";#N/A,#N/A,FALSE,"Plan2"}</definedName>
    <definedName name="nsdkfndgfdnatf" localSheetId="0">{#N/A,#N/A,FALSE,"Plan1";#N/A,#N/A,FALSE,"Plan2"}</definedName>
    <definedName name="nsdkfndgfdnatf" localSheetId="19">{#N/A,#N/A,FALSE,"Plan1";#N/A,#N/A,FALSE,"Plan2"}</definedName>
    <definedName name="nsdkfndgfdnatf" localSheetId="16">{#N/A,#N/A,FALSE,"Plan1";#N/A,#N/A,FALSE,"Plan2"}</definedName>
    <definedName name="nsdkfndgfdnatf" localSheetId="18">{#N/A,#N/A,FALSE,"Plan1";#N/A,#N/A,FALSE,"Plan2"}</definedName>
    <definedName name="nsdkfndgfdnatf" localSheetId="10">{#N/A,#N/A,FALSE,"Plan1";#N/A,#N/A,FALSE,"Plan2"}</definedName>
    <definedName name="nsdkfndgfdnatf">{#N/A,#N/A,FALSE,"Plan1";#N/A,#N/A,FALSE,"Plan2"}</definedName>
    <definedName name="nsfljdiljrf" localSheetId="9">{#N/A,#N/A,FALSE,"Plan1";#N/A,#N/A,FALSE,"Plan2"}</definedName>
    <definedName name="nsfljdiljrf" localSheetId="6">{#N/A,#N/A,FALSE,"Plan1";#N/A,#N/A,FALSE,"Plan2"}</definedName>
    <definedName name="nsfljdiljrf" localSheetId="3">{#N/A,#N/A,FALSE,"Plan1";#N/A,#N/A,FALSE,"Plan2"}</definedName>
    <definedName name="nsfljdiljrf" localSheetId="8">{#N/A,#N/A,FALSE,"Plan1";#N/A,#N/A,FALSE,"Plan2"}</definedName>
    <definedName name="nsfljdiljrf" localSheetId="5">{#N/A,#N/A,FALSE,"Plan1";#N/A,#N/A,FALSE,"Plan2"}</definedName>
    <definedName name="nsfljdiljrf" localSheetId="4">{#N/A,#N/A,FALSE,"Plan1";#N/A,#N/A,FALSE,"Plan2"}</definedName>
    <definedName name="nsfljdiljrf" localSheetId="13">{#N/A,#N/A,FALSE,"Plan1";#N/A,#N/A,FALSE,"Plan2"}</definedName>
    <definedName name="nsfljdiljrf" localSheetId="17">{#N/A,#N/A,FALSE,"Plan1";#N/A,#N/A,FALSE,"Plan2"}</definedName>
    <definedName name="nsfljdiljrf" localSheetId="0">{#N/A,#N/A,FALSE,"Plan1";#N/A,#N/A,FALSE,"Plan2"}</definedName>
    <definedName name="nsfljdiljrf" localSheetId="19">{#N/A,#N/A,FALSE,"Plan1";#N/A,#N/A,FALSE,"Plan2"}</definedName>
    <definedName name="nsfljdiljrf" localSheetId="16">{#N/A,#N/A,FALSE,"Plan1";#N/A,#N/A,FALSE,"Plan2"}</definedName>
    <definedName name="nsfljdiljrf" localSheetId="18">{#N/A,#N/A,FALSE,"Plan1";#N/A,#N/A,FALSE,"Plan2"}</definedName>
    <definedName name="nsfljdiljrf" localSheetId="10">{#N/A,#N/A,FALSE,"Plan1";#N/A,#N/A,FALSE,"Plan2"}</definedName>
    <definedName name="nsfljdiljrf">{#N/A,#N/A,FALSE,"Plan1";#N/A,#N/A,FALSE,"Plan2"}</definedName>
    <definedName name="NUCOPIAS" localSheetId="3">#REF!</definedName>
    <definedName name="NUCOPIAS" localSheetId="5">#REF!</definedName>
    <definedName name="NUCOPIAS" localSheetId="13">#REF!</definedName>
    <definedName name="NUCOPIAS" localSheetId="26">#REF!</definedName>
    <definedName name="NUCOPIAS">#REF!</definedName>
    <definedName name="NUMOBRA" localSheetId="3">#REF!</definedName>
    <definedName name="NUMOBRA" localSheetId="5">#REF!</definedName>
    <definedName name="NUMOBRA" localSheetId="13">#REF!</definedName>
    <definedName name="NUMOBRA" localSheetId="26">#REF!</definedName>
    <definedName name="NUMOBRA">#REF!</definedName>
    <definedName name="NutN" localSheetId="3">#REF!</definedName>
    <definedName name="NutN" localSheetId="5">#REF!</definedName>
    <definedName name="NutN" localSheetId="13">#REF!</definedName>
    <definedName name="NutN" localSheetId="26">#REF!</definedName>
    <definedName name="NutN">#REF!</definedName>
    <definedName name="nzxcnnjkd" localSheetId="9">{#N/A,#N/A,FALSE,"Plan1";#N/A,#N/A,FALSE,"Plan2"}</definedName>
    <definedName name="nzxcnnjkd" localSheetId="6">{#N/A,#N/A,FALSE,"Plan1";#N/A,#N/A,FALSE,"Plan2"}</definedName>
    <definedName name="nzxcnnjkd" localSheetId="3">{#N/A,#N/A,FALSE,"Plan1";#N/A,#N/A,FALSE,"Plan2"}</definedName>
    <definedName name="nzxcnnjkd" localSheetId="8">{#N/A,#N/A,FALSE,"Plan1";#N/A,#N/A,FALSE,"Plan2"}</definedName>
    <definedName name="nzxcnnjkd" localSheetId="5">{#N/A,#N/A,FALSE,"Plan1";#N/A,#N/A,FALSE,"Plan2"}</definedName>
    <definedName name="nzxcnnjkd" localSheetId="4">{#N/A,#N/A,FALSE,"Plan1";#N/A,#N/A,FALSE,"Plan2"}</definedName>
    <definedName name="nzxcnnjkd" localSheetId="13">{#N/A,#N/A,FALSE,"Plan1";#N/A,#N/A,FALSE,"Plan2"}</definedName>
    <definedName name="nzxcnnjkd" localSheetId="17">{#N/A,#N/A,FALSE,"Plan1";#N/A,#N/A,FALSE,"Plan2"}</definedName>
    <definedName name="nzxcnnjkd" localSheetId="0">{#N/A,#N/A,FALSE,"Plan1";#N/A,#N/A,FALSE,"Plan2"}</definedName>
    <definedName name="nzxcnnjkd" localSheetId="19">{#N/A,#N/A,FALSE,"Plan1";#N/A,#N/A,FALSE,"Plan2"}</definedName>
    <definedName name="nzxcnnjkd" localSheetId="16">{#N/A,#N/A,FALSE,"Plan1";#N/A,#N/A,FALSE,"Plan2"}</definedName>
    <definedName name="nzxcnnjkd" localSheetId="18">{#N/A,#N/A,FALSE,"Plan1";#N/A,#N/A,FALSE,"Plan2"}</definedName>
    <definedName name="nzxcnnjkd" localSheetId="10">{#N/A,#N/A,FALSE,"Plan1";#N/A,#N/A,FALSE,"Plan2"}</definedName>
    <definedName name="nzxcnnjkd">{#N/A,#N/A,FALSE,"Plan1";#N/A,#N/A,FALSE,"Plan2"}</definedName>
    <definedName name="OAE" localSheetId="3">#REF!</definedName>
    <definedName name="OAE" localSheetId="1">#REF!</definedName>
    <definedName name="OAE" localSheetId="5">#REF!</definedName>
    <definedName name="OAE" localSheetId="21">#REF!</definedName>
    <definedName name="OAE" localSheetId="22">#REF!</definedName>
    <definedName name="OAE" localSheetId="13">#REF!</definedName>
    <definedName name="OAE" localSheetId="26">#REF!</definedName>
    <definedName name="OAE" localSheetId="0">#REF!</definedName>
    <definedName name="OAE">#REF!</definedName>
    <definedName name="OBRA" localSheetId="3">#REF!</definedName>
    <definedName name="OBRA" localSheetId="5">#REF!</definedName>
    <definedName name="OBRA" localSheetId="13">#REF!</definedName>
    <definedName name="OBRA" localSheetId="26">#REF!</definedName>
    <definedName name="OBRA">#REF!</definedName>
    <definedName name="Obra_Fin_Medição" localSheetId="3">#REF!</definedName>
    <definedName name="Obra_Fin_Medição" localSheetId="5">#REF!</definedName>
    <definedName name="Obra_Fin_Medição" localSheetId="13">#REF!</definedName>
    <definedName name="Obra_Fin_Medição" localSheetId="26">#REF!</definedName>
    <definedName name="Obra_Fin_Medição">#REF!</definedName>
    <definedName name="OBRA_PROJETADO" localSheetId="3">#REF!</definedName>
    <definedName name="OBRA_PROJETADO" localSheetId="5">#REF!</definedName>
    <definedName name="OBRA_PROJETADO" localSheetId="13">#REF!</definedName>
    <definedName name="OBRA_PROJETADO" localSheetId="26">#REF!</definedName>
    <definedName name="OBRA_PROJETADO">#REF!</definedName>
    <definedName name="Obra_Rel_Controladoria" localSheetId="3">#REF!</definedName>
    <definedName name="Obra_Rel_Controladoria" localSheetId="5">#REF!</definedName>
    <definedName name="Obra_Rel_Controladoria" localSheetId="13">#REF!</definedName>
    <definedName name="Obra_Rel_Controladoria" localSheetId="26">#REF!</definedName>
    <definedName name="Obra_Rel_Controladoria">#REF!</definedName>
    <definedName name="Obra_Sienge" localSheetId="3">#REF!</definedName>
    <definedName name="Obra_Sienge" localSheetId="5">#REF!</definedName>
    <definedName name="Obra_Sienge" localSheetId="13">#REF!</definedName>
    <definedName name="Obra_Sienge" localSheetId="26">#REF!</definedName>
    <definedName name="Obra_Sienge">#REF!</definedName>
    <definedName name="Obra2_Fin_Medição" localSheetId="3">#REF!</definedName>
    <definedName name="Obra2_Fin_Medição" localSheetId="5">#REF!</definedName>
    <definedName name="Obra2_Fin_Medição" localSheetId="13">#REF!</definedName>
    <definedName name="Obra2_Fin_Medição" localSheetId="26">#REF!</definedName>
    <definedName name="Obra2_Fin_Medição">#REF!</definedName>
    <definedName name="OBRALOC" localSheetId="3">#REF!</definedName>
    <definedName name="OBRALOC" localSheetId="5">#REF!</definedName>
    <definedName name="OBRALOC" localSheetId="13">#REF!</definedName>
    <definedName name="OBRALOC" localSheetId="26">#REF!</definedName>
    <definedName name="OBRALOC">#REF!</definedName>
    <definedName name="OBRAS" localSheetId="3">#REF!</definedName>
    <definedName name="OBRAS" localSheetId="5">#REF!</definedName>
    <definedName name="OBRAS" localSheetId="13">#REF!</definedName>
    <definedName name="OBRAS" localSheetId="26">#REF!</definedName>
    <definedName name="OBRAS">#REF!</definedName>
    <definedName name="Obras_Apoio_Rel_Controladoria" localSheetId="3">#REF!</definedName>
    <definedName name="Obras_Apoio_Rel_Controladoria" localSheetId="5">#REF!</definedName>
    <definedName name="Obras_Apoio_Rel_Controladoria" localSheetId="13">#REF!</definedName>
    <definedName name="Obras_Apoio_Rel_Controladoria" localSheetId="26">#REF!</definedName>
    <definedName name="Obras_Apoio_Rel_Controladoria">#REF!</definedName>
    <definedName name="OBRAS_REALIZADO" localSheetId="3">#REF!</definedName>
    <definedName name="OBRAS_REALIZADO" localSheetId="5">#REF!</definedName>
    <definedName name="OBRAS_REALIZADO" localSheetId="13">#REF!</definedName>
    <definedName name="OBRAS_REALIZADO" localSheetId="26">#REF!</definedName>
    <definedName name="OBRAS_REALIZADO">#REF!</definedName>
    <definedName name="OBRASEL" localSheetId="3">#REF!</definedName>
    <definedName name="OBRASEL" localSheetId="5">#REF!</definedName>
    <definedName name="OBRASEL" localSheetId="13">#REF!</definedName>
    <definedName name="OBRASEL" localSheetId="26">#REF!</definedName>
    <definedName name="OBRASEL">#REF!</definedName>
    <definedName name="odflgj">25</definedName>
    <definedName name="odfuudor" localSheetId="9">{#N/A,#N/A,FALSE,"Plan1";#N/A,#N/A,FALSE,"Plan2"}</definedName>
    <definedName name="odfuudor" localSheetId="6">{#N/A,#N/A,FALSE,"Plan1";#N/A,#N/A,FALSE,"Plan2"}</definedName>
    <definedName name="odfuudor" localSheetId="3">{#N/A,#N/A,FALSE,"Plan1";#N/A,#N/A,FALSE,"Plan2"}</definedName>
    <definedName name="odfuudor" localSheetId="8">{#N/A,#N/A,FALSE,"Plan1";#N/A,#N/A,FALSE,"Plan2"}</definedName>
    <definedName name="odfuudor" localSheetId="5">{#N/A,#N/A,FALSE,"Plan1";#N/A,#N/A,FALSE,"Plan2"}</definedName>
    <definedName name="odfuudor" localSheetId="4">{#N/A,#N/A,FALSE,"Plan1";#N/A,#N/A,FALSE,"Plan2"}</definedName>
    <definedName name="odfuudor" localSheetId="13">{#N/A,#N/A,FALSE,"Plan1";#N/A,#N/A,FALSE,"Plan2"}</definedName>
    <definedName name="odfuudor" localSheetId="17">{#N/A,#N/A,FALSE,"Plan1";#N/A,#N/A,FALSE,"Plan2"}</definedName>
    <definedName name="odfuudor" localSheetId="0">{#N/A,#N/A,FALSE,"Plan1";#N/A,#N/A,FALSE,"Plan2"}</definedName>
    <definedName name="odfuudor" localSheetId="19">{#N/A,#N/A,FALSE,"Plan1";#N/A,#N/A,FALSE,"Plan2"}</definedName>
    <definedName name="odfuudor" localSheetId="16">{#N/A,#N/A,FALSE,"Plan1";#N/A,#N/A,FALSE,"Plan2"}</definedName>
    <definedName name="odfuudor" localSheetId="18">{#N/A,#N/A,FALSE,"Plan1";#N/A,#N/A,FALSE,"Plan2"}</definedName>
    <definedName name="odfuudor" localSheetId="10">{#N/A,#N/A,FALSE,"Plan1";#N/A,#N/A,FALSE,"Plan2"}</definedName>
    <definedName name="odfuudor">{#N/A,#N/A,FALSE,"Plan1";#N/A,#N/A,FALSE,"Plan2"}</definedName>
    <definedName name="ODH" localSheetId="3">#REF!</definedName>
    <definedName name="ODH" localSheetId="5">#REF!</definedName>
    <definedName name="ODH" localSheetId="13">#REF!</definedName>
    <definedName name="ODH" localSheetId="26">#REF!</definedName>
    <definedName name="ODH" localSheetId="0">#REF!</definedName>
    <definedName name="ODH">#REF!</definedName>
    <definedName name="oficial_mes" localSheetId="3">#REF!</definedName>
    <definedName name="oficial_mes" localSheetId="5">#REF!</definedName>
    <definedName name="oficial_mes" localSheetId="13">#REF!</definedName>
    <definedName name="oficial_mes" localSheetId="26">#REF!</definedName>
    <definedName name="oficial_mes">#REF!</definedName>
    <definedName name="oficial2_mes" localSheetId="3">#REF!</definedName>
    <definedName name="oficial2_mes" localSheetId="5">#REF!</definedName>
    <definedName name="oficial2_mes" localSheetId="13">#REF!</definedName>
    <definedName name="oficial2_mes" localSheetId="26">#REF!</definedName>
    <definedName name="oficial2_mes">#REF!</definedName>
    <definedName name="oiditrot" localSheetId="9">{#N/A,#N/A,FALSE,"Plan1";#N/A,#N/A,FALSE,"Plan2"}</definedName>
    <definedName name="oiditrot" localSheetId="6">{#N/A,#N/A,FALSE,"Plan1";#N/A,#N/A,FALSE,"Plan2"}</definedName>
    <definedName name="oiditrot" localSheetId="3">{#N/A,#N/A,FALSE,"Plan1";#N/A,#N/A,FALSE,"Plan2"}</definedName>
    <definedName name="oiditrot" localSheetId="8">{#N/A,#N/A,FALSE,"Plan1";#N/A,#N/A,FALSE,"Plan2"}</definedName>
    <definedName name="oiditrot" localSheetId="5">{#N/A,#N/A,FALSE,"Plan1";#N/A,#N/A,FALSE,"Plan2"}</definedName>
    <definedName name="oiditrot" localSheetId="4">{#N/A,#N/A,FALSE,"Plan1";#N/A,#N/A,FALSE,"Plan2"}</definedName>
    <definedName name="oiditrot" localSheetId="13">{#N/A,#N/A,FALSE,"Plan1";#N/A,#N/A,FALSE,"Plan2"}</definedName>
    <definedName name="oiditrot" localSheetId="17">{#N/A,#N/A,FALSE,"Plan1";#N/A,#N/A,FALSE,"Plan2"}</definedName>
    <definedName name="oiditrot" localSheetId="0">{#N/A,#N/A,FALSE,"Plan1";#N/A,#N/A,FALSE,"Plan2"}</definedName>
    <definedName name="oiditrot" localSheetId="19">{#N/A,#N/A,FALSE,"Plan1";#N/A,#N/A,FALSE,"Plan2"}</definedName>
    <definedName name="oiditrot" localSheetId="16">{#N/A,#N/A,FALSE,"Plan1";#N/A,#N/A,FALSE,"Plan2"}</definedName>
    <definedName name="oiditrot" localSheetId="18">{#N/A,#N/A,FALSE,"Plan1";#N/A,#N/A,FALSE,"Plan2"}</definedName>
    <definedName name="oiditrot" localSheetId="10">{#N/A,#N/A,FALSE,"Plan1";#N/A,#N/A,FALSE,"Plan2"}</definedName>
    <definedName name="oiditrot">{#N/A,#N/A,FALSE,"Plan1";#N/A,#N/A,FALSE,"Plan2"}</definedName>
    <definedName name="oio" localSheetId="9">{#N/A,#N/A,FALSE,"Plan1";#N/A,#N/A,FALSE,"Plan2"}</definedName>
    <definedName name="oio" localSheetId="6">{#N/A,#N/A,FALSE,"Plan1";#N/A,#N/A,FALSE,"Plan2"}</definedName>
    <definedName name="oio" localSheetId="3">{#N/A,#N/A,FALSE,"Plan1";#N/A,#N/A,FALSE,"Plan2"}</definedName>
    <definedName name="oio" localSheetId="8">{#N/A,#N/A,FALSE,"Plan1";#N/A,#N/A,FALSE,"Plan2"}</definedName>
    <definedName name="oio" localSheetId="5">{#N/A,#N/A,FALSE,"Plan1";#N/A,#N/A,FALSE,"Plan2"}</definedName>
    <definedName name="oio" localSheetId="4">{#N/A,#N/A,FALSE,"Plan1";#N/A,#N/A,FALSE,"Plan2"}</definedName>
    <definedName name="oio" localSheetId="13">{#N/A,#N/A,FALSE,"Plan1";#N/A,#N/A,FALSE,"Plan2"}</definedName>
    <definedName name="oio" localSheetId="17">{#N/A,#N/A,FALSE,"Plan1";#N/A,#N/A,FALSE,"Plan2"}</definedName>
    <definedName name="oio" localSheetId="0">{#N/A,#N/A,FALSE,"Plan1";#N/A,#N/A,FALSE,"Plan2"}</definedName>
    <definedName name="oio" localSheetId="19">{#N/A,#N/A,FALSE,"Plan1";#N/A,#N/A,FALSE,"Plan2"}</definedName>
    <definedName name="oio" localSheetId="16">{#N/A,#N/A,FALSE,"Plan1";#N/A,#N/A,FALSE,"Plan2"}</definedName>
    <definedName name="oio" localSheetId="18">{#N/A,#N/A,FALSE,"Plan1";#N/A,#N/A,FALSE,"Plan2"}</definedName>
    <definedName name="oio" localSheetId="10">{#N/A,#N/A,FALSE,"Plan1";#N/A,#N/A,FALSE,"Plan2"}</definedName>
    <definedName name="oio">{#N/A,#N/A,FALSE,"Plan1";#N/A,#N/A,FALSE,"Plan2"}</definedName>
    <definedName name="OITO" localSheetId="3">#REF!</definedName>
    <definedName name="OITO" localSheetId="8">#REF!</definedName>
    <definedName name="OITO" localSheetId="5">#REF!</definedName>
    <definedName name="OITO" localSheetId="13">#REF!</definedName>
    <definedName name="OITO" localSheetId="26">#REF!</definedName>
    <definedName name="OITO">#REF!</definedName>
    <definedName name="oiufioorif" localSheetId="3">#REF!</definedName>
    <definedName name="oiufioorif" localSheetId="13">#REF!</definedName>
    <definedName name="oiufioorif" localSheetId="26">#REF!</definedName>
    <definedName name="oiufioorif" localSheetId="0">#REF!</definedName>
    <definedName name="oiufioorif">#REF!</definedName>
    <definedName name="OJÇLJ" localSheetId="9">{#N/A,#N/A,FALSE,"Plan1";#N/A,#N/A,FALSE,"Plan2"}</definedName>
    <definedName name="OJÇLJ" localSheetId="6">{#N/A,#N/A,FALSE,"Plan1";#N/A,#N/A,FALSE,"Plan2"}</definedName>
    <definedName name="OJÇLJ" localSheetId="3">{#N/A,#N/A,FALSE,"Plan1";#N/A,#N/A,FALSE,"Plan2"}</definedName>
    <definedName name="OJÇLJ" localSheetId="8">{#N/A,#N/A,FALSE,"Plan1";#N/A,#N/A,FALSE,"Plan2"}</definedName>
    <definedName name="OJÇLJ" localSheetId="5">{#N/A,#N/A,FALSE,"Plan1";#N/A,#N/A,FALSE,"Plan2"}</definedName>
    <definedName name="OJÇLJ" localSheetId="4">{#N/A,#N/A,FALSE,"Plan1";#N/A,#N/A,FALSE,"Plan2"}</definedName>
    <definedName name="OJÇLJ" localSheetId="13">{#N/A,#N/A,FALSE,"Plan1";#N/A,#N/A,FALSE,"Plan2"}</definedName>
    <definedName name="OJÇLJ" localSheetId="17">{#N/A,#N/A,FALSE,"Plan1";#N/A,#N/A,FALSE,"Plan2"}</definedName>
    <definedName name="OJÇLJ" localSheetId="0">{#N/A,#N/A,FALSE,"Plan1";#N/A,#N/A,FALSE,"Plan2"}</definedName>
    <definedName name="OJÇLJ" localSheetId="19">{#N/A,#N/A,FALSE,"Plan1";#N/A,#N/A,FALSE,"Plan2"}</definedName>
    <definedName name="OJÇLJ" localSheetId="16">{#N/A,#N/A,FALSE,"Plan1";#N/A,#N/A,FALSE,"Plan2"}</definedName>
    <definedName name="OJÇLJ" localSheetId="18">{#N/A,#N/A,FALSE,"Plan1";#N/A,#N/A,FALSE,"Plan2"}</definedName>
    <definedName name="OJÇLJ" localSheetId="10">{#N/A,#N/A,FALSE,"Plan1";#N/A,#N/A,FALSE,"Plan2"}</definedName>
    <definedName name="OJÇLJ">{#N/A,#N/A,FALSE,"Plan1";#N/A,#N/A,FALSE,"Plan2"}</definedName>
    <definedName name="ojkdfit" localSheetId="9">{#N/A,#N/A,FALSE,"Plan1";#N/A,#N/A,FALSE,"Plan2"}</definedName>
    <definedName name="ojkdfit" localSheetId="6">{#N/A,#N/A,FALSE,"Plan1";#N/A,#N/A,FALSE,"Plan2"}</definedName>
    <definedName name="ojkdfit" localSheetId="3">{#N/A,#N/A,FALSE,"Plan1";#N/A,#N/A,FALSE,"Plan2"}</definedName>
    <definedName name="ojkdfit" localSheetId="8">{#N/A,#N/A,FALSE,"Plan1";#N/A,#N/A,FALSE,"Plan2"}</definedName>
    <definedName name="ojkdfit" localSheetId="5">{#N/A,#N/A,FALSE,"Plan1";#N/A,#N/A,FALSE,"Plan2"}</definedName>
    <definedName name="ojkdfit" localSheetId="4">{#N/A,#N/A,FALSE,"Plan1";#N/A,#N/A,FALSE,"Plan2"}</definedName>
    <definedName name="ojkdfit" localSheetId="13">{#N/A,#N/A,FALSE,"Plan1";#N/A,#N/A,FALSE,"Plan2"}</definedName>
    <definedName name="ojkdfit" localSheetId="17">{#N/A,#N/A,FALSE,"Plan1";#N/A,#N/A,FALSE,"Plan2"}</definedName>
    <definedName name="ojkdfit" localSheetId="0">{#N/A,#N/A,FALSE,"Plan1";#N/A,#N/A,FALSE,"Plan2"}</definedName>
    <definedName name="ojkdfit" localSheetId="19">{#N/A,#N/A,FALSE,"Plan1";#N/A,#N/A,FALSE,"Plan2"}</definedName>
    <definedName name="ojkdfit" localSheetId="16">{#N/A,#N/A,FALSE,"Plan1";#N/A,#N/A,FALSE,"Plan2"}</definedName>
    <definedName name="ojkdfit" localSheetId="18">{#N/A,#N/A,FALSE,"Plan1";#N/A,#N/A,FALSE,"Plan2"}</definedName>
    <definedName name="ojkdfit" localSheetId="10">{#N/A,#N/A,FALSE,"Plan1";#N/A,#N/A,FALSE,"Plan2"}</definedName>
    <definedName name="ojkdfit">{#N/A,#N/A,FALSE,"Plan1";#N/A,#N/A,FALSE,"Plan2"}</definedName>
    <definedName name="oMISSOS" localSheetId="3">#REF!</definedName>
    <definedName name="oMISSOS" localSheetId="13">#REF!</definedName>
    <definedName name="oMISSOS" localSheetId="26">#REF!</definedName>
    <definedName name="oMISSOS" localSheetId="0">#REF!</definedName>
    <definedName name="oMISSOS">#REF!</definedName>
    <definedName name="ONZE" localSheetId="3">#REF!</definedName>
    <definedName name="ONZE" localSheetId="5">#REF!</definedName>
    <definedName name="ONZE" localSheetId="13">#REF!</definedName>
    <definedName name="ONZE" localSheetId="26">#REF!</definedName>
    <definedName name="ONZE">#REF!</definedName>
    <definedName name="ooo" localSheetId="9">{#N/A,#N/A,FALSE,"Plan1";#N/A,#N/A,FALSE,"Plan2"}</definedName>
    <definedName name="ooo" localSheetId="6">{#N/A,#N/A,FALSE,"Plan1";#N/A,#N/A,FALSE,"Plan2"}</definedName>
    <definedName name="ooo" localSheetId="3">{#N/A,#N/A,FALSE,"Plan1";#N/A,#N/A,FALSE,"Plan2"}</definedName>
    <definedName name="ooo" localSheetId="8">{#N/A,#N/A,FALSE,"Plan1";#N/A,#N/A,FALSE,"Plan2"}</definedName>
    <definedName name="ooo" localSheetId="5">{#N/A,#N/A,FALSE,"Plan1";#N/A,#N/A,FALSE,"Plan2"}</definedName>
    <definedName name="ooo" localSheetId="4">{#N/A,#N/A,FALSE,"Plan1";#N/A,#N/A,FALSE,"Plan2"}</definedName>
    <definedName name="ooo" localSheetId="13">{#N/A,#N/A,FALSE,"Plan1";#N/A,#N/A,FALSE,"Plan2"}</definedName>
    <definedName name="ooo" localSheetId="17">{#N/A,#N/A,FALSE,"Plan1";#N/A,#N/A,FALSE,"Plan2"}</definedName>
    <definedName name="ooo" localSheetId="0">{#N/A,#N/A,FALSE,"Plan1";#N/A,#N/A,FALSE,"Plan2"}</definedName>
    <definedName name="ooo" localSheetId="19">{#N/A,#N/A,FALSE,"Plan1";#N/A,#N/A,FALSE,"Plan2"}</definedName>
    <definedName name="ooo" localSheetId="16">{#N/A,#N/A,FALSE,"Plan1";#N/A,#N/A,FALSE,"Plan2"}</definedName>
    <definedName name="ooo" localSheetId="18">{#N/A,#N/A,FALSE,"Plan1";#N/A,#N/A,FALSE,"Plan2"}</definedName>
    <definedName name="ooo" localSheetId="10">{#N/A,#N/A,FALSE,"Plan1";#N/A,#N/A,FALSE,"Plan2"}</definedName>
    <definedName name="ooo">{#N/A,#N/A,FALSE,"Plan1";#N/A,#N/A,FALSE,"Plan2"}</definedName>
    <definedName name="OPASEDWED" localSheetId="9">{"Econ Consolidado",#N/A,FALSE,"Econ Consol";"Fluxo de Caixa",#N/A,FALSE,"Fluxo Caixa";"Investimentos",#N/A,FALSE,"Investimentos"}</definedName>
    <definedName name="OPASEDWED" localSheetId="6">{"Econ Consolidado",#N/A,FALSE,"Econ Consol";"Fluxo de Caixa",#N/A,FALSE,"Fluxo Caixa";"Investimentos",#N/A,FALSE,"Investimentos"}</definedName>
    <definedName name="OPASEDWED" localSheetId="3">{"Econ Consolidado",#N/A,FALSE,"Econ Consol";"Fluxo de Caixa",#N/A,FALSE,"Fluxo Caixa";"Investimentos",#N/A,FALSE,"Investimentos"}</definedName>
    <definedName name="OPASEDWED" localSheetId="8">{"Econ Consolidado",#N/A,FALSE,"Econ Consol";"Fluxo de Caixa",#N/A,FALSE,"Fluxo Caixa";"Investimentos",#N/A,FALSE,"Investimentos"}</definedName>
    <definedName name="OPASEDWED" localSheetId="5">{"Econ Consolidado",#N/A,FALSE,"Econ Consol";"Fluxo de Caixa",#N/A,FALSE,"Fluxo Caixa";"Investimentos",#N/A,FALSE,"Investimentos"}</definedName>
    <definedName name="OPASEDWED" localSheetId="4">{"Econ Consolidado",#N/A,FALSE,"Econ Consol";"Fluxo de Caixa",#N/A,FALSE,"Fluxo Caixa";"Investimentos",#N/A,FALSE,"Investimentos"}</definedName>
    <definedName name="OPASEDWED" localSheetId="13">{"Econ Consolidado",#N/A,FALSE,"Econ Consol";"Fluxo de Caixa",#N/A,FALSE,"Fluxo Caixa";"Investimentos",#N/A,FALSE,"Investimentos"}</definedName>
    <definedName name="OPASEDWED" localSheetId="17">{"Econ Consolidado",#N/A,FALSE,"Econ Consol";"Fluxo de Caixa",#N/A,FALSE,"Fluxo Caixa";"Investimentos",#N/A,FALSE,"Investimentos"}</definedName>
    <definedName name="OPASEDWED" localSheetId="0">{"Econ Consolidado",#N/A,FALSE,"Econ Consol";"Fluxo de Caixa",#N/A,FALSE,"Fluxo Caixa";"Investimentos",#N/A,FALSE,"Investimentos"}</definedName>
    <definedName name="OPASEDWED" localSheetId="19">{"Econ Consolidado",#N/A,FALSE,"Econ Consol";"Fluxo de Caixa",#N/A,FALSE,"Fluxo Caixa";"Investimentos",#N/A,FALSE,"Investimentos"}</definedName>
    <definedName name="OPASEDWED" localSheetId="16">{"Econ Consolidado",#N/A,FALSE,"Econ Consol";"Fluxo de Caixa",#N/A,FALSE,"Fluxo Caixa";"Investimentos",#N/A,FALSE,"Investimentos"}</definedName>
    <definedName name="OPASEDWED" localSheetId="18">{"Econ Consolidado",#N/A,FALSE,"Econ Consol";"Fluxo de Caixa",#N/A,FALSE,"Fluxo Caixa";"Investimentos",#N/A,FALSE,"Investimentos"}</definedName>
    <definedName name="OPASEDWED" localSheetId="10">{"Econ Consolidado",#N/A,FALSE,"Econ Consol";"Fluxo de Caixa",#N/A,FALSE,"Fluxo Caixa";"Investimentos",#N/A,FALSE,"Investimentos"}</definedName>
    <definedName name="OPASEDWED">{"Econ Consolidado",#N/A,FALSE,"Econ Consol";"Fluxo de Caixa",#N/A,FALSE,"Fluxo Caixa";"Investimentos",#N/A,FALSE,"Investimentos"}</definedName>
    <definedName name="opcao_taxa_desconto" localSheetId="3">#REF!</definedName>
    <definedName name="opcao_taxa_desconto" localSheetId="5">#REF!</definedName>
    <definedName name="opcao_taxa_desconto" localSheetId="13">#REF!</definedName>
    <definedName name="opcao_taxa_desconto" localSheetId="26">#REF!</definedName>
    <definedName name="opcao_taxa_desconto">#REF!</definedName>
    <definedName name="opções" localSheetId="3">#REF!</definedName>
    <definedName name="opções" localSheetId="5">#REF!</definedName>
    <definedName name="opções" localSheetId="13">#REF!</definedName>
    <definedName name="opções" localSheetId="26">#REF!</definedName>
    <definedName name="opções">#REF!</definedName>
    <definedName name="opiwre" localSheetId="9">{#N/A,#N/A,FALSE,"Plan1";#N/A,#N/A,FALSE,"Plan2"}</definedName>
    <definedName name="opiwre" localSheetId="6">{#N/A,#N/A,FALSE,"Plan1";#N/A,#N/A,FALSE,"Plan2"}</definedName>
    <definedName name="opiwre" localSheetId="3">{#N/A,#N/A,FALSE,"Plan1";#N/A,#N/A,FALSE,"Plan2"}</definedName>
    <definedName name="opiwre" localSheetId="8">{#N/A,#N/A,FALSE,"Plan1";#N/A,#N/A,FALSE,"Plan2"}</definedName>
    <definedName name="opiwre" localSheetId="5">{#N/A,#N/A,FALSE,"Plan1";#N/A,#N/A,FALSE,"Plan2"}</definedName>
    <definedName name="opiwre" localSheetId="4">{#N/A,#N/A,FALSE,"Plan1";#N/A,#N/A,FALSE,"Plan2"}</definedName>
    <definedName name="opiwre" localSheetId="13">{#N/A,#N/A,FALSE,"Plan1";#N/A,#N/A,FALSE,"Plan2"}</definedName>
    <definedName name="opiwre" localSheetId="17">{#N/A,#N/A,FALSE,"Plan1";#N/A,#N/A,FALSE,"Plan2"}</definedName>
    <definedName name="opiwre" localSheetId="0">{#N/A,#N/A,FALSE,"Plan1";#N/A,#N/A,FALSE,"Plan2"}</definedName>
    <definedName name="opiwre" localSheetId="19">{#N/A,#N/A,FALSE,"Plan1";#N/A,#N/A,FALSE,"Plan2"}</definedName>
    <definedName name="opiwre" localSheetId="16">{#N/A,#N/A,FALSE,"Plan1";#N/A,#N/A,FALSE,"Plan2"}</definedName>
    <definedName name="opiwre" localSheetId="18">{#N/A,#N/A,FALSE,"Plan1";#N/A,#N/A,FALSE,"Plan2"}</definedName>
    <definedName name="opiwre" localSheetId="10">{#N/A,#N/A,FALSE,"Plan1";#N/A,#N/A,FALSE,"Plan2"}</definedName>
    <definedName name="opiwre">{#N/A,#N/A,FALSE,"Plan1";#N/A,#N/A,FALSE,"Plan2"}</definedName>
    <definedName name="ORCAMEN" localSheetId="3">#REF!</definedName>
    <definedName name="ORCAMEN" localSheetId="5">#REF!</definedName>
    <definedName name="ORCAMEN" localSheetId="13">#REF!</definedName>
    <definedName name="ORCAMEN" localSheetId="26">#REF!</definedName>
    <definedName name="ORCAMEN">#REF!</definedName>
    <definedName name="Orcamentistas" localSheetId="3">#REF!</definedName>
    <definedName name="Orcamentistas" localSheetId="5">#REF!</definedName>
    <definedName name="Orcamentistas" localSheetId="13">#REF!</definedName>
    <definedName name="Orcamentistas" localSheetId="26">#REF!</definedName>
    <definedName name="Orcamentistas">#REF!</definedName>
    <definedName name="origem_recebiveis" localSheetId="3">#REF!</definedName>
    <definedName name="origem_recebiveis" localSheetId="5">#REF!</definedName>
    <definedName name="origem_recebiveis" localSheetId="13">#REF!</definedName>
    <definedName name="origem_recebiveis" localSheetId="26">#REF!</definedName>
    <definedName name="origem_recebiveis">#REF!</definedName>
    <definedName name="origem_unidades" localSheetId="3">#REF!</definedName>
    <definedName name="origem_unidades" localSheetId="5">#REF!</definedName>
    <definedName name="origem_unidades" localSheetId="13">#REF!</definedName>
    <definedName name="origem_unidades" localSheetId="26">#REF!</definedName>
    <definedName name="origem_unidades">#REF!</definedName>
    <definedName name="Origem2_Recebimento_Fin_Medições" localSheetId="3">#REF!</definedName>
    <definedName name="Origem2_Recebimento_Fin_Medições" localSheetId="5">#REF!</definedName>
    <definedName name="Origem2_Recebimento_Fin_Medições" localSheetId="13">#REF!</definedName>
    <definedName name="Origem2_Recebimento_Fin_Medições" localSheetId="26">#REF!</definedName>
    <definedName name="Origem2_Recebimento_Fin_Medições">#REF!</definedName>
    <definedName name="os" localSheetId="9">{#N/A,#N/A,FALSE,"TABLE"}</definedName>
    <definedName name="os" localSheetId="6">{#N/A,#N/A,FALSE,"TABLE"}</definedName>
    <definedName name="os" localSheetId="3">{#N/A,#N/A,FALSE,"TABLE"}</definedName>
    <definedName name="os" localSheetId="8">{#N/A,#N/A,FALSE,"TABLE"}</definedName>
    <definedName name="os" localSheetId="5">{#N/A,#N/A,FALSE,"TABLE"}</definedName>
    <definedName name="os" localSheetId="4">{#N/A,#N/A,FALSE,"TABLE"}</definedName>
    <definedName name="os" localSheetId="13">{#N/A,#N/A,FALSE,"TABLE"}</definedName>
    <definedName name="os" localSheetId="17">{#N/A,#N/A,FALSE,"TABLE"}</definedName>
    <definedName name="os" localSheetId="0">{#N/A,#N/A,FALSE,"TABLE"}</definedName>
    <definedName name="os" localSheetId="19">{#N/A,#N/A,FALSE,"TABLE"}</definedName>
    <definedName name="os" localSheetId="16">{#N/A,#N/A,FALSE,"TABLE"}</definedName>
    <definedName name="os" localSheetId="18">{#N/A,#N/A,FALSE,"TABLE"}</definedName>
    <definedName name="os" localSheetId="10">{#N/A,#N/A,FALSE,"TABLE"}</definedName>
    <definedName name="os">{#N/A,#N/A,FALSE,"TABLE"}</definedName>
    <definedName name="osca_cdi" localSheetId="3">#REF!</definedName>
    <definedName name="osca_cdi" localSheetId="5">#REF!</definedName>
    <definedName name="osca_cdi" localSheetId="13">#REF!</definedName>
    <definedName name="osca_cdi" localSheetId="26">#REF!</definedName>
    <definedName name="osca_cdi">#REF!</definedName>
    <definedName name="osca_hist" localSheetId="3">#REF!</definedName>
    <definedName name="osca_hist" localSheetId="5">#REF!</definedName>
    <definedName name="osca_hist" localSheetId="13">#REF!</definedName>
    <definedName name="osca_hist" localSheetId="26">#REF!</definedName>
    <definedName name="osca_hist">#REF!</definedName>
    <definedName name="osca_uss" localSheetId="3">#REF!</definedName>
    <definedName name="osca_uss" localSheetId="5">#REF!</definedName>
    <definedName name="osca_uss" localSheetId="13">#REF!</definedName>
    <definedName name="osca_uss" localSheetId="26">#REF!</definedName>
    <definedName name="osca_uss">#REF!</definedName>
    <definedName name="otodgkrjglsrd" localSheetId="9">{#N/A,#N/A,FALSE,"Plan1";#N/A,#N/A,FALSE,"Plan2"}</definedName>
    <definedName name="otodgkrjglsrd" localSheetId="6">{#N/A,#N/A,FALSE,"Plan1";#N/A,#N/A,FALSE,"Plan2"}</definedName>
    <definedName name="otodgkrjglsrd" localSheetId="3">{#N/A,#N/A,FALSE,"Plan1";#N/A,#N/A,FALSE,"Plan2"}</definedName>
    <definedName name="otodgkrjglsrd" localSheetId="8">{#N/A,#N/A,FALSE,"Plan1";#N/A,#N/A,FALSE,"Plan2"}</definedName>
    <definedName name="otodgkrjglsrd" localSheetId="5">{#N/A,#N/A,FALSE,"Plan1";#N/A,#N/A,FALSE,"Plan2"}</definedName>
    <definedName name="otodgkrjglsrd" localSheetId="4">{#N/A,#N/A,FALSE,"Plan1";#N/A,#N/A,FALSE,"Plan2"}</definedName>
    <definedName name="otodgkrjglsrd" localSheetId="13">{#N/A,#N/A,FALSE,"Plan1";#N/A,#N/A,FALSE,"Plan2"}</definedName>
    <definedName name="otodgkrjglsrd" localSheetId="17">{#N/A,#N/A,FALSE,"Plan1";#N/A,#N/A,FALSE,"Plan2"}</definedName>
    <definedName name="otodgkrjglsrd" localSheetId="0">{#N/A,#N/A,FALSE,"Plan1";#N/A,#N/A,FALSE,"Plan2"}</definedName>
    <definedName name="otodgkrjglsrd" localSheetId="19">{#N/A,#N/A,FALSE,"Plan1";#N/A,#N/A,FALSE,"Plan2"}</definedName>
    <definedName name="otodgkrjglsrd" localSheetId="16">{#N/A,#N/A,FALSE,"Plan1";#N/A,#N/A,FALSE,"Plan2"}</definedName>
    <definedName name="otodgkrjglsrd" localSheetId="18">{#N/A,#N/A,FALSE,"Plan1";#N/A,#N/A,FALSE,"Plan2"}</definedName>
    <definedName name="otodgkrjglsrd" localSheetId="10">{#N/A,#N/A,FALSE,"Plan1";#N/A,#N/A,FALSE,"Plan2"}</definedName>
    <definedName name="otodgkrjglsrd">{#N/A,#N/A,FALSE,"Plan1";#N/A,#N/A,FALSE,"Plan2"}</definedName>
    <definedName name="OUERWRSR" localSheetId="9">{#N/A,#N/A,FALSE,"Plan1";#N/A,#N/A,FALSE,"Plan2"}</definedName>
    <definedName name="OUERWRSR" localSheetId="6">{#N/A,#N/A,FALSE,"Plan1";#N/A,#N/A,FALSE,"Plan2"}</definedName>
    <definedName name="OUERWRSR" localSheetId="3">{#N/A,#N/A,FALSE,"Plan1";#N/A,#N/A,FALSE,"Plan2"}</definedName>
    <definedName name="OUERWRSR" localSheetId="8">{#N/A,#N/A,FALSE,"Plan1";#N/A,#N/A,FALSE,"Plan2"}</definedName>
    <definedName name="OUERWRSR" localSheetId="5">{#N/A,#N/A,FALSE,"Plan1";#N/A,#N/A,FALSE,"Plan2"}</definedName>
    <definedName name="OUERWRSR" localSheetId="4">{#N/A,#N/A,FALSE,"Plan1";#N/A,#N/A,FALSE,"Plan2"}</definedName>
    <definedName name="OUERWRSR" localSheetId="13">{#N/A,#N/A,FALSE,"Plan1";#N/A,#N/A,FALSE,"Plan2"}</definedName>
    <definedName name="OUERWRSR" localSheetId="17">{#N/A,#N/A,FALSE,"Plan1";#N/A,#N/A,FALSE,"Plan2"}</definedName>
    <definedName name="OUERWRSR" localSheetId="0">{#N/A,#N/A,FALSE,"Plan1";#N/A,#N/A,FALSE,"Plan2"}</definedName>
    <definedName name="OUERWRSR" localSheetId="19">{#N/A,#N/A,FALSE,"Plan1";#N/A,#N/A,FALSE,"Plan2"}</definedName>
    <definedName name="OUERWRSR" localSheetId="16">{#N/A,#N/A,FALSE,"Plan1";#N/A,#N/A,FALSE,"Plan2"}</definedName>
    <definedName name="OUERWRSR" localSheetId="18">{#N/A,#N/A,FALSE,"Plan1";#N/A,#N/A,FALSE,"Plan2"}</definedName>
    <definedName name="OUERWRSR" localSheetId="10">{#N/A,#N/A,FALSE,"Plan1";#N/A,#N/A,FALSE,"Plan2"}</definedName>
    <definedName name="OUERWRSR">{#N/A,#N/A,FALSE,"Plan1";#N/A,#N/A,FALSE,"Plan2"}</definedName>
    <definedName name="out17RJ" localSheetId="3">#REF!</definedName>
    <definedName name="out17RJ" localSheetId="5">#REF!</definedName>
    <definedName name="out17RJ" localSheetId="13">#REF!</definedName>
    <definedName name="out17RJ" localSheetId="26">#REF!</definedName>
    <definedName name="out17RJ">#REF!</definedName>
    <definedName name="outro" localSheetId="3">#REF!</definedName>
    <definedName name="outro" localSheetId="5">#REF!</definedName>
    <definedName name="outro" localSheetId="13">#REF!</definedName>
    <definedName name="outro" localSheetId="26">#REF!</definedName>
    <definedName name="outro" localSheetId="0">#REF!</definedName>
    <definedName name="outro">#REF!</definedName>
    <definedName name="OUTROS" localSheetId="3">#REF!</definedName>
    <definedName name="OUTROS" localSheetId="5">#REF!</definedName>
    <definedName name="OUTROS" localSheetId="13">#REF!</definedName>
    <definedName name="OUTROS" localSheetId="26">#REF!</definedName>
    <definedName name="OUTROS">#REF!</definedName>
    <definedName name="OUTROS_CCUSTO" localSheetId="3">#REF!</definedName>
    <definedName name="OUTROS_CCUSTO" localSheetId="5">#REF!</definedName>
    <definedName name="OUTROS_CCUSTO" localSheetId="13">#REF!</definedName>
    <definedName name="OUTROS_CCUSTO" localSheetId="26">#REF!</definedName>
    <definedName name="OUTROS_CCUSTO">#REF!</definedName>
    <definedName name="Outros_Pisos" localSheetId="3">#REF!</definedName>
    <definedName name="Outros_Pisos" localSheetId="5">#REF!</definedName>
    <definedName name="Outros_Pisos" localSheetId="13">#REF!</definedName>
    <definedName name="Outros_Pisos" localSheetId="26">#REF!</definedName>
    <definedName name="Outros_Pisos">#REF!</definedName>
    <definedName name="Outros1" localSheetId="3">#REF!</definedName>
    <definedName name="Outros1" localSheetId="5">#REF!</definedName>
    <definedName name="Outros1" localSheetId="13">#REF!</definedName>
    <definedName name="Outros1" localSheetId="26">#REF!</definedName>
    <definedName name="Outros1">#REF!</definedName>
    <definedName name="OUTUBRO" localSheetId="3">#REF!</definedName>
    <definedName name="OUTUBRO" localSheetId="5">#REF!</definedName>
    <definedName name="OUTUBRO" localSheetId="13">#REF!</definedName>
    <definedName name="OUTUBRO" localSheetId="26">#REF!</definedName>
    <definedName name="OUTUBRO">#REF!</definedName>
    <definedName name="overhaul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3">#REF!</definedName>
    <definedName name="oxfo_cdi" localSheetId="5">#REF!</definedName>
    <definedName name="oxfo_cdi" localSheetId="13">#REF!</definedName>
    <definedName name="oxfo_cdi" localSheetId="26">#REF!</definedName>
    <definedName name="oxfo_cdi">#REF!</definedName>
    <definedName name="oxfo_hist" localSheetId="3">#REF!</definedName>
    <definedName name="oxfo_hist" localSheetId="5">#REF!</definedName>
    <definedName name="oxfo_hist" localSheetId="13">#REF!</definedName>
    <definedName name="oxfo_hist" localSheetId="26">#REF!</definedName>
    <definedName name="oxfo_hist">#REF!</definedName>
    <definedName name="oxfo_uss" localSheetId="3">#REF!</definedName>
    <definedName name="oxfo_uss" localSheetId="5">#REF!</definedName>
    <definedName name="oxfo_uss" localSheetId="13">#REF!</definedName>
    <definedName name="oxfo_uss" localSheetId="26">#REF!</definedName>
    <definedName name="oxfo_uss">#REF!</definedName>
    <definedName name="P" localSheetId="3">#REF!</definedName>
    <definedName name="P" localSheetId="5">#REF!</definedName>
    <definedName name="P" localSheetId="13">#REF!</definedName>
    <definedName name="P" localSheetId="26">#REF!</definedName>
    <definedName name="P">#REF!</definedName>
    <definedName name="PA" localSheetId="3">#REF!</definedName>
    <definedName name="PA" localSheetId="5">#REF!</definedName>
    <definedName name="PA" localSheetId="13">#REF!</definedName>
    <definedName name="PA" localSheetId="26">#REF!</definedName>
    <definedName name="PA">#REF!</definedName>
    <definedName name="Padrao_A" localSheetId="3">#REF!</definedName>
    <definedName name="Padrao_A" localSheetId="5">#REF!</definedName>
    <definedName name="Padrao_A" localSheetId="13">#REF!</definedName>
    <definedName name="Padrao_A" localSheetId="26">#REF!</definedName>
    <definedName name="Padrao_A">#REF!</definedName>
    <definedName name="Padrao_B" localSheetId="3">#REF!</definedName>
    <definedName name="Padrao_B" localSheetId="5">#REF!</definedName>
    <definedName name="Padrao_B" localSheetId="13">#REF!</definedName>
    <definedName name="Padrao_B" localSheetId="26">#REF!</definedName>
    <definedName name="Padrao_B">#REF!</definedName>
    <definedName name="Padrao_C" localSheetId="3">#REF!</definedName>
    <definedName name="Padrao_C" localSheetId="5">#REF!</definedName>
    <definedName name="Padrao_C" localSheetId="13">#REF!</definedName>
    <definedName name="Padrao_C" localSheetId="26">#REF!</definedName>
    <definedName name="Padrao_C">#REF!</definedName>
    <definedName name="Padrao_D" localSheetId="3">#REF!</definedName>
    <definedName name="Padrao_D" localSheetId="5">#REF!</definedName>
    <definedName name="Padrao_D" localSheetId="13">#REF!</definedName>
    <definedName name="Padrao_D" localSheetId="26">#REF!</definedName>
    <definedName name="Padrao_D">#REF!</definedName>
    <definedName name="Padrao_E" localSheetId="3">#REF!</definedName>
    <definedName name="Padrao_E" localSheetId="5">#REF!</definedName>
    <definedName name="Padrao_E" localSheetId="13">#REF!</definedName>
    <definedName name="Padrao_E" localSheetId="26">#REF!</definedName>
    <definedName name="Padrao_E">#REF!</definedName>
    <definedName name="Padrao_F" localSheetId="3">#REF!</definedName>
    <definedName name="Padrao_F" localSheetId="5">#REF!</definedName>
    <definedName name="Padrao_F" localSheetId="13">#REF!</definedName>
    <definedName name="Padrao_F" localSheetId="26">#REF!</definedName>
    <definedName name="Padrao_F">#REF!</definedName>
    <definedName name="Pagamento_Num" localSheetId="9">ROW()-Linha_Cabeçalho</definedName>
    <definedName name="Pagamento_Num" localSheetId="6">ROW()-Linha_Cabeçalho</definedName>
    <definedName name="Pagamento_Num" localSheetId="3">ROW()-Linha_Cabeçalho</definedName>
    <definedName name="Pagamento_Num" localSheetId="8">ROW()-Linha_Cabeçalho</definedName>
    <definedName name="Pagamento_Num" localSheetId="5">ROW()-Linha_Cabeçalho</definedName>
    <definedName name="Pagamento_Num" localSheetId="4">ROW()-Linha_Cabeçalho</definedName>
    <definedName name="Pagamento_Num" localSheetId="13">ROW()-Linha_Cabeçalho</definedName>
    <definedName name="Pagamento_Num" localSheetId="17">ROW()-Linha_Cabeçalho</definedName>
    <definedName name="Pagamento_Num" localSheetId="0">ROW()-Linha_Cabeçalho</definedName>
    <definedName name="Pagamento_Num" localSheetId="19">ROW()-Linha_Cabeçalho</definedName>
    <definedName name="Pagamento_Num" localSheetId="16">ROW()-Linha_Cabeçalho</definedName>
    <definedName name="Pagamento_Num" localSheetId="18">ROW()-Linha_Cabeçalho</definedName>
    <definedName name="Pagamento_Num" localSheetId="10">ROW()-Linha_Cabeçalho</definedName>
    <definedName name="Pagamento_Num" localSheetId="15">ROW()-Linha_Cabeçalho</definedName>
    <definedName name="Pagamento_Num">ROW()-Linha_Cabeçalho</definedName>
    <definedName name="Pago_Até_2015_Controladoria" localSheetId="3">#REF!</definedName>
    <definedName name="Pago_Até_2015_Controladoria" localSheetId="8">#REF!</definedName>
    <definedName name="Pago_Até_2015_Controladoria" localSheetId="5">#REF!</definedName>
    <definedName name="Pago_Até_2015_Controladoria" localSheetId="13">#REF!</definedName>
    <definedName name="Pago_Até_2015_Controladoria" localSheetId="26">#REF!</definedName>
    <definedName name="Pago_Até_2015_Controladoria">#REF!</definedName>
    <definedName name="Pal_Workbook_GUID">"3HURD34M2XKWJ5V6M4BWCR5Q"</definedName>
    <definedName name="PAP" localSheetId="3">#REF!</definedName>
    <definedName name="PAP" localSheetId="5">#REF!</definedName>
    <definedName name="PAP" localSheetId="13">#REF!</definedName>
    <definedName name="PAP" localSheetId="26">#REF!</definedName>
    <definedName name="PAP">#REF!</definedName>
    <definedName name="PARAM_FIS_1" localSheetId="3">#REF!</definedName>
    <definedName name="PARAM_FIS_1" localSheetId="5">#REF!</definedName>
    <definedName name="PARAM_FIS_1" localSheetId="13">#REF!</definedName>
    <definedName name="PARAM_FIS_1" localSheetId="26">#REF!</definedName>
    <definedName name="PARAM_FIS_1">#REF!</definedName>
    <definedName name="PARAM_FIS_2" localSheetId="3">#REF!</definedName>
    <definedName name="PARAM_FIS_2" localSheetId="5">#REF!</definedName>
    <definedName name="PARAM_FIS_2" localSheetId="13">#REF!</definedName>
    <definedName name="PARAM_FIS_2" localSheetId="26">#REF!</definedName>
    <definedName name="PARAM_FIS_2">#REF!</definedName>
    <definedName name="ParamValues1" localSheetId="6">#REF!</definedName>
    <definedName name="ParamValues1" localSheetId="3">#REF!</definedName>
    <definedName name="ParamValues1" localSheetId="8">#REF!</definedName>
    <definedName name="ParamValues1" localSheetId="5">#REF!</definedName>
    <definedName name="ParamValues1" localSheetId="21">#REF!</definedName>
    <definedName name="ParamValues1" localSheetId="22">#REF!</definedName>
    <definedName name="ParamValues1" localSheetId="13">#REF!</definedName>
    <definedName name="ParamValues1" localSheetId="17">#REF!</definedName>
    <definedName name="ParamValues1" localSheetId="26">#REF!</definedName>
    <definedName name="ParamValues1" localSheetId="0">#REF!</definedName>
    <definedName name="ParamValues1" localSheetId="18">#REF!</definedName>
    <definedName name="ParamValues1">#REF!</definedName>
    <definedName name="ParamValues2" localSheetId="3">#REF!</definedName>
    <definedName name="ParamValues2" localSheetId="5">#REF!</definedName>
    <definedName name="ParamValues2" localSheetId="13">#REF!</definedName>
    <definedName name="ParamValues2" localSheetId="26">#REF!</definedName>
    <definedName name="ParamValues2">#REF!</definedName>
    <definedName name="Parao_E" localSheetId="3">#REF!</definedName>
    <definedName name="Parao_E" localSheetId="5">#REF!</definedName>
    <definedName name="Parao_E" localSheetId="13">#REF!</definedName>
    <definedName name="Parao_E" localSheetId="26">#REF!</definedName>
    <definedName name="Parao_E">#REF!</definedName>
    <definedName name="Parede1" localSheetId="3">#REF!</definedName>
    <definedName name="Parede1" localSheetId="5">#REF!</definedName>
    <definedName name="Parede1" localSheetId="13">#REF!</definedName>
    <definedName name="Parede1" localSheetId="26">#REF!</definedName>
    <definedName name="Parede1">#REF!</definedName>
    <definedName name="Parede2" localSheetId="3">#REF!</definedName>
    <definedName name="Parede2" localSheetId="5">#REF!</definedName>
    <definedName name="Parede2" localSheetId="13">#REF!</definedName>
    <definedName name="Parede2" localSheetId="26">#REF!</definedName>
    <definedName name="Parede2">#REF!</definedName>
    <definedName name="PAREDES" localSheetId="3">#REF!</definedName>
    <definedName name="PAREDES" localSheetId="5">#REF!</definedName>
    <definedName name="PAREDES" localSheetId="13">#REF!</definedName>
    <definedName name="PAREDES" localSheetId="26">#REF!</definedName>
    <definedName name="PAREDES">#REF!</definedName>
    <definedName name="PAV" localSheetId="3">#REF!</definedName>
    <definedName name="PAV" localSheetId="1">#REF!</definedName>
    <definedName name="PAV" localSheetId="5">#REF!</definedName>
    <definedName name="PAV" localSheetId="21">#REF!</definedName>
    <definedName name="PAV" localSheetId="22">#REF!</definedName>
    <definedName name="PAV" localSheetId="13">#REF!</definedName>
    <definedName name="PAV" localSheetId="26">#REF!</definedName>
    <definedName name="PAV" localSheetId="0">#REF!</definedName>
    <definedName name="PAV">#REF!</definedName>
    <definedName name="PAVILHAO" localSheetId="3">#REF!</definedName>
    <definedName name="PAVILHAO" localSheetId="5">#REF!</definedName>
    <definedName name="PAVILHAO" localSheetId="13">#REF!</definedName>
    <definedName name="PAVILHAO" localSheetId="26">#REF!</definedName>
    <definedName name="PAVILHAO">#REF!</definedName>
    <definedName name="PAVT" localSheetId="3">#REF!</definedName>
    <definedName name="PAVT" localSheetId="5">#REF!</definedName>
    <definedName name="PAVT" localSheetId="13">#REF!</definedName>
    <definedName name="PAVT" localSheetId="26">#REF!</definedName>
    <definedName name="PAVT">#REF!</definedName>
    <definedName name="pçgktr" localSheetId="13">#REF!</definedName>
    <definedName name="pçgktr">#REF!</definedName>
    <definedName name="PDER" localSheetId="3">#REF!</definedName>
    <definedName name="PDER" localSheetId="5">#REF!</definedName>
    <definedName name="PDER" localSheetId="13">#REF!</definedName>
    <definedName name="PDER" localSheetId="26">#REF!</definedName>
    <definedName name="PDER">#REF!</definedName>
    <definedName name="PDIVERS" localSheetId="3">#REF!</definedName>
    <definedName name="PDIVERS" localSheetId="5">#REF!</definedName>
    <definedName name="PDIVERS" localSheetId="13">#REF!</definedName>
    <definedName name="PDIVERS" localSheetId="26">#REF!</definedName>
    <definedName name="PDIVERS">#REF!</definedName>
    <definedName name="PE" localSheetId="3">#REF!</definedName>
    <definedName name="PE" localSheetId="5">#REF!</definedName>
    <definedName name="PE" localSheetId="13">#REF!</definedName>
    <definedName name="PE" localSheetId="26">#REF!</definedName>
    <definedName name="PE">#REF!</definedName>
    <definedName name="PEMD" localSheetId="3">#REF!</definedName>
    <definedName name="PEMD" localSheetId="5">#REF!</definedName>
    <definedName name="PEMD" localSheetId="13">#REF!</definedName>
    <definedName name="PEMD" localSheetId="26">#REF!</definedName>
    <definedName name="PEMD">#REF!</definedName>
    <definedName name="Pendenci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3">#REF!</definedName>
    <definedName name="perfura" localSheetId="5">#REF!</definedName>
    <definedName name="perfura" localSheetId="13">#REF!</definedName>
    <definedName name="perfura" localSheetId="26">#REF!</definedName>
    <definedName name="perfura">#REF!</definedName>
    <definedName name="Perímetro_lajão" localSheetId="3">#REF!</definedName>
    <definedName name="Perímetro_lajão" localSheetId="5">#REF!</definedName>
    <definedName name="Perímetro_lajão" localSheetId="13">#REF!</definedName>
    <definedName name="Perímetro_lajão" localSheetId="26">#REF!</definedName>
    <definedName name="Perímetro_lajão" localSheetId="0">#REF!</definedName>
    <definedName name="Perímetro_lajão">#REF!</definedName>
    <definedName name="Perímetro_Terreno" localSheetId="3">#REF!</definedName>
    <definedName name="Perímetro_Terreno" localSheetId="5">#REF!</definedName>
    <definedName name="Perímetro_Terreno" localSheetId="13">#REF!</definedName>
    <definedName name="Perímetro_Terreno" localSheetId="26">#REF!</definedName>
    <definedName name="Perímetro_Terreno" localSheetId="0">#REF!</definedName>
    <definedName name="Perímetro_Terreno">#REF!</definedName>
    <definedName name="Perímetro_torre" localSheetId="3">#REF!</definedName>
    <definedName name="Perímetro_torre" localSheetId="5">#REF!</definedName>
    <definedName name="Perímetro_torre" localSheetId="13">#REF!</definedName>
    <definedName name="Perímetro_torre" localSheetId="26">#REF!</definedName>
    <definedName name="Perímetro_torre" localSheetId="0">#REF!</definedName>
    <definedName name="Perímetro_torre">#REF!</definedName>
    <definedName name="pessoal" localSheetId="3">#REF!</definedName>
    <definedName name="pessoal" localSheetId="5">#REF!</definedName>
    <definedName name="pessoal" localSheetId="13">#REF!</definedName>
    <definedName name="pessoal" localSheetId="26">#REF!</definedName>
    <definedName name="pessoal">#REF!</definedName>
    <definedName name="petro2" localSheetId="13">#REF!</definedName>
    <definedName name="petro2">#REF!</definedName>
    <definedName name="PhyG" localSheetId="3">#REF!</definedName>
    <definedName name="PhyG" localSheetId="5">#REF!</definedName>
    <definedName name="PhyG" localSheetId="13">#REF!</definedName>
    <definedName name="PhyG" localSheetId="26">#REF!</definedName>
    <definedName name="PhyG">#REF!</definedName>
    <definedName name="PhyGS" localSheetId="3">#REF!</definedName>
    <definedName name="PhyGS" localSheetId="5">#REF!</definedName>
    <definedName name="PhyGS" localSheetId="13">#REF!</definedName>
    <definedName name="PhyGS" localSheetId="26">#REF!</definedName>
    <definedName name="PhyGS">#REF!</definedName>
    <definedName name="PI" localSheetId="3">#REF!</definedName>
    <definedName name="PI" localSheetId="5">#REF!</definedName>
    <definedName name="PI" localSheetId="13">#REF!</definedName>
    <definedName name="PI" localSheetId="26">#REF!</definedName>
    <definedName name="PI">#REF!</definedName>
    <definedName name="piaz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3">#REF!</definedName>
    <definedName name="PIEQUIP" localSheetId="5">#REF!</definedName>
    <definedName name="PIEQUIP" localSheetId="13">#REF!</definedName>
    <definedName name="PIEQUIP" localSheetId="26">#REF!</definedName>
    <definedName name="PIEQUIP">#REF!</definedName>
    <definedName name="Pintura" localSheetId="8">#REF!</definedName>
    <definedName name="Pintura" localSheetId="5">#REF!</definedName>
    <definedName name="Pintura" localSheetId="13">#REF!</definedName>
    <definedName name="Pintura" localSheetId="17">#REF!</definedName>
    <definedName name="Pintura" localSheetId="26">#REF!</definedName>
    <definedName name="Pintura" localSheetId="16">#REF!</definedName>
    <definedName name="Pintura" localSheetId="18">#REF!</definedName>
    <definedName name="Pintura">#REF!</definedName>
    <definedName name="PIS_COFINS" localSheetId="3">#REF!</definedName>
    <definedName name="PIS_COFINS" localSheetId="8">#REF!</definedName>
    <definedName name="PIS_COFINS" localSheetId="5">#REF!</definedName>
    <definedName name="PIS_COFINS" localSheetId="13">#REF!</definedName>
    <definedName name="PIS_COFINS" localSheetId="26">#REF!</definedName>
    <definedName name="PIS_COFINS">#REF!</definedName>
    <definedName name="PisCofins" localSheetId="3">#REF!</definedName>
    <definedName name="PisCofins" localSheetId="5">#REF!</definedName>
    <definedName name="PisCofins" localSheetId="13">#REF!</definedName>
    <definedName name="PisCofins" localSheetId="26">#REF!</definedName>
    <definedName name="PisCofins">#REF!</definedName>
    <definedName name="Piso1" localSheetId="3">#REF!</definedName>
    <definedName name="Piso1" localSheetId="5">#REF!</definedName>
    <definedName name="Piso1" localSheetId="13">#REF!</definedName>
    <definedName name="Piso1" localSheetId="26">#REF!</definedName>
    <definedName name="Piso1">#REF!</definedName>
    <definedName name="Piso2" localSheetId="3">#REF!</definedName>
    <definedName name="Piso2" localSheetId="5">#REF!</definedName>
    <definedName name="Piso2" localSheetId="13">#REF!</definedName>
    <definedName name="Piso2" localSheetId="26">#REF!</definedName>
    <definedName name="Piso2">#REF!</definedName>
    <definedName name="PISOS" localSheetId="3">#REF!</definedName>
    <definedName name="PISOS" localSheetId="5">#REF!</definedName>
    <definedName name="PISOS" localSheetId="13">#REF!</definedName>
    <definedName name="PISOS" localSheetId="26">#REF!</definedName>
    <definedName name="PISOS">#REF!</definedName>
    <definedName name="PL" localSheetId="3">#REF!</definedName>
    <definedName name="PL" localSheetId="5">#REF!</definedName>
    <definedName name="PL" localSheetId="13">#REF!</definedName>
    <definedName name="PL" localSheetId="26">#REF!</definedName>
    <definedName name="PL">#REF!</definedName>
    <definedName name="PLACAS" localSheetId="9">{#N/A,#N/A,TRUE,"Quinzena 01 à 15-04-98 "}</definedName>
    <definedName name="PLACAS" localSheetId="6">{#N/A,#N/A,TRUE,"Quinzena 01 à 15-04-98 "}</definedName>
    <definedName name="PLACAS" localSheetId="3">{#N/A,#N/A,TRUE,"Quinzena 01 à 15-04-98 "}</definedName>
    <definedName name="PLACAS" localSheetId="8">{#N/A,#N/A,TRUE,"Quinzena 01 à 15-04-98 "}</definedName>
    <definedName name="PLACAS" localSheetId="5">{#N/A,#N/A,TRUE,"Quinzena 01 à 15-04-98 "}</definedName>
    <definedName name="PLACAS" localSheetId="4">{#N/A,#N/A,TRUE,"Quinzena 01 à 15-04-98 "}</definedName>
    <definedName name="PLACAS" localSheetId="13">{#N/A,#N/A,TRUE,"Quinzena 01 à 15-04-98 "}</definedName>
    <definedName name="PLACAS" localSheetId="17">{#N/A,#N/A,TRUE,"Quinzena 01 à 15-04-98 "}</definedName>
    <definedName name="PLACAS" localSheetId="0">{#N/A,#N/A,TRUE,"Quinzena 01 à 15-04-98 "}</definedName>
    <definedName name="PLACAS" localSheetId="19">{#N/A,#N/A,TRUE,"Quinzena 01 à 15-04-98 "}</definedName>
    <definedName name="PLACAS" localSheetId="16">{#N/A,#N/A,TRUE,"Quinzena 01 à 15-04-98 "}</definedName>
    <definedName name="PLACAS" localSheetId="18">{#N/A,#N/A,TRUE,"Quinzena 01 à 15-04-98 "}</definedName>
    <definedName name="PLACAS" localSheetId="10">{#N/A,#N/A,TRUE,"Quinzena 01 à 15-04-98 "}</definedName>
    <definedName name="PLACAS">{#N/A,#N/A,TRUE,"Quinzena 01 à 15-04-98 "}</definedName>
    <definedName name="Placas_Areas" localSheetId="9">{#N/A,#N/A,TRUE,"Quinzena 01 à 15-04-98 "}</definedName>
    <definedName name="Placas_Areas" localSheetId="6">{#N/A,#N/A,TRUE,"Quinzena 01 à 15-04-98 "}</definedName>
    <definedName name="Placas_Areas" localSheetId="3">{#N/A,#N/A,TRUE,"Quinzena 01 à 15-04-98 "}</definedName>
    <definedName name="Placas_Areas" localSheetId="8">{#N/A,#N/A,TRUE,"Quinzena 01 à 15-04-98 "}</definedName>
    <definedName name="Placas_Areas" localSheetId="5">{#N/A,#N/A,TRUE,"Quinzena 01 à 15-04-98 "}</definedName>
    <definedName name="Placas_Areas" localSheetId="4">{#N/A,#N/A,TRUE,"Quinzena 01 à 15-04-98 "}</definedName>
    <definedName name="Placas_Areas" localSheetId="13">{#N/A,#N/A,TRUE,"Quinzena 01 à 15-04-98 "}</definedName>
    <definedName name="Placas_Areas" localSheetId="17">{#N/A,#N/A,TRUE,"Quinzena 01 à 15-04-98 "}</definedName>
    <definedName name="Placas_Areas" localSheetId="0">{#N/A,#N/A,TRUE,"Quinzena 01 à 15-04-98 "}</definedName>
    <definedName name="Placas_Areas" localSheetId="19">{#N/A,#N/A,TRUE,"Quinzena 01 à 15-04-98 "}</definedName>
    <definedName name="Placas_Areas" localSheetId="16">{#N/A,#N/A,TRUE,"Quinzena 01 à 15-04-98 "}</definedName>
    <definedName name="Placas_Areas" localSheetId="18">{#N/A,#N/A,TRUE,"Quinzena 01 à 15-04-98 "}</definedName>
    <definedName name="Placas_Areas" localSheetId="10">{#N/A,#N/A,TRUE,"Quinzena 01 à 15-04-98 "}</definedName>
    <definedName name="Placas_Areas">{#N/A,#N/A,TRUE,"Quinzena 01 à 15-04-98 "}</definedName>
    <definedName name="plan" localSheetId="3">#REF!</definedName>
    <definedName name="PLAN" localSheetId="5">#REF!</definedName>
    <definedName name="PLAN" localSheetId="13">#REF!</definedName>
    <definedName name="plan" localSheetId="26">#REF!</definedName>
    <definedName name="plan" localSheetId="0">#REF!</definedName>
    <definedName name="PLAN">#REF!</definedName>
    <definedName name="plan2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3">#REF!</definedName>
    <definedName name="PLANILHA" localSheetId="5">#REF!</definedName>
    <definedName name="PLANILHA" localSheetId="13">#REF!</definedName>
    <definedName name="PLANILHA" localSheetId="26">#REF!</definedName>
    <definedName name="PLANILHA">#REF!</definedName>
    <definedName name="Planilha2" localSheetId="3">#REF!</definedName>
    <definedName name="Planilha2" localSheetId="5">#REF!</definedName>
    <definedName name="Planilha2" localSheetId="13">#REF!</definedName>
    <definedName name="Planilha2" localSheetId="26">#REF!</definedName>
    <definedName name="Planilha2">#REF!</definedName>
    <definedName name="plasçdeaw" localSheetId="9">{#N/A,#N/A,FALSE,"Plan1";#N/A,#N/A,FALSE,"Plan2"}</definedName>
    <definedName name="plasçdeaw" localSheetId="6">{#N/A,#N/A,FALSE,"Plan1";#N/A,#N/A,FALSE,"Plan2"}</definedName>
    <definedName name="plasçdeaw" localSheetId="3">{#N/A,#N/A,FALSE,"Plan1";#N/A,#N/A,FALSE,"Plan2"}</definedName>
    <definedName name="plasçdeaw" localSheetId="8">{#N/A,#N/A,FALSE,"Plan1";#N/A,#N/A,FALSE,"Plan2"}</definedName>
    <definedName name="plasçdeaw" localSheetId="5">{#N/A,#N/A,FALSE,"Plan1";#N/A,#N/A,FALSE,"Plan2"}</definedName>
    <definedName name="plasçdeaw" localSheetId="4">{#N/A,#N/A,FALSE,"Plan1";#N/A,#N/A,FALSE,"Plan2"}</definedName>
    <definedName name="plasçdeaw" localSheetId="13">{#N/A,#N/A,FALSE,"Plan1";#N/A,#N/A,FALSE,"Plan2"}</definedName>
    <definedName name="plasçdeaw" localSheetId="17">{#N/A,#N/A,FALSE,"Plan1";#N/A,#N/A,FALSE,"Plan2"}</definedName>
    <definedName name="plasçdeaw" localSheetId="0">{#N/A,#N/A,FALSE,"Plan1";#N/A,#N/A,FALSE,"Plan2"}</definedName>
    <definedName name="plasçdeaw" localSheetId="19">{#N/A,#N/A,FALSE,"Plan1";#N/A,#N/A,FALSE,"Plan2"}</definedName>
    <definedName name="plasçdeaw" localSheetId="16">{#N/A,#N/A,FALSE,"Plan1";#N/A,#N/A,FALSE,"Plan2"}</definedName>
    <definedName name="plasçdeaw" localSheetId="18">{#N/A,#N/A,FALSE,"Plan1";#N/A,#N/A,FALSE,"Plan2"}</definedName>
    <definedName name="plasçdeaw" localSheetId="10">{#N/A,#N/A,FALSE,"Plan1";#N/A,#N/A,FALSE,"Plan2"}</definedName>
    <definedName name="plasçdeaw">{#N/A,#N/A,FALSE,"Plan1";#N/A,#N/A,FALSE,"Plan2"}</definedName>
    <definedName name="plaslrswe" localSheetId="9">{#N/A,#N/A,FALSE,"Plan1";#N/A,#N/A,FALSE,"Plan2"}</definedName>
    <definedName name="plaslrswe" localSheetId="6">{#N/A,#N/A,FALSE,"Plan1";#N/A,#N/A,FALSE,"Plan2"}</definedName>
    <definedName name="plaslrswe" localSheetId="3">{#N/A,#N/A,FALSE,"Plan1";#N/A,#N/A,FALSE,"Plan2"}</definedName>
    <definedName name="plaslrswe" localSheetId="8">{#N/A,#N/A,FALSE,"Plan1";#N/A,#N/A,FALSE,"Plan2"}</definedName>
    <definedName name="plaslrswe" localSheetId="5">{#N/A,#N/A,FALSE,"Plan1";#N/A,#N/A,FALSE,"Plan2"}</definedName>
    <definedName name="plaslrswe" localSheetId="4">{#N/A,#N/A,FALSE,"Plan1";#N/A,#N/A,FALSE,"Plan2"}</definedName>
    <definedName name="plaslrswe" localSheetId="13">{#N/A,#N/A,FALSE,"Plan1";#N/A,#N/A,FALSE,"Plan2"}</definedName>
    <definedName name="plaslrswe" localSheetId="17">{#N/A,#N/A,FALSE,"Plan1";#N/A,#N/A,FALSE,"Plan2"}</definedName>
    <definedName name="plaslrswe" localSheetId="0">{#N/A,#N/A,FALSE,"Plan1";#N/A,#N/A,FALSE,"Plan2"}</definedName>
    <definedName name="plaslrswe" localSheetId="19">{#N/A,#N/A,FALSE,"Plan1";#N/A,#N/A,FALSE,"Plan2"}</definedName>
    <definedName name="plaslrswe" localSheetId="16">{#N/A,#N/A,FALSE,"Plan1";#N/A,#N/A,FALSE,"Plan2"}</definedName>
    <definedName name="plaslrswe" localSheetId="18">{#N/A,#N/A,FALSE,"Plan1";#N/A,#N/A,FALSE,"Plan2"}</definedName>
    <definedName name="plaslrswe" localSheetId="10">{#N/A,#N/A,FALSE,"Plan1";#N/A,#N/A,FALSE,"Plan2"}</definedName>
    <definedName name="plaslrswe">{#N/A,#N/A,FALSE,"Plan1";#N/A,#N/A,FALSE,"Plan2"}</definedName>
    <definedName name="pls" localSheetId="3">#REF!</definedName>
    <definedName name="pls" localSheetId="5">#REF!</definedName>
    <definedName name="pls" localSheetId="13">#REF!</definedName>
    <definedName name="pls" localSheetId="26">#REF!</definedName>
    <definedName name="pls" localSheetId="0">#REF!</definedName>
    <definedName name="pls">#REF!</definedName>
    <definedName name="plsearpef" localSheetId="9">{#N/A,#N/A,FALSE,"Plan1";#N/A,#N/A,FALSE,"Plan2"}</definedName>
    <definedName name="plsearpef" localSheetId="6">{#N/A,#N/A,FALSE,"Plan1";#N/A,#N/A,FALSE,"Plan2"}</definedName>
    <definedName name="plsearpef" localSheetId="3">{#N/A,#N/A,FALSE,"Plan1";#N/A,#N/A,FALSE,"Plan2"}</definedName>
    <definedName name="plsearpef" localSheetId="8">{#N/A,#N/A,FALSE,"Plan1";#N/A,#N/A,FALSE,"Plan2"}</definedName>
    <definedName name="plsearpef" localSheetId="5">{#N/A,#N/A,FALSE,"Plan1";#N/A,#N/A,FALSE,"Plan2"}</definedName>
    <definedName name="plsearpef" localSheetId="4">{#N/A,#N/A,FALSE,"Plan1";#N/A,#N/A,FALSE,"Plan2"}</definedName>
    <definedName name="plsearpef" localSheetId="13">{#N/A,#N/A,FALSE,"Plan1";#N/A,#N/A,FALSE,"Plan2"}</definedName>
    <definedName name="plsearpef" localSheetId="17">{#N/A,#N/A,FALSE,"Plan1";#N/A,#N/A,FALSE,"Plan2"}</definedName>
    <definedName name="plsearpef" localSheetId="0">{#N/A,#N/A,FALSE,"Plan1";#N/A,#N/A,FALSE,"Plan2"}</definedName>
    <definedName name="plsearpef" localSheetId="19">{#N/A,#N/A,FALSE,"Plan1";#N/A,#N/A,FALSE,"Plan2"}</definedName>
    <definedName name="plsearpef" localSheetId="16">{#N/A,#N/A,FALSE,"Plan1";#N/A,#N/A,FALSE,"Plan2"}</definedName>
    <definedName name="plsearpef" localSheetId="18">{#N/A,#N/A,FALSE,"Plan1";#N/A,#N/A,FALSE,"Plan2"}</definedName>
    <definedName name="plsearpef" localSheetId="10">{#N/A,#N/A,FALSE,"Plan1";#N/A,#N/A,FALSE,"Plan2"}</definedName>
    <definedName name="plsearpef">{#N/A,#N/A,FALSE,"Plan1";#N/A,#N/A,FALSE,"Plan2"}</definedName>
    <definedName name="plss" localSheetId="9">{#N/A,#N/A,FALSE,"Plan1";#N/A,#N/A,FALSE,"Plan2"}</definedName>
    <definedName name="plss" localSheetId="6">{#N/A,#N/A,FALSE,"Plan1";#N/A,#N/A,FALSE,"Plan2"}</definedName>
    <definedName name="plss" localSheetId="3">{#N/A,#N/A,FALSE,"Plan1";#N/A,#N/A,FALSE,"Plan2"}</definedName>
    <definedName name="plss" localSheetId="8">{#N/A,#N/A,FALSE,"Plan1";#N/A,#N/A,FALSE,"Plan2"}</definedName>
    <definedName name="plss" localSheetId="5">{#N/A,#N/A,FALSE,"Plan1";#N/A,#N/A,FALSE,"Plan2"}</definedName>
    <definedName name="plss" localSheetId="4">{#N/A,#N/A,FALSE,"Plan1";#N/A,#N/A,FALSE,"Plan2"}</definedName>
    <definedName name="plss" localSheetId="13">{#N/A,#N/A,FALSE,"Plan1";#N/A,#N/A,FALSE,"Plan2"}</definedName>
    <definedName name="plss" localSheetId="17">{#N/A,#N/A,FALSE,"Plan1";#N/A,#N/A,FALSE,"Plan2"}</definedName>
    <definedName name="plss" localSheetId="0">{#N/A,#N/A,FALSE,"Plan1";#N/A,#N/A,FALSE,"Plan2"}</definedName>
    <definedName name="plss" localSheetId="19">{#N/A,#N/A,FALSE,"Plan1";#N/A,#N/A,FALSE,"Plan2"}</definedName>
    <definedName name="plss" localSheetId="16">{#N/A,#N/A,FALSE,"Plan1";#N/A,#N/A,FALSE,"Plan2"}</definedName>
    <definedName name="plss" localSheetId="18">{#N/A,#N/A,FALSE,"Plan1";#N/A,#N/A,FALSE,"Plan2"}</definedName>
    <definedName name="plss" localSheetId="10">{#N/A,#N/A,FALSE,"Plan1";#N/A,#N/A,FALSE,"Plan2"}</definedName>
    <definedName name="plss">{#N/A,#N/A,FALSE,"Plan1";#N/A,#N/A,FALSE,"Plan2"}</definedName>
    <definedName name="PMUR" localSheetId="3">#REF!</definedName>
    <definedName name="PMUR" localSheetId="5">#REF!</definedName>
    <definedName name="PMUR" localSheetId="13">#REF!</definedName>
    <definedName name="PMUR" localSheetId="26">#REF!</definedName>
    <definedName name="PMUR">#REF!</definedName>
    <definedName name="PN2건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3">#REF!</definedName>
    <definedName name="Ponderações" localSheetId="5">#REF!</definedName>
    <definedName name="Ponderações" localSheetId="13">#REF!</definedName>
    <definedName name="Ponderações" localSheetId="26">#REF!</definedName>
    <definedName name="Ponderações">#REF!</definedName>
    <definedName name="Pós_Chaves" localSheetId="3">#REF!</definedName>
    <definedName name="Pós_Chaves" localSheetId="5">#REF!</definedName>
    <definedName name="Pós_Chaves" localSheetId="13">#REF!</definedName>
    <definedName name="Pós_Chaves" localSheetId="26">#REF!</definedName>
    <definedName name="Pós_Chaves">#REF!</definedName>
    <definedName name="pr" localSheetId="3">#REF!</definedName>
    <definedName name="pr" localSheetId="1">#REF!</definedName>
    <definedName name="pr" localSheetId="5">#REF!</definedName>
    <definedName name="pr" localSheetId="21">#REF!</definedName>
    <definedName name="pr" localSheetId="22">#REF!</definedName>
    <definedName name="pr" localSheetId="13">#REF!</definedName>
    <definedName name="pr" localSheetId="26">#REF!</definedName>
    <definedName name="pr" localSheetId="0">#REF!</definedName>
    <definedName name="pr">#REF!</definedName>
    <definedName name="PRAZO" localSheetId="3">#REF!</definedName>
    <definedName name="PRAZO" localSheetId="5">#REF!</definedName>
    <definedName name="PRAZO" localSheetId="13">#REF!</definedName>
    <definedName name="PRAZO" localSheetId="26">#REF!</definedName>
    <definedName name="PRAZO">#REF!</definedName>
    <definedName name="Prazo_da_Estrutura" localSheetId="3">#REF!</definedName>
    <definedName name="Prazo_da_Estrutura" localSheetId="5">#REF!</definedName>
    <definedName name="Prazo_da_Estrutura" localSheetId="13">#REF!</definedName>
    <definedName name="Prazo_da_Estrutura" localSheetId="26">#REF!</definedName>
    <definedName name="Prazo_da_Estrutura" localSheetId="0">#REF!</definedName>
    <definedName name="Prazo_da_Estrutura">#REF!</definedName>
    <definedName name="PRAZO_EDITAL" localSheetId="3">#REF!</definedName>
    <definedName name="PRAZO_EDITAL" localSheetId="5">#REF!</definedName>
    <definedName name="PRAZO_EDITAL" localSheetId="13">#REF!</definedName>
    <definedName name="PRAZO_EDITAL" localSheetId="26">#REF!</definedName>
    <definedName name="PRAZO_EDITAL">#REF!</definedName>
    <definedName name="Prazo_Obra" localSheetId="3">#REF!</definedName>
    <definedName name="Prazo_Obra" localSheetId="5">#REF!</definedName>
    <definedName name="Prazo_Obra" localSheetId="13">#REF!</definedName>
    <definedName name="Prazo_Obra" localSheetId="26">#REF!</definedName>
    <definedName name="Prazo_Obra" localSheetId="0">#REF!</definedName>
    <definedName name="Prazo_Obra">#REF!</definedName>
    <definedName name="PRAZO_ORC" localSheetId="3">#REF!</definedName>
    <definedName name="PRAZO_ORC" localSheetId="5">#REF!</definedName>
    <definedName name="PRAZO_ORC" localSheetId="13">#REF!</definedName>
    <definedName name="PRAZO_ORC" localSheetId="26">#REF!</definedName>
    <definedName name="PRAZO_ORC">#REF!</definedName>
    <definedName name="prazo2" localSheetId="3">#REF!</definedName>
    <definedName name="prazo2" localSheetId="5">#REF!</definedName>
    <definedName name="prazo2" localSheetId="13">#REF!</definedName>
    <definedName name="prazo2" localSheetId="26">#REF!</definedName>
    <definedName name="prazo2">#REF!</definedName>
    <definedName name="PRE" localSheetId="3">#REF!</definedName>
    <definedName name="PRE" localSheetId="1">#REF!</definedName>
    <definedName name="PRE" localSheetId="5">#REF!</definedName>
    <definedName name="PRE" localSheetId="21">#REF!</definedName>
    <definedName name="PRE" localSheetId="22">#REF!</definedName>
    <definedName name="PRE" localSheetId="13">#REF!</definedName>
    <definedName name="PRE" localSheetId="26">#REF!</definedName>
    <definedName name="PRE" localSheetId="0">#REF!</definedName>
    <definedName name="PRE">#REF!</definedName>
    <definedName name="PREÇ" localSheetId="6">OFFSET(#REF!,0,0,COUNTA(#REF!),1)</definedName>
    <definedName name="PREÇ" localSheetId="4">OFFSET(#REF!,0,0,COUNTA(#REF!),1)</definedName>
    <definedName name="PREÇ" localSheetId="13">OFFSET(#REF!,0,0,COUNTA(#REF!),1)</definedName>
    <definedName name="PREÇ" localSheetId="19">OFFSET(#REF!,0,0,COUNTA(#REF!),1)</definedName>
    <definedName name="PREÇ">OFFSET(#REF!,0,0,COUNTA(#REF!),1)</definedName>
    <definedName name="Preço" localSheetId="9">ROW()-Linha_Cabeçalho</definedName>
    <definedName name="Preço" localSheetId="10">ROW()-Linha_Cabeçalho</definedName>
    <definedName name="Preço">ROW()-Linha_Cabeçalho</definedName>
    <definedName name="Previsão_Inicial_abr_16" localSheetId="3">#REF!</definedName>
    <definedName name="Previsão_Inicial_abr_16" localSheetId="5">#REF!</definedName>
    <definedName name="Previsão_Inicial_abr_16" localSheetId="13">#REF!</definedName>
    <definedName name="Previsão_Inicial_abr_16" localSheetId="26">#REF!</definedName>
    <definedName name="Previsão_Inicial_abr_16">#REF!</definedName>
    <definedName name="Previsão_Inicial_ago_16" localSheetId="3">#REF!</definedName>
    <definedName name="Previsão_Inicial_ago_16" localSheetId="5">#REF!</definedName>
    <definedName name="Previsão_Inicial_ago_16" localSheetId="13">#REF!</definedName>
    <definedName name="Previsão_Inicial_ago_16" localSheetId="26">#REF!</definedName>
    <definedName name="Previsão_Inicial_ago_16">#REF!</definedName>
    <definedName name="Previsão_Inicial_dez_16" localSheetId="3">#REF!</definedName>
    <definedName name="Previsão_Inicial_dez_16" localSheetId="5">#REF!</definedName>
    <definedName name="Previsão_Inicial_dez_16" localSheetId="13">#REF!</definedName>
    <definedName name="Previsão_Inicial_dez_16" localSheetId="26">#REF!</definedName>
    <definedName name="Previsão_Inicial_dez_16">#REF!</definedName>
    <definedName name="Previsão_Inicial_fev_16" localSheetId="3">#REF!</definedName>
    <definedName name="Previsão_Inicial_fev_16" localSheetId="5">#REF!</definedName>
    <definedName name="Previsão_Inicial_fev_16" localSheetId="13">#REF!</definedName>
    <definedName name="Previsão_Inicial_fev_16" localSheetId="26">#REF!</definedName>
    <definedName name="Previsão_Inicial_fev_16">#REF!</definedName>
    <definedName name="Previsão_Inicial_jan_16" localSheetId="3">#REF!</definedName>
    <definedName name="Previsão_Inicial_jan_16" localSheetId="5">#REF!</definedName>
    <definedName name="Previsão_Inicial_jan_16" localSheetId="13">#REF!</definedName>
    <definedName name="Previsão_Inicial_jan_16" localSheetId="26">#REF!</definedName>
    <definedName name="Previsão_Inicial_jan_16">#REF!</definedName>
    <definedName name="Previsão_Inicial_jul_16" localSheetId="3">#REF!</definedName>
    <definedName name="Previsão_Inicial_jul_16" localSheetId="5">#REF!</definedName>
    <definedName name="Previsão_Inicial_jul_16" localSheetId="13">#REF!</definedName>
    <definedName name="Previsão_Inicial_jul_16" localSheetId="26">#REF!</definedName>
    <definedName name="Previsão_Inicial_jul_16">#REF!</definedName>
    <definedName name="Previsão_Inicial_jun_16" localSheetId="3">#REF!</definedName>
    <definedName name="Previsão_Inicial_jun_16" localSheetId="5">#REF!</definedName>
    <definedName name="Previsão_Inicial_jun_16" localSheetId="13">#REF!</definedName>
    <definedName name="Previsão_Inicial_jun_16" localSheetId="26">#REF!</definedName>
    <definedName name="Previsão_Inicial_jun_16">#REF!</definedName>
    <definedName name="Previsão_Inicial_mai_16" localSheetId="3">#REF!</definedName>
    <definedName name="Previsão_Inicial_mai_16" localSheetId="5">#REF!</definedName>
    <definedName name="Previsão_Inicial_mai_16" localSheetId="13">#REF!</definedName>
    <definedName name="Previsão_Inicial_mai_16" localSheetId="26">#REF!</definedName>
    <definedName name="Previsão_Inicial_mai_16">#REF!</definedName>
    <definedName name="Previsão_Inicial_mar_16" localSheetId="3">#REF!</definedName>
    <definedName name="Previsão_Inicial_mar_16" localSheetId="5">#REF!</definedName>
    <definedName name="Previsão_Inicial_mar_16" localSheetId="13">#REF!</definedName>
    <definedName name="Previsão_Inicial_mar_16" localSheetId="26">#REF!</definedName>
    <definedName name="Previsão_Inicial_mar_16">#REF!</definedName>
    <definedName name="Previsão_Inicial_nov_16" localSheetId="3">#REF!</definedName>
    <definedName name="Previsão_Inicial_nov_16" localSheetId="5">#REF!</definedName>
    <definedName name="Previsão_Inicial_nov_16" localSheetId="13">#REF!</definedName>
    <definedName name="Previsão_Inicial_nov_16" localSheetId="26">#REF!</definedName>
    <definedName name="Previsão_Inicial_nov_16">#REF!</definedName>
    <definedName name="Previsão_Inicial_out_16" localSheetId="3">#REF!</definedName>
    <definedName name="Previsão_Inicial_out_16" localSheetId="5">#REF!</definedName>
    <definedName name="Previsão_Inicial_out_16" localSheetId="13">#REF!</definedName>
    <definedName name="Previsão_Inicial_out_16" localSheetId="26">#REF!</definedName>
    <definedName name="Previsão_Inicial_out_16">#REF!</definedName>
    <definedName name="Previsão_Inicial_set_16" localSheetId="3">#REF!</definedName>
    <definedName name="Previsão_Inicial_set_16" localSheetId="5">#REF!</definedName>
    <definedName name="Previsão_Inicial_set_16" localSheetId="13">#REF!</definedName>
    <definedName name="Previsão_Inicial_set_16" localSheetId="26">#REF!</definedName>
    <definedName name="Previsão_Inicial_set_16">#REF!</definedName>
    <definedName name="Previsão_Vento1" localSheetId="3">#REF!</definedName>
    <definedName name="Previsão_Vento1" localSheetId="5">#REF!</definedName>
    <definedName name="Previsão_Vento1" localSheetId="13">#REF!</definedName>
    <definedName name="Previsão_Vento1" localSheetId="26">#REF!</definedName>
    <definedName name="Previsão_Vento1">#REF!</definedName>
    <definedName name="Previsto_a_medir_Fin_Medições" localSheetId="3">#REF!</definedName>
    <definedName name="Previsto_a_medir_Fin_Medições" localSheetId="5">#REF!</definedName>
    <definedName name="Previsto_a_medir_Fin_Medições" localSheetId="13">#REF!</definedName>
    <definedName name="Previsto_a_medir_Fin_Medições" localSheetId="26">#REF!</definedName>
    <definedName name="Previsto_a_medir_Fin_Medições">#REF!</definedName>
    <definedName name="print" localSheetId="9">{#N/A,#N/A,FALSE,"$170M Cash";#N/A,#N/A,FALSE,"$250M Cash";#N/A,#N/A,FALSE,"$325M Cash"}</definedName>
    <definedName name="print" localSheetId="6">{#N/A,#N/A,FALSE,"$170M Cash";#N/A,#N/A,FALSE,"$250M Cash";#N/A,#N/A,FALSE,"$325M Cash"}</definedName>
    <definedName name="print" localSheetId="3">{#N/A,#N/A,FALSE,"$170M Cash";#N/A,#N/A,FALSE,"$250M Cash";#N/A,#N/A,FALSE,"$325M Cash"}</definedName>
    <definedName name="print" localSheetId="8">{#N/A,#N/A,FALSE,"$170M Cash";#N/A,#N/A,FALSE,"$250M Cash";#N/A,#N/A,FALSE,"$325M Cash"}</definedName>
    <definedName name="print" localSheetId="5">{#N/A,#N/A,FALSE,"$170M Cash";#N/A,#N/A,FALSE,"$250M Cash";#N/A,#N/A,FALSE,"$325M Cash"}</definedName>
    <definedName name="print" localSheetId="4">{#N/A,#N/A,FALSE,"$170M Cash";#N/A,#N/A,FALSE,"$250M Cash";#N/A,#N/A,FALSE,"$325M Cash"}</definedName>
    <definedName name="print" localSheetId="13">{#N/A,#N/A,FALSE,"$170M Cash";#N/A,#N/A,FALSE,"$250M Cash";#N/A,#N/A,FALSE,"$325M Cash"}</definedName>
    <definedName name="print" localSheetId="17">{#N/A,#N/A,FALSE,"$170M Cash";#N/A,#N/A,FALSE,"$250M Cash";#N/A,#N/A,FALSE,"$325M Cash"}</definedName>
    <definedName name="print" localSheetId="0">{#N/A,#N/A,FALSE,"$170M Cash";#N/A,#N/A,FALSE,"$250M Cash";#N/A,#N/A,FALSE,"$325M Cash"}</definedName>
    <definedName name="print" localSheetId="19">{#N/A,#N/A,FALSE,"$170M Cash";#N/A,#N/A,FALSE,"$250M Cash";#N/A,#N/A,FALSE,"$325M Cash"}</definedName>
    <definedName name="print" localSheetId="16">{#N/A,#N/A,FALSE,"$170M Cash";#N/A,#N/A,FALSE,"$250M Cash";#N/A,#N/A,FALSE,"$325M Cash"}</definedName>
    <definedName name="print" localSheetId="18">{#N/A,#N/A,FALSE,"$170M Cash";#N/A,#N/A,FALSE,"$250M Cash";#N/A,#N/A,FALSE,"$325M Cash"}</definedName>
    <definedName name="print" localSheetId="10">{#N/A,#N/A,FALSE,"$170M Cash";#N/A,#N/A,FALSE,"$250M Cash";#N/A,#N/A,FALSE,"$325M Cash"}</definedName>
    <definedName name="print">{#N/A,#N/A,FALSE,"$170M Cash";#N/A,#N/A,FALSE,"$250M Cash";#N/A,#N/A,FALSE,"$325M Cash"}</definedName>
    <definedName name="Print_Area" localSheetId="5">#REF!</definedName>
    <definedName name="Print_Area" localSheetId="13">#REF!</definedName>
    <definedName name="Print_Area" localSheetId="17">#REF!</definedName>
    <definedName name="Print_Area" localSheetId="26">MOBILIÁRIO!$B$5:$G$92</definedName>
    <definedName name="Print_Area" localSheetId="18">#REF!</definedName>
    <definedName name="Print_Area">#REF!</definedName>
    <definedName name="Print_Area_MI" localSheetId="3">#REF!</definedName>
    <definedName name="Print_Area_MI" localSheetId="1">#REF!</definedName>
    <definedName name="Print_Area_MI" localSheetId="5">#REF!</definedName>
    <definedName name="Print_Area_MI" localSheetId="21">#REF!</definedName>
    <definedName name="Print_Area_MI" localSheetId="22">#REF!</definedName>
    <definedName name="Print_Area_MI" localSheetId="13">#REF!</definedName>
    <definedName name="Print_Area_MI" localSheetId="26">#REF!</definedName>
    <definedName name="Print_Area_MI" localSheetId="0">#REF!</definedName>
    <definedName name="Print_Area_MI">#REF!</definedName>
    <definedName name="Print_Titles" localSheetId="5">#REF!</definedName>
    <definedName name="Print_Titles" localSheetId="13">#REF!</definedName>
    <definedName name="Print_Titles" localSheetId="26">#REF!</definedName>
    <definedName name="Print_Titles">#REF!</definedName>
    <definedName name="PRINT_TITLES_MI" localSheetId="3">#REF!</definedName>
    <definedName name="PRINT_TITLES_MI" localSheetId="5">#REF!</definedName>
    <definedName name="PRINT_TITLES_MI" localSheetId="13">#REF!</definedName>
    <definedName name="PRINT_TITLES_MI" localSheetId="26">#REF!</definedName>
    <definedName name="PRINT_TITLES_MI">#REF!</definedName>
    <definedName name="programa" localSheetId="3">#REF!</definedName>
    <definedName name="programa" localSheetId="5">#REF!</definedName>
    <definedName name="programa" localSheetId="13">#REF!</definedName>
    <definedName name="programa" localSheetId="26">#REF!</definedName>
    <definedName name="programa">#REF!</definedName>
    <definedName name="Programaa" localSheetId="3">#REF!</definedName>
    <definedName name="Programaa" localSheetId="5">#REF!</definedName>
    <definedName name="Programaa" localSheetId="13">#REF!</definedName>
    <definedName name="Programaa" localSheetId="26">#REF!</definedName>
    <definedName name="Programaa">#REF!</definedName>
    <definedName name="Projeção_torre" localSheetId="3">#REF!</definedName>
    <definedName name="Projeção_torre" localSheetId="5">#REF!</definedName>
    <definedName name="Projeção_torre" localSheetId="13">#REF!</definedName>
    <definedName name="Projeção_torre" localSheetId="26">#REF!</definedName>
    <definedName name="Projeção_torre" localSheetId="0">#REF!</definedName>
    <definedName name="Projeção_torre">#REF!</definedName>
    <definedName name="projeto_nome_com" localSheetId="6">IF((COUNTA(#REF!)-2)&gt;1,"TERRENO "&amp;VLOOKUP(#REF!,#REF!,8,0),VLOOKUP(#REF!,#REF!,3,0))</definedName>
    <definedName name="projeto_nome_com" localSheetId="4">IF((COUNTA(#REF!)-2)&gt;1,"TERRENO "&amp;VLOOKUP(#REF!,#REF!,8,0),VLOOKUP(#REF!,#REF!,3,0))</definedName>
    <definedName name="projeto_nome_com" localSheetId="13">IF((COUNTA(#REF!)-2)&gt;1,"TERRENO "&amp;VLOOKUP(#REF!,#REF!,8,0),VLOOKUP(#REF!,#REF!,3,0))</definedName>
    <definedName name="projeto_nome_com" localSheetId="19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3">#REF!</definedName>
    <definedName name="PROPAGANDA" localSheetId="5">#REF!</definedName>
    <definedName name="PROPAGANDA" localSheetId="13">#REF!</definedName>
    <definedName name="PROPAGANDA" localSheetId="26">#REF!</definedName>
    <definedName name="PROPAGANDA">#REF!</definedName>
    <definedName name="ptirigyiotut" localSheetId="9">{#N/A,#N/A,FALSE,"Plan1";#N/A,#N/A,FALSE,"Plan2"}</definedName>
    <definedName name="ptirigyiotut" localSheetId="6">{#N/A,#N/A,FALSE,"Plan1";#N/A,#N/A,FALSE,"Plan2"}</definedName>
    <definedName name="ptirigyiotut" localSheetId="3">{#N/A,#N/A,FALSE,"Plan1";#N/A,#N/A,FALSE,"Plan2"}</definedName>
    <definedName name="ptirigyiotut" localSheetId="8">{#N/A,#N/A,FALSE,"Plan1";#N/A,#N/A,FALSE,"Plan2"}</definedName>
    <definedName name="ptirigyiotut" localSheetId="5">{#N/A,#N/A,FALSE,"Plan1";#N/A,#N/A,FALSE,"Plan2"}</definedName>
    <definedName name="ptirigyiotut" localSheetId="4">{#N/A,#N/A,FALSE,"Plan1";#N/A,#N/A,FALSE,"Plan2"}</definedName>
    <definedName name="ptirigyiotut" localSheetId="13">{#N/A,#N/A,FALSE,"Plan1";#N/A,#N/A,FALSE,"Plan2"}</definedName>
    <definedName name="ptirigyiotut" localSheetId="17">{#N/A,#N/A,FALSE,"Plan1";#N/A,#N/A,FALSE,"Plan2"}</definedName>
    <definedName name="ptirigyiotut" localSheetId="0">{#N/A,#N/A,FALSE,"Plan1";#N/A,#N/A,FALSE,"Plan2"}</definedName>
    <definedName name="ptirigyiotut" localSheetId="19">{#N/A,#N/A,FALSE,"Plan1";#N/A,#N/A,FALSE,"Plan2"}</definedName>
    <definedName name="ptirigyiotut" localSheetId="16">{#N/A,#N/A,FALSE,"Plan1";#N/A,#N/A,FALSE,"Plan2"}</definedName>
    <definedName name="ptirigyiotut" localSheetId="18">{#N/A,#N/A,FALSE,"Plan1";#N/A,#N/A,FALSE,"Plan2"}</definedName>
    <definedName name="ptirigyiotut" localSheetId="10">{#N/A,#N/A,FALSE,"Plan1";#N/A,#N/A,FALSE,"Plan2"}</definedName>
    <definedName name="ptirigyiotut">{#N/A,#N/A,FALSE,"Plan1";#N/A,#N/A,FALSE,"Plan2"}</definedName>
    <definedName name="PWER3" localSheetId="9">{#N/A,#N/A,FALSE,"Plan1";#N/A,#N/A,FALSE,"Plan2"}</definedName>
    <definedName name="PWER3" localSheetId="6">{#N/A,#N/A,FALSE,"Plan1";#N/A,#N/A,FALSE,"Plan2"}</definedName>
    <definedName name="PWER3" localSheetId="3">{#N/A,#N/A,FALSE,"Plan1";#N/A,#N/A,FALSE,"Plan2"}</definedName>
    <definedName name="PWER3" localSheetId="8">{#N/A,#N/A,FALSE,"Plan1";#N/A,#N/A,FALSE,"Plan2"}</definedName>
    <definedName name="PWER3" localSheetId="5">{#N/A,#N/A,FALSE,"Plan1";#N/A,#N/A,FALSE,"Plan2"}</definedName>
    <definedName name="PWER3" localSheetId="4">{#N/A,#N/A,FALSE,"Plan1";#N/A,#N/A,FALSE,"Plan2"}</definedName>
    <definedName name="PWER3" localSheetId="13">{#N/A,#N/A,FALSE,"Plan1";#N/A,#N/A,FALSE,"Plan2"}</definedName>
    <definedName name="PWER3" localSheetId="17">{#N/A,#N/A,FALSE,"Plan1";#N/A,#N/A,FALSE,"Plan2"}</definedName>
    <definedName name="PWER3" localSheetId="0">{#N/A,#N/A,FALSE,"Plan1";#N/A,#N/A,FALSE,"Plan2"}</definedName>
    <definedName name="PWER3" localSheetId="19">{#N/A,#N/A,FALSE,"Plan1";#N/A,#N/A,FALSE,"Plan2"}</definedName>
    <definedName name="PWER3" localSheetId="16">{#N/A,#N/A,FALSE,"Plan1";#N/A,#N/A,FALSE,"Plan2"}</definedName>
    <definedName name="PWER3" localSheetId="18">{#N/A,#N/A,FALSE,"Plan1";#N/A,#N/A,FALSE,"Plan2"}</definedName>
    <definedName name="PWER3" localSheetId="10">{#N/A,#N/A,FALSE,"Plan1";#N/A,#N/A,FALSE,"Plan2"}</definedName>
    <definedName name="PWER3">{#N/A,#N/A,FALSE,"Plan1";#N/A,#N/A,FALSE,"Plan2"}</definedName>
    <definedName name="q" localSheetId="3">#REF!</definedName>
    <definedName name="q" localSheetId="5">#REF!</definedName>
    <definedName name="q" localSheetId="13">#REF!</definedName>
    <definedName name="q" localSheetId="26">#REF!</definedName>
    <definedName name="q" localSheetId="0">#REF!</definedName>
    <definedName name="q">#REF!</definedName>
    <definedName name="QCLIENTE_PCLIENTE" localSheetId="3">#REF!</definedName>
    <definedName name="QCLIENTE_PCLIENTE" localSheetId="5">#REF!</definedName>
    <definedName name="QCLIENTE_PCLIENTE" localSheetId="13">#REF!</definedName>
    <definedName name="QCLIENTE_PCLIENTE" localSheetId="26">#REF!</definedName>
    <definedName name="QCLIENTE_PCLIENTE">#REF!</definedName>
    <definedName name="QCliente_PCliente1" localSheetId="3">#REF!</definedName>
    <definedName name="QCliente_PCliente1" localSheetId="5">#REF!</definedName>
    <definedName name="QCliente_PCliente1" localSheetId="13">#REF!</definedName>
    <definedName name="QCliente_PCliente1" localSheetId="26">#REF!</definedName>
    <definedName name="QCliente_PCliente1">#REF!</definedName>
    <definedName name="qe" localSheetId="3">#REF!</definedName>
    <definedName name="qe" localSheetId="1">#REF!</definedName>
    <definedName name="qe" localSheetId="5">#REF!</definedName>
    <definedName name="qe" localSheetId="21">#REF!</definedName>
    <definedName name="qe" localSheetId="22">#REF!</definedName>
    <definedName name="qe" localSheetId="13">#REF!</definedName>
    <definedName name="qe" localSheetId="26">#REF!</definedName>
    <definedName name="qe" localSheetId="0">#REF!</definedName>
    <definedName name="qe">#REF!</definedName>
    <definedName name="qee" localSheetId="3">#REF!</definedName>
    <definedName name="qee" localSheetId="1">#REF!</definedName>
    <definedName name="qee" localSheetId="5">#REF!</definedName>
    <definedName name="qee" localSheetId="21">#REF!</definedName>
    <definedName name="qee" localSheetId="22">#REF!</definedName>
    <definedName name="qee" localSheetId="13">#REF!</definedName>
    <definedName name="qee" localSheetId="26">#REF!</definedName>
    <definedName name="qee" localSheetId="0">#REF!</definedName>
    <definedName name="qee">#REF!</definedName>
    <definedName name="qkqh1" localSheetId="9">{#N/A,#N/A,FALSE,"명세표"}</definedName>
    <definedName name="qkqh1" localSheetId="6">{#N/A,#N/A,FALSE,"명세표"}</definedName>
    <definedName name="qkqh1" localSheetId="3">{#N/A,#N/A,FALSE,"명세표"}</definedName>
    <definedName name="qkqh1" localSheetId="8">{#N/A,#N/A,FALSE,"명세표"}</definedName>
    <definedName name="qkqh1" localSheetId="5">{#N/A,#N/A,FALSE,"명세표"}</definedName>
    <definedName name="qkqh1" localSheetId="4">{#N/A,#N/A,FALSE,"명세표"}</definedName>
    <definedName name="qkqh1" localSheetId="13">{#N/A,#N/A,FALSE,"명세표"}</definedName>
    <definedName name="qkqh1" localSheetId="17">{#N/A,#N/A,FALSE,"명세표"}</definedName>
    <definedName name="qkqh1" localSheetId="0">{#N/A,#N/A,FALSE,"명세표"}</definedName>
    <definedName name="qkqh1" localSheetId="19">{#N/A,#N/A,FALSE,"명세표"}</definedName>
    <definedName name="qkqh1" localSheetId="16">{#N/A,#N/A,FALSE,"명세표"}</definedName>
    <definedName name="qkqh1" localSheetId="18">{#N/A,#N/A,FALSE,"명세표"}</definedName>
    <definedName name="qkqh1" localSheetId="10">{#N/A,#N/A,FALSE,"명세표"}</definedName>
    <definedName name="qkqh1">{#N/A,#N/A,FALSE,"명세표"}</definedName>
    <definedName name="QOAS_POAS" localSheetId="3">#REF!</definedName>
    <definedName name="QOAS_POAS" localSheetId="5">#REF!</definedName>
    <definedName name="QOAS_POAS" localSheetId="13">#REF!</definedName>
    <definedName name="QOAS_POAS" localSheetId="26">#REF!</definedName>
    <definedName name="QOAS_POAS">#REF!</definedName>
    <definedName name="QQ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6">#REF!:#REF!</definedName>
    <definedName name="QQQ" localSheetId="8">#REF!:#REF!</definedName>
    <definedName name="QQQ" localSheetId="4">#REF!:#REF!</definedName>
    <definedName name="QQQ" localSheetId="13">#REF!:#REF!</definedName>
    <definedName name="QQQ" localSheetId="19">#REF!:#REF!</definedName>
    <definedName name="QQQ">#REF!:#REF!</definedName>
    <definedName name="QQQQQQQQ" localSheetId="3">#REF!</definedName>
    <definedName name="QQQQQQQQ" localSheetId="5">#REF!</definedName>
    <definedName name="QQQQQQQQ" localSheetId="13">#REF!</definedName>
    <definedName name="QQQQQQQQ" localSheetId="26">#REF!</definedName>
    <definedName name="QQQQQQQQ" localSheetId="0">#REF!</definedName>
    <definedName name="QQQQQQQQ">#REF!</definedName>
    <definedName name="QREAL_PCLIENTE" localSheetId="3">#REF!</definedName>
    <definedName name="QREAL_PCLIENTE" localSheetId="5">#REF!</definedName>
    <definedName name="QREAL_PCLIENTE" localSheetId="13">#REF!</definedName>
    <definedName name="QREAL_PCLIENTE" localSheetId="26">#REF!</definedName>
    <definedName name="QREAL_PCLIENTE">#REF!</definedName>
    <definedName name="QReal_PCliente1" localSheetId="3">#REF!</definedName>
    <definedName name="QReal_PCliente1" localSheetId="5">#REF!</definedName>
    <definedName name="QReal_PCliente1" localSheetId="13">#REF!</definedName>
    <definedName name="QReal_PCliente1" localSheetId="26">#REF!</definedName>
    <definedName name="QReal_PCliente1">#REF!</definedName>
    <definedName name="QSQWSE" localSheetId="9">{#N/A,#N/A,FALSE,"Plan1";#N/A,#N/A,FALSE,"Plan2"}</definedName>
    <definedName name="QSQWSE" localSheetId="6">{#N/A,#N/A,FALSE,"Plan1";#N/A,#N/A,FALSE,"Plan2"}</definedName>
    <definedName name="QSQWSE" localSheetId="3">{#N/A,#N/A,FALSE,"Plan1";#N/A,#N/A,FALSE,"Plan2"}</definedName>
    <definedName name="QSQWSE" localSheetId="8">{#N/A,#N/A,FALSE,"Plan1";#N/A,#N/A,FALSE,"Plan2"}</definedName>
    <definedName name="QSQWSE" localSheetId="5">{#N/A,#N/A,FALSE,"Plan1";#N/A,#N/A,FALSE,"Plan2"}</definedName>
    <definedName name="QSQWSE" localSheetId="4">{#N/A,#N/A,FALSE,"Plan1";#N/A,#N/A,FALSE,"Plan2"}</definedName>
    <definedName name="QSQWSE" localSheetId="13">{#N/A,#N/A,FALSE,"Plan1";#N/A,#N/A,FALSE,"Plan2"}</definedName>
    <definedName name="QSQWSE" localSheetId="17">{#N/A,#N/A,FALSE,"Plan1";#N/A,#N/A,FALSE,"Plan2"}</definedName>
    <definedName name="QSQWSE" localSheetId="0">{#N/A,#N/A,FALSE,"Plan1";#N/A,#N/A,FALSE,"Plan2"}</definedName>
    <definedName name="QSQWSE" localSheetId="19">{#N/A,#N/A,FALSE,"Plan1";#N/A,#N/A,FALSE,"Plan2"}</definedName>
    <definedName name="QSQWSE" localSheetId="16">{#N/A,#N/A,FALSE,"Plan1";#N/A,#N/A,FALSE,"Plan2"}</definedName>
    <definedName name="QSQWSE" localSheetId="18">{#N/A,#N/A,FALSE,"Plan1";#N/A,#N/A,FALSE,"Plan2"}</definedName>
    <definedName name="QSQWSE" localSheetId="10">{#N/A,#N/A,FALSE,"Plan1";#N/A,#N/A,FALSE,"Plan2"}</definedName>
    <definedName name="QSQWSE">{#N/A,#N/A,FALSE,"Plan1";#N/A,#N/A,FALSE,"Plan2"}</definedName>
    <definedName name="qtd_mensal" localSheetId="3">#REF!</definedName>
    <definedName name="qtd_mensal" localSheetId="5">#REF!</definedName>
    <definedName name="qtd_mensal" localSheetId="13">#REF!</definedName>
    <definedName name="qtd_mensal" localSheetId="26">#REF!</definedName>
    <definedName name="qtd_mensal">#REF!</definedName>
    <definedName name="qtd3esta" localSheetId="3">#REF!</definedName>
    <definedName name="qtd3esta" localSheetId="5">#REF!</definedName>
    <definedName name="qtd3esta" localSheetId="13">#REF!</definedName>
    <definedName name="qtd3esta" localSheetId="26">#REF!</definedName>
    <definedName name="qtd3esta">#REF!</definedName>
    <definedName name="qtdbase" localSheetId="3">#REF!</definedName>
    <definedName name="qtdbase" localSheetId="5">#REF!</definedName>
    <definedName name="qtdbase" localSheetId="13">#REF!</definedName>
    <definedName name="qtdbase" localSheetId="26">#REF!</definedName>
    <definedName name="qtdbase">#REF!</definedName>
    <definedName name="qtdbltub" localSheetId="3">#REF!</definedName>
    <definedName name="qtdbltub" localSheetId="5">#REF!</definedName>
    <definedName name="qtdbltub" localSheetId="13">#REF!</definedName>
    <definedName name="qtdbltub" localSheetId="26">#REF!</definedName>
    <definedName name="qtdbltub">#REF!</definedName>
    <definedName name="qtdestac" localSheetId="3">#REF!</definedName>
    <definedName name="qtdestac" localSheetId="5">#REF!</definedName>
    <definedName name="qtdestac" localSheetId="13">#REF!</definedName>
    <definedName name="qtdestac" localSheetId="26">#REF!</definedName>
    <definedName name="qtdestac">#REF!</definedName>
    <definedName name="qtdsap" localSheetId="3">#REF!</definedName>
    <definedName name="qtdsap" localSheetId="5">#REF!</definedName>
    <definedName name="qtdsap" localSheetId="13">#REF!</definedName>
    <definedName name="qtdsap" localSheetId="26">#REF!</definedName>
    <definedName name="qtdsap">#REF!</definedName>
    <definedName name="qtdtub" localSheetId="3">#REF!</definedName>
    <definedName name="qtdtub" localSheetId="5">#REF!</definedName>
    <definedName name="qtdtub" localSheetId="13">#REF!</definedName>
    <definedName name="qtdtub" localSheetId="26">#REF!</definedName>
    <definedName name="qtdtub">#REF!</definedName>
    <definedName name="QTNULO" localSheetId="3">#REF!</definedName>
    <definedName name="QTNULO" localSheetId="5">#REF!</definedName>
    <definedName name="QTNULO" localSheetId="13">#REF!</definedName>
    <definedName name="QTNULO" localSheetId="26">#REF!</definedName>
    <definedName name="QTNULO">#REF!</definedName>
    <definedName name="QTPADRAO" localSheetId="3">#REF!</definedName>
    <definedName name="QTPADRAO" localSheetId="5">#REF!</definedName>
    <definedName name="QTPADRAO" localSheetId="13">#REF!</definedName>
    <definedName name="QTPADRAO" localSheetId="26">#REF!</definedName>
    <definedName name="QTPADRAO">#REF!</definedName>
    <definedName name="QTRES" localSheetId="3">#REF!</definedName>
    <definedName name="QTRES" localSheetId="5">#REF!</definedName>
    <definedName name="QTRES" localSheetId="13">#REF!</definedName>
    <definedName name="QTRES" localSheetId="26">#REF!</definedName>
    <definedName name="QTRES">#REF!</definedName>
    <definedName name="QuadraE" localSheetId="3">#REF!</definedName>
    <definedName name="QuadraE" localSheetId="5">#REF!</definedName>
    <definedName name="QuadraE" localSheetId="13">#REF!</definedName>
    <definedName name="QuadraE" localSheetId="26">#REF!</definedName>
    <definedName name="QuadraE">#REF!</definedName>
    <definedName name="quadrocompar." localSheetId="3">#REF!</definedName>
    <definedName name="quadrocompar." localSheetId="5">#REF!</definedName>
    <definedName name="quadrocompar." localSheetId="13">#REF!</definedName>
    <definedName name="quadrocompar." localSheetId="26">#REF!</definedName>
    <definedName name="quadrocompar.">#REF!</definedName>
    <definedName name="QUANT" localSheetId="3">#REF!</definedName>
    <definedName name="QUANT" localSheetId="5">#REF!</definedName>
    <definedName name="QUANT" localSheetId="13">#REF!</definedName>
    <definedName name="QUANT" localSheetId="26">#REF!</definedName>
    <definedName name="QUANT">#REF!</definedName>
    <definedName name="Quant_Aptos" localSheetId="3">#REF!</definedName>
    <definedName name="Quant_Aptos" localSheetId="5">#REF!</definedName>
    <definedName name="Quant_Aptos" localSheetId="13">#REF!</definedName>
    <definedName name="Quant_Aptos" localSheetId="26">#REF!</definedName>
    <definedName name="Quant_Aptos" localSheetId="0">#REF!</definedName>
    <definedName name="Quant_Aptos">#REF!</definedName>
    <definedName name="Quant_Cremalheira" localSheetId="3">#REF!</definedName>
    <definedName name="Quant_Cremalheira" localSheetId="5">#REF!</definedName>
    <definedName name="Quant_Cremalheira" localSheetId="13">#REF!</definedName>
    <definedName name="Quant_Cremalheira" localSheetId="26">#REF!</definedName>
    <definedName name="Quant_Cremalheira" localSheetId="0">#REF!</definedName>
    <definedName name="Quant_Cremalheira">#REF!</definedName>
    <definedName name="Quant_grua" localSheetId="3">#REF!</definedName>
    <definedName name="Quant_grua" localSheetId="5">#REF!</definedName>
    <definedName name="Quant_grua" localSheetId="13">#REF!</definedName>
    <definedName name="Quant_grua" localSheetId="26">#REF!</definedName>
    <definedName name="Quant_grua" localSheetId="0">#REF!</definedName>
    <definedName name="Quant_grua">#REF!</definedName>
    <definedName name="Quant_pav_lajão" localSheetId="3">#REF!</definedName>
    <definedName name="Quant_pav_lajão" localSheetId="5">#REF!</definedName>
    <definedName name="Quant_pav_lajão" localSheetId="13">#REF!</definedName>
    <definedName name="Quant_pav_lajão" localSheetId="26">#REF!</definedName>
    <definedName name="Quant_pav_lajão" localSheetId="0">#REF!</definedName>
    <definedName name="Quant_pav_lajão">#REF!</definedName>
    <definedName name="Quant_tipo" localSheetId="3">#REF!</definedName>
    <definedName name="Quant_tipo" localSheetId="5">#REF!</definedName>
    <definedName name="Quant_tipo" localSheetId="13">#REF!</definedName>
    <definedName name="Quant_tipo" localSheetId="26">#REF!</definedName>
    <definedName name="Quant_tipo" localSheetId="0">#REF!</definedName>
    <definedName name="Quant_tipo">#REF!</definedName>
    <definedName name="Quant_torres" localSheetId="3">#REF!</definedName>
    <definedName name="Quant_torres" localSheetId="5">#REF!</definedName>
    <definedName name="Quant_torres" localSheetId="13">#REF!</definedName>
    <definedName name="Quant_torres" localSheetId="26">#REF!</definedName>
    <definedName name="Quant_torres" localSheetId="0">#REF!</definedName>
    <definedName name="Quant_torres">#REF!</definedName>
    <definedName name="Quantidade_Elevadores" localSheetId="3">#REF!</definedName>
    <definedName name="Quantidade_Elevadores" localSheetId="5">#REF!</definedName>
    <definedName name="Quantidade_Elevadores" localSheetId="13">#REF!</definedName>
    <definedName name="Quantidade_Elevadores" localSheetId="26">#REF!</definedName>
    <definedName name="Quantidade_Elevadores" localSheetId="0">#REF!</definedName>
    <definedName name="Quantidade_Elevadores">#REF!</definedName>
    <definedName name="QUANTP" localSheetId="3">#REF!</definedName>
    <definedName name="QUANTP" localSheetId="5">#REF!</definedName>
    <definedName name="QUANTP" localSheetId="13">#REF!</definedName>
    <definedName name="QUANTP" localSheetId="26">#REF!</definedName>
    <definedName name="QUANTP">#REF!</definedName>
    <definedName name="QUATRO" localSheetId="3">#REF!</definedName>
    <definedName name="QUATRO" localSheetId="5">#REF!</definedName>
    <definedName name="QUATRO" localSheetId="13">#REF!</definedName>
    <definedName name="QUATRO" localSheetId="26">#REF!</definedName>
    <definedName name="QUATRO">#REF!</definedName>
    <definedName name="QUINZE" localSheetId="3">#REF!</definedName>
    <definedName name="QUINZE" localSheetId="5">#REF!</definedName>
    <definedName name="QUINZE" localSheetId="13">#REF!</definedName>
    <definedName name="QUINZE" localSheetId="26">#REF!</definedName>
    <definedName name="QUINZE">#REF!</definedName>
    <definedName name="qwdqw" localSheetId="9">{#N/A,#N/A,FALSE,"Plan1";#N/A,#N/A,FALSE,"Plan2"}</definedName>
    <definedName name="qwdqw" localSheetId="6">{#N/A,#N/A,FALSE,"Plan1";#N/A,#N/A,FALSE,"Plan2"}</definedName>
    <definedName name="qwdqw" localSheetId="3">{#N/A,#N/A,FALSE,"Plan1";#N/A,#N/A,FALSE,"Plan2"}</definedName>
    <definedName name="qwdqw" localSheetId="8">{#N/A,#N/A,FALSE,"Plan1";#N/A,#N/A,FALSE,"Plan2"}</definedName>
    <definedName name="qwdqw" localSheetId="5">{#N/A,#N/A,FALSE,"Plan1";#N/A,#N/A,FALSE,"Plan2"}</definedName>
    <definedName name="qwdqw" localSheetId="4">{#N/A,#N/A,FALSE,"Plan1";#N/A,#N/A,FALSE,"Plan2"}</definedName>
    <definedName name="qwdqw" localSheetId="13">{#N/A,#N/A,FALSE,"Plan1";#N/A,#N/A,FALSE,"Plan2"}</definedName>
    <definedName name="qwdqw" localSheetId="17">{#N/A,#N/A,FALSE,"Plan1";#N/A,#N/A,FALSE,"Plan2"}</definedName>
    <definedName name="qwdqw" localSheetId="0">{#N/A,#N/A,FALSE,"Plan1";#N/A,#N/A,FALSE,"Plan2"}</definedName>
    <definedName name="qwdqw" localSheetId="19">{#N/A,#N/A,FALSE,"Plan1";#N/A,#N/A,FALSE,"Plan2"}</definedName>
    <definedName name="qwdqw" localSheetId="16">{#N/A,#N/A,FALSE,"Plan1";#N/A,#N/A,FALSE,"Plan2"}</definedName>
    <definedName name="qwdqw" localSheetId="18">{#N/A,#N/A,FALSE,"Plan1";#N/A,#N/A,FALSE,"Plan2"}</definedName>
    <definedName name="qwdqw" localSheetId="10">{#N/A,#N/A,FALSE,"Plan1";#N/A,#N/A,FALSE,"Plan2"}</definedName>
    <definedName name="qwdqw">{#N/A,#N/A,FALSE,"Plan1";#N/A,#N/A,FALSE,"Plan2"}</definedName>
    <definedName name="qweqwe" localSheetId="9">{#N/A,#N/A,FALSE,"Plan1";#N/A,#N/A,FALSE,"Plan2"}</definedName>
    <definedName name="qweqwe" localSheetId="6">{#N/A,#N/A,FALSE,"Plan1";#N/A,#N/A,FALSE,"Plan2"}</definedName>
    <definedName name="qweqwe" localSheetId="3">{#N/A,#N/A,FALSE,"Plan1";#N/A,#N/A,FALSE,"Plan2"}</definedName>
    <definedName name="qweqwe" localSheetId="8">{#N/A,#N/A,FALSE,"Plan1";#N/A,#N/A,FALSE,"Plan2"}</definedName>
    <definedName name="qweqwe" localSheetId="5">{#N/A,#N/A,FALSE,"Plan1";#N/A,#N/A,FALSE,"Plan2"}</definedName>
    <definedName name="qweqwe" localSheetId="4">{#N/A,#N/A,FALSE,"Plan1";#N/A,#N/A,FALSE,"Plan2"}</definedName>
    <definedName name="qweqwe" localSheetId="13">{#N/A,#N/A,FALSE,"Plan1";#N/A,#N/A,FALSE,"Plan2"}</definedName>
    <definedName name="qweqwe" localSheetId="17">{#N/A,#N/A,FALSE,"Plan1";#N/A,#N/A,FALSE,"Plan2"}</definedName>
    <definedName name="qweqwe" localSheetId="0">{#N/A,#N/A,FALSE,"Plan1";#N/A,#N/A,FALSE,"Plan2"}</definedName>
    <definedName name="qweqwe" localSheetId="19">{#N/A,#N/A,FALSE,"Plan1";#N/A,#N/A,FALSE,"Plan2"}</definedName>
    <definedName name="qweqwe" localSheetId="16">{#N/A,#N/A,FALSE,"Plan1";#N/A,#N/A,FALSE,"Plan2"}</definedName>
    <definedName name="qweqwe" localSheetId="18">{#N/A,#N/A,FALSE,"Plan1";#N/A,#N/A,FALSE,"Plan2"}</definedName>
    <definedName name="qweqwe" localSheetId="10">{#N/A,#N/A,FALSE,"Plan1";#N/A,#N/A,FALSE,"Plan2"}</definedName>
    <definedName name="qweqwe">{#N/A,#N/A,FALSE,"Plan1";#N/A,#N/A,FALSE,"Plan2"}</definedName>
    <definedName name="qweqwe4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3">#REF!</definedName>
    <definedName name="qwewqe" localSheetId="5">#REF!</definedName>
    <definedName name="qwewqe" localSheetId="13">#REF!</definedName>
    <definedName name="qwewqe" localSheetId="26">#REF!</definedName>
    <definedName name="qwewqe" localSheetId="0">#REF!</definedName>
    <definedName name="qwewqe">#REF!</definedName>
    <definedName name="qwqw" localSheetId="13">#REF!</definedName>
    <definedName name="qwqw" localSheetId="26">#REF!</definedName>
    <definedName name="qwqw" localSheetId="0">#REF!</definedName>
    <definedName name="qwqw">#REF!</definedName>
    <definedName name="R.imobAtualiz" localSheetId="3">#REF!</definedName>
    <definedName name="R.imobAtualiz" localSheetId="5">#REF!</definedName>
    <definedName name="R.imobAtualiz" localSheetId="13">#REF!</definedName>
    <definedName name="R.imobAtualiz" localSheetId="26">#REF!</definedName>
    <definedName name="R.imobAtualiz">#REF!</definedName>
    <definedName name="R_CorretAtualiz" localSheetId="3">#REF!</definedName>
    <definedName name="R_CorretAtualiz" localSheetId="5">#REF!</definedName>
    <definedName name="R_CorretAtualiz" localSheetId="13">#REF!</definedName>
    <definedName name="R_CorretAtualiz" localSheetId="26">#REF!</definedName>
    <definedName name="R_CorretAtualiz">#REF!</definedName>
    <definedName name="R_G.Cobr.Atualiz" localSheetId="3">#REF!</definedName>
    <definedName name="R_G.Cobr.Atualiz" localSheetId="5">#REF!</definedName>
    <definedName name="R_G.Cobr.Atualiz" localSheetId="13">#REF!</definedName>
    <definedName name="R_G.Cobr.Atualiz" localSheetId="26">#REF!</definedName>
    <definedName name="R_G.Cobr.Atualiz">#REF!</definedName>
    <definedName name="R_PmaisJAtualiz" localSheetId="3">#REF!</definedName>
    <definedName name="R_PmaisJAtualiz" localSheetId="5">#REF!</definedName>
    <definedName name="R_PmaisJAtualiz" localSheetId="13">#REF!</definedName>
    <definedName name="R_PmaisJAtualiz" localSheetId="26">#REF!</definedName>
    <definedName name="R_PmaisJAtualiz">#REF!</definedName>
    <definedName name="R_Prev.PerdaAtualiz" localSheetId="3">#REF!</definedName>
    <definedName name="R_Prev.PerdaAtualiz" localSheetId="5">#REF!</definedName>
    <definedName name="R_Prev.PerdaAtualiz" localSheetId="13">#REF!</definedName>
    <definedName name="R_Prev.PerdaAtualiz" localSheetId="26">#REF!</definedName>
    <definedName name="R_Prev.PerdaAtualiz">#REF!</definedName>
    <definedName name="RADIO" localSheetId="9">{"HW",#N/A,FALSE,"1998"}</definedName>
    <definedName name="RADIO" localSheetId="6">{"HW",#N/A,FALSE,"1998"}</definedName>
    <definedName name="RADIO" localSheetId="3">{"HW",#N/A,FALSE,"1998"}</definedName>
    <definedName name="RADIO" localSheetId="8">{"HW",#N/A,FALSE,"1998"}</definedName>
    <definedName name="RADIO" localSheetId="5">{"HW",#N/A,FALSE,"1998"}</definedName>
    <definedName name="RADIO" localSheetId="4">{"HW",#N/A,FALSE,"1998"}</definedName>
    <definedName name="RADIO" localSheetId="13">{"HW",#N/A,FALSE,"1998"}</definedName>
    <definedName name="RADIO" localSheetId="17">{"HW",#N/A,FALSE,"1998"}</definedName>
    <definedName name="RADIO" localSheetId="0">{"HW",#N/A,FALSE,"1998"}</definedName>
    <definedName name="RADIO" localSheetId="19">{"HW",#N/A,FALSE,"1998"}</definedName>
    <definedName name="RADIO" localSheetId="16">{"HW",#N/A,FALSE,"1998"}</definedName>
    <definedName name="RADIO" localSheetId="18">{"HW",#N/A,FALSE,"1998"}</definedName>
    <definedName name="RADIO" localSheetId="10">{"HW",#N/A,FALSE,"1998"}</definedName>
    <definedName name="RADIO">{"HW",#N/A,FALSE,"1998"}</definedName>
    <definedName name="RANGE" localSheetId="3">#REF!</definedName>
    <definedName name="RANGE" localSheetId="5">#REF!</definedName>
    <definedName name="RANGE" localSheetId="13">#REF!</definedName>
    <definedName name="RANGE" localSheetId="26">#REF!</definedName>
    <definedName name="RANGE">#REF!</definedName>
    <definedName name="RANGE1" localSheetId="3">#REF!</definedName>
    <definedName name="RANGE1" localSheetId="5">#REF!</definedName>
    <definedName name="RANGE1" localSheetId="13">#REF!</definedName>
    <definedName name="RANGE1" localSheetId="26">#REF!</definedName>
    <definedName name="RANGE1">#REF!</definedName>
    <definedName name="RANGE2" localSheetId="3">#REF!</definedName>
    <definedName name="RANGE2" localSheetId="5">#REF!</definedName>
    <definedName name="RANGE2" localSheetId="13">#REF!</definedName>
    <definedName name="RANGE2" localSheetId="26">#REF!</definedName>
    <definedName name="RANGE2">#REF!</definedName>
    <definedName name="RARQIMP" localSheetId="3">#REF!</definedName>
    <definedName name="RARQIMP" localSheetId="5">#REF!</definedName>
    <definedName name="RARQIMP" localSheetId="13">#REF!</definedName>
    <definedName name="RARQIMP" localSheetId="26">#REF!</definedName>
    <definedName name="RARQIMP">#REF!</definedName>
    <definedName name="RawData" localSheetId="3">#REF!</definedName>
    <definedName name="RawData" localSheetId="5">#REF!</definedName>
    <definedName name="RawData" localSheetId="13">#REF!</definedName>
    <definedName name="RawData" localSheetId="26">#REF!</definedName>
    <definedName name="RawData">#REF!</definedName>
    <definedName name="RE" localSheetId="3">#REF!</definedName>
    <definedName name="RE" localSheetId="5">#REF!</definedName>
    <definedName name="RE" localSheetId="13">#REF!</definedName>
    <definedName name="RE" localSheetId="26">#REF!</definedName>
    <definedName name="RE">#REF!</definedName>
    <definedName name="RECADUC" localSheetId="3">#REF!</definedName>
    <definedName name="RECADUC" localSheetId="5">#REF!</definedName>
    <definedName name="RECADUC" localSheetId="13">#REF!</definedName>
    <definedName name="RECADUC" localSheetId="26">#REF!</definedName>
    <definedName name="RECADUC">#REF!</definedName>
    <definedName name="Recebido_Acumulado_2015_Controladoria" localSheetId="3">#REF!</definedName>
    <definedName name="Recebido_Acumulado_2015_Controladoria" localSheetId="5">#REF!</definedName>
    <definedName name="Recebido_Acumulado_2015_Controladoria" localSheetId="13">#REF!</definedName>
    <definedName name="Recebido_Acumulado_2015_Controladoria" localSheetId="26">#REF!</definedName>
    <definedName name="Recebido_Acumulado_2015_Controladoria">#REF!</definedName>
    <definedName name="RE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3">#REF!</definedName>
    <definedName name="reforsu" localSheetId="1">#REF!</definedName>
    <definedName name="reforsu" localSheetId="5">#REF!</definedName>
    <definedName name="reforsu" localSheetId="21">#REF!</definedName>
    <definedName name="reforsu" localSheetId="22">#REF!</definedName>
    <definedName name="reforsu" localSheetId="13">#REF!</definedName>
    <definedName name="reforsu" localSheetId="26">#REF!</definedName>
    <definedName name="reforsu" localSheetId="0">#REF!</definedName>
    <definedName name="reforsu">#REF!</definedName>
    <definedName name="REL_RJ" localSheetId="3">#REF!</definedName>
    <definedName name="REL_RJ" localSheetId="5">#REF!</definedName>
    <definedName name="REL_RJ" localSheetId="13">#REF!</definedName>
    <definedName name="REL_RJ" localSheetId="26">#REF!</definedName>
    <definedName name="REL_RJ">#REF!</definedName>
    <definedName name="REL_SP" localSheetId="3">#REF!</definedName>
    <definedName name="REL_SP" localSheetId="5">#REF!</definedName>
    <definedName name="REL_SP" localSheetId="13">#REF!</definedName>
    <definedName name="REL_SP" localSheetId="26">#REF!</definedName>
    <definedName name="REL_SP">#REF!</definedName>
    <definedName name="relat3" localSheetId="3">#REF!</definedName>
    <definedName name="relat3" localSheetId="5">#REF!</definedName>
    <definedName name="relat3" localSheetId="13">#REF!</definedName>
    <definedName name="relat3" localSheetId="26">#REF!</definedName>
    <definedName name="relat3">#REF!</definedName>
    <definedName name="ren" localSheetId="3">#REF!</definedName>
    <definedName name="ren" localSheetId="1">#REF!</definedName>
    <definedName name="ren" localSheetId="5">#REF!</definedName>
    <definedName name="ren" localSheetId="21">#REF!</definedName>
    <definedName name="ren" localSheetId="22">#REF!</definedName>
    <definedName name="ren" localSheetId="13">#REF!</definedName>
    <definedName name="ren" localSheetId="26">#REF!</definedName>
    <definedName name="ren" localSheetId="0">#REF!</definedName>
    <definedName name="ren">#REF!</definedName>
    <definedName name="REPETIÇÃO" localSheetId="3">#REF!</definedName>
    <definedName name="REPETIÇÃO" localSheetId="5">#REF!</definedName>
    <definedName name="REPETIÇÃO" localSheetId="13">#REF!</definedName>
    <definedName name="REPETIÇÃO" localSheetId="26">#REF!</definedName>
    <definedName name="REPETIÇÃO">#REF!</definedName>
    <definedName name="ReqC" localSheetId="3">#REF!</definedName>
    <definedName name="ReqC" localSheetId="5">#REF!</definedName>
    <definedName name="ReqC" localSheetId="13">#REF!</definedName>
    <definedName name="ReqC" localSheetId="26">#REF!</definedName>
    <definedName name="ReqC">#REF!</definedName>
    <definedName name="Responsável_Rel_Controladoria" localSheetId="3">#REF!</definedName>
    <definedName name="Responsável_Rel_Controladoria" localSheetId="5">#REF!</definedName>
    <definedName name="Responsável_Rel_Controladoria" localSheetId="13">#REF!</definedName>
    <definedName name="Responsável_Rel_Controladoria" localSheetId="26">#REF!</definedName>
    <definedName name="Responsável_Rel_Controladoria">#REF!</definedName>
    <definedName name="resum" localSheetId="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4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7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3">#REF!</definedName>
    <definedName name="RESUMO" localSheetId="5">#REF!</definedName>
    <definedName name="RESUMO" localSheetId="13">#REF!</definedName>
    <definedName name="RESUMO" localSheetId="26">#REF!</definedName>
    <definedName name="RESUMO">#REF!</definedName>
    <definedName name="RESUMO2" localSheetId="9">{#N/A,#N/A,TRUE,"Quinzena 01 à 15-04-98 "}</definedName>
    <definedName name="RESUMO2" localSheetId="6">{#N/A,#N/A,TRUE,"Quinzena 01 à 15-04-98 "}</definedName>
    <definedName name="RESUMO2" localSheetId="3">{#N/A,#N/A,TRUE,"Quinzena 01 à 15-04-98 "}</definedName>
    <definedName name="RESUMO2" localSheetId="8">{#N/A,#N/A,TRUE,"Quinzena 01 à 15-04-98 "}</definedName>
    <definedName name="RESUMO2" localSheetId="5">{#N/A,#N/A,TRUE,"Quinzena 01 à 15-04-98 "}</definedName>
    <definedName name="RESUMO2" localSheetId="4">{#N/A,#N/A,TRUE,"Quinzena 01 à 15-04-98 "}</definedName>
    <definedName name="RESUMO2" localSheetId="13">{#N/A,#N/A,TRUE,"Quinzena 01 à 15-04-98 "}</definedName>
    <definedName name="RESUMO2" localSheetId="17">{#N/A,#N/A,TRUE,"Quinzena 01 à 15-04-98 "}</definedName>
    <definedName name="RESUMO2" localSheetId="0">{#N/A,#N/A,TRUE,"Quinzena 01 à 15-04-98 "}</definedName>
    <definedName name="RESUMO2" localSheetId="19">{#N/A,#N/A,TRUE,"Quinzena 01 à 15-04-98 "}</definedName>
    <definedName name="RESUMO2" localSheetId="16">{#N/A,#N/A,TRUE,"Quinzena 01 à 15-04-98 "}</definedName>
    <definedName name="RESUMO2" localSheetId="18">{#N/A,#N/A,TRUE,"Quinzena 01 à 15-04-98 "}</definedName>
    <definedName name="RESUMO2" localSheetId="10">{#N/A,#N/A,TRUE,"Quinzena 01 à 15-04-98 "}</definedName>
    <definedName name="RESUMO2">{#N/A,#N/A,TRUE,"Quinzena 01 à 15-04-98 "}</definedName>
    <definedName name="REV" localSheetId="3">#REF!</definedName>
    <definedName name="REV" localSheetId="1">#REF!</definedName>
    <definedName name="REV" localSheetId="5">#REF!</definedName>
    <definedName name="REV" localSheetId="21">#REF!</definedName>
    <definedName name="REV" localSheetId="22">#REF!</definedName>
    <definedName name="REV" localSheetId="13">#REF!</definedName>
    <definedName name="REV" localSheetId="26">#REF!</definedName>
    <definedName name="REV" localSheetId="0">#REF!</definedName>
    <definedName name="REV">#REF!</definedName>
    <definedName name="RF" localSheetId="9">{#N/A,#N/A,FALSE,"CCTV"}</definedName>
    <definedName name="RF" localSheetId="6">{#N/A,#N/A,FALSE,"CCTV"}</definedName>
    <definedName name="RF" localSheetId="3">{#N/A,#N/A,FALSE,"CCTV"}</definedName>
    <definedName name="RF" localSheetId="8">{#N/A,#N/A,FALSE,"CCTV"}</definedName>
    <definedName name="RF" localSheetId="5">{#N/A,#N/A,FALSE,"CCTV"}</definedName>
    <definedName name="RF" localSheetId="4">{#N/A,#N/A,FALSE,"CCTV"}</definedName>
    <definedName name="RF" localSheetId="13">{#N/A,#N/A,FALSE,"CCTV"}</definedName>
    <definedName name="RF" localSheetId="17">{#N/A,#N/A,FALSE,"CCTV"}</definedName>
    <definedName name="RF" localSheetId="0">{#N/A,#N/A,FALSE,"CCTV"}</definedName>
    <definedName name="RF" localSheetId="19">{#N/A,#N/A,FALSE,"CCTV"}</definedName>
    <definedName name="RF" localSheetId="16">{#N/A,#N/A,FALSE,"CCTV"}</definedName>
    <definedName name="RF" localSheetId="18">{#N/A,#N/A,FALSE,"CCTV"}</definedName>
    <definedName name="RF" localSheetId="10">{#N/A,#N/A,FALSE,"CCTV"}</definedName>
    <definedName name="RF">{#N/A,#N/A,FALSE,"CCTV"}</definedName>
    <definedName name="rgedrfrgfdg" localSheetId="9">{#N/A,#N/A,FALSE,"Plan1";#N/A,#N/A,FALSE,"Plan2"}</definedName>
    <definedName name="rgedrfrgfdg" localSheetId="6">{#N/A,#N/A,FALSE,"Plan1";#N/A,#N/A,FALSE,"Plan2"}</definedName>
    <definedName name="rgedrfrgfdg" localSheetId="3">{#N/A,#N/A,FALSE,"Plan1";#N/A,#N/A,FALSE,"Plan2"}</definedName>
    <definedName name="rgedrfrgfdg" localSheetId="8">{#N/A,#N/A,FALSE,"Plan1";#N/A,#N/A,FALSE,"Plan2"}</definedName>
    <definedName name="rgedrfrgfdg" localSheetId="5">{#N/A,#N/A,FALSE,"Plan1";#N/A,#N/A,FALSE,"Plan2"}</definedName>
    <definedName name="rgedrfrgfdg" localSheetId="4">{#N/A,#N/A,FALSE,"Plan1";#N/A,#N/A,FALSE,"Plan2"}</definedName>
    <definedName name="rgedrfrgfdg" localSheetId="13">{#N/A,#N/A,FALSE,"Plan1";#N/A,#N/A,FALSE,"Plan2"}</definedName>
    <definedName name="rgedrfrgfdg" localSheetId="17">{#N/A,#N/A,FALSE,"Plan1";#N/A,#N/A,FALSE,"Plan2"}</definedName>
    <definedName name="rgedrfrgfdg" localSheetId="0">{#N/A,#N/A,FALSE,"Plan1";#N/A,#N/A,FALSE,"Plan2"}</definedName>
    <definedName name="rgedrfrgfdg" localSheetId="19">{#N/A,#N/A,FALSE,"Plan1";#N/A,#N/A,FALSE,"Plan2"}</definedName>
    <definedName name="rgedrfrgfdg" localSheetId="16">{#N/A,#N/A,FALSE,"Plan1";#N/A,#N/A,FALSE,"Plan2"}</definedName>
    <definedName name="rgedrfrgfdg" localSheetId="18">{#N/A,#N/A,FALSE,"Plan1";#N/A,#N/A,FALSE,"Plan2"}</definedName>
    <definedName name="rgedrfrgfdg" localSheetId="10">{#N/A,#N/A,FALSE,"Plan1";#N/A,#N/A,FALSE,"Plan2"}</definedName>
    <definedName name="rgedrfrgfdg">{#N/A,#N/A,FALSE,"Plan1";#N/A,#N/A,FALSE,"Plan2"}</definedName>
    <definedName name="rhdrmq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3">#REF!</definedName>
    <definedName name="RI" localSheetId="5">#REF!</definedName>
    <definedName name="RI" localSheetId="13">#REF!</definedName>
    <definedName name="RI" localSheetId="26">#REF!</definedName>
    <definedName name="RI">#REF!</definedName>
    <definedName name="ridbeb" localSheetId="3">#REF!</definedName>
    <definedName name="ridbeb" localSheetId="5">#REF!</definedName>
    <definedName name="ridbeb" localSheetId="13">#REF!</definedName>
    <definedName name="ridbeb" localSheetId="26">#REF!</definedName>
    <definedName name="ridbeb">#REF!</definedName>
    <definedName name="RIDCHAF" localSheetId="3">#REF!</definedName>
    <definedName name="RIDCHAF" localSheetId="5">#REF!</definedName>
    <definedName name="RIDCHAF" localSheetId="13">#REF!</definedName>
    <definedName name="RIDCHAF" localSheetId="26">#REF!</definedName>
    <definedName name="RIDCHAF">#REF!</definedName>
    <definedName name="ridres05" localSheetId="3">#REF!</definedName>
    <definedName name="ridres05" localSheetId="5">#REF!</definedName>
    <definedName name="ridres05" localSheetId="13">#REF!</definedName>
    <definedName name="ridres05" localSheetId="26">#REF!</definedName>
    <definedName name="ridres05">#REF!</definedName>
    <definedName name="RIDRES10" localSheetId="3">#REF!</definedName>
    <definedName name="RIDRES10" localSheetId="5">#REF!</definedName>
    <definedName name="RIDRES10" localSheetId="13">#REF!</definedName>
    <definedName name="RIDRES10" localSheetId="26">#REF!</definedName>
    <definedName name="RIDRES10">#REF!</definedName>
    <definedName name="RIDRES15" localSheetId="3">#REF!</definedName>
    <definedName name="RIDRES15" localSheetId="5">#REF!</definedName>
    <definedName name="RIDRES15" localSheetId="13">#REF!</definedName>
    <definedName name="RIDRES15" localSheetId="26">#REF!</definedName>
    <definedName name="RIDRES15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SwapState">"True"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O" localSheetId="3">#REF!</definedName>
    <definedName name="RO" localSheetId="5">#REF!</definedName>
    <definedName name="RO" localSheetId="13">#REF!</definedName>
    <definedName name="RO" localSheetId="26">#REF!</definedName>
    <definedName name="RO">#REF!</definedName>
    <definedName name="Rodapé" localSheetId="3">#REF!</definedName>
    <definedName name="Rodapé" localSheetId="5">#REF!</definedName>
    <definedName name="Rodapé" localSheetId="13">#REF!</definedName>
    <definedName name="Rodapé" localSheetId="26">#REF!</definedName>
    <definedName name="Rodapé">#REF!</definedName>
    <definedName name="RODAPÉS" localSheetId="3">#REF!</definedName>
    <definedName name="RODAPÉS" localSheetId="5">#REF!</definedName>
    <definedName name="RODAPÉS" localSheetId="13">#REF!</definedName>
    <definedName name="RODAPÉS" localSheetId="26">#REF!</definedName>
    <definedName name="RODAPÉS">#REF!</definedName>
    <definedName name="ROMANO" localSheetId="3">#REF!</definedName>
    <definedName name="ROMANO" localSheetId="5">#REF!</definedName>
    <definedName name="ROMANO" localSheetId="13">#REF!</definedName>
    <definedName name="ROMANO" localSheetId="26">#REF!</definedName>
    <definedName name="ROMANO">#REF!</definedName>
    <definedName name="ROTCOMP" localSheetId="3">#REF!</definedName>
    <definedName name="ROTCOMP" localSheetId="5">#REF!</definedName>
    <definedName name="ROTCOMP" localSheetId="13">#REF!</definedName>
    <definedName name="ROTCOMP" localSheetId="26">#REF!</definedName>
    <definedName name="ROTCOMP">#REF!</definedName>
    <definedName name="ROTIMP" localSheetId="3">#REF!</definedName>
    <definedName name="ROTIMP" localSheetId="5">#REF!</definedName>
    <definedName name="ROTIMP" localSheetId="13">#REF!</definedName>
    <definedName name="ROTIMP" localSheetId="26">#REF!</definedName>
    <definedName name="ROTIMP">#REF!</definedName>
    <definedName name="ROTRES" localSheetId="3">#REF!</definedName>
    <definedName name="ROTRES" localSheetId="5">#REF!</definedName>
    <definedName name="ROTRES" localSheetId="13">#REF!</definedName>
    <definedName name="ROTRES" localSheetId="26">#REF!</definedName>
    <definedName name="ROTRES">#REF!</definedName>
    <definedName name="RQTADUC" localSheetId="3">#REF!</definedName>
    <definedName name="RQTADUC" localSheetId="5">#REF!</definedName>
    <definedName name="RQTADUC" localSheetId="13">#REF!</definedName>
    <definedName name="RQTADUC" localSheetId="26">#REF!</definedName>
    <definedName name="RQTADUC">#REF!</definedName>
    <definedName name="rqtbeb" localSheetId="3">#REF!</definedName>
    <definedName name="rqtbeb" localSheetId="5">#REF!</definedName>
    <definedName name="rqtbeb" localSheetId="13">#REF!</definedName>
    <definedName name="rqtbeb" localSheetId="26">#REF!</definedName>
    <definedName name="rqtbeb">#REF!</definedName>
    <definedName name="RQTCHAF" localSheetId="3">#REF!</definedName>
    <definedName name="RQTCHAF" localSheetId="5">#REF!</definedName>
    <definedName name="RQTCHAF" localSheetId="13">#REF!</definedName>
    <definedName name="RQTCHAF" localSheetId="26">#REF!</definedName>
    <definedName name="RQTCHAF">#REF!</definedName>
    <definedName name="RQTDERV" localSheetId="3">#REF!</definedName>
    <definedName name="RQTDERV" localSheetId="5">#REF!</definedName>
    <definedName name="RQTDERV" localSheetId="13">#REF!</definedName>
    <definedName name="RQTDERV" localSheetId="26">#REF!</definedName>
    <definedName name="RQTDERV">#REF!</definedName>
    <definedName name="rres05" localSheetId="3">#REF!</definedName>
    <definedName name="rres05" localSheetId="5">#REF!</definedName>
    <definedName name="rres05" localSheetId="13">#REF!</definedName>
    <definedName name="rres05" localSheetId="26">#REF!</definedName>
    <definedName name="rres05">#REF!</definedName>
    <definedName name="RRES10" localSheetId="3">#REF!</definedName>
    <definedName name="RRES10" localSheetId="5">#REF!</definedName>
    <definedName name="RRES10" localSheetId="13">#REF!</definedName>
    <definedName name="RRES10" localSheetId="26">#REF!</definedName>
    <definedName name="RRES10">#REF!</definedName>
    <definedName name="RRES15" localSheetId="3">#REF!</definedName>
    <definedName name="RRES15" localSheetId="5">#REF!</definedName>
    <definedName name="RRES15" localSheetId="13">#REF!</definedName>
    <definedName name="RRES15" localSheetId="26">#REF!</definedName>
    <definedName name="RRES15">#REF!</definedName>
    <definedName name="RRES20" localSheetId="3">#REF!</definedName>
    <definedName name="RRES20" localSheetId="5">#REF!</definedName>
    <definedName name="RRES20" localSheetId="13">#REF!</definedName>
    <definedName name="RRES20" localSheetId="26">#REF!</definedName>
    <definedName name="RRES20">#REF!</definedName>
    <definedName name="RRR" localSheetId="3">#REF!</definedName>
    <definedName name="RRR" localSheetId="13">#REF!</definedName>
    <definedName name="RRR" localSheetId="0">#REF!</definedName>
    <definedName name="RRR">#REF!</definedName>
    <definedName name="rrrrr" localSheetId="9">{"'장비'!$A$3:$M$12"}</definedName>
    <definedName name="rrrrr" localSheetId="6">{"'장비'!$A$3:$M$12"}</definedName>
    <definedName name="rrrrr" localSheetId="3">{"'장비'!$A$3:$M$12"}</definedName>
    <definedName name="rrrrr" localSheetId="8">{"'장비'!$A$3:$M$12"}</definedName>
    <definedName name="rrrrr" localSheetId="5">{"'장비'!$A$3:$M$12"}</definedName>
    <definedName name="rrrrr" localSheetId="4">{"'장비'!$A$3:$M$12"}</definedName>
    <definedName name="rrrrr" localSheetId="13">{"'장비'!$A$3:$M$12"}</definedName>
    <definedName name="rrrrr" localSheetId="17">{"'장비'!$A$3:$M$12"}</definedName>
    <definedName name="rrrrr" localSheetId="0">{"'장비'!$A$3:$M$12"}</definedName>
    <definedName name="rrrrr" localSheetId="19">{"'장비'!$A$3:$M$12"}</definedName>
    <definedName name="rrrrr" localSheetId="16">{"'장비'!$A$3:$M$12"}</definedName>
    <definedName name="rrrrr" localSheetId="18">{"'장비'!$A$3:$M$12"}</definedName>
    <definedName name="rrrrr" localSheetId="10">{"'장비'!$A$3:$M$12"}</definedName>
    <definedName name="rrrrr">{"'장비'!$A$3:$M$12"}</definedName>
    <definedName name="rrrrrrrr" localSheetId="9">{"'장비'!$A$3:$M$12"}</definedName>
    <definedName name="rrrrrrrr" localSheetId="6">{"'장비'!$A$3:$M$12"}</definedName>
    <definedName name="rrrrrrrr" localSheetId="3">{"'장비'!$A$3:$M$12"}</definedName>
    <definedName name="rrrrrrrr" localSheetId="8">{"'장비'!$A$3:$M$12"}</definedName>
    <definedName name="rrrrrrrr" localSheetId="5">{"'장비'!$A$3:$M$12"}</definedName>
    <definedName name="rrrrrrrr" localSheetId="4">{"'장비'!$A$3:$M$12"}</definedName>
    <definedName name="rrrrrrrr" localSheetId="13">{"'장비'!$A$3:$M$12"}</definedName>
    <definedName name="rrrrrrrr" localSheetId="17">{"'장비'!$A$3:$M$12"}</definedName>
    <definedName name="rrrrrrrr" localSheetId="0">{"'장비'!$A$3:$M$12"}</definedName>
    <definedName name="rrrrrrrr" localSheetId="19">{"'장비'!$A$3:$M$12"}</definedName>
    <definedName name="rrrrrrrr" localSheetId="16">{"'장비'!$A$3:$M$12"}</definedName>
    <definedName name="rrrrrrrr" localSheetId="18">{"'장비'!$A$3:$M$12"}</definedName>
    <definedName name="rrrrrrrr" localSheetId="10">{"'장비'!$A$3:$M$12"}</definedName>
    <definedName name="rrrrrrrr">{"'장비'!$A$3:$M$12"}</definedName>
    <definedName name="rrrrrrrrrrr" localSheetId="9">{#N/A,#N/A,TRUE,"Quinzena 01 à 15-04-98 "}</definedName>
    <definedName name="rrrrrrrrrrr" localSheetId="6">{#N/A,#N/A,TRUE,"Quinzena 01 à 15-04-98 "}</definedName>
    <definedName name="rrrrrrrrrrr" localSheetId="3">{#N/A,#N/A,TRUE,"Quinzena 01 à 15-04-98 "}</definedName>
    <definedName name="rrrrrrrrrrr" localSheetId="8">{#N/A,#N/A,TRUE,"Quinzena 01 à 15-04-98 "}</definedName>
    <definedName name="rrrrrrrrrrr" localSheetId="5">{#N/A,#N/A,TRUE,"Quinzena 01 à 15-04-98 "}</definedName>
    <definedName name="rrrrrrrrrrr" localSheetId="4">{#N/A,#N/A,TRUE,"Quinzena 01 à 15-04-98 "}</definedName>
    <definedName name="rrrrrrrrrrr" localSheetId="13">{#N/A,#N/A,TRUE,"Quinzena 01 à 15-04-98 "}</definedName>
    <definedName name="rrrrrrrrrrr" localSheetId="17">{#N/A,#N/A,TRUE,"Quinzena 01 à 15-04-98 "}</definedName>
    <definedName name="rrrrrrrrrrr" localSheetId="0">{#N/A,#N/A,TRUE,"Quinzena 01 à 15-04-98 "}</definedName>
    <definedName name="rrrrrrrrrrr" localSheetId="19">{#N/A,#N/A,TRUE,"Quinzena 01 à 15-04-98 "}</definedName>
    <definedName name="rrrrrrrrrrr" localSheetId="16">{#N/A,#N/A,TRUE,"Quinzena 01 à 15-04-98 "}</definedName>
    <definedName name="rrrrrrrrrrr" localSheetId="18">{#N/A,#N/A,TRUE,"Quinzena 01 à 15-04-98 "}</definedName>
    <definedName name="rrrrrrrrrrr" localSheetId="10">{#N/A,#N/A,TRUE,"Quinzena 01 à 15-04-98 "}</definedName>
    <definedName name="rrrrrrrrrrr">{#N/A,#N/A,TRUE,"Quinzena 01 à 15-04-98 "}</definedName>
    <definedName name="RSEQ" localSheetId="3">#REF!</definedName>
    <definedName name="RSEQ" localSheetId="5">#REF!</definedName>
    <definedName name="RSEQ" localSheetId="13">#REF!</definedName>
    <definedName name="RSEQ" localSheetId="26">#REF!</definedName>
    <definedName name="RSEQ">#REF!</definedName>
    <definedName name="RSUBTOT" localSheetId="3">#REF!</definedName>
    <definedName name="RSUBTOT" localSheetId="5">#REF!</definedName>
    <definedName name="RSUBTOT" localSheetId="13">#REF!</definedName>
    <definedName name="RSUBTOT" localSheetId="26">#REF!</definedName>
    <definedName name="RSUBTOT">#REF!</definedName>
    <definedName name="rtitbeb" localSheetId="3">#REF!</definedName>
    <definedName name="rtitbeb" localSheetId="5">#REF!</definedName>
    <definedName name="rtitbeb" localSheetId="13">#REF!</definedName>
    <definedName name="rtitbeb" localSheetId="26">#REF!</definedName>
    <definedName name="rtitbeb">#REF!</definedName>
    <definedName name="RTITCHAF" localSheetId="3">#REF!</definedName>
    <definedName name="RTITCHAF" localSheetId="5">#REF!</definedName>
    <definedName name="RTITCHAF" localSheetId="13">#REF!</definedName>
    <definedName name="RTITCHAF" localSheetId="26">#REF!</definedName>
    <definedName name="RTITCHAF">#REF!</definedName>
    <definedName name="rtubos" localSheetId="3">#REF!</definedName>
    <definedName name="rtubos" localSheetId="5">#REF!</definedName>
    <definedName name="rtubos" localSheetId="13">#REF!</definedName>
    <definedName name="rtubos" localSheetId="26">#REF!</definedName>
    <definedName name="rtubos">#REF!</definedName>
    <definedName name="RTYE" localSheetId="9">{"'장비'!$A$3:$M$12"}</definedName>
    <definedName name="RTYE" localSheetId="6">{"'장비'!$A$3:$M$12"}</definedName>
    <definedName name="RTYE" localSheetId="3">{"'장비'!$A$3:$M$12"}</definedName>
    <definedName name="RTYE" localSheetId="8">{"'장비'!$A$3:$M$12"}</definedName>
    <definedName name="RTYE" localSheetId="5">{"'장비'!$A$3:$M$12"}</definedName>
    <definedName name="RTYE" localSheetId="4">{"'장비'!$A$3:$M$12"}</definedName>
    <definedName name="RTYE" localSheetId="13">{"'장비'!$A$3:$M$12"}</definedName>
    <definedName name="RTYE" localSheetId="17">{"'장비'!$A$3:$M$12"}</definedName>
    <definedName name="RTYE" localSheetId="0">{"'장비'!$A$3:$M$12"}</definedName>
    <definedName name="RTYE" localSheetId="19">{"'장비'!$A$3:$M$12"}</definedName>
    <definedName name="RTYE" localSheetId="16">{"'장비'!$A$3:$M$12"}</definedName>
    <definedName name="RTYE" localSheetId="18">{"'장비'!$A$3:$M$12"}</definedName>
    <definedName name="RTYE" localSheetId="10">{"'장비'!$A$3:$M$12"}</definedName>
    <definedName name="RTYE">{"'장비'!$A$3:$M$12"}</definedName>
    <definedName name="s" localSheetId="3">#REF!</definedName>
    <definedName name="s" localSheetId="5">#REF!</definedName>
    <definedName name="s" localSheetId="13">#REF!</definedName>
    <definedName name="s" localSheetId="26">#REF!</definedName>
    <definedName name="s">#REF!</definedName>
    <definedName name="sa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6">#REF!</definedName>
    <definedName name="sa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">#REF!</definedName>
    <definedName name="sa" localSheetId="8">#REF!</definedName>
    <definedName name="sa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1">#REF!</definedName>
    <definedName name="sa" localSheetId="13">#REF!</definedName>
    <definedName name="sa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26">#REF!</definedName>
    <definedName name="s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9">{#N/A,#N/A,FALSE,"Plan1";#N/A,#N/A,FALSE,"Plan2"}</definedName>
    <definedName name="sadasd" localSheetId="6">{#N/A,#N/A,FALSE,"Plan1";#N/A,#N/A,FALSE,"Plan2"}</definedName>
    <definedName name="sadasd" localSheetId="3">{#N/A,#N/A,FALSE,"Plan1";#N/A,#N/A,FALSE,"Plan2"}</definedName>
    <definedName name="sadasd" localSheetId="8">{#N/A,#N/A,FALSE,"Plan1";#N/A,#N/A,FALSE,"Plan2"}</definedName>
    <definedName name="sadasd" localSheetId="5">{#N/A,#N/A,FALSE,"Plan1";#N/A,#N/A,FALSE,"Plan2"}</definedName>
    <definedName name="sadasd" localSheetId="4">{#N/A,#N/A,FALSE,"Plan1";#N/A,#N/A,FALSE,"Plan2"}</definedName>
    <definedName name="sadasd" localSheetId="13">{#N/A,#N/A,FALSE,"Plan1";#N/A,#N/A,FALSE,"Plan2"}</definedName>
    <definedName name="sadasd" localSheetId="17">{#N/A,#N/A,FALSE,"Plan1";#N/A,#N/A,FALSE,"Plan2"}</definedName>
    <definedName name="sadasd" localSheetId="0">{#N/A,#N/A,FALSE,"Plan1";#N/A,#N/A,FALSE,"Plan2"}</definedName>
    <definedName name="sadasd" localSheetId="19">{#N/A,#N/A,FALSE,"Plan1";#N/A,#N/A,FALSE,"Plan2"}</definedName>
    <definedName name="sadasd" localSheetId="16">{#N/A,#N/A,FALSE,"Plan1";#N/A,#N/A,FALSE,"Plan2"}</definedName>
    <definedName name="sadasd" localSheetId="18">{#N/A,#N/A,FALSE,"Plan1";#N/A,#N/A,FALSE,"Plan2"}</definedName>
    <definedName name="sadasd" localSheetId="10">{#N/A,#N/A,FALSE,"Plan1";#N/A,#N/A,FALSE,"Plan2"}</definedName>
    <definedName name="sadasd">{#N/A,#N/A,FALSE,"Plan1";#N/A,#N/A,FALSE,"Plan2"}</definedName>
    <definedName name="sadk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9">{#N/A,#N/A,FALSE,"Plan1";#N/A,#N/A,FALSE,"Plan2"}</definedName>
    <definedName name="sadkrjkedft" localSheetId="6">{#N/A,#N/A,FALSE,"Plan1";#N/A,#N/A,FALSE,"Plan2"}</definedName>
    <definedName name="sadkrjkedft" localSheetId="3">{#N/A,#N/A,FALSE,"Plan1";#N/A,#N/A,FALSE,"Plan2"}</definedName>
    <definedName name="sadkrjkedft" localSheetId="8">{#N/A,#N/A,FALSE,"Plan1";#N/A,#N/A,FALSE,"Plan2"}</definedName>
    <definedName name="sadkrjkedft" localSheetId="5">{#N/A,#N/A,FALSE,"Plan1";#N/A,#N/A,FALSE,"Plan2"}</definedName>
    <definedName name="sadkrjkedft" localSheetId="4">{#N/A,#N/A,FALSE,"Plan1";#N/A,#N/A,FALSE,"Plan2"}</definedName>
    <definedName name="sadkrjkedft" localSheetId="13">{#N/A,#N/A,FALSE,"Plan1";#N/A,#N/A,FALSE,"Plan2"}</definedName>
    <definedName name="sadkrjkedft" localSheetId="17">{#N/A,#N/A,FALSE,"Plan1";#N/A,#N/A,FALSE,"Plan2"}</definedName>
    <definedName name="sadkrjkedft" localSheetId="0">{#N/A,#N/A,FALSE,"Plan1";#N/A,#N/A,FALSE,"Plan2"}</definedName>
    <definedName name="sadkrjkedft" localSheetId="19">{#N/A,#N/A,FALSE,"Plan1";#N/A,#N/A,FALSE,"Plan2"}</definedName>
    <definedName name="sadkrjkedft" localSheetId="16">{#N/A,#N/A,FALSE,"Plan1";#N/A,#N/A,FALSE,"Plan2"}</definedName>
    <definedName name="sadkrjkedft" localSheetId="18">{#N/A,#N/A,FALSE,"Plan1";#N/A,#N/A,FALSE,"Plan2"}</definedName>
    <definedName name="sadkrjkedft" localSheetId="10">{#N/A,#N/A,FALSE,"Plan1";#N/A,#N/A,FALSE,"Plan2"}</definedName>
    <definedName name="sadkrjkedft">{#N/A,#N/A,FALSE,"Plan1";#N/A,#N/A,FALSE,"Plan2"}</definedName>
    <definedName name="SADSRTR" localSheetId="9">{#N/A,#N/A,FALSE,"Plan1";#N/A,#N/A,FALSE,"Plan2"}</definedName>
    <definedName name="SADSRTR" localSheetId="6">{#N/A,#N/A,FALSE,"Plan1";#N/A,#N/A,FALSE,"Plan2"}</definedName>
    <definedName name="SADSRTR" localSheetId="3">{#N/A,#N/A,FALSE,"Plan1";#N/A,#N/A,FALSE,"Plan2"}</definedName>
    <definedName name="SADSRTR" localSheetId="8">{#N/A,#N/A,FALSE,"Plan1";#N/A,#N/A,FALSE,"Plan2"}</definedName>
    <definedName name="SADSRTR" localSheetId="5">{#N/A,#N/A,FALSE,"Plan1";#N/A,#N/A,FALSE,"Plan2"}</definedName>
    <definedName name="SADSRTR" localSheetId="4">{#N/A,#N/A,FALSE,"Plan1";#N/A,#N/A,FALSE,"Plan2"}</definedName>
    <definedName name="SADSRTR" localSheetId="13">{#N/A,#N/A,FALSE,"Plan1";#N/A,#N/A,FALSE,"Plan2"}</definedName>
    <definedName name="SADSRTR" localSheetId="17">{#N/A,#N/A,FALSE,"Plan1";#N/A,#N/A,FALSE,"Plan2"}</definedName>
    <definedName name="SADSRTR" localSheetId="0">{#N/A,#N/A,FALSE,"Plan1";#N/A,#N/A,FALSE,"Plan2"}</definedName>
    <definedName name="SADSRTR" localSheetId="19">{#N/A,#N/A,FALSE,"Plan1";#N/A,#N/A,FALSE,"Plan2"}</definedName>
    <definedName name="SADSRTR" localSheetId="16">{#N/A,#N/A,FALSE,"Plan1";#N/A,#N/A,FALSE,"Plan2"}</definedName>
    <definedName name="SADSRTR" localSheetId="18">{#N/A,#N/A,FALSE,"Plan1";#N/A,#N/A,FALSE,"Plan2"}</definedName>
    <definedName name="SADSRTR" localSheetId="10">{#N/A,#N/A,FALSE,"Plan1";#N/A,#N/A,FALSE,"Plan2"}</definedName>
    <definedName name="SADSRTR">{#N/A,#N/A,FALSE,"Plan1";#N/A,#N/A,FALSE,"Plan2"}</definedName>
    <definedName name="sadwde" localSheetId="9">{#N/A,#N/A,FALSE,"Plan1";#N/A,#N/A,FALSE,"Plan2"}</definedName>
    <definedName name="sadwde" localSheetId="6">{#N/A,#N/A,FALSE,"Plan1";#N/A,#N/A,FALSE,"Plan2"}</definedName>
    <definedName name="sadwde" localSheetId="3">{#N/A,#N/A,FALSE,"Plan1";#N/A,#N/A,FALSE,"Plan2"}</definedName>
    <definedName name="sadwde" localSheetId="8">{#N/A,#N/A,FALSE,"Plan1";#N/A,#N/A,FALSE,"Plan2"}</definedName>
    <definedName name="sadwde" localSheetId="5">{#N/A,#N/A,FALSE,"Plan1";#N/A,#N/A,FALSE,"Plan2"}</definedName>
    <definedName name="sadwde" localSheetId="4">{#N/A,#N/A,FALSE,"Plan1";#N/A,#N/A,FALSE,"Plan2"}</definedName>
    <definedName name="sadwde" localSheetId="13">{#N/A,#N/A,FALSE,"Plan1";#N/A,#N/A,FALSE,"Plan2"}</definedName>
    <definedName name="sadwde" localSheetId="17">{#N/A,#N/A,FALSE,"Plan1";#N/A,#N/A,FALSE,"Plan2"}</definedName>
    <definedName name="sadwde" localSheetId="0">{#N/A,#N/A,FALSE,"Plan1";#N/A,#N/A,FALSE,"Plan2"}</definedName>
    <definedName name="sadwde" localSheetId="19">{#N/A,#N/A,FALSE,"Plan1";#N/A,#N/A,FALSE,"Plan2"}</definedName>
    <definedName name="sadwde" localSheetId="16">{#N/A,#N/A,FALSE,"Plan1";#N/A,#N/A,FALSE,"Plan2"}</definedName>
    <definedName name="sadwde" localSheetId="18">{#N/A,#N/A,FALSE,"Plan1";#N/A,#N/A,FALSE,"Plan2"}</definedName>
    <definedName name="sadwde" localSheetId="10">{#N/A,#N/A,FALSE,"Plan1";#N/A,#N/A,FALSE,"Plan2"}</definedName>
    <definedName name="sadwde">{#N/A,#N/A,FALSE,"Plan1";#N/A,#N/A,FALSE,"Plan2"}</definedName>
    <definedName name="Salas" localSheetId="3">#REF!</definedName>
    <definedName name="Salas" localSheetId="5">#REF!</definedName>
    <definedName name="Salas" localSheetId="13">#REF!</definedName>
    <definedName name="Salas" localSheetId="26">#REF!</definedName>
    <definedName name="Salas">#REF!</definedName>
    <definedName name="sanjay" localSheetId="9">{#N/A,#N/A,FALSE,"TABLE"}</definedName>
    <definedName name="sanjay" localSheetId="6">{#N/A,#N/A,FALSE,"TABLE"}</definedName>
    <definedName name="sanjay" localSheetId="3">{#N/A,#N/A,FALSE,"TABLE"}</definedName>
    <definedName name="sanjay" localSheetId="8">{#N/A,#N/A,FALSE,"TABLE"}</definedName>
    <definedName name="sanjay" localSheetId="5">{#N/A,#N/A,FALSE,"TABLE"}</definedName>
    <definedName name="sanjay" localSheetId="4">{#N/A,#N/A,FALSE,"TABLE"}</definedName>
    <definedName name="sanjay" localSheetId="13">{#N/A,#N/A,FALSE,"TABLE"}</definedName>
    <definedName name="sanjay" localSheetId="17">{#N/A,#N/A,FALSE,"TABLE"}</definedName>
    <definedName name="sanjay" localSheetId="0">{#N/A,#N/A,FALSE,"TABLE"}</definedName>
    <definedName name="sanjay" localSheetId="19">{#N/A,#N/A,FALSE,"TABLE"}</definedName>
    <definedName name="sanjay" localSheetId="16">{#N/A,#N/A,FALSE,"TABLE"}</definedName>
    <definedName name="sanjay" localSheetId="18">{#N/A,#N/A,FALSE,"TABLE"}</definedName>
    <definedName name="sanjay" localSheetId="10">{#N/A,#N/A,FALSE,"TABLE"}</definedName>
    <definedName name="sanjay">{#N/A,#N/A,FALSE,"TABLE"}</definedName>
    <definedName name="sapata" localSheetId="3">#REF!</definedName>
    <definedName name="sapata" localSheetId="5">#REF!</definedName>
    <definedName name="sapata" localSheetId="13">#REF!</definedName>
    <definedName name="sapata" localSheetId="26">#REF!</definedName>
    <definedName name="sapata">#REF!</definedName>
    <definedName name="SAPBEXrevision">14</definedName>
    <definedName name="SAPBEXsysID">"BW3"</definedName>
    <definedName name="SAPBEXwbID">"3SO04G3IWYENSZLK6QOKKYLB2"</definedName>
    <definedName name="SAS" localSheetId="9">{#N/A,#N/A,FALSE,"Plan1";#N/A,#N/A,FALSE,"Plan2"}</definedName>
    <definedName name="SAS" localSheetId="6">{#N/A,#N/A,FALSE,"Plan1";#N/A,#N/A,FALSE,"Plan2"}</definedName>
    <definedName name="SAS" localSheetId="3">{#N/A,#N/A,FALSE,"Plan1";#N/A,#N/A,FALSE,"Plan2"}</definedName>
    <definedName name="SAS" localSheetId="8">{#N/A,#N/A,FALSE,"Plan1";#N/A,#N/A,FALSE,"Plan2"}</definedName>
    <definedName name="SAS" localSheetId="5">{#N/A,#N/A,FALSE,"Plan1";#N/A,#N/A,FALSE,"Plan2"}</definedName>
    <definedName name="SAS" localSheetId="4">{#N/A,#N/A,FALSE,"Plan1";#N/A,#N/A,FALSE,"Plan2"}</definedName>
    <definedName name="SAS" localSheetId="13">{#N/A,#N/A,FALSE,"Plan1";#N/A,#N/A,FALSE,"Plan2"}</definedName>
    <definedName name="SAS" localSheetId="17">{#N/A,#N/A,FALSE,"Plan1";#N/A,#N/A,FALSE,"Plan2"}</definedName>
    <definedName name="SAS" localSheetId="0">{#N/A,#N/A,FALSE,"Plan1";#N/A,#N/A,FALSE,"Plan2"}</definedName>
    <definedName name="SAS" localSheetId="19">{#N/A,#N/A,FALSE,"Plan1";#N/A,#N/A,FALSE,"Plan2"}</definedName>
    <definedName name="SAS" localSheetId="16">{#N/A,#N/A,FALSE,"Plan1";#N/A,#N/A,FALSE,"Plan2"}</definedName>
    <definedName name="SAS" localSheetId="18">{#N/A,#N/A,FALSE,"Plan1";#N/A,#N/A,FALSE,"Plan2"}</definedName>
    <definedName name="SAS" localSheetId="10">{#N/A,#N/A,FALSE,"Plan1";#N/A,#N/A,FALSE,"Plan2"}</definedName>
    <definedName name="SAS">{#N/A,#N/A,FALSE,"Plan1";#N/A,#N/A,FALSE,"Plan2"}</definedName>
    <definedName name="sasads" localSheetId="9">{#N/A,#N/A,FALSE,"Plan1";#N/A,#N/A,FALSE,"Plan2"}</definedName>
    <definedName name="sasads" localSheetId="6">{#N/A,#N/A,FALSE,"Plan1";#N/A,#N/A,FALSE,"Plan2"}</definedName>
    <definedName name="sasads" localSheetId="3">{#N/A,#N/A,FALSE,"Plan1";#N/A,#N/A,FALSE,"Plan2"}</definedName>
    <definedName name="sasads" localSheetId="8">{#N/A,#N/A,FALSE,"Plan1";#N/A,#N/A,FALSE,"Plan2"}</definedName>
    <definedName name="sasads" localSheetId="5">{#N/A,#N/A,FALSE,"Plan1";#N/A,#N/A,FALSE,"Plan2"}</definedName>
    <definedName name="sasads" localSheetId="4">{#N/A,#N/A,FALSE,"Plan1";#N/A,#N/A,FALSE,"Plan2"}</definedName>
    <definedName name="sasads" localSheetId="13">{#N/A,#N/A,FALSE,"Plan1";#N/A,#N/A,FALSE,"Plan2"}</definedName>
    <definedName name="sasads" localSheetId="17">{#N/A,#N/A,FALSE,"Plan1";#N/A,#N/A,FALSE,"Plan2"}</definedName>
    <definedName name="sasads" localSheetId="0">{#N/A,#N/A,FALSE,"Plan1";#N/A,#N/A,FALSE,"Plan2"}</definedName>
    <definedName name="sasads" localSheetId="19">{#N/A,#N/A,FALSE,"Plan1";#N/A,#N/A,FALSE,"Plan2"}</definedName>
    <definedName name="sasads" localSheetId="16">{#N/A,#N/A,FALSE,"Plan1";#N/A,#N/A,FALSE,"Plan2"}</definedName>
    <definedName name="sasads" localSheetId="18">{#N/A,#N/A,FALSE,"Plan1";#N/A,#N/A,FALSE,"Plan2"}</definedName>
    <definedName name="sasads" localSheetId="10">{#N/A,#N/A,FALSE,"Plan1";#N/A,#N/A,FALSE,"Plan2"}</definedName>
    <definedName name="sasads">{#N/A,#N/A,FALSE,"Plan1";#N/A,#N/A,FALSE,"Plan2"}</definedName>
    <definedName name="SC" localSheetId="3">#REF!</definedName>
    <definedName name="SC" localSheetId="5">#REF!</definedName>
    <definedName name="SC" localSheetId="13">#REF!</definedName>
    <definedName name="SC" localSheetId="26">#REF!</definedName>
    <definedName name="SC" localSheetId="0">#REF!</definedName>
    <definedName name="SC">#REF!</definedName>
    <definedName name="sçadldfsfd">25</definedName>
    <definedName name="sda" localSheetId="3">#REF!</definedName>
    <definedName name="sda" localSheetId="8">#REF!</definedName>
    <definedName name="sda" localSheetId="5">#REF!</definedName>
    <definedName name="sda" localSheetId="13">#REF!</definedName>
    <definedName name="sda" localSheetId="26">#REF!</definedName>
    <definedName name="sda">#REF!</definedName>
    <definedName name="sda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9">{#N/A,#N/A,FALSE,"Plan1";#N/A,#N/A,FALSE,"Plan2"}</definedName>
    <definedName name="SDAOTGFR" localSheetId="6">{#N/A,#N/A,FALSE,"Plan1";#N/A,#N/A,FALSE,"Plan2"}</definedName>
    <definedName name="SDAOTGFR" localSheetId="3">{#N/A,#N/A,FALSE,"Plan1";#N/A,#N/A,FALSE,"Plan2"}</definedName>
    <definedName name="SDAOTGFR" localSheetId="8">{#N/A,#N/A,FALSE,"Plan1";#N/A,#N/A,FALSE,"Plan2"}</definedName>
    <definedName name="SDAOTGFR" localSheetId="5">{#N/A,#N/A,FALSE,"Plan1";#N/A,#N/A,FALSE,"Plan2"}</definedName>
    <definedName name="SDAOTGFR" localSheetId="4">{#N/A,#N/A,FALSE,"Plan1";#N/A,#N/A,FALSE,"Plan2"}</definedName>
    <definedName name="SDAOTGFR" localSheetId="13">{#N/A,#N/A,FALSE,"Plan1";#N/A,#N/A,FALSE,"Plan2"}</definedName>
    <definedName name="SDAOTGFR" localSheetId="17">{#N/A,#N/A,FALSE,"Plan1";#N/A,#N/A,FALSE,"Plan2"}</definedName>
    <definedName name="SDAOTGFR" localSheetId="0">{#N/A,#N/A,FALSE,"Plan1";#N/A,#N/A,FALSE,"Plan2"}</definedName>
    <definedName name="SDAOTGFR" localSheetId="19">{#N/A,#N/A,FALSE,"Plan1";#N/A,#N/A,FALSE,"Plan2"}</definedName>
    <definedName name="SDAOTGFR" localSheetId="16">{#N/A,#N/A,FALSE,"Plan1";#N/A,#N/A,FALSE,"Plan2"}</definedName>
    <definedName name="SDAOTGFR" localSheetId="18">{#N/A,#N/A,FALSE,"Plan1";#N/A,#N/A,FALSE,"Plan2"}</definedName>
    <definedName name="SDAOTGFR" localSheetId="10">{#N/A,#N/A,FALSE,"Plan1";#N/A,#N/A,FALSE,"Plan2"}</definedName>
    <definedName name="SDAOTGFR">{#N/A,#N/A,FALSE,"Plan1";#N/A,#N/A,FALSE,"Plan2"}</definedName>
    <definedName name="sdckd" localSheetId="9">{#N/A,#N/A,FALSE,"Plan1";#N/A,#N/A,FALSE,"Plan2"}</definedName>
    <definedName name="sdckd" localSheetId="6">{#N/A,#N/A,FALSE,"Plan1";#N/A,#N/A,FALSE,"Plan2"}</definedName>
    <definedName name="sdckd" localSheetId="3">{#N/A,#N/A,FALSE,"Plan1";#N/A,#N/A,FALSE,"Plan2"}</definedName>
    <definedName name="sdckd" localSheetId="8">{#N/A,#N/A,FALSE,"Plan1";#N/A,#N/A,FALSE,"Plan2"}</definedName>
    <definedName name="sdckd" localSheetId="5">{#N/A,#N/A,FALSE,"Plan1";#N/A,#N/A,FALSE,"Plan2"}</definedName>
    <definedName name="sdckd" localSheetId="4">{#N/A,#N/A,FALSE,"Plan1";#N/A,#N/A,FALSE,"Plan2"}</definedName>
    <definedName name="sdckd" localSheetId="13">{#N/A,#N/A,FALSE,"Plan1";#N/A,#N/A,FALSE,"Plan2"}</definedName>
    <definedName name="sdckd" localSheetId="17">{#N/A,#N/A,FALSE,"Plan1";#N/A,#N/A,FALSE,"Plan2"}</definedName>
    <definedName name="sdckd" localSheetId="0">{#N/A,#N/A,FALSE,"Plan1";#N/A,#N/A,FALSE,"Plan2"}</definedName>
    <definedName name="sdckd" localSheetId="19">{#N/A,#N/A,FALSE,"Plan1";#N/A,#N/A,FALSE,"Plan2"}</definedName>
    <definedName name="sdckd" localSheetId="16">{#N/A,#N/A,FALSE,"Plan1";#N/A,#N/A,FALSE,"Plan2"}</definedName>
    <definedName name="sdckd" localSheetId="18">{#N/A,#N/A,FALSE,"Plan1";#N/A,#N/A,FALSE,"Plan2"}</definedName>
    <definedName name="sdckd" localSheetId="10">{#N/A,#N/A,FALSE,"Plan1";#N/A,#N/A,FALSE,"Plan2"}</definedName>
    <definedName name="sdckd">{#N/A,#N/A,FALSE,"Plan1";#N/A,#N/A,FALSE,"Plan2"}</definedName>
    <definedName name="SDDFKSEDE" localSheetId="9">{#N/A,#N/A,FALSE,"Plan1";#N/A,#N/A,FALSE,"Plan2"}</definedName>
    <definedName name="SDDFKSEDE" localSheetId="6">{#N/A,#N/A,FALSE,"Plan1";#N/A,#N/A,FALSE,"Plan2"}</definedName>
    <definedName name="SDDFKSEDE" localSheetId="3">{#N/A,#N/A,FALSE,"Plan1";#N/A,#N/A,FALSE,"Plan2"}</definedName>
    <definedName name="SDDFKSEDE" localSheetId="8">{#N/A,#N/A,FALSE,"Plan1";#N/A,#N/A,FALSE,"Plan2"}</definedName>
    <definedName name="SDDFKSEDE" localSheetId="5">{#N/A,#N/A,FALSE,"Plan1";#N/A,#N/A,FALSE,"Plan2"}</definedName>
    <definedName name="SDDFKSEDE" localSheetId="4">{#N/A,#N/A,FALSE,"Plan1";#N/A,#N/A,FALSE,"Plan2"}</definedName>
    <definedName name="SDDFKSEDE" localSheetId="13">{#N/A,#N/A,FALSE,"Plan1";#N/A,#N/A,FALSE,"Plan2"}</definedName>
    <definedName name="SDDFKSEDE" localSheetId="17">{#N/A,#N/A,FALSE,"Plan1";#N/A,#N/A,FALSE,"Plan2"}</definedName>
    <definedName name="SDDFKSEDE" localSheetId="0">{#N/A,#N/A,FALSE,"Plan1";#N/A,#N/A,FALSE,"Plan2"}</definedName>
    <definedName name="SDDFKSEDE" localSheetId="19">{#N/A,#N/A,FALSE,"Plan1";#N/A,#N/A,FALSE,"Plan2"}</definedName>
    <definedName name="SDDFKSEDE" localSheetId="16">{#N/A,#N/A,FALSE,"Plan1";#N/A,#N/A,FALSE,"Plan2"}</definedName>
    <definedName name="SDDFKSEDE" localSheetId="18">{#N/A,#N/A,FALSE,"Plan1";#N/A,#N/A,FALSE,"Plan2"}</definedName>
    <definedName name="SDDFKSEDE" localSheetId="10">{#N/A,#N/A,FALSE,"Plan1";#N/A,#N/A,FALSE,"Plan2"}</definedName>
    <definedName name="SDDFKSEDE">{#N/A,#N/A,FALSE,"Plan1";#N/A,#N/A,FALSE,"Plan2"}</definedName>
    <definedName name="sddkslker" localSheetId="9">{#N/A,#N/A,FALSE,"Plan1";#N/A,#N/A,FALSE,"Plan2"}</definedName>
    <definedName name="sddkslker" localSheetId="6">{#N/A,#N/A,FALSE,"Plan1";#N/A,#N/A,FALSE,"Plan2"}</definedName>
    <definedName name="sddkslker" localSheetId="3">{#N/A,#N/A,FALSE,"Plan1";#N/A,#N/A,FALSE,"Plan2"}</definedName>
    <definedName name="sddkslker" localSheetId="8">{#N/A,#N/A,FALSE,"Plan1";#N/A,#N/A,FALSE,"Plan2"}</definedName>
    <definedName name="sddkslker" localSheetId="5">{#N/A,#N/A,FALSE,"Plan1";#N/A,#N/A,FALSE,"Plan2"}</definedName>
    <definedName name="sddkslker" localSheetId="4">{#N/A,#N/A,FALSE,"Plan1";#N/A,#N/A,FALSE,"Plan2"}</definedName>
    <definedName name="sddkslker" localSheetId="13">{#N/A,#N/A,FALSE,"Plan1";#N/A,#N/A,FALSE,"Plan2"}</definedName>
    <definedName name="sddkslker" localSheetId="17">{#N/A,#N/A,FALSE,"Plan1";#N/A,#N/A,FALSE,"Plan2"}</definedName>
    <definedName name="sddkslker" localSheetId="0">{#N/A,#N/A,FALSE,"Plan1";#N/A,#N/A,FALSE,"Plan2"}</definedName>
    <definedName name="sddkslker" localSheetId="19">{#N/A,#N/A,FALSE,"Plan1";#N/A,#N/A,FALSE,"Plan2"}</definedName>
    <definedName name="sddkslker" localSheetId="16">{#N/A,#N/A,FALSE,"Plan1";#N/A,#N/A,FALSE,"Plan2"}</definedName>
    <definedName name="sddkslker" localSheetId="18">{#N/A,#N/A,FALSE,"Plan1";#N/A,#N/A,FALSE,"Plan2"}</definedName>
    <definedName name="sddkslker" localSheetId="10">{#N/A,#N/A,FALSE,"Plan1";#N/A,#N/A,FALSE,"Plan2"}</definedName>
    <definedName name="sddkslker">{#N/A,#N/A,FALSE,"Plan1";#N/A,#N/A,FALSE,"Plan2"}</definedName>
    <definedName name="sdefr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3">#REF!</definedName>
    <definedName name="sdert" localSheetId="5">#REF!</definedName>
    <definedName name="sdert" localSheetId="13">#REF!</definedName>
    <definedName name="sdert" localSheetId="26">#REF!</definedName>
    <definedName name="sdert" localSheetId="0">#REF!</definedName>
    <definedName name="sdert">#REF!</definedName>
    <definedName name="sdf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9">{#N/A,#N/A,FALSE,"Plan1";#N/A,#N/A,FALSE,"Plan2"}</definedName>
    <definedName name="sdfdds" localSheetId="6">{#N/A,#N/A,FALSE,"Plan1";#N/A,#N/A,FALSE,"Plan2"}</definedName>
    <definedName name="sdfdds" localSheetId="3">{#N/A,#N/A,FALSE,"Plan1";#N/A,#N/A,FALSE,"Plan2"}</definedName>
    <definedName name="sdfdds" localSheetId="8">{#N/A,#N/A,FALSE,"Plan1";#N/A,#N/A,FALSE,"Plan2"}</definedName>
    <definedName name="sdfdds" localSheetId="5">{#N/A,#N/A,FALSE,"Plan1";#N/A,#N/A,FALSE,"Plan2"}</definedName>
    <definedName name="sdfdds" localSheetId="4">{#N/A,#N/A,FALSE,"Plan1";#N/A,#N/A,FALSE,"Plan2"}</definedName>
    <definedName name="sdfdds" localSheetId="13">{#N/A,#N/A,FALSE,"Plan1";#N/A,#N/A,FALSE,"Plan2"}</definedName>
    <definedName name="sdfdds" localSheetId="17">{#N/A,#N/A,FALSE,"Plan1";#N/A,#N/A,FALSE,"Plan2"}</definedName>
    <definedName name="sdfdds" localSheetId="0">{#N/A,#N/A,FALSE,"Plan1";#N/A,#N/A,FALSE,"Plan2"}</definedName>
    <definedName name="sdfdds" localSheetId="19">{#N/A,#N/A,FALSE,"Plan1";#N/A,#N/A,FALSE,"Plan2"}</definedName>
    <definedName name="sdfdds" localSheetId="16">{#N/A,#N/A,FALSE,"Plan1";#N/A,#N/A,FALSE,"Plan2"}</definedName>
    <definedName name="sdfdds" localSheetId="18">{#N/A,#N/A,FALSE,"Plan1";#N/A,#N/A,FALSE,"Plan2"}</definedName>
    <definedName name="sdfdds" localSheetId="10">{#N/A,#N/A,FALSE,"Plan1";#N/A,#N/A,FALSE,"Plan2"}</definedName>
    <definedName name="sdfdds">{#N/A,#N/A,FALSE,"Plan1";#N/A,#N/A,FALSE,"Plan2"}</definedName>
    <definedName name="sdfdfc" localSheetId="9">{#N/A,#N/A,FALSE,"Plan1";#N/A,#N/A,FALSE,"Plan2"}</definedName>
    <definedName name="sdfdfc" localSheetId="6">{#N/A,#N/A,FALSE,"Plan1";#N/A,#N/A,FALSE,"Plan2"}</definedName>
    <definedName name="sdfdfc" localSheetId="3">{#N/A,#N/A,FALSE,"Plan1";#N/A,#N/A,FALSE,"Plan2"}</definedName>
    <definedName name="sdfdfc" localSheetId="8">{#N/A,#N/A,FALSE,"Plan1";#N/A,#N/A,FALSE,"Plan2"}</definedName>
    <definedName name="sdfdfc" localSheetId="5">{#N/A,#N/A,FALSE,"Plan1";#N/A,#N/A,FALSE,"Plan2"}</definedName>
    <definedName name="sdfdfc" localSheetId="4">{#N/A,#N/A,FALSE,"Plan1";#N/A,#N/A,FALSE,"Plan2"}</definedName>
    <definedName name="sdfdfc" localSheetId="13">{#N/A,#N/A,FALSE,"Plan1";#N/A,#N/A,FALSE,"Plan2"}</definedName>
    <definedName name="sdfdfc" localSheetId="17">{#N/A,#N/A,FALSE,"Plan1";#N/A,#N/A,FALSE,"Plan2"}</definedName>
    <definedName name="sdfdfc" localSheetId="0">{#N/A,#N/A,FALSE,"Plan1";#N/A,#N/A,FALSE,"Plan2"}</definedName>
    <definedName name="sdfdfc" localSheetId="19">{#N/A,#N/A,FALSE,"Plan1";#N/A,#N/A,FALSE,"Plan2"}</definedName>
    <definedName name="sdfdfc" localSheetId="16">{#N/A,#N/A,FALSE,"Plan1";#N/A,#N/A,FALSE,"Plan2"}</definedName>
    <definedName name="sdfdfc" localSheetId="18">{#N/A,#N/A,FALSE,"Plan1";#N/A,#N/A,FALSE,"Plan2"}</definedName>
    <definedName name="sdfdfc" localSheetId="10">{#N/A,#N/A,FALSE,"Plan1";#N/A,#N/A,FALSE,"Plan2"}</definedName>
    <definedName name="sdfdfc">{#N/A,#N/A,FALSE,"Plan1";#N/A,#N/A,FALSE,"Plan2"}</definedName>
    <definedName name="sdfdf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9">{#N/A,#N/A,FALSE,"Plan1";#N/A,#N/A,FALSE,"Plan2"}</definedName>
    <definedName name="sdfdgft" localSheetId="6">{#N/A,#N/A,FALSE,"Plan1";#N/A,#N/A,FALSE,"Plan2"}</definedName>
    <definedName name="sdfdgft" localSheetId="3">{#N/A,#N/A,FALSE,"Plan1";#N/A,#N/A,FALSE,"Plan2"}</definedName>
    <definedName name="sdfdgft" localSheetId="8">{#N/A,#N/A,FALSE,"Plan1";#N/A,#N/A,FALSE,"Plan2"}</definedName>
    <definedName name="sdfdgft" localSheetId="5">{#N/A,#N/A,FALSE,"Plan1";#N/A,#N/A,FALSE,"Plan2"}</definedName>
    <definedName name="sdfdgft" localSheetId="4">{#N/A,#N/A,FALSE,"Plan1";#N/A,#N/A,FALSE,"Plan2"}</definedName>
    <definedName name="sdfdgft" localSheetId="13">{#N/A,#N/A,FALSE,"Plan1";#N/A,#N/A,FALSE,"Plan2"}</definedName>
    <definedName name="sdfdgft" localSheetId="17">{#N/A,#N/A,FALSE,"Plan1";#N/A,#N/A,FALSE,"Plan2"}</definedName>
    <definedName name="sdfdgft" localSheetId="0">{#N/A,#N/A,FALSE,"Plan1";#N/A,#N/A,FALSE,"Plan2"}</definedName>
    <definedName name="sdfdgft" localSheetId="19">{#N/A,#N/A,FALSE,"Plan1";#N/A,#N/A,FALSE,"Plan2"}</definedName>
    <definedName name="sdfdgft" localSheetId="16">{#N/A,#N/A,FALSE,"Plan1";#N/A,#N/A,FALSE,"Plan2"}</definedName>
    <definedName name="sdfdgft" localSheetId="18">{#N/A,#N/A,FALSE,"Plan1";#N/A,#N/A,FALSE,"Plan2"}</definedName>
    <definedName name="sdfdgft" localSheetId="10">{#N/A,#N/A,FALSE,"Plan1";#N/A,#N/A,FALSE,"Plan2"}</definedName>
    <definedName name="sdfdgft">{#N/A,#N/A,FALSE,"Plan1";#N/A,#N/A,FALSE,"Plan2"}</definedName>
    <definedName name="sdfdsf" localSheetId="9">{#N/A,#N/A,FALSE,"Plan1";#N/A,#N/A,FALSE,"Plan2"}</definedName>
    <definedName name="sdfdsf" localSheetId="6">{#N/A,#N/A,FALSE,"Plan1";#N/A,#N/A,FALSE,"Plan2"}</definedName>
    <definedName name="sdfdsf" localSheetId="3">{#N/A,#N/A,FALSE,"Plan1";#N/A,#N/A,FALSE,"Plan2"}</definedName>
    <definedName name="sdfdsf" localSheetId="8">{#N/A,#N/A,FALSE,"Plan1";#N/A,#N/A,FALSE,"Plan2"}</definedName>
    <definedName name="sdfdsf" localSheetId="5">{#N/A,#N/A,FALSE,"Plan1";#N/A,#N/A,FALSE,"Plan2"}</definedName>
    <definedName name="sdfdsf" localSheetId="4">{#N/A,#N/A,FALSE,"Plan1";#N/A,#N/A,FALSE,"Plan2"}</definedName>
    <definedName name="sdfdsf" localSheetId="13">{#N/A,#N/A,FALSE,"Plan1";#N/A,#N/A,FALSE,"Plan2"}</definedName>
    <definedName name="sdfdsf" localSheetId="17">{#N/A,#N/A,FALSE,"Plan1";#N/A,#N/A,FALSE,"Plan2"}</definedName>
    <definedName name="sdfdsf" localSheetId="0">{#N/A,#N/A,FALSE,"Plan1";#N/A,#N/A,FALSE,"Plan2"}</definedName>
    <definedName name="sdfdsf" localSheetId="19">{#N/A,#N/A,FALSE,"Plan1";#N/A,#N/A,FALSE,"Plan2"}</definedName>
    <definedName name="sdfdsf" localSheetId="16">{#N/A,#N/A,FALSE,"Plan1";#N/A,#N/A,FALSE,"Plan2"}</definedName>
    <definedName name="sdfdsf" localSheetId="18">{#N/A,#N/A,FALSE,"Plan1";#N/A,#N/A,FALSE,"Plan2"}</definedName>
    <definedName name="sdfdsf" localSheetId="10">{#N/A,#N/A,FALSE,"Plan1";#N/A,#N/A,FALSE,"Plan2"}</definedName>
    <definedName name="sdfdsf">{#N/A,#N/A,FALSE,"Plan1";#N/A,#N/A,FALSE,"Plan2"}</definedName>
    <definedName name="SDFEDRT" localSheetId="9">{#N/A,#N/A,FALSE,"Plan1";#N/A,#N/A,FALSE,"Plan2"}</definedName>
    <definedName name="SDFEDRT" localSheetId="6">{#N/A,#N/A,FALSE,"Plan1";#N/A,#N/A,FALSE,"Plan2"}</definedName>
    <definedName name="SDFEDRT" localSheetId="3">{#N/A,#N/A,FALSE,"Plan1";#N/A,#N/A,FALSE,"Plan2"}</definedName>
    <definedName name="SDFEDRT" localSheetId="8">{#N/A,#N/A,FALSE,"Plan1";#N/A,#N/A,FALSE,"Plan2"}</definedName>
    <definedName name="SDFEDRT" localSheetId="5">{#N/A,#N/A,FALSE,"Plan1";#N/A,#N/A,FALSE,"Plan2"}</definedName>
    <definedName name="SDFEDRT" localSheetId="4">{#N/A,#N/A,FALSE,"Plan1";#N/A,#N/A,FALSE,"Plan2"}</definedName>
    <definedName name="SDFEDRT" localSheetId="13">{#N/A,#N/A,FALSE,"Plan1";#N/A,#N/A,FALSE,"Plan2"}</definedName>
    <definedName name="SDFEDRT" localSheetId="17">{#N/A,#N/A,FALSE,"Plan1";#N/A,#N/A,FALSE,"Plan2"}</definedName>
    <definedName name="SDFEDRT" localSheetId="0">{#N/A,#N/A,FALSE,"Plan1";#N/A,#N/A,FALSE,"Plan2"}</definedName>
    <definedName name="SDFEDRT" localSheetId="19">{#N/A,#N/A,FALSE,"Plan1";#N/A,#N/A,FALSE,"Plan2"}</definedName>
    <definedName name="SDFEDRT" localSheetId="16">{#N/A,#N/A,FALSE,"Plan1";#N/A,#N/A,FALSE,"Plan2"}</definedName>
    <definedName name="SDFEDRT" localSheetId="18">{#N/A,#N/A,FALSE,"Plan1";#N/A,#N/A,FALSE,"Plan2"}</definedName>
    <definedName name="SDFEDRT" localSheetId="10">{#N/A,#N/A,FALSE,"Plan1";#N/A,#N/A,FALSE,"Plan2"}</definedName>
    <definedName name="SDFEDRT">{#N/A,#N/A,FALSE,"Plan1";#N/A,#N/A,FALSE,"Plan2"}</definedName>
    <definedName name="sdfer" localSheetId="9">{#N/A,#N/A,FALSE,"Plan1";#N/A,#N/A,FALSE,"Plan2"}</definedName>
    <definedName name="sdfer" localSheetId="6">{#N/A,#N/A,FALSE,"Plan1";#N/A,#N/A,FALSE,"Plan2"}</definedName>
    <definedName name="sdfer" localSheetId="3">{#N/A,#N/A,FALSE,"Plan1";#N/A,#N/A,FALSE,"Plan2"}</definedName>
    <definedName name="sdfer" localSheetId="8">{#N/A,#N/A,FALSE,"Plan1";#N/A,#N/A,FALSE,"Plan2"}</definedName>
    <definedName name="sdfer" localSheetId="5">{#N/A,#N/A,FALSE,"Plan1";#N/A,#N/A,FALSE,"Plan2"}</definedName>
    <definedName name="sdfer" localSheetId="4">{#N/A,#N/A,FALSE,"Plan1";#N/A,#N/A,FALSE,"Plan2"}</definedName>
    <definedName name="sdfer" localSheetId="13">{#N/A,#N/A,FALSE,"Plan1";#N/A,#N/A,FALSE,"Plan2"}</definedName>
    <definedName name="sdfer" localSheetId="17">{#N/A,#N/A,FALSE,"Plan1";#N/A,#N/A,FALSE,"Plan2"}</definedName>
    <definedName name="sdfer" localSheetId="0">{#N/A,#N/A,FALSE,"Plan1";#N/A,#N/A,FALSE,"Plan2"}</definedName>
    <definedName name="sdfer" localSheetId="19">{#N/A,#N/A,FALSE,"Plan1";#N/A,#N/A,FALSE,"Plan2"}</definedName>
    <definedName name="sdfer" localSheetId="16">{#N/A,#N/A,FALSE,"Plan1";#N/A,#N/A,FALSE,"Plan2"}</definedName>
    <definedName name="sdfer" localSheetId="18">{#N/A,#N/A,FALSE,"Plan1";#N/A,#N/A,FALSE,"Plan2"}</definedName>
    <definedName name="sdfer" localSheetId="10">{#N/A,#N/A,FALSE,"Plan1";#N/A,#N/A,FALSE,"Plan2"}</definedName>
    <definedName name="sdfer">{#N/A,#N/A,FALSE,"Plan1";#N/A,#N/A,FALSE,"Plan2"}</definedName>
    <definedName name="sdferr" localSheetId="9">{#N/A,#N/A,FALSE,"Plan1";#N/A,#N/A,FALSE,"Plan2"}</definedName>
    <definedName name="sdferr" localSheetId="6">{#N/A,#N/A,FALSE,"Plan1";#N/A,#N/A,FALSE,"Plan2"}</definedName>
    <definedName name="sdferr" localSheetId="3">{#N/A,#N/A,FALSE,"Plan1";#N/A,#N/A,FALSE,"Plan2"}</definedName>
    <definedName name="sdferr" localSheetId="8">{#N/A,#N/A,FALSE,"Plan1";#N/A,#N/A,FALSE,"Plan2"}</definedName>
    <definedName name="sdferr" localSheetId="5">{#N/A,#N/A,FALSE,"Plan1";#N/A,#N/A,FALSE,"Plan2"}</definedName>
    <definedName name="sdferr" localSheetId="4">{#N/A,#N/A,FALSE,"Plan1";#N/A,#N/A,FALSE,"Plan2"}</definedName>
    <definedName name="sdferr" localSheetId="13">{#N/A,#N/A,FALSE,"Plan1";#N/A,#N/A,FALSE,"Plan2"}</definedName>
    <definedName name="sdferr" localSheetId="17">{#N/A,#N/A,FALSE,"Plan1";#N/A,#N/A,FALSE,"Plan2"}</definedName>
    <definedName name="sdferr" localSheetId="0">{#N/A,#N/A,FALSE,"Plan1";#N/A,#N/A,FALSE,"Plan2"}</definedName>
    <definedName name="sdferr" localSheetId="19">{#N/A,#N/A,FALSE,"Plan1";#N/A,#N/A,FALSE,"Plan2"}</definedName>
    <definedName name="sdferr" localSheetId="16">{#N/A,#N/A,FALSE,"Plan1";#N/A,#N/A,FALSE,"Plan2"}</definedName>
    <definedName name="sdferr" localSheetId="18">{#N/A,#N/A,FALSE,"Plan1";#N/A,#N/A,FALSE,"Plan2"}</definedName>
    <definedName name="sdferr" localSheetId="10">{#N/A,#N/A,FALSE,"Plan1";#N/A,#N/A,FALSE,"Plan2"}</definedName>
    <definedName name="sdferr">{#N/A,#N/A,FALSE,"Plan1";#N/A,#N/A,FALSE,"Plan2"}</definedName>
    <definedName name="sdfe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9">{#N/A,#N/A,FALSE,"Plan1";#N/A,#N/A,FALSE,"Plan2"}</definedName>
    <definedName name="SDFGJFSRF" localSheetId="6">{#N/A,#N/A,FALSE,"Plan1";#N/A,#N/A,FALSE,"Plan2"}</definedName>
    <definedName name="SDFGJFSRF" localSheetId="3">{#N/A,#N/A,FALSE,"Plan1";#N/A,#N/A,FALSE,"Plan2"}</definedName>
    <definedName name="SDFGJFSRF" localSheetId="8">{#N/A,#N/A,FALSE,"Plan1";#N/A,#N/A,FALSE,"Plan2"}</definedName>
    <definedName name="SDFGJFSRF" localSheetId="5">{#N/A,#N/A,FALSE,"Plan1";#N/A,#N/A,FALSE,"Plan2"}</definedName>
    <definedName name="SDFGJFSRF" localSheetId="4">{#N/A,#N/A,FALSE,"Plan1";#N/A,#N/A,FALSE,"Plan2"}</definedName>
    <definedName name="SDFGJFSRF" localSheetId="13">{#N/A,#N/A,FALSE,"Plan1";#N/A,#N/A,FALSE,"Plan2"}</definedName>
    <definedName name="SDFGJFSRF" localSheetId="17">{#N/A,#N/A,FALSE,"Plan1";#N/A,#N/A,FALSE,"Plan2"}</definedName>
    <definedName name="SDFGJFSRF" localSheetId="0">{#N/A,#N/A,FALSE,"Plan1";#N/A,#N/A,FALSE,"Plan2"}</definedName>
    <definedName name="SDFGJFSRF" localSheetId="19">{#N/A,#N/A,FALSE,"Plan1";#N/A,#N/A,FALSE,"Plan2"}</definedName>
    <definedName name="SDFGJFSRF" localSheetId="16">{#N/A,#N/A,FALSE,"Plan1";#N/A,#N/A,FALSE,"Plan2"}</definedName>
    <definedName name="SDFGJFSRF" localSheetId="18">{#N/A,#N/A,FALSE,"Plan1";#N/A,#N/A,FALSE,"Plan2"}</definedName>
    <definedName name="SDFGJFSRF" localSheetId="10">{#N/A,#N/A,FALSE,"Plan1";#N/A,#N/A,FALSE,"Plan2"}</definedName>
    <definedName name="SDFGJFSRF">{#N/A,#N/A,FALSE,"Plan1";#N/A,#N/A,FALSE,"Plan2"}</definedName>
    <definedName name="sdfgtr" localSheetId="9">{#N/A,#N/A,FALSE,"Plan1";#N/A,#N/A,FALSE,"Plan2"}</definedName>
    <definedName name="sdfgtr" localSheetId="6">{#N/A,#N/A,FALSE,"Plan1";#N/A,#N/A,FALSE,"Plan2"}</definedName>
    <definedName name="sdfgtr" localSheetId="3">{#N/A,#N/A,FALSE,"Plan1";#N/A,#N/A,FALSE,"Plan2"}</definedName>
    <definedName name="sdfgtr" localSheetId="8">{#N/A,#N/A,FALSE,"Plan1";#N/A,#N/A,FALSE,"Plan2"}</definedName>
    <definedName name="sdfgtr" localSheetId="5">{#N/A,#N/A,FALSE,"Plan1";#N/A,#N/A,FALSE,"Plan2"}</definedName>
    <definedName name="sdfgtr" localSheetId="4">{#N/A,#N/A,FALSE,"Plan1";#N/A,#N/A,FALSE,"Plan2"}</definedName>
    <definedName name="sdfgtr" localSheetId="13">{#N/A,#N/A,FALSE,"Plan1";#N/A,#N/A,FALSE,"Plan2"}</definedName>
    <definedName name="sdfgtr" localSheetId="17">{#N/A,#N/A,FALSE,"Plan1";#N/A,#N/A,FALSE,"Plan2"}</definedName>
    <definedName name="sdfgtr" localSheetId="0">{#N/A,#N/A,FALSE,"Plan1";#N/A,#N/A,FALSE,"Plan2"}</definedName>
    <definedName name="sdfgtr" localSheetId="19">{#N/A,#N/A,FALSE,"Plan1";#N/A,#N/A,FALSE,"Plan2"}</definedName>
    <definedName name="sdfgtr" localSheetId="16">{#N/A,#N/A,FALSE,"Plan1";#N/A,#N/A,FALSE,"Plan2"}</definedName>
    <definedName name="sdfgtr" localSheetId="18">{#N/A,#N/A,FALSE,"Plan1";#N/A,#N/A,FALSE,"Plan2"}</definedName>
    <definedName name="sdfgtr" localSheetId="10">{#N/A,#N/A,FALSE,"Plan1";#N/A,#N/A,FALSE,"Plan2"}</definedName>
    <definedName name="sdfgtr">{#N/A,#N/A,FALSE,"Plan1";#N/A,#N/A,FALSE,"Plan2"}</definedName>
    <definedName name="sdfjdetrt" localSheetId="9">{#N/A,#N/A,FALSE,"Plan1";#N/A,#N/A,FALSE,"Plan2"}</definedName>
    <definedName name="sdfjdetrt" localSheetId="6">{#N/A,#N/A,FALSE,"Plan1";#N/A,#N/A,FALSE,"Plan2"}</definedName>
    <definedName name="sdfjdetrt" localSheetId="3">{#N/A,#N/A,FALSE,"Plan1";#N/A,#N/A,FALSE,"Plan2"}</definedName>
    <definedName name="sdfjdetrt" localSheetId="8">{#N/A,#N/A,FALSE,"Plan1";#N/A,#N/A,FALSE,"Plan2"}</definedName>
    <definedName name="sdfjdetrt" localSheetId="5">{#N/A,#N/A,FALSE,"Plan1";#N/A,#N/A,FALSE,"Plan2"}</definedName>
    <definedName name="sdfjdetrt" localSheetId="4">{#N/A,#N/A,FALSE,"Plan1";#N/A,#N/A,FALSE,"Plan2"}</definedName>
    <definedName name="sdfjdetrt" localSheetId="13">{#N/A,#N/A,FALSE,"Plan1";#N/A,#N/A,FALSE,"Plan2"}</definedName>
    <definedName name="sdfjdetrt" localSheetId="17">{#N/A,#N/A,FALSE,"Plan1";#N/A,#N/A,FALSE,"Plan2"}</definedName>
    <definedName name="sdfjdetrt" localSheetId="0">{#N/A,#N/A,FALSE,"Plan1";#N/A,#N/A,FALSE,"Plan2"}</definedName>
    <definedName name="sdfjdetrt" localSheetId="19">{#N/A,#N/A,FALSE,"Plan1";#N/A,#N/A,FALSE,"Plan2"}</definedName>
    <definedName name="sdfjdetrt" localSheetId="16">{#N/A,#N/A,FALSE,"Plan1";#N/A,#N/A,FALSE,"Plan2"}</definedName>
    <definedName name="sdfjdetrt" localSheetId="18">{#N/A,#N/A,FALSE,"Plan1";#N/A,#N/A,FALSE,"Plan2"}</definedName>
    <definedName name="sdfjdetrt" localSheetId="10">{#N/A,#N/A,FALSE,"Plan1";#N/A,#N/A,FALSE,"Plan2"}</definedName>
    <definedName name="sdfjdetrt">{#N/A,#N/A,FALSE,"Plan1";#N/A,#N/A,FALSE,"Plan2"}</definedName>
    <definedName name="SDFJDRTJEIDR" localSheetId="9">{#N/A,#N/A,FALSE,"Plan1";#N/A,#N/A,FALSE,"Plan2"}</definedName>
    <definedName name="SDFJDRTJEIDR" localSheetId="6">{#N/A,#N/A,FALSE,"Plan1";#N/A,#N/A,FALSE,"Plan2"}</definedName>
    <definedName name="SDFJDRTJEIDR" localSheetId="3">{#N/A,#N/A,FALSE,"Plan1";#N/A,#N/A,FALSE,"Plan2"}</definedName>
    <definedName name="SDFJDRTJEIDR" localSheetId="8">{#N/A,#N/A,FALSE,"Plan1";#N/A,#N/A,FALSE,"Plan2"}</definedName>
    <definedName name="SDFJDRTJEIDR" localSheetId="5">{#N/A,#N/A,FALSE,"Plan1";#N/A,#N/A,FALSE,"Plan2"}</definedName>
    <definedName name="SDFJDRTJEIDR" localSheetId="4">{#N/A,#N/A,FALSE,"Plan1";#N/A,#N/A,FALSE,"Plan2"}</definedName>
    <definedName name="SDFJDRTJEIDR" localSheetId="13">{#N/A,#N/A,FALSE,"Plan1";#N/A,#N/A,FALSE,"Plan2"}</definedName>
    <definedName name="SDFJDRTJEIDR" localSheetId="17">{#N/A,#N/A,FALSE,"Plan1";#N/A,#N/A,FALSE,"Plan2"}</definedName>
    <definedName name="SDFJDRTJEIDR" localSheetId="0">{#N/A,#N/A,FALSE,"Plan1";#N/A,#N/A,FALSE,"Plan2"}</definedName>
    <definedName name="SDFJDRTJEIDR" localSheetId="19">{#N/A,#N/A,FALSE,"Plan1";#N/A,#N/A,FALSE,"Plan2"}</definedName>
    <definedName name="SDFJDRTJEIDR" localSheetId="16">{#N/A,#N/A,FALSE,"Plan1";#N/A,#N/A,FALSE,"Plan2"}</definedName>
    <definedName name="SDFJDRTJEIDR" localSheetId="18">{#N/A,#N/A,FALSE,"Plan1";#N/A,#N/A,FALSE,"Plan2"}</definedName>
    <definedName name="SDFJDRTJEIDR" localSheetId="10">{#N/A,#N/A,FALSE,"Plan1";#N/A,#N/A,FALSE,"Plan2"}</definedName>
    <definedName name="SDFJDRTJEIDR">{#N/A,#N/A,FALSE,"Plan1";#N/A,#N/A,FALSE,"Plan2"}</definedName>
    <definedName name="sdfjergtij" localSheetId="9">{#N/A,#N/A,FALSE,"Plan1";#N/A,#N/A,FALSE,"Plan2"}</definedName>
    <definedName name="sdfjergtij" localSheetId="6">{#N/A,#N/A,FALSE,"Plan1";#N/A,#N/A,FALSE,"Plan2"}</definedName>
    <definedName name="sdfjergtij" localSheetId="3">{#N/A,#N/A,FALSE,"Plan1";#N/A,#N/A,FALSE,"Plan2"}</definedName>
    <definedName name="sdfjergtij" localSheetId="8">{#N/A,#N/A,FALSE,"Plan1";#N/A,#N/A,FALSE,"Plan2"}</definedName>
    <definedName name="sdfjergtij" localSheetId="5">{#N/A,#N/A,FALSE,"Plan1";#N/A,#N/A,FALSE,"Plan2"}</definedName>
    <definedName name="sdfjergtij" localSheetId="4">{#N/A,#N/A,FALSE,"Plan1";#N/A,#N/A,FALSE,"Plan2"}</definedName>
    <definedName name="sdfjergtij" localSheetId="13">{#N/A,#N/A,FALSE,"Plan1";#N/A,#N/A,FALSE,"Plan2"}</definedName>
    <definedName name="sdfjergtij" localSheetId="17">{#N/A,#N/A,FALSE,"Plan1";#N/A,#N/A,FALSE,"Plan2"}</definedName>
    <definedName name="sdfjergtij" localSheetId="0">{#N/A,#N/A,FALSE,"Plan1";#N/A,#N/A,FALSE,"Plan2"}</definedName>
    <definedName name="sdfjergtij" localSheetId="19">{#N/A,#N/A,FALSE,"Plan1";#N/A,#N/A,FALSE,"Plan2"}</definedName>
    <definedName name="sdfjergtij" localSheetId="16">{#N/A,#N/A,FALSE,"Plan1";#N/A,#N/A,FALSE,"Plan2"}</definedName>
    <definedName name="sdfjergtij" localSheetId="18">{#N/A,#N/A,FALSE,"Plan1";#N/A,#N/A,FALSE,"Plan2"}</definedName>
    <definedName name="sdfjergtij" localSheetId="10">{#N/A,#N/A,FALSE,"Plan1";#N/A,#N/A,FALSE,"Plan2"}</definedName>
    <definedName name="sdfjergtij">{#N/A,#N/A,FALSE,"Plan1";#N/A,#N/A,FALSE,"Plan2"}</definedName>
    <definedName name="SDFOPJKWE" localSheetId="9">{#N/A,#N/A,FALSE,"Plan1";#N/A,#N/A,FALSE,"Plan2"}</definedName>
    <definedName name="SDFOPJKWE" localSheetId="6">{#N/A,#N/A,FALSE,"Plan1";#N/A,#N/A,FALSE,"Plan2"}</definedName>
    <definedName name="SDFOPJKWE" localSheetId="3">{#N/A,#N/A,FALSE,"Plan1";#N/A,#N/A,FALSE,"Plan2"}</definedName>
    <definedName name="SDFOPJKWE" localSheetId="8">{#N/A,#N/A,FALSE,"Plan1";#N/A,#N/A,FALSE,"Plan2"}</definedName>
    <definedName name="SDFOPJKWE" localSheetId="5">{#N/A,#N/A,FALSE,"Plan1";#N/A,#N/A,FALSE,"Plan2"}</definedName>
    <definedName name="SDFOPJKWE" localSheetId="4">{#N/A,#N/A,FALSE,"Plan1";#N/A,#N/A,FALSE,"Plan2"}</definedName>
    <definedName name="SDFOPJKWE" localSheetId="13">{#N/A,#N/A,FALSE,"Plan1";#N/A,#N/A,FALSE,"Plan2"}</definedName>
    <definedName name="SDFOPJKWE" localSheetId="17">{#N/A,#N/A,FALSE,"Plan1";#N/A,#N/A,FALSE,"Plan2"}</definedName>
    <definedName name="SDFOPJKWE" localSheetId="0">{#N/A,#N/A,FALSE,"Plan1";#N/A,#N/A,FALSE,"Plan2"}</definedName>
    <definedName name="SDFOPJKWE" localSheetId="19">{#N/A,#N/A,FALSE,"Plan1";#N/A,#N/A,FALSE,"Plan2"}</definedName>
    <definedName name="SDFOPJKWE" localSheetId="16">{#N/A,#N/A,FALSE,"Plan1";#N/A,#N/A,FALSE,"Plan2"}</definedName>
    <definedName name="SDFOPJKWE" localSheetId="18">{#N/A,#N/A,FALSE,"Plan1";#N/A,#N/A,FALSE,"Plan2"}</definedName>
    <definedName name="SDFOPJKWE" localSheetId="10">{#N/A,#N/A,FALSE,"Plan1";#N/A,#N/A,FALSE,"Plan2"}</definedName>
    <definedName name="SDFOPJKWE">{#N/A,#N/A,FALSE,"Plan1";#N/A,#N/A,FALSE,"Plan2"}</definedName>
    <definedName name="sdfrdt5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9">{#N/A,#N/A,FALSE,"Plan1";#N/A,#N/A,FALSE,"Plan2"}</definedName>
    <definedName name="sdfrt" localSheetId="6">{#N/A,#N/A,FALSE,"Plan1";#N/A,#N/A,FALSE,"Plan2"}</definedName>
    <definedName name="sdfrt" localSheetId="3">{#N/A,#N/A,FALSE,"Plan1";#N/A,#N/A,FALSE,"Plan2"}</definedName>
    <definedName name="sdfrt" localSheetId="8">{#N/A,#N/A,FALSE,"Plan1";#N/A,#N/A,FALSE,"Plan2"}</definedName>
    <definedName name="sdfrt" localSheetId="5">{#N/A,#N/A,FALSE,"Plan1";#N/A,#N/A,FALSE,"Plan2"}</definedName>
    <definedName name="sdfrt" localSheetId="4">{#N/A,#N/A,FALSE,"Plan1";#N/A,#N/A,FALSE,"Plan2"}</definedName>
    <definedName name="sdfrt" localSheetId="13">{#N/A,#N/A,FALSE,"Plan1";#N/A,#N/A,FALSE,"Plan2"}</definedName>
    <definedName name="sdfrt" localSheetId="17">{#N/A,#N/A,FALSE,"Plan1";#N/A,#N/A,FALSE,"Plan2"}</definedName>
    <definedName name="sdfrt" localSheetId="0">{#N/A,#N/A,FALSE,"Plan1";#N/A,#N/A,FALSE,"Plan2"}</definedName>
    <definedName name="sdfrt" localSheetId="19">{#N/A,#N/A,FALSE,"Plan1";#N/A,#N/A,FALSE,"Plan2"}</definedName>
    <definedName name="sdfrt" localSheetId="16">{#N/A,#N/A,FALSE,"Plan1";#N/A,#N/A,FALSE,"Plan2"}</definedName>
    <definedName name="sdfrt" localSheetId="18">{#N/A,#N/A,FALSE,"Plan1";#N/A,#N/A,FALSE,"Plan2"}</definedName>
    <definedName name="sdfrt" localSheetId="10">{#N/A,#N/A,FALSE,"Plan1";#N/A,#N/A,FALSE,"Plan2"}</definedName>
    <definedName name="sdfrt">{#N/A,#N/A,FALSE,"Plan1";#N/A,#N/A,FALSE,"Plan2"}</definedName>
    <definedName name="SDFRTKK" localSheetId="9">{#N/A,#N/A,FALSE,"Plan1";#N/A,#N/A,FALSE,"Plan2"}</definedName>
    <definedName name="SDFRTKK" localSheetId="6">{#N/A,#N/A,FALSE,"Plan1";#N/A,#N/A,FALSE,"Plan2"}</definedName>
    <definedName name="SDFRTKK" localSheetId="3">{#N/A,#N/A,FALSE,"Plan1";#N/A,#N/A,FALSE,"Plan2"}</definedName>
    <definedName name="SDFRTKK" localSheetId="8">{#N/A,#N/A,FALSE,"Plan1";#N/A,#N/A,FALSE,"Plan2"}</definedName>
    <definedName name="SDFRTKK" localSheetId="5">{#N/A,#N/A,FALSE,"Plan1";#N/A,#N/A,FALSE,"Plan2"}</definedName>
    <definedName name="SDFRTKK" localSheetId="4">{#N/A,#N/A,FALSE,"Plan1";#N/A,#N/A,FALSE,"Plan2"}</definedName>
    <definedName name="SDFRTKK" localSheetId="13">{#N/A,#N/A,FALSE,"Plan1";#N/A,#N/A,FALSE,"Plan2"}</definedName>
    <definedName name="SDFRTKK" localSheetId="17">{#N/A,#N/A,FALSE,"Plan1";#N/A,#N/A,FALSE,"Plan2"}</definedName>
    <definedName name="SDFRTKK" localSheetId="0">{#N/A,#N/A,FALSE,"Plan1";#N/A,#N/A,FALSE,"Plan2"}</definedName>
    <definedName name="SDFRTKK" localSheetId="19">{#N/A,#N/A,FALSE,"Plan1";#N/A,#N/A,FALSE,"Plan2"}</definedName>
    <definedName name="SDFRTKK" localSheetId="16">{#N/A,#N/A,FALSE,"Plan1";#N/A,#N/A,FALSE,"Plan2"}</definedName>
    <definedName name="SDFRTKK" localSheetId="18">{#N/A,#N/A,FALSE,"Plan1";#N/A,#N/A,FALSE,"Plan2"}</definedName>
    <definedName name="SDFRTKK" localSheetId="10">{#N/A,#N/A,FALSE,"Plan1";#N/A,#N/A,FALSE,"Plan2"}</definedName>
    <definedName name="SDFRTKK">{#N/A,#N/A,FALSE,"Plan1";#N/A,#N/A,FALSE,"Plan2"}</definedName>
    <definedName name="SDFRTR" localSheetId="9">{#N/A,#N/A,FALSE,"Plan1";#N/A,#N/A,FALSE,"Plan2"}</definedName>
    <definedName name="SDFRTR" localSheetId="6">{#N/A,#N/A,FALSE,"Plan1";#N/A,#N/A,FALSE,"Plan2"}</definedName>
    <definedName name="SDFRTR" localSheetId="3">{#N/A,#N/A,FALSE,"Plan1";#N/A,#N/A,FALSE,"Plan2"}</definedName>
    <definedName name="SDFRTR" localSheetId="8">{#N/A,#N/A,FALSE,"Plan1";#N/A,#N/A,FALSE,"Plan2"}</definedName>
    <definedName name="SDFRTR" localSheetId="5">{#N/A,#N/A,FALSE,"Plan1";#N/A,#N/A,FALSE,"Plan2"}</definedName>
    <definedName name="SDFRTR" localSheetId="4">{#N/A,#N/A,FALSE,"Plan1";#N/A,#N/A,FALSE,"Plan2"}</definedName>
    <definedName name="SDFRTR" localSheetId="13">{#N/A,#N/A,FALSE,"Plan1";#N/A,#N/A,FALSE,"Plan2"}</definedName>
    <definedName name="SDFRTR" localSheetId="17">{#N/A,#N/A,FALSE,"Plan1";#N/A,#N/A,FALSE,"Plan2"}</definedName>
    <definedName name="SDFRTR" localSheetId="0">{#N/A,#N/A,FALSE,"Plan1";#N/A,#N/A,FALSE,"Plan2"}</definedName>
    <definedName name="SDFRTR" localSheetId="19">{#N/A,#N/A,FALSE,"Plan1";#N/A,#N/A,FALSE,"Plan2"}</definedName>
    <definedName name="SDFRTR" localSheetId="16">{#N/A,#N/A,FALSE,"Plan1";#N/A,#N/A,FALSE,"Plan2"}</definedName>
    <definedName name="SDFRTR" localSheetId="18">{#N/A,#N/A,FALSE,"Plan1";#N/A,#N/A,FALSE,"Plan2"}</definedName>
    <definedName name="SDFRTR" localSheetId="10">{#N/A,#N/A,FALSE,"Plan1";#N/A,#N/A,FALSE,"Plan2"}</definedName>
    <definedName name="SDFRTR">{#N/A,#N/A,FALSE,"Plan1";#N/A,#N/A,FALSE,"Plan2"}</definedName>
    <definedName name="sdfry6" localSheetId="9">{#N/A,#N/A,FALSE,"Plan1";#N/A,#N/A,FALSE,"Plan2"}</definedName>
    <definedName name="sdfry6" localSheetId="6">{#N/A,#N/A,FALSE,"Plan1";#N/A,#N/A,FALSE,"Plan2"}</definedName>
    <definedName name="sdfry6" localSheetId="3">{#N/A,#N/A,FALSE,"Plan1";#N/A,#N/A,FALSE,"Plan2"}</definedName>
    <definedName name="sdfry6" localSheetId="8">{#N/A,#N/A,FALSE,"Plan1";#N/A,#N/A,FALSE,"Plan2"}</definedName>
    <definedName name="sdfry6" localSheetId="5">{#N/A,#N/A,FALSE,"Plan1";#N/A,#N/A,FALSE,"Plan2"}</definedName>
    <definedName name="sdfry6" localSheetId="4">{#N/A,#N/A,FALSE,"Plan1";#N/A,#N/A,FALSE,"Plan2"}</definedName>
    <definedName name="sdfry6" localSheetId="13">{#N/A,#N/A,FALSE,"Plan1";#N/A,#N/A,FALSE,"Plan2"}</definedName>
    <definedName name="sdfry6" localSheetId="17">{#N/A,#N/A,FALSE,"Plan1";#N/A,#N/A,FALSE,"Plan2"}</definedName>
    <definedName name="sdfry6" localSheetId="0">{#N/A,#N/A,FALSE,"Plan1";#N/A,#N/A,FALSE,"Plan2"}</definedName>
    <definedName name="sdfry6" localSheetId="19">{#N/A,#N/A,FALSE,"Plan1";#N/A,#N/A,FALSE,"Plan2"}</definedName>
    <definedName name="sdfry6" localSheetId="16">{#N/A,#N/A,FALSE,"Plan1";#N/A,#N/A,FALSE,"Plan2"}</definedName>
    <definedName name="sdfry6" localSheetId="18">{#N/A,#N/A,FALSE,"Plan1";#N/A,#N/A,FALSE,"Plan2"}</definedName>
    <definedName name="sdfry6" localSheetId="10">{#N/A,#N/A,FALSE,"Plan1";#N/A,#N/A,FALSE,"Plan2"}</definedName>
    <definedName name="sdfry6">{#N/A,#N/A,FALSE,"Plan1";#N/A,#N/A,FALSE,"Plan2"}</definedName>
    <definedName name="sdfsaf" localSheetId="9">{#N/A,#N/A,FALSE,"Plan1";#N/A,#N/A,FALSE,"Plan2"}</definedName>
    <definedName name="sdfsaf" localSheetId="6">{#N/A,#N/A,FALSE,"Plan1";#N/A,#N/A,FALSE,"Plan2"}</definedName>
    <definedName name="sdfsaf" localSheetId="3">{#N/A,#N/A,FALSE,"Plan1";#N/A,#N/A,FALSE,"Plan2"}</definedName>
    <definedName name="sdfsaf" localSheetId="8">{#N/A,#N/A,FALSE,"Plan1";#N/A,#N/A,FALSE,"Plan2"}</definedName>
    <definedName name="sdfsaf" localSheetId="5">{#N/A,#N/A,FALSE,"Plan1";#N/A,#N/A,FALSE,"Plan2"}</definedName>
    <definedName name="sdfsaf" localSheetId="4">{#N/A,#N/A,FALSE,"Plan1";#N/A,#N/A,FALSE,"Plan2"}</definedName>
    <definedName name="sdfsaf" localSheetId="13">{#N/A,#N/A,FALSE,"Plan1";#N/A,#N/A,FALSE,"Plan2"}</definedName>
    <definedName name="sdfsaf" localSheetId="17">{#N/A,#N/A,FALSE,"Plan1";#N/A,#N/A,FALSE,"Plan2"}</definedName>
    <definedName name="sdfsaf" localSheetId="0">{#N/A,#N/A,FALSE,"Plan1";#N/A,#N/A,FALSE,"Plan2"}</definedName>
    <definedName name="sdfsaf" localSheetId="19">{#N/A,#N/A,FALSE,"Plan1";#N/A,#N/A,FALSE,"Plan2"}</definedName>
    <definedName name="sdfsaf" localSheetId="16">{#N/A,#N/A,FALSE,"Plan1";#N/A,#N/A,FALSE,"Plan2"}</definedName>
    <definedName name="sdfsaf" localSheetId="18">{#N/A,#N/A,FALSE,"Plan1";#N/A,#N/A,FALSE,"Plan2"}</definedName>
    <definedName name="sdfsaf" localSheetId="10">{#N/A,#N/A,FALSE,"Plan1";#N/A,#N/A,FALSE,"Plan2"}</definedName>
    <definedName name="sdfsaf">{#N/A,#N/A,FALSE,"Plan1";#N/A,#N/A,FALSE,"Plan2"}</definedName>
    <definedName name="sdfsd" localSheetId="9">{"'Estimativa de Lançamento-JAN'!$A$1:$AI$85"}</definedName>
    <definedName name="sdfsd" localSheetId="6">{"'Estimativa de Lançamento-JAN'!$A$1:$AI$85"}</definedName>
    <definedName name="sdfsd" localSheetId="3">{"'Estimativa de Lançamento-JAN'!$A$1:$AI$85"}</definedName>
    <definedName name="sdfsd" localSheetId="8">{"'Estimativa de Lançamento-JAN'!$A$1:$AI$85"}</definedName>
    <definedName name="sdfsd" localSheetId="5">{"'Estimativa de Lançamento-JAN'!$A$1:$AI$85"}</definedName>
    <definedName name="sdfsd" localSheetId="4">{"'Estimativa de Lançamento-JAN'!$A$1:$AI$85"}</definedName>
    <definedName name="sdfsd" localSheetId="13">{"'Estimativa de Lançamento-JAN'!$A$1:$AI$85"}</definedName>
    <definedName name="sdfsd" localSheetId="17">{"'Estimativa de Lançamento-JAN'!$A$1:$AI$85"}</definedName>
    <definedName name="sdfsd" localSheetId="0">{"'Estimativa de Lançamento-JAN'!$A$1:$AI$85"}</definedName>
    <definedName name="sdfsd" localSheetId="19">{"'Estimativa de Lançamento-JAN'!$A$1:$AI$85"}</definedName>
    <definedName name="sdfsd" localSheetId="16">{"'Estimativa de Lançamento-JAN'!$A$1:$AI$85"}</definedName>
    <definedName name="sdfsd" localSheetId="18">{"'Estimativa de Lançamento-JAN'!$A$1:$AI$85"}</definedName>
    <definedName name="sdfsd" localSheetId="10">{"'Estimativa de Lançamento-JAN'!$A$1:$AI$85"}</definedName>
    <definedName name="sdfsd">{"'Estimativa de Lançamento-JAN'!$A$1:$AI$85"}</definedName>
    <definedName name="sdfsdfg" localSheetId="9">{#N/A,#N/A,FALSE,"Plan1";#N/A,#N/A,FALSE,"Plan2"}</definedName>
    <definedName name="sdfsdfg" localSheetId="6">{#N/A,#N/A,FALSE,"Plan1";#N/A,#N/A,FALSE,"Plan2"}</definedName>
    <definedName name="sdfsdfg" localSheetId="3">{#N/A,#N/A,FALSE,"Plan1";#N/A,#N/A,FALSE,"Plan2"}</definedName>
    <definedName name="sdfsdfg" localSheetId="8">{#N/A,#N/A,FALSE,"Plan1";#N/A,#N/A,FALSE,"Plan2"}</definedName>
    <definedName name="sdfsdfg" localSheetId="5">{#N/A,#N/A,FALSE,"Plan1";#N/A,#N/A,FALSE,"Plan2"}</definedName>
    <definedName name="sdfsdfg" localSheetId="4">{#N/A,#N/A,FALSE,"Plan1";#N/A,#N/A,FALSE,"Plan2"}</definedName>
    <definedName name="sdfsdfg" localSheetId="13">{#N/A,#N/A,FALSE,"Plan1";#N/A,#N/A,FALSE,"Plan2"}</definedName>
    <definedName name="sdfsdfg" localSheetId="17">{#N/A,#N/A,FALSE,"Plan1";#N/A,#N/A,FALSE,"Plan2"}</definedName>
    <definedName name="sdfsdfg" localSheetId="0">{#N/A,#N/A,FALSE,"Plan1";#N/A,#N/A,FALSE,"Plan2"}</definedName>
    <definedName name="sdfsdfg" localSheetId="19">{#N/A,#N/A,FALSE,"Plan1";#N/A,#N/A,FALSE,"Plan2"}</definedName>
    <definedName name="sdfsdfg" localSheetId="16">{#N/A,#N/A,FALSE,"Plan1";#N/A,#N/A,FALSE,"Plan2"}</definedName>
    <definedName name="sdfsdfg" localSheetId="18">{#N/A,#N/A,FALSE,"Plan1";#N/A,#N/A,FALSE,"Plan2"}</definedName>
    <definedName name="sdfsdfg" localSheetId="10">{#N/A,#N/A,FALSE,"Plan1";#N/A,#N/A,FALSE,"Plan2"}</definedName>
    <definedName name="sdfsdfg">{#N/A,#N/A,FALSE,"Plan1";#N/A,#N/A,FALSE,"Plan2"}</definedName>
    <definedName name="SDFSDFK" localSheetId="9">{#N/A,#N/A,FALSE,"Plan1";#N/A,#N/A,FALSE,"Plan2"}</definedName>
    <definedName name="SDFSDFK" localSheetId="6">{#N/A,#N/A,FALSE,"Plan1";#N/A,#N/A,FALSE,"Plan2"}</definedName>
    <definedName name="SDFSDFK" localSheetId="3">{#N/A,#N/A,FALSE,"Plan1";#N/A,#N/A,FALSE,"Plan2"}</definedName>
    <definedName name="SDFSDFK" localSheetId="8">{#N/A,#N/A,FALSE,"Plan1";#N/A,#N/A,FALSE,"Plan2"}</definedName>
    <definedName name="SDFSDFK" localSheetId="5">{#N/A,#N/A,FALSE,"Plan1";#N/A,#N/A,FALSE,"Plan2"}</definedName>
    <definedName name="SDFSDFK" localSheetId="4">{#N/A,#N/A,FALSE,"Plan1";#N/A,#N/A,FALSE,"Plan2"}</definedName>
    <definedName name="SDFSDFK" localSheetId="13">{#N/A,#N/A,FALSE,"Plan1";#N/A,#N/A,FALSE,"Plan2"}</definedName>
    <definedName name="SDFSDFK" localSheetId="17">{#N/A,#N/A,FALSE,"Plan1";#N/A,#N/A,FALSE,"Plan2"}</definedName>
    <definedName name="SDFSDFK" localSheetId="0">{#N/A,#N/A,FALSE,"Plan1";#N/A,#N/A,FALSE,"Plan2"}</definedName>
    <definedName name="SDFSDFK" localSheetId="19">{#N/A,#N/A,FALSE,"Plan1";#N/A,#N/A,FALSE,"Plan2"}</definedName>
    <definedName name="SDFSDFK" localSheetId="16">{#N/A,#N/A,FALSE,"Plan1";#N/A,#N/A,FALSE,"Plan2"}</definedName>
    <definedName name="SDFSDFK" localSheetId="18">{#N/A,#N/A,FALSE,"Plan1";#N/A,#N/A,FALSE,"Plan2"}</definedName>
    <definedName name="SDFSDFK" localSheetId="10">{#N/A,#N/A,FALSE,"Plan1";#N/A,#N/A,FALSE,"Plan2"}</definedName>
    <definedName name="SDFSDFK">{#N/A,#N/A,FALSE,"Plan1";#N/A,#N/A,FALSE,"Plan2"}</definedName>
    <definedName name="sdfsdgftret" localSheetId="9">{#N/A,#N/A,FALSE,"Plan1";#N/A,#N/A,FALSE,"Plan2"}</definedName>
    <definedName name="sdfsdgftret" localSheetId="6">{#N/A,#N/A,FALSE,"Plan1";#N/A,#N/A,FALSE,"Plan2"}</definedName>
    <definedName name="sdfsdgftret" localSheetId="3">{#N/A,#N/A,FALSE,"Plan1";#N/A,#N/A,FALSE,"Plan2"}</definedName>
    <definedName name="sdfsdgftret" localSheetId="8">{#N/A,#N/A,FALSE,"Plan1";#N/A,#N/A,FALSE,"Plan2"}</definedName>
    <definedName name="sdfsdgftret" localSheetId="5">{#N/A,#N/A,FALSE,"Plan1";#N/A,#N/A,FALSE,"Plan2"}</definedName>
    <definedName name="sdfsdgftret" localSheetId="4">{#N/A,#N/A,FALSE,"Plan1";#N/A,#N/A,FALSE,"Plan2"}</definedName>
    <definedName name="sdfsdgftret" localSheetId="13">{#N/A,#N/A,FALSE,"Plan1";#N/A,#N/A,FALSE,"Plan2"}</definedName>
    <definedName name="sdfsdgftret" localSheetId="17">{#N/A,#N/A,FALSE,"Plan1";#N/A,#N/A,FALSE,"Plan2"}</definedName>
    <definedName name="sdfsdgftret" localSheetId="0">{#N/A,#N/A,FALSE,"Plan1";#N/A,#N/A,FALSE,"Plan2"}</definedName>
    <definedName name="sdfsdgftret" localSheetId="19">{#N/A,#N/A,FALSE,"Plan1";#N/A,#N/A,FALSE,"Plan2"}</definedName>
    <definedName name="sdfsdgftret" localSheetId="16">{#N/A,#N/A,FALSE,"Plan1";#N/A,#N/A,FALSE,"Plan2"}</definedName>
    <definedName name="sdfsdgftret" localSheetId="18">{#N/A,#N/A,FALSE,"Plan1";#N/A,#N/A,FALSE,"Plan2"}</definedName>
    <definedName name="sdfsdgftret" localSheetId="10">{#N/A,#N/A,FALSE,"Plan1";#N/A,#N/A,FALSE,"Plan2"}</definedName>
    <definedName name="sdfsdgftret">{#N/A,#N/A,FALSE,"Plan1";#N/A,#N/A,FALSE,"Plan2"}</definedName>
    <definedName name="sdfsdr">1</definedName>
    <definedName name="sdfsf" localSheetId="9">{#N/A,#N/A,FALSE,"Plan1";#N/A,#N/A,FALSE,"Plan2"}</definedName>
    <definedName name="sdfsf" localSheetId="6">{#N/A,#N/A,FALSE,"Plan1";#N/A,#N/A,FALSE,"Plan2"}</definedName>
    <definedName name="sdfsf" localSheetId="3">{#N/A,#N/A,FALSE,"Plan1";#N/A,#N/A,FALSE,"Plan2"}</definedName>
    <definedName name="SDFSF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4">{#N/A,#N/A,FALSE,"Plan1";#N/A,#N/A,FALSE,"Plan2"}</definedName>
    <definedName name="sdfsf" localSheetId="13">{#N/A,#N/A,FALSE,"Plan1";#N/A,#N/A,FALSE,"Plan2"}</definedName>
    <definedName name="sdfsf" localSheetId="17">{#N/A,#N/A,FALSE,"Plan1";#N/A,#N/A,FALSE,"Plan2"}</definedName>
    <definedName name="sdfsf" localSheetId="0">{#N/A,#N/A,FALSE,"Plan1";#N/A,#N/A,FALSE,"Plan2"}</definedName>
    <definedName name="SDFSF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6">{#N/A,#N/A,FALSE,"Plan1";#N/A,#N/A,FALSE,"Plan2"}</definedName>
    <definedName name="sdfsf" localSheetId="18">{#N/A,#N/A,FALSE,"Plan1";#N/A,#N/A,FALSE,"Plan2"}</definedName>
    <definedName name="sdfsf" localSheetId="10">{#N/A,#N/A,FALSE,"Plan1";#N/A,#N/A,FALSE,"Plan2"}</definedName>
    <definedName name="sdfsf">{#N/A,#N/A,FALSE,"Plan1";#N/A,#N/A,FALSE,"Plan2"}</definedName>
    <definedName name="SDFSFRT" localSheetId="9">{"Econ Consolidado",#N/A,FALSE,"Econ Consol";"Fluxo de Caixa",#N/A,FALSE,"Fluxo Caixa";"Investimentos",#N/A,FALSE,"Investimentos"}</definedName>
    <definedName name="SDFSFRT" localSheetId="6">{"Econ Consolidado",#N/A,FALSE,"Econ Consol";"Fluxo de Caixa",#N/A,FALSE,"Fluxo Caixa";"Investimentos",#N/A,FALSE,"Investimentos"}</definedName>
    <definedName name="SDFSFRT" localSheetId="3">{"Econ Consolidado",#N/A,FALSE,"Econ Consol";"Fluxo de Caixa",#N/A,FALSE,"Fluxo Caixa";"Investimentos",#N/A,FALSE,"Investimentos"}</definedName>
    <definedName name="SDFSFRT" localSheetId="8">{"Econ Consolidado",#N/A,FALSE,"Econ Consol";"Fluxo de Caixa",#N/A,FALSE,"Fluxo Caixa";"Investimentos",#N/A,FALSE,"Investimentos"}</definedName>
    <definedName name="SDFSFRT" localSheetId="5">{"Econ Consolidado",#N/A,FALSE,"Econ Consol";"Fluxo de Caixa",#N/A,FALSE,"Fluxo Caixa";"Investimentos",#N/A,FALSE,"Investimentos"}</definedName>
    <definedName name="SDFSFRT" localSheetId="4">{"Econ Consolidado",#N/A,FALSE,"Econ Consol";"Fluxo de Caixa",#N/A,FALSE,"Fluxo Caixa";"Investimentos",#N/A,FALSE,"Investimentos"}</definedName>
    <definedName name="SDFSFRT" localSheetId="13">{"Econ Consolidado",#N/A,FALSE,"Econ Consol";"Fluxo de Caixa",#N/A,FALSE,"Fluxo Caixa";"Investimentos",#N/A,FALSE,"Investimentos"}</definedName>
    <definedName name="SDFSFRT" localSheetId="17">{"Econ Consolidado",#N/A,FALSE,"Econ Consol";"Fluxo de Caixa",#N/A,FALSE,"Fluxo Caixa";"Investimentos",#N/A,FALSE,"Investimentos"}</definedName>
    <definedName name="SDFSFRT" localSheetId="0">{"Econ Consolidado",#N/A,FALSE,"Econ Consol";"Fluxo de Caixa",#N/A,FALSE,"Fluxo Caixa";"Investimentos",#N/A,FALSE,"Investimentos"}</definedName>
    <definedName name="SDFSFRT" localSheetId="19">{"Econ Consolidado",#N/A,FALSE,"Econ Consol";"Fluxo de Caixa",#N/A,FALSE,"Fluxo Caixa";"Investimentos",#N/A,FALSE,"Investimentos"}</definedName>
    <definedName name="SDFSFRT" localSheetId="16">{"Econ Consolidado",#N/A,FALSE,"Econ Consol";"Fluxo de Caixa",#N/A,FALSE,"Fluxo Caixa";"Investimentos",#N/A,FALSE,"Investimentos"}</definedName>
    <definedName name="SDFSFRT" localSheetId="18">{"Econ Consolidado",#N/A,FALSE,"Econ Consol";"Fluxo de Caixa",#N/A,FALSE,"Fluxo Caixa";"Investimentos",#N/A,FALSE,"Investimentos"}</definedName>
    <definedName name="SDFSFRT" localSheetId="10">{"Econ Consolidado",#N/A,FALSE,"Econ Consol";"Fluxo de Caixa",#N/A,FALSE,"Fluxo Caixa";"Investimentos",#N/A,FALSE,"Investimentos"}</definedName>
    <definedName name="SDFSFRT">{"Econ Consolidado",#N/A,FALSE,"Econ Consol";"Fluxo de Caixa",#N/A,FALSE,"Fluxo Caixa";"Investimentos",#N/A,FALSE,"Investimentos"}</definedName>
    <definedName name="sdfsr" localSheetId="9">{#N/A,#N/A,FALSE,"Plan1";#N/A,#N/A,FALSE,"Plan2"}</definedName>
    <definedName name="sdfsr" localSheetId="6">{#N/A,#N/A,FALSE,"Plan1";#N/A,#N/A,FALSE,"Plan2"}</definedName>
    <definedName name="sdfsr" localSheetId="3">{#N/A,#N/A,FALSE,"Plan1";#N/A,#N/A,FALSE,"Plan2"}</definedName>
    <definedName name="sdfsr" localSheetId="8">{#N/A,#N/A,FALSE,"Plan1";#N/A,#N/A,FALSE,"Plan2"}</definedName>
    <definedName name="sdfsr" localSheetId="5">{#N/A,#N/A,FALSE,"Plan1";#N/A,#N/A,FALSE,"Plan2"}</definedName>
    <definedName name="sdfsr" localSheetId="4">{#N/A,#N/A,FALSE,"Plan1";#N/A,#N/A,FALSE,"Plan2"}</definedName>
    <definedName name="sdfsr" localSheetId="13">{#N/A,#N/A,FALSE,"Plan1";#N/A,#N/A,FALSE,"Plan2"}</definedName>
    <definedName name="sdfsr" localSheetId="17">{#N/A,#N/A,FALSE,"Plan1";#N/A,#N/A,FALSE,"Plan2"}</definedName>
    <definedName name="sdfsr" localSheetId="0">{#N/A,#N/A,FALSE,"Plan1";#N/A,#N/A,FALSE,"Plan2"}</definedName>
    <definedName name="sdfsr" localSheetId="19">{#N/A,#N/A,FALSE,"Plan1";#N/A,#N/A,FALSE,"Plan2"}</definedName>
    <definedName name="sdfsr" localSheetId="16">{#N/A,#N/A,FALSE,"Plan1";#N/A,#N/A,FALSE,"Plan2"}</definedName>
    <definedName name="sdfsr" localSheetId="18">{#N/A,#N/A,FALSE,"Plan1";#N/A,#N/A,FALSE,"Plan2"}</definedName>
    <definedName name="sdfsr" localSheetId="10">{#N/A,#N/A,FALSE,"Plan1";#N/A,#N/A,FALSE,"Plan2"}</definedName>
    <definedName name="sdfsr">{#N/A,#N/A,FALSE,"Plan1";#N/A,#N/A,FALSE,"Plan2"}</definedName>
    <definedName name="sdfty" localSheetId="9">{#N/A,#N/A,FALSE,"Plan1";#N/A,#N/A,FALSE,"Plan2"}</definedName>
    <definedName name="sdfty" localSheetId="6">{#N/A,#N/A,FALSE,"Plan1";#N/A,#N/A,FALSE,"Plan2"}</definedName>
    <definedName name="sdfty" localSheetId="3">{#N/A,#N/A,FALSE,"Plan1";#N/A,#N/A,FALSE,"Plan2"}</definedName>
    <definedName name="sdfty" localSheetId="8">{#N/A,#N/A,FALSE,"Plan1";#N/A,#N/A,FALSE,"Plan2"}</definedName>
    <definedName name="sdfty" localSheetId="5">{#N/A,#N/A,FALSE,"Plan1";#N/A,#N/A,FALSE,"Plan2"}</definedName>
    <definedName name="sdfty" localSheetId="4">{#N/A,#N/A,FALSE,"Plan1";#N/A,#N/A,FALSE,"Plan2"}</definedName>
    <definedName name="sdfty" localSheetId="13">{#N/A,#N/A,FALSE,"Plan1";#N/A,#N/A,FALSE,"Plan2"}</definedName>
    <definedName name="sdfty" localSheetId="17">{#N/A,#N/A,FALSE,"Plan1";#N/A,#N/A,FALSE,"Plan2"}</definedName>
    <definedName name="sdfty" localSheetId="0">{#N/A,#N/A,FALSE,"Plan1";#N/A,#N/A,FALSE,"Plan2"}</definedName>
    <definedName name="sdfty" localSheetId="19">{#N/A,#N/A,FALSE,"Plan1";#N/A,#N/A,FALSE,"Plan2"}</definedName>
    <definedName name="sdfty" localSheetId="16">{#N/A,#N/A,FALSE,"Plan1";#N/A,#N/A,FALSE,"Plan2"}</definedName>
    <definedName name="sdfty" localSheetId="18">{#N/A,#N/A,FALSE,"Plan1";#N/A,#N/A,FALSE,"Plan2"}</definedName>
    <definedName name="sdfty" localSheetId="10">{#N/A,#N/A,FALSE,"Plan1";#N/A,#N/A,FALSE,"Plan2"}</definedName>
    <definedName name="sdfty">{#N/A,#N/A,FALSE,"Plan1";#N/A,#N/A,FALSE,"Plan2"}</definedName>
    <definedName name="sdgdf" localSheetId="9">{#N/A,#N/A,FALSE,"Plan1";#N/A,#N/A,FALSE,"Plan2"}</definedName>
    <definedName name="sdgdf" localSheetId="6">{#N/A,#N/A,FALSE,"Plan1";#N/A,#N/A,FALSE,"Plan2"}</definedName>
    <definedName name="sdgdf" localSheetId="3">{#N/A,#N/A,FALSE,"Plan1";#N/A,#N/A,FALSE,"Plan2"}</definedName>
    <definedName name="sdgdf" localSheetId="8">{#N/A,#N/A,FALSE,"Plan1";#N/A,#N/A,FALSE,"Plan2"}</definedName>
    <definedName name="sdgdf" localSheetId="5">{#N/A,#N/A,FALSE,"Plan1";#N/A,#N/A,FALSE,"Plan2"}</definedName>
    <definedName name="sdgdf" localSheetId="4">{#N/A,#N/A,FALSE,"Plan1";#N/A,#N/A,FALSE,"Plan2"}</definedName>
    <definedName name="sdgdf" localSheetId="13">{#N/A,#N/A,FALSE,"Plan1";#N/A,#N/A,FALSE,"Plan2"}</definedName>
    <definedName name="sdgdf" localSheetId="17">{#N/A,#N/A,FALSE,"Plan1";#N/A,#N/A,FALSE,"Plan2"}</definedName>
    <definedName name="sdgdf" localSheetId="0">{#N/A,#N/A,FALSE,"Plan1";#N/A,#N/A,FALSE,"Plan2"}</definedName>
    <definedName name="sdgdf" localSheetId="19">{#N/A,#N/A,FALSE,"Plan1";#N/A,#N/A,FALSE,"Plan2"}</definedName>
    <definedName name="sdgdf" localSheetId="16">{#N/A,#N/A,FALSE,"Plan1";#N/A,#N/A,FALSE,"Plan2"}</definedName>
    <definedName name="sdgdf" localSheetId="18">{#N/A,#N/A,FALSE,"Plan1";#N/A,#N/A,FALSE,"Plan2"}</definedName>
    <definedName name="sdgdf" localSheetId="10">{#N/A,#N/A,FALSE,"Plan1";#N/A,#N/A,FALSE,"Plan2"}</definedName>
    <definedName name="sdgdf">{#N/A,#N/A,FALSE,"Plan1";#N/A,#N/A,FALSE,"Plan2"}</definedName>
    <definedName name="sdgfrt" localSheetId="9">{#N/A,#N/A,FALSE,"Plan1";#N/A,#N/A,FALSE,"Plan2"}</definedName>
    <definedName name="sdgfrt" localSheetId="6">{#N/A,#N/A,FALSE,"Plan1";#N/A,#N/A,FALSE,"Plan2"}</definedName>
    <definedName name="sdgfrt" localSheetId="3">{#N/A,#N/A,FALSE,"Plan1";#N/A,#N/A,FALSE,"Plan2"}</definedName>
    <definedName name="sdgfrt" localSheetId="8">{#N/A,#N/A,FALSE,"Plan1";#N/A,#N/A,FALSE,"Plan2"}</definedName>
    <definedName name="sdgfrt" localSheetId="5">{#N/A,#N/A,FALSE,"Plan1";#N/A,#N/A,FALSE,"Plan2"}</definedName>
    <definedName name="sdgfrt" localSheetId="4">{#N/A,#N/A,FALSE,"Plan1";#N/A,#N/A,FALSE,"Plan2"}</definedName>
    <definedName name="sdgfrt" localSheetId="13">{#N/A,#N/A,FALSE,"Plan1";#N/A,#N/A,FALSE,"Plan2"}</definedName>
    <definedName name="sdgfrt" localSheetId="17">{#N/A,#N/A,FALSE,"Plan1";#N/A,#N/A,FALSE,"Plan2"}</definedName>
    <definedName name="sdgfrt" localSheetId="0">{#N/A,#N/A,FALSE,"Plan1";#N/A,#N/A,FALSE,"Plan2"}</definedName>
    <definedName name="sdgfrt" localSheetId="19">{#N/A,#N/A,FALSE,"Plan1";#N/A,#N/A,FALSE,"Plan2"}</definedName>
    <definedName name="sdgfrt" localSheetId="16">{#N/A,#N/A,FALSE,"Plan1";#N/A,#N/A,FALSE,"Plan2"}</definedName>
    <definedName name="sdgfrt" localSheetId="18">{#N/A,#N/A,FALSE,"Plan1";#N/A,#N/A,FALSE,"Plan2"}</definedName>
    <definedName name="sdgfrt" localSheetId="10">{#N/A,#N/A,FALSE,"Plan1";#N/A,#N/A,FALSE,"Plan2"}</definedName>
    <definedName name="sdgfrt">{#N/A,#N/A,FALSE,"Plan1";#N/A,#N/A,FALSE,"Plan2"}</definedName>
    <definedName name="sdgft" localSheetId="9">{#N/A,#N/A,FALSE,"Plan1";#N/A,#N/A,FALSE,"Plan2"}</definedName>
    <definedName name="sdgft" localSheetId="6">{#N/A,#N/A,FALSE,"Plan1";#N/A,#N/A,FALSE,"Plan2"}</definedName>
    <definedName name="sdgft" localSheetId="3">{#N/A,#N/A,FALSE,"Plan1";#N/A,#N/A,FALSE,"Plan2"}</definedName>
    <definedName name="sdgft" localSheetId="8">{#N/A,#N/A,FALSE,"Plan1";#N/A,#N/A,FALSE,"Plan2"}</definedName>
    <definedName name="sdgft" localSheetId="5">{#N/A,#N/A,FALSE,"Plan1";#N/A,#N/A,FALSE,"Plan2"}</definedName>
    <definedName name="sdgft" localSheetId="4">{#N/A,#N/A,FALSE,"Plan1";#N/A,#N/A,FALSE,"Plan2"}</definedName>
    <definedName name="sdgft" localSheetId="13">{#N/A,#N/A,FALSE,"Plan1";#N/A,#N/A,FALSE,"Plan2"}</definedName>
    <definedName name="sdgft" localSheetId="17">{#N/A,#N/A,FALSE,"Plan1";#N/A,#N/A,FALSE,"Plan2"}</definedName>
    <definedName name="sdgft" localSheetId="0">{#N/A,#N/A,FALSE,"Plan1";#N/A,#N/A,FALSE,"Plan2"}</definedName>
    <definedName name="sdgft" localSheetId="19">{#N/A,#N/A,FALSE,"Plan1";#N/A,#N/A,FALSE,"Plan2"}</definedName>
    <definedName name="sdgft" localSheetId="16">{#N/A,#N/A,FALSE,"Plan1";#N/A,#N/A,FALSE,"Plan2"}</definedName>
    <definedName name="sdgft" localSheetId="18">{#N/A,#N/A,FALSE,"Plan1";#N/A,#N/A,FALSE,"Plan2"}</definedName>
    <definedName name="sdgft" localSheetId="10">{#N/A,#N/A,FALSE,"Plan1";#N/A,#N/A,FALSE,"Plan2"}</definedName>
    <definedName name="sdgft">{#N/A,#N/A,FALSE,"Plan1";#N/A,#N/A,FALSE,"Plan2"}</definedName>
    <definedName name="sdgt" localSheetId="9">{#N/A,#N/A,FALSE,"Plan1";#N/A,#N/A,FALSE,"Plan2"}</definedName>
    <definedName name="sdgt" localSheetId="6">{#N/A,#N/A,FALSE,"Plan1";#N/A,#N/A,FALSE,"Plan2"}</definedName>
    <definedName name="sdgt" localSheetId="3">{#N/A,#N/A,FALSE,"Plan1";#N/A,#N/A,FALSE,"Plan2"}</definedName>
    <definedName name="sdgt" localSheetId="8">{#N/A,#N/A,FALSE,"Plan1";#N/A,#N/A,FALSE,"Plan2"}</definedName>
    <definedName name="sdgt" localSheetId="5">{#N/A,#N/A,FALSE,"Plan1";#N/A,#N/A,FALSE,"Plan2"}</definedName>
    <definedName name="sdgt" localSheetId="4">{#N/A,#N/A,FALSE,"Plan1";#N/A,#N/A,FALSE,"Plan2"}</definedName>
    <definedName name="sdgt" localSheetId="13">{#N/A,#N/A,FALSE,"Plan1";#N/A,#N/A,FALSE,"Plan2"}</definedName>
    <definedName name="sdgt" localSheetId="17">{#N/A,#N/A,FALSE,"Plan1";#N/A,#N/A,FALSE,"Plan2"}</definedName>
    <definedName name="sdgt" localSheetId="0">{#N/A,#N/A,FALSE,"Plan1";#N/A,#N/A,FALSE,"Plan2"}</definedName>
    <definedName name="sdgt" localSheetId="19">{#N/A,#N/A,FALSE,"Plan1";#N/A,#N/A,FALSE,"Plan2"}</definedName>
    <definedName name="sdgt" localSheetId="16">{#N/A,#N/A,FALSE,"Plan1";#N/A,#N/A,FALSE,"Plan2"}</definedName>
    <definedName name="sdgt" localSheetId="18">{#N/A,#N/A,FALSE,"Plan1";#N/A,#N/A,FALSE,"Plan2"}</definedName>
    <definedName name="sdgt" localSheetId="10">{#N/A,#N/A,FALSE,"Plan1";#N/A,#N/A,FALSE,"Plan2"}</definedName>
    <definedName name="sdgt">{#N/A,#N/A,FALSE,"Plan1";#N/A,#N/A,FALSE,"Plan2"}</definedName>
    <definedName name="sdgtry" localSheetId="3">#REF!</definedName>
    <definedName name="sdgtry" localSheetId="5">#REF!</definedName>
    <definedName name="sdgtry" localSheetId="13">#REF!</definedName>
    <definedName name="sdgtry" localSheetId="26">#REF!</definedName>
    <definedName name="sdgtry" localSheetId="0">#REF!</definedName>
    <definedName name="sdgtry">#REF!</definedName>
    <definedName name="sdhfghdsfg" localSheetId="9">{#N/A,#N/A,FALSE,"Plan1";#N/A,#N/A,FALSE,"Plan2"}</definedName>
    <definedName name="sdhfghdsfg" localSheetId="6">{#N/A,#N/A,FALSE,"Plan1";#N/A,#N/A,FALSE,"Plan2"}</definedName>
    <definedName name="sdhfghdsfg" localSheetId="3">{#N/A,#N/A,FALSE,"Plan1";#N/A,#N/A,FALSE,"Plan2"}</definedName>
    <definedName name="sdhfghdsfg" localSheetId="8">{#N/A,#N/A,FALSE,"Plan1";#N/A,#N/A,FALSE,"Plan2"}</definedName>
    <definedName name="sdhfghdsfg" localSheetId="5">{#N/A,#N/A,FALSE,"Plan1";#N/A,#N/A,FALSE,"Plan2"}</definedName>
    <definedName name="sdhfghdsfg" localSheetId="4">{#N/A,#N/A,FALSE,"Plan1";#N/A,#N/A,FALSE,"Plan2"}</definedName>
    <definedName name="sdhfghdsfg" localSheetId="13">{#N/A,#N/A,FALSE,"Plan1";#N/A,#N/A,FALSE,"Plan2"}</definedName>
    <definedName name="sdhfghdsfg" localSheetId="17">{#N/A,#N/A,FALSE,"Plan1";#N/A,#N/A,FALSE,"Plan2"}</definedName>
    <definedName name="sdhfghdsfg" localSheetId="0">{#N/A,#N/A,FALSE,"Plan1";#N/A,#N/A,FALSE,"Plan2"}</definedName>
    <definedName name="sdhfghdsfg" localSheetId="19">{#N/A,#N/A,FALSE,"Plan1";#N/A,#N/A,FALSE,"Plan2"}</definedName>
    <definedName name="sdhfghdsfg" localSheetId="16">{#N/A,#N/A,FALSE,"Plan1";#N/A,#N/A,FALSE,"Plan2"}</definedName>
    <definedName name="sdhfghdsfg" localSheetId="18">{#N/A,#N/A,FALSE,"Plan1";#N/A,#N/A,FALSE,"Plan2"}</definedName>
    <definedName name="sdhfghdsfg" localSheetId="10">{#N/A,#N/A,FALSE,"Plan1";#N/A,#N/A,FALSE,"Plan2"}</definedName>
    <definedName name="sdhfghdsfg">{#N/A,#N/A,FALSE,"Plan1";#N/A,#N/A,FALSE,"Plan2"}</definedName>
    <definedName name="SDHFJKHDFJRE" localSheetId="9">{#N/A,#N/A,FALSE,"Plan1";#N/A,#N/A,FALSE,"Plan2"}</definedName>
    <definedName name="SDHFJKHDFJRE" localSheetId="6">{#N/A,#N/A,FALSE,"Plan1";#N/A,#N/A,FALSE,"Plan2"}</definedName>
    <definedName name="SDHFJKHDFJRE" localSheetId="3">{#N/A,#N/A,FALSE,"Plan1";#N/A,#N/A,FALSE,"Plan2"}</definedName>
    <definedName name="SDHFJKHDFJRE" localSheetId="8">{#N/A,#N/A,FALSE,"Plan1";#N/A,#N/A,FALSE,"Plan2"}</definedName>
    <definedName name="SDHFJKHDFJRE" localSheetId="5">{#N/A,#N/A,FALSE,"Plan1";#N/A,#N/A,FALSE,"Plan2"}</definedName>
    <definedName name="SDHFJKHDFJRE" localSheetId="4">{#N/A,#N/A,FALSE,"Plan1";#N/A,#N/A,FALSE,"Plan2"}</definedName>
    <definedName name="SDHFJKHDFJRE" localSheetId="13">{#N/A,#N/A,FALSE,"Plan1";#N/A,#N/A,FALSE,"Plan2"}</definedName>
    <definedName name="SDHFJKHDFJRE" localSheetId="17">{#N/A,#N/A,FALSE,"Plan1";#N/A,#N/A,FALSE,"Plan2"}</definedName>
    <definedName name="SDHFJKHDFJRE" localSheetId="0">{#N/A,#N/A,FALSE,"Plan1";#N/A,#N/A,FALSE,"Plan2"}</definedName>
    <definedName name="SDHFJKHDFJRE" localSheetId="19">{#N/A,#N/A,FALSE,"Plan1";#N/A,#N/A,FALSE,"Plan2"}</definedName>
    <definedName name="SDHFJKHDFJRE" localSheetId="16">{#N/A,#N/A,FALSE,"Plan1";#N/A,#N/A,FALSE,"Plan2"}</definedName>
    <definedName name="SDHFJKHDFJRE" localSheetId="18">{#N/A,#N/A,FALSE,"Plan1";#N/A,#N/A,FALSE,"Plan2"}</definedName>
    <definedName name="SDHFJKHDFJRE" localSheetId="10">{#N/A,#N/A,FALSE,"Plan1";#N/A,#N/A,FALSE,"Plan2"}</definedName>
    <definedName name="SDHFJKHDFJRE">{#N/A,#N/A,FALSE,"Plan1";#N/A,#N/A,FALSE,"Plan2"}</definedName>
    <definedName name="SDHKFDRKGTR" localSheetId="9">{#N/A,#N/A,FALSE,"Plan1";#N/A,#N/A,FALSE,"Plan2"}</definedName>
    <definedName name="SDHKFDRKGTR" localSheetId="6">{#N/A,#N/A,FALSE,"Plan1";#N/A,#N/A,FALSE,"Plan2"}</definedName>
    <definedName name="SDHKFDRKGTR" localSheetId="3">{#N/A,#N/A,FALSE,"Plan1";#N/A,#N/A,FALSE,"Plan2"}</definedName>
    <definedName name="SDHKFDRKGTR" localSheetId="8">{#N/A,#N/A,FALSE,"Plan1";#N/A,#N/A,FALSE,"Plan2"}</definedName>
    <definedName name="SDHKFDRKGTR" localSheetId="5">{#N/A,#N/A,FALSE,"Plan1";#N/A,#N/A,FALSE,"Plan2"}</definedName>
    <definedName name="SDHKFDRKGTR" localSheetId="4">{#N/A,#N/A,FALSE,"Plan1";#N/A,#N/A,FALSE,"Plan2"}</definedName>
    <definedName name="SDHKFDRKGTR" localSheetId="13">{#N/A,#N/A,FALSE,"Plan1";#N/A,#N/A,FALSE,"Plan2"}</definedName>
    <definedName name="SDHKFDRKGTR" localSheetId="17">{#N/A,#N/A,FALSE,"Plan1";#N/A,#N/A,FALSE,"Plan2"}</definedName>
    <definedName name="SDHKFDRKGTR" localSheetId="0">{#N/A,#N/A,FALSE,"Plan1";#N/A,#N/A,FALSE,"Plan2"}</definedName>
    <definedName name="SDHKFDRKGTR" localSheetId="19">{#N/A,#N/A,FALSE,"Plan1";#N/A,#N/A,FALSE,"Plan2"}</definedName>
    <definedName name="SDHKFDRKGTR" localSheetId="16">{#N/A,#N/A,FALSE,"Plan1";#N/A,#N/A,FALSE,"Plan2"}</definedName>
    <definedName name="SDHKFDRKGTR" localSheetId="18">{#N/A,#N/A,FALSE,"Plan1";#N/A,#N/A,FALSE,"Plan2"}</definedName>
    <definedName name="SDHKFDRKGTR" localSheetId="10">{#N/A,#N/A,FALSE,"Plan1";#N/A,#N/A,FALSE,"Plan2"}</definedName>
    <definedName name="SDHKFDRKGTR">{#N/A,#N/A,FALSE,"Plan1";#N/A,#N/A,FALSE,"Plan2"}</definedName>
    <definedName name="sdjdswger" localSheetId="9">{#N/A,#N/A,FALSE,"Plan1";#N/A,#N/A,FALSE,"Plan2"}</definedName>
    <definedName name="sdjdswger" localSheetId="6">{#N/A,#N/A,FALSE,"Plan1";#N/A,#N/A,FALSE,"Plan2"}</definedName>
    <definedName name="sdjdswger" localSheetId="3">{#N/A,#N/A,FALSE,"Plan1";#N/A,#N/A,FALSE,"Plan2"}</definedName>
    <definedName name="sdjdswger" localSheetId="8">{#N/A,#N/A,FALSE,"Plan1";#N/A,#N/A,FALSE,"Plan2"}</definedName>
    <definedName name="sdjdswger" localSheetId="5">{#N/A,#N/A,FALSE,"Plan1";#N/A,#N/A,FALSE,"Plan2"}</definedName>
    <definedName name="sdjdswger" localSheetId="4">{#N/A,#N/A,FALSE,"Plan1";#N/A,#N/A,FALSE,"Plan2"}</definedName>
    <definedName name="sdjdswger" localSheetId="13">{#N/A,#N/A,FALSE,"Plan1";#N/A,#N/A,FALSE,"Plan2"}</definedName>
    <definedName name="sdjdswger" localSheetId="17">{#N/A,#N/A,FALSE,"Plan1";#N/A,#N/A,FALSE,"Plan2"}</definedName>
    <definedName name="sdjdswger" localSheetId="0">{#N/A,#N/A,FALSE,"Plan1";#N/A,#N/A,FALSE,"Plan2"}</definedName>
    <definedName name="sdjdswger" localSheetId="19">{#N/A,#N/A,FALSE,"Plan1";#N/A,#N/A,FALSE,"Plan2"}</definedName>
    <definedName name="sdjdswger" localSheetId="16">{#N/A,#N/A,FALSE,"Plan1";#N/A,#N/A,FALSE,"Plan2"}</definedName>
    <definedName name="sdjdswger" localSheetId="18">{#N/A,#N/A,FALSE,"Plan1";#N/A,#N/A,FALSE,"Plan2"}</definedName>
    <definedName name="sdjdswger" localSheetId="10">{#N/A,#N/A,FALSE,"Plan1";#N/A,#N/A,FALSE,"Plan2"}</definedName>
    <definedName name="sdjdswger">{#N/A,#N/A,FALSE,"Plan1";#N/A,#N/A,FALSE,"Plan2"}</definedName>
    <definedName name="sdjfdf" localSheetId="9">{#N/A,#N/A,FALSE,"Plan1";#N/A,#N/A,FALSE,"Plan2"}</definedName>
    <definedName name="sdjfdf" localSheetId="6">{#N/A,#N/A,FALSE,"Plan1";#N/A,#N/A,FALSE,"Plan2"}</definedName>
    <definedName name="sdjfdf" localSheetId="3">{#N/A,#N/A,FALSE,"Plan1";#N/A,#N/A,FALSE,"Plan2"}</definedName>
    <definedName name="sdjfdf" localSheetId="8">{#N/A,#N/A,FALSE,"Plan1";#N/A,#N/A,FALSE,"Plan2"}</definedName>
    <definedName name="sdjfdf" localSheetId="5">{#N/A,#N/A,FALSE,"Plan1";#N/A,#N/A,FALSE,"Plan2"}</definedName>
    <definedName name="sdjfdf" localSheetId="4">{#N/A,#N/A,FALSE,"Plan1";#N/A,#N/A,FALSE,"Plan2"}</definedName>
    <definedName name="sdjfdf" localSheetId="13">{#N/A,#N/A,FALSE,"Plan1";#N/A,#N/A,FALSE,"Plan2"}</definedName>
    <definedName name="sdjfdf" localSheetId="17">{#N/A,#N/A,FALSE,"Plan1";#N/A,#N/A,FALSE,"Plan2"}</definedName>
    <definedName name="sdjfdf" localSheetId="0">{#N/A,#N/A,FALSE,"Plan1";#N/A,#N/A,FALSE,"Plan2"}</definedName>
    <definedName name="sdjfdf" localSheetId="19">{#N/A,#N/A,FALSE,"Plan1";#N/A,#N/A,FALSE,"Plan2"}</definedName>
    <definedName name="sdjfdf" localSheetId="16">{#N/A,#N/A,FALSE,"Plan1";#N/A,#N/A,FALSE,"Plan2"}</definedName>
    <definedName name="sdjfdf" localSheetId="18">{#N/A,#N/A,FALSE,"Plan1";#N/A,#N/A,FALSE,"Plan2"}</definedName>
    <definedName name="sdjfdf" localSheetId="10">{#N/A,#N/A,FALSE,"Plan1";#N/A,#N/A,FALSE,"Plan2"}</definedName>
    <definedName name="sdjfdf">{#N/A,#N/A,FALSE,"Plan1";#N/A,#N/A,FALSE,"Plan2"}</definedName>
    <definedName name="sdjfhdjk" localSheetId="9">{#N/A,#N/A,FALSE,"Plan1";#N/A,#N/A,FALSE,"Plan2"}</definedName>
    <definedName name="sdjfhdjk" localSheetId="6">{#N/A,#N/A,FALSE,"Plan1";#N/A,#N/A,FALSE,"Plan2"}</definedName>
    <definedName name="sdjfhdjk" localSheetId="3">{#N/A,#N/A,FALSE,"Plan1";#N/A,#N/A,FALSE,"Plan2"}</definedName>
    <definedName name="sdjfhdjk" localSheetId="8">{#N/A,#N/A,FALSE,"Plan1";#N/A,#N/A,FALSE,"Plan2"}</definedName>
    <definedName name="sdjfhdjk" localSheetId="5">{#N/A,#N/A,FALSE,"Plan1";#N/A,#N/A,FALSE,"Plan2"}</definedName>
    <definedName name="sdjfhdjk" localSheetId="4">{#N/A,#N/A,FALSE,"Plan1";#N/A,#N/A,FALSE,"Plan2"}</definedName>
    <definedName name="sdjfhdjk" localSheetId="13">{#N/A,#N/A,FALSE,"Plan1";#N/A,#N/A,FALSE,"Plan2"}</definedName>
    <definedName name="sdjfhdjk" localSheetId="17">{#N/A,#N/A,FALSE,"Plan1";#N/A,#N/A,FALSE,"Plan2"}</definedName>
    <definedName name="sdjfhdjk" localSheetId="0">{#N/A,#N/A,FALSE,"Plan1";#N/A,#N/A,FALSE,"Plan2"}</definedName>
    <definedName name="sdjfhdjk" localSheetId="19">{#N/A,#N/A,FALSE,"Plan1";#N/A,#N/A,FALSE,"Plan2"}</definedName>
    <definedName name="sdjfhdjk" localSheetId="16">{#N/A,#N/A,FALSE,"Plan1";#N/A,#N/A,FALSE,"Plan2"}</definedName>
    <definedName name="sdjfhdjk" localSheetId="18">{#N/A,#N/A,FALSE,"Plan1";#N/A,#N/A,FALSE,"Plan2"}</definedName>
    <definedName name="sdjfhdjk" localSheetId="10">{#N/A,#N/A,FALSE,"Plan1";#N/A,#N/A,FALSE,"Plan2"}</definedName>
    <definedName name="sdjfhdjk">{#N/A,#N/A,FALSE,"Plan1";#N/A,#N/A,FALSE,"Plan2"}</definedName>
    <definedName name="SDJFJDER" localSheetId="9">{#N/A,#N/A,FALSE,"Plan1";#N/A,#N/A,FALSE,"Plan2"}</definedName>
    <definedName name="SDJFJDER" localSheetId="6">{#N/A,#N/A,FALSE,"Plan1";#N/A,#N/A,FALSE,"Plan2"}</definedName>
    <definedName name="SDJFJDER" localSheetId="3">{#N/A,#N/A,FALSE,"Plan1";#N/A,#N/A,FALSE,"Plan2"}</definedName>
    <definedName name="SDJFJDER" localSheetId="8">{#N/A,#N/A,FALSE,"Plan1";#N/A,#N/A,FALSE,"Plan2"}</definedName>
    <definedName name="SDJFJDER" localSheetId="5">{#N/A,#N/A,FALSE,"Plan1";#N/A,#N/A,FALSE,"Plan2"}</definedName>
    <definedName name="SDJFJDER" localSheetId="4">{#N/A,#N/A,FALSE,"Plan1";#N/A,#N/A,FALSE,"Plan2"}</definedName>
    <definedName name="SDJFJDER" localSheetId="13">{#N/A,#N/A,FALSE,"Plan1";#N/A,#N/A,FALSE,"Plan2"}</definedName>
    <definedName name="SDJFJDER" localSheetId="17">{#N/A,#N/A,FALSE,"Plan1";#N/A,#N/A,FALSE,"Plan2"}</definedName>
    <definedName name="SDJFJDER" localSheetId="0">{#N/A,#N/A,FALSE,"Plan1";#N/A,#N/A,FALSE,"Plan2"}</definedName>
    <definedName name="SDJFJDER" localSheetId="19">{#N/A,#N/A,FALSE,"Plan1";#N/A,#N/A,FALSE,"Plan2"}</definedName>
    <definedName name="SDJFJDER" localSheetId="16">{#N/A,#N/A,FALSE,"Plan1";#N/A,#N/A,FALSE,"Plan2"}</definedName>
    <definedName name="SDJFJDER" localSheetId="18">{#N/A,#N/A,FALSE,"Plan1";#N/A,#N/A,FALSE,"Plan2"}</definedName>
    <definedName name="SDJFJDER" localSheetId="10">{#N/A,#N/A,FALSE,"Plan1";#N/A,#N/A,FALSE,"Plan2"}</definedName>
    <definedName name="SDJFJDER">{#N/A,#N/A,FALSE,"Plan1";#N/A,#N/A,FALSE,"Plan2"}</definedName>
    <definedName name="sdjflsdjfl" localSheetId="9">{#N/A,#N/A,FALSE,"Plan1";#N/A,#N/A,FALSE,"Plan2"}</definedName>
    <definedName name="sdjflsdjfl" localSheetId="6">{#N/A,#N/A,FALSE,"Plan1";#N/A,#N/A,FALSE,"Plan2"}</definedName>
    <definedName name="sdjflsdjfl" localSheetId="3">{#N/A,#N/A,FALSE,"Plan1";#N/A,#N/A,FALSE,"Plan2"}</definedName>
    <definedName name="sdjflsdjfl" localSheetId="8">{#N/A,#N/A,FALSE,"Plan1";#N/A,#N/A,FALSE,"Plan2"}</definedName>
    <definedName name="sdjflsdjfl" localSheetId="5">{#N/A,#N/A,FALSE,"Plan1";#N/A,#N/A,FALSE,"Plan2"}</definedName>
    <definedName name="sdjflsdjfl" localSheetId="4">{#N/A,#N/A,FALSE,"Plan1";#N/A,#N/A,FALSE,"Plan2"}</definedName>
    <definedName name="sdjflsdjfl" localSheetId="13">{#N/A,#N/A,FALSE,"Plan1";#N/A,#N/A,FALSE,"Plan2"}</definedName>
    <definedName name="sdjflsdjfl" localSheetId="17">{#N/A,#N/A,FALSE,"Plan1";#N/A,#N/A,FALSE,"Plan2"}</definedName>
    <definedName name="sdjflsdjfl" localSheetId="0">{#N/A,#N/A,FALSE,"Plan1";#N/A,#N/A,FALSE,"Plan2"}</definedName>
    <definedName name="sdjflsdjfl" localSheetId="19">{#N/A,#N/A,FALSE,"Plan1";#N/A,#N/A,FALSE,"Plan2"}</definedName>
    <definedName name="sdjflsdjfl" localSheetId="16">{#N/A,#N/A,FALSE,"Plan1";#N/A,#N/A,FALSE,"Plan2"}</definedName>
    <definedName name="sdjflsdjfl" localSheetId="18">{#N/A,#N/A,FALSE,"Plan1";#N/A,#N/A,FALSE,"Plan2"}</definedName>
    <definedName name="sdjflsdjfl" localSheetId="10">{#N/A,#N/A,FALSE,"Plan1";#N/A,#N/A,FALSE,"Plan2"}</definedName>
    <definedName name="sdjflsdjfl">{#N/A,#N/A,FALSE,"Plan1";#N/A,#N/A,FALSE,"Plan2"}</definedName>
    <definedName name="SDJHF" localSheetId="9">{#N/A,#N/A,FALSE,"Plan1";#N/A,#N/A,FALSE,"Plan2"}</definedName>
    <definedName name="SDJHF" localSheetId="6">{#N/A,#N/A,FALSE,"Plan1";#N/A,#N/A,FALSE,"Plan2"}</definedName>
    <definedName name="SDJHF" localSheetId="3">{#N/A,#N/A,FALSE,"Plan1";#N/A,#N/A,FALSE,"Plan2"}</definedName>
    <definedName name="SDJHF" localSheetId="8">{#N/A,#N/A,FALSE,"Plan1";#N/A,#N/A,FALSE,"Plan2"}</definedName>
    <definedName name="SDJHF" localSheetId="5">{#N/A,#N/A,FALSE,"Plan1";#N/A,#N/A,FALSE,"Plan2"}</definedName>
    <definedName name="SDJHF" localSheetId="4">{#N/A,#N/A,FALSE,"Plan1";#N/A,#N/A,FALSE,"Plan2"}</definedName>
    <definedName name="SDJHF" localSheetId="13">{#N/A,#N/A,FALSE,"Plan1";#N/A,#N/A,FALSE,"Plan2"}</definedName>
    <definedName name="SDJHF" localSheetId="17">{#N/A,#N/A,FALSE,"Plan1";#N/A,#N/A,FALSE,"Plan2"}</definedName>
    <definedName name="SDJHF" localSheetId="0">{#N/A,#N/A,FALSE,"Plan1";#N/A,#N/A,FALSE,"Plan2"}</definedName>
    <definedName name="SDJHF" localSheetId="19">{#N/A,#N/A,FALSE,"Plan1";#N/A,#N/A,FALSE,"Plan2"}</definedName>
    <definedName name="SDJHF" localSheetId="16">{#N/A,#N/A,FALSE,"Plan1";#N/A,#N/A,FALSE,"Plan2"}</definedName>
    <definedName name="SDJHF" localSheetId="18">{#N/A,#N/A,FALSE,"Plan1";#N/A,#N/A,FALSE,"Plan2"}</definedName>
    <definedName name="SDJHF" localSheetId="10">{#N/A,#N/A,FALSE,"Plan1";#N/A,#N/A,FALSE,"Plan2"}</definedName>
    <definedName name="SDJHF">{#N/A,#N/A,FALSE,"Plan1";#N/A,#N/A,FALSE,"Plan2"}</definedName>
    <definedName name="sdjrderertrr" localSheetId="9">{#N/A,#N/A,FALSE,"Plan1";#N/A,#N/A,FALSE,"Plan2"}</definedName>
    <definedName name="sdjrderertrr" localSheetId="6">{#N/A,#N/A,FALSE,"Plan1";#N/A,#N/A,FALSE,"Plan2"}</definedName>
    <definedName name="sdjrderertrr" localSheetId="3">{#N/A,#N/A,FALSE,"Plan1";#N/A,#N/A,FALSE,"Plan2"}</definedName>
    <definedName name="sdjrderertrr" localSheetId="8">{#N/A,#N/A,FALSE,"Plan1";#N/A,#N/A,FALSE,"Plan2"}</definedName>
    <definedName name="sdjrderertrr" localSheetId="5">{#N/A,#N/A,FALSE,"Plan1";#N/A,#N/A,FALSE,"Plan2"}</definedName>
    <definedName name="sdjrderertrr" localSheetId="4">{#N/A,#N/A,FALSE,"Plan1";#N/A,#N/A,FALSE,"Plan2"}</definedName>
    <definedName name="sdjrderertrr" localSheetId="13">{#N/A,#N/A,FALSE,"Plan1";#N/A,#N/A,FALSE,"Plan2"}</definedName>
    <definedName name="sdjrderertrr" localSheetId="17">{#N/A,#N/A,FALSE,"Plan1";#N/A,#N/A,FALSE,"Plan2"}</definedName>
    <definedName name="sdjrderertrr" localSheetId="0">{#N/A,#N/A,FALSE,"Plan1";#N/A,#N/A,FALSE,"Plan2"}</definedName>
    <definedName name="sdjrderertrr" localSheetId="19">{#N/A,#N/A,FALSE,"Plan1";#N/A,#N/A,FALSE,"Plan2"}</definedName>
    <definedName name="sdjrderertrr" localSheetId="16">{#N/A,#N/A,FALSE,"Plan1";#N/A,#N/A,FALSE,"Plan2"}</definedName>
    <definedName name="sdjrderertrr" localSheetId="18">{#N/A,#N/A,FALSE,"Plan1";#N/A,#N/A,FALSE,"Plan2"}</definedName>
    <definedName name="sdjrderertrr" localSheetId="10">{#N/A,#N/A,FALSE,"Plan1";#N/A,#N/A,FALSE,"Plan2"}</definedName>
    <definedName name="sdjrderertrr">{#N/A,#N/A,FALSE,"Plan1";#N/A,#N/A,FALSE,"Plan2"}</definedName>
    <definedName name="sdkdjk" localSheetId="9">{#N/A,#N/A,FALSE,"Plan1";#N/A,#N/A,FALSE,"Plan2"}</definedName>
    <definedName name="sdkdjk" localSheetId="6">{#N/A,#N/A,FALSE,"Plan1";#N/A,#N/A,FALSE,"Plan2"}</definedName>
    <definedName name="sdkdjk" localSheetId="3">{#N/A,#N/A,FALSE,"Plan1";#N/A,#N/A,FALSE,"Plan2"}</definedName>
    <definedName name="sdkdjk" localSheetId="8">{#N/A,#N/A,FALSE,"Plan1";#N/A,#N/A,FALSE,"Plan2"}</definedName>
    <definedName name="sdkdjk" localSheetId="5">{#N/A,#N/A,FALSE,"Plan1";#N/A,#N/A,FALSE,"Plan2"}</definedName>
    <definedName name="sdkdjk" localSheetId="4">{#N/A,#N/A,FALSE,"Plan1";#N/A,#N/A,FALSE,"Plan2"}</definedName>
    <definedName name="sdkdjk" localSheetId="13">{#N/A,#N/A,FALSE,"Plan1";#N/A,#N/A,FALSE,"Plan2"}</definedName>
    <definedName name="sdkdjk" localSheetId="17">{#N/A,#N/A,FALSE,"Plan1";#N/A,#N/A,FALSE,"Plan2"}</definedName>
    <definedName name="sdkdjk" localSheetId="0">{#N/A,#N/A,FALSE,"Plan1";#N/A,#N/A,FALSE,"Plan2"}</definedName>
    <definedName name="sdkdjk" localSheetId="19">{#N/A,#N/A,FALSE,"Plan1";#N/A,#N/A,FALSE,"Plan2"}</definedName>
    <definedName name="sdkdjk" localSheetId="16">{#N/A,#N/A,FALSE,"Plan1";#N/A,#N/A,FALSE,"Plan2"}</definedName>
    <definedName name="sdkdjk" localSheetId="18">{#N/A,#N/A,FALSE,"Plan1";#N/A,#N/A,FALSE,"Plan2"}</definedName>
    <definedName name="sdkdjk" localSheetId="10">{#N/A,#N/A,FALSE,"Plan1";#N/A,#N/A,FALSE,"Plan2"}</definedName>
    <definedName name="sdkdjk">{#N/A,#N/A,FALSE,"Plan1";#N/A,#N/A,FALSE,"Plan2"}</definedName>
    <definedName name="sdkfjhkdgfh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9">{#N/A,#N/A,FALSE,"Plan1";#N/A,#N/A,FALSE,"Plan2"}</definedName>
    <definedName name="sdkfnjd" localSheetId="6">{#N/A,#N/A,FALSE,"Plan1";#N/A,#N/A,FALSE,"Plan2"}</definedName>
    <definedName name="sdkfnjd" localSheetId="3">{#N/A,#N/A,FALSE,"Plan1";#N/A,#N/A,FALSE,"Plan2"}</definedName>
    <definedName name="sdkfnjd" localSheetId="8">{#N/A,#N/A,FALSE,"Plan1";#N/A,#N/A,FALSE,"Plan2"}</definedName>
    <definedName name="sdkfnjd" localSheetId="5">{#N/A,#N/A,FALSE,"Plan1";#N/A,#N/A,FALSE,"Plan2"}</definedName>
    <definedName name="sdkfnjd" localSheetId="4">{#N/A,#N/A,FALSE,"Plan1";#N/A,#N/A,FALSE,"Plan2"}</definedName>
    <definedName name="sdkfnjd" localSheetId="13">{#N/A,#N/A,FALSE,"Plan1";#N/A,#N/A,FALSE,"Plan2"}</definedName>
    <definedName name="sdkfnjd" localSheetId="17">{#N/A,#N/A,FALSE,"Plan1";#N/A,#N/A,FALSE,"Plan2"}</definedName>
    <definedName name="sdkfnjd" localSheetId="0">{#N/A,#N/A,FALSE,"Plan1";#N/A,#N/A,FALSE,"Plan2"}</definedName>
    <definedName name="sdkfnjd" localSheetId="19">{#N/A,#N/A,FALSE,"Plan1";#N/A,#N/A,FALSE,"Plan2"}</definedName>
    <definedName name="sdkfnjd" localSheetId="16">{#N/A,#N/A,FALSE,"Plan1";#N/A,#N/A,FALSE,"Plan2"}</definedName>
    <definedName name="sdkfnjd" localSheetId="18">{#N/A,#N/A,FALSE,"Plan1";#N/A,#N/A,FALSE,"Plan2"}</definedName>
    <definedName name="sdkfnjd" localSheetId="10">{#N/A,#N/A,FALSE,"Plan1";#N/A,#N/A,FALSE,"Plan2"}</definedName>
    <definedName name="sdkfnjd">{#N/A,#N/A,FALSE,"Plan1";#N/A,#N/A,FALSE,"Plan2"}</definedName>
    <definedName name="sdkk" localSheetId="9">{#N/A,#N/A,FALSE,"Plan1";#N/A,#N/A,FALSE,"Plan2"}</definedName>
    <definedName name="sdkk" localSheetId="6">{#N/A,#N/A,FALSE,"Plan1";#N/A,#N/A,FALSE,"Plan2"}</definedName>
    <definedName name="sdkk" localSheetId="3">{#N/A,#N/A,FALSE,"Plan1";#N/A,#N/A,FALSE,"Plan2"}</definedName>
    <definedName name="sdkk" localSheetId="8">{#N/A,#N/A,FALSE,"Plan1";#N/A,#N/A,FALSE,"Plan2"}</definedName>
    <definedName name="sdkk" localSheetId="5">{#N/A,#N/A,FALSE,"Plan1";#N/A,#N/A,FALSE,"Plan2"}</definedName>
    <definedName name="sdkk" localSheetId="4">{#N/A,#N/A,FALSE,"Plan1";#N/A,#N/A,FALSE,"Plan2"}</definedName>
    <definedName name="sdkk" localSheetId="13">{#N/A,#N/A,FALSE,"Plan1";#N/A,#N/A,FALSE,"Plan2"}</definedName>
    <definedName name="sdkk" localSheetId="17">{#N/A,#N/A,FALSE,"Plan1";#N/A,#N/A,FALSE,"Plan2"}</definedName>
    <definedName name="sdkk" localSheetId="0">{#N/A,#N/A,FALSE,"Plan1";#N/A,#N/A,FALSE,"Plan2"}</definedName>
    <definedName name="sdkk" localSheetId="19">{#N/A,#N/A,FALSE,"Plan1";#N/A,#N/A,FALSE,"Plan2"}</definedName>
    <definedName name="sdkk" localSheetId="16">{#N/A,#N/A,FALSE,"Plan1";#N/A,#N/A,FALSE,"Plan2"}</definedName>
    <definedName name="sdkk" localSheetId="18">{#N/A,#N/A,FALSE,"Plan1";#N/A,#N/A,FALSE,"Plan2"}</definedName>
    <definedName name="sdkk" localSheetId="10">{#N/A,#N/A,FALSE,"Plan1";#N/A,#N/A,FALSE,"Plan2"}</definedName>
    <definedName name="sdkk">{#N/A,#N/A,FALSE,"Plan1";#N/A,#N/A,FALSE,"Plan2"}</definedName>
    <definedName name="sdlfsdflj" localSheetId="9">{#N/A,#N/A,FALSE,"Plan1";#N/A,#N/A,FALSE,"Plan2"}</definedName>
    <definedName name="sdlfsdflj" localSheetId="6">{#N/A,#N/A,FALSE,"Plan1";#N/A,#N/A,FALSE,"Plan2"}</definedName>
    <definedName name="sdlfsdflj" localSheetId="3">{#N/A,#N/A,FALSE,"Plan1";#N/A,#N/A,FALSE,"Plan2"}</definedName>
    <definedName name="sdlfsdflj" localSheetId="8">{#N/A,#N/A,FALSE,"Plan1";#N/A,#N/A,FALSE,"Plan2"}</definedName>
    <definedName name="sdlfsdflj" localSheetId="5">{#N/A,#N/A,FALSE,"Plan1";#N/A,#N/A,FALSE,"Plan2"}</definedName>
    <definedName name="sdlfsdflj" localSheetId="4">{#N/A,#N/A,FALSE,"Plan1";#N/A,#N/A,FALSE,"Plan2"}</definedName>
    <definedName name="sdlfsdflj" localSheetId="13">{#N/A,#N/A,FALSE,"Plan1";#N/A,#N/A,FALSE,"Plan2"}</definedName>
    <definedName name="sdlfsdflj" localSheetId="17">{#N/A,#N/A,FALSE,"Plan1";#N/A,#N/A,FALSE,"Plan2"}</definedName>
    <definedName name="sdlfsdflj" localSheetId="0">{#N/A,#N/A,FALSE,"Plan1";#N/A,#N/A,FALSE,"Plan2"}</definedName>
    <definedName name="sdlfsdflj" localSheetId="19">{#N/A,#N/A,FALSE,"Plan1";#N/A,#N/A,FALSE,"Plan2"}</definedName>
    <definedName name="sdlfsdflj" localSheetId="16">{#N/A,#N/A,FALSE,"Plan1";#N/A,#N/A,FALSE,"Plan2"}</definedName>
    <definedName name="sdlfsdflj" localSheetId="18">{#N/A,#N/A,FALSE,"Plan1";#N/A,#N/A,FALSE,"Plan2"}</definedName>
    <definedName name="sdlfsdflj" localSheetId="10">{#N/A,#N/A,FALSE,"Plan1";#N/A,#N/A,FALSE,"Plan2"}</definedName>
    <definedName name="sdlfsdflj">{#N/A,#N/A,FALSE,"Plan1";#N/A,#N/A,FALSE,"Plan2"}</definedName>
    <definedName name="sdmfmdfsgfd" localSheetId="9">{#N/A,#N/A,FALSE,"Plan1";#N/A,#N/A,FALSE,"Plan2"}</definedName>
    <definedName name="sdmfmdfsgfd" localSheetId="6">{#N/A,#N/A,FALSE,"Plan1";#N/A,#N/A,FALSE,"Plan2"}</definedName>
    <definedName name="sdmfmdfsgfd" localSheetId="3">{#N/A,#N/A,FALSE,"Plan1";#N/A,#N/A,FALSE,"Plan2"}</definedName>
    <definedName name="sdmfmdfsgfd" localSheetId="8">{#N/A,#N/A,FALSE,"Plan1";#N/A,#N/A,FALSE,"Plan2"}</definedName>
    <definedName name="sdmfmdfsgfd" localSheetId="5">{#N/A,#N/A,FALSE,"Plan1";#N/A,#N/A,FALSE,"Plan2"}</definedName>
    <definedName name="sdmfmdfsgfd" localSheetId="4">{#N/A,#N/A,FALSE,"Plan1";#N/A,#N/A,FALSE,"Plan2"}</definedName>
    <definedName name="sdmfmdfsgfd" localSheetId="13">{#N/A,#N/A,FALSE,"Plan1";#N/A,#N/A,FALSE,"Plan2"}</definedName>
    <definedName name="sdmfmdfsgfd" localSheetId="17">{#N/A,#N/A,FALSE,"Plan1";#N/A,#N/A,FALSE,"Plan2"}</definedName>
    <definedName name="sdmfmdfsgfd" localSheetId="0">{#N/A,#N/A,FALSE,"Plan1";#N/A,#N/A,FALSE,"Plan2"}</definedName>
    <definedName name="sdmfmdfsgfd" localSheetId="19">{#N/A,#N/A,FALSE,"Plan1";#N/A,#N/A,FALSE,"Plan2"}</definedName>
    <definedName name="sdmfmdfsgfd" localSheetId="16">{#N/A,#N/A,FALSE,"Plan1";#N/A,#N/A,FALSE,"Plan2"}</definedName>
    <definedName name="sdmfmdfsgfd" localSheetId="18">{#N/A,#N/A,FALSE,"Plan1";#N/A,#N/A,FALSE,"Plan2"}</definedName>
    <definedName name="sdmfmdfsgfd" localSheetId="10">{#N/A,#N/A,FALSE,"Plan1";#N/A,#N/A,FALSE,"Plan2"}</definedName>
    <definedName name="sdmfmdfsgfd">{#N/A,#N/A,FALSE,"Plan1";#N/A,#N/A,FALSE,"Plan2"}</definedName>
    <definedName name="sd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9">{#N/A,#N/A,FALSE,"Plan1";#N/A,#N/A,FALSE,"Plan2"}</definedName>
    <definedName name="sdrfgt" localSheetId="6">{#N/A,#N/A,FALSE,"Plan1";#N/A,#N/A,FALSE,"Plan2"}</definedName>
    <definedName name="sdrfgt" localSheetId="3">{#N/A,#N/A,FALSE,"Plan1";#N/A,#N/A,FALSE,"Plan2"}</definedName>
    <definedName name="sdrfgt" localSheetId="8">{#N/A,#N/A,FALSE,"Plan1";#N/A,#N/A,FALSE,"Plan2"}</definedName>
    <definedName name="sdrfgt" localSheetId="5">{#N/A,#N/A,FALSE,"Plan1";#N/A,#N/A,FALSE,"Plan2"}</definedName>
    <definedName name="sdrfgt" localSheetId="4">{#N/A,#N/A,FALSE,"Plan1";#N/A,#N/A,FALSE,"Plan2"}</definedName>
    <definedName name="sdrfgt" localSheetId="13">{#N/A,#N/A,FALSE,"Plan1";#N/A,#N/A,FALSE,"Plan2"}</definedName>
    <definedName name="sdrfgt" localSheetId="17">{#N/A,#N/A,FALSE,"Plan1";#N/A,#N/A,FALSE,"Plan2"}</definedName>
    <definedName name="sdrfgt" localSheetId="0">{#N/A,#N/A,FALSE,"Plan1";#N/A,#N/A,FALSE,"Plan2"}</definedName>
    <definedName name="sdrfgt" localSheetId="19">{#N/A,#N/A,FALSE,"Plan1";#N/A,#N/A,FALSE,"Plan2"}</definedName>
    <definedName name="sdrfgt" localSheetId="16">{#N/A,#N/A,FALSE,"Plan1";#N/A,#N/A,FALSE,"Plan2"}</definedName>
    <definedName name="sdrfgt" localSheetId="18">{#N/A,#N/A,FALSE,"Plan1";#N/A,#N/A,FALSE,"Plan2"}</definedName>
    <definedName name="sdrfgt" localSheetId="10">{#N/A,#N/A,FALSE,"Plan1";#N/A,#N/A,FALSE,"Plan2"}</definedName>
    <definedName name="sdrfgt">{#N/A,#N/A,FALSE,"Plan1";#N/A,#N/A,FALSE,"Plan2"}</definedName>
    <definedName name="sdsd" localSheetId="9">{#N/A,#N/A,FALSE,"Plan1";#N/A,#N/A,FALSE,"Plan2"}</definedName>
    <definedName name="sdsd" localSheetId="6">{#N/A,#N/A,FALSE,"Plan1";#N/A,#N/A,FALSE,"Plan2"}</definedName>
    <definedName name="sdsd" localSheetId="3">{#N/A,#N/A,FALSE,"Plan1";#N/A,#N/A,FALSE,"Plan2"}</definedName>
    <definedName name="sdsd" localSheetId="8">{#N/A,#N/A,FALSE,"Plan1";#N/A,#N/A,FALSE,"Plan2"}</definedName>
    <definedName name="sdsd" localSheetId="5">{#N/A,#N/A,FALSE,"Plan1";#N/A,#N/A,FALSE,"Plan2"}</definedName>
    <definedName name="sdsd" localSheetId="4">{#N/A,#N/A,FALSE,"Plan1";#N/A,#N/A,FALSE,"Plan2"}</definedName>
    <definedName name="sdsd" localSheetId="13">{#N/A,#N/A,FALSE,"Plan1";#N/A,#N/A,FALSE,"Plan2"}</definedName>
    <definedName name="sdsd" localSheetId="17">{#N/A,#N/A,FALSE,"Plan1";#N/A,#N/A,FALSE,"Plan2"}</definedName>
    <definedName name="sdsd" localSheetId="0">{#N/A,#N/A,FALSE,"Plan1";#N/A,#N/A,FALSE,"Plan2"}</definedName>
    <definedName name="sdsd" localSheetId="19">{#N/A,#N/A,FALSE,"Plan1";#N/A,#N/A,FALSE,"Plan2"}</definedName>
    <definedName name="sdsd" localSheetId="16">{#N/A,#N/A,FALSE,"Plan1";#N/A,#N/A,FALSE,"Plan2"}</definedName>
    <definedName name="sdsd" localSheetId="18">{#N/A,#N/A,FALSE,"Plan1";#N/A,#N/A,FALSE,"Plan2"}</definedName>
    <definedName name="sdsd" localSheetId="10">{#N/A,#N/A,FALSE,"Plan1";#N/A,#N/A,FALSE,"Plan2"}</definedName>
    <definedName name="sdsd">{#N/A,#N/A,FALSE,"Plan1";#N/A,#N/A,FALSE,"Plan2"}</definedName>
    <definedName name="sdser" localSheetId="9">{#N/A,#N/A,FALSE,"Plan1";#N/A,#N/A,FALSE,"Plan2"}</definedName>
    <definedName name="sdser" localSheetId="6">{#N/A,#N/A,FALSE,"Plan1";#N/A,#N/A,FALSE,"Plan2"}</definedName>
    <definedName name="sdser" localSheetId="3">{#N/A,#N/A,FALSE,"Plan1";#N/A,#N/A,FALSE,"Plan2"}</definedName>
    <definedName name="sdser" localSheetId="8">{#N/A,#N/A,FALSE,"Plan1";#N/A,#N/A,FALSE,"Plan2"}</definedName>
    <definedName name="sdser" localSheetId="5">{#N/A,#N/A,FALSE,"Plan1";#N/A,#N/A,FALSE,"Plan2"}</definedName>
    <definedName name="sdser" localSheetId="4">{#N/A,#N/A,FALSE,"Plan1";#N/A,#N/A,FALSE,"Plan2"}</definedName>
    <definedName name="sdser" localSheetId="13">{#N/A,#N/A,FALSE,"Plan1";#N/A,#N/A,FALSE,"Plan2"}</definedName>
    <definedName name="sdser" localSheetId="17">{#N/A,#N/A,FALSE,"Plan1";#N/A,#N/A,FALSE,"Plan2"}</definedName>
    <definedName name="sdser" localSheetId="0">{#N/A,#N/A,FALSE,"Plan1";#N/A,#N/A,FALSE,"Plan2"}</definedName>
    <definedName name="sdser" localSheetId="19">{#N/A,#N/A,FALSE,"Plan1";#N/A,#N/A,FALSE,"Plan2"}</definedName>
    <definedName name="sdser" localSheetId="16">{#N/A,#N/A,FALSE,"Plan1";#N/A,#N/A,FALSE,"Plan2"}</definedName>
    <definedName name="sdser" localSheetId="18">{#N/A,#N/A,FALSE,"Plan1";#N/A,#N/A,FALSE,"Plan2"}</definedName>
    <definedName name="sdser" localSheetId="10">{#N/A,#N/A,FALSE,"Plan1";#N/A,#N/A,FALSE,"Plan2"}</definedName>
    <definedName name="sdser">{#N/A,#N/A,FALSE,"Plan1";#N/A,#N/A,FALSE,"Plan2"}</definedName>
    <definedName name="sdsre" localSheetId="9">{#N/A,#N/A,FALSE,"Plan1";#N/A,#N/A,FALSE,"Plan2"}</definedName>
    <definedName name="sdsre" localSheetId="6">{#N/A,#N/A,FALSE,"Plan1";#N/A,#N/A,FALSE,"Plan2"}</definedName>
    <definedName name="sdsre" localSheetId="3">{#N/A,#N/A,FALSE,"Plan1";#N/A,#N/A,FALSE,"Plan2"}</definedName>
    <definedName name="sdsre" localSheetId="8">{#N/A,#N/A,FALSE,"Plan1";#N/A,#N/A,FALSE,"Plan2"}</definedName>
    <definedName name="sdsre" localSheetId="5">{#N/A,#N/A,FALSE,"Plan1";#N/A,#N/A,FALSE,"Plan2"}</definedName>
    <definedName name="sdsre" localSheetId="4">{#N/A,#N/A,FALSE,"Plan1";#N/A,#N/A,FALSE,"Plan2"}</definedName>
    <definedName name="sdsre" localSheetId="13">{#N/A,#N/A,FALSE,"Plan1";#N/A,#N/A,FALSE,"Plan2"}</definedName>
    <definedName name="sdsre" localSheetId="17">{#N/A,#N/A,FALSE,"Plan1";#N/A,#N/A,FALSE,"Plan2"}</definedName>
    <definedName name="sdsre" localSheetId="0">{#N/A,#N/A,FALSE,"Plan1";#N/A,#N/A,FALSE,"Plan2"}</definedName>
    <definedName name="sdsre" localSheetId="19">{#N/A,#N/A,FALSE,"Plan1";#N/A,#N/A,FALSE,"Plan2"}</definedName>
    <definedName name="sdsre" localSheetId="16">{#N/A,#N/A,FALSE,"Plan1";#N/A,#N/A,FALSE,"Plan2"}</definedName>
    <definedName name="sdsre" localSheetId="18">{#N/A,#N/A,FALSE,"Plan1";#N/A,#N/A,FALSE,"Plan2"}</definedName>
    <definedName name="sdsre" localSheetId="10">{#N/A,#N/A,FALSE,"Plan1";#N/A,#N/A,FALSE,"Plan2"}</definedName>
    <definedName name="sdsre">{#N/A,#N/A,FALSE,"Plan1";#N/A,#N/A,FALSE,"Plan2"}</definedName>
    <definedName name="sdss" localSheetId="9">{#N/A,#N/A,FALSE,"Plan1";#N/A,#N/A,FALSE,"Plan2"}</definedName>
    <definedName name="sdss" localSheetId="6">{#N/A,#N/A,FALSE,"Plan1";#N/A,#N/A,FALSE,"Plan2"}</definedName>
    <definedName name="sdss" localSheetId="3">{#N/A,#N/A,FALSE,"Plan1";#N/A,#N/A,FALSE,"Plan2"}</definedName>
    <definedName name="sdss" localSheetId="8">{#N/A,#N/A,FALSE,"Plan1";#N/A,#N/A,FALSE,"Plan2"}</definedName>
    <definedName name="sdss" localSheetId="5">{#N/A,#N/A,FALSE,"Plan1";#N/A,#N/A,FALSE,"Plan2"}</definedName>
    <definedName name="sdss" localSheetId="4">{#N/A,#N/A,FALSE,"Plan1";#N/A,#N/A,FALSE,"Plan2"}</definedName>
    <definedName name="sdss" localSheetId="13">{#N/A,#N/A,FALSE,"Plan1";#N/A,#N/A,FALSE,"Plan2"}</definedName>
    <definedName name="sdss" localSheetId="17">{#N/A,#N/A,FALSE,"Plan1";#N/A,#N/A,FALSE,"Plan2"}</definedName>
    <definedName name="sdss" localSheetId="0">{#N/A,#N/A,FALSE,"Plan1";#N/A,#N/A,FALSE,"Plan2"}</definedName>
    <definedName name="sdss" localSheetId="19">{#N/A,#N/A,FALSE,"Plan1";#N/A,#N/A,FALSE,"Plan2"}</definedName>
    <definedName name="sdss" localSheetId="16">{#N/A,#N/A,FALSE,"Plan1";#N/A,#N/A,FALSE,"Plan2"}</definedName>
    <definedName name="sdss" localSheetId="18">{#N/A,#N/A,FALSE,"Plan1";#N/A,#N/A,FALSE,"Plan2"}</definedName>
    <definedName name="sdss" localSheetId="10">{#N/A,#N/A,FALSE,"Plan1";#N/A,#N/A,FALSE,"Plan2"}</definedName>
    <definedName name="sdss">{#N/A,#N/A,FALSE,"Plan1";#N/A,#N/A,FALSE,"Plan2"}</definedName>
    <definedName name="sdtrtg" localSheetId="3">#REF!</definedName>
    <definedName name="sdtrtg" localSheetId="5">#REF!</definedName>
    <definedName name="sdtrtg" localSheetId="13">#REF!</definedName>
    <definedName name="sdtrtg" localSheetId="26">#REF!</definedName>
    <definedName name="sdtrtg" localSheetId="0">#REF!</definedName>
    <definedName name="sdtrtg">#REF!</definedName>
    <definedName name="sdusi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9">{"Econ Consolidado",#N/A,FALSE,"Econ Consol";"Fluxo de Caixa",#N/A,FALSE,"Fluxo Caixa";"Investimentos",#N/A,FALSE,"Investimentos"}</definedName>
    <definedName name="SDWER" localSheetId="6">{"Econ Consolidado",#N/A,FALSE,"Econ Consol";"Fluxo de Caixa",#N/A,FALSE,"Fluxo Caixa";"Investimentos",#N/A,FALSE,"Investimentos"}</definedName>
    <definedName name="SDWER" localSheetId="3">{"Econ Consolidado",#N/A,FALSE,"Econ Consol";"Fluxo de Caixa",#N/A,FALSE,"Fluxo Caixa";"Investimentos",#N/A,FALSE,"Investimentos"}</definedName>
    <definedName name="SDWER" localSheetId="8">{"Econ Consolidado",#N/A,FALSE,"Econ Consol";"Fluxo de Caixa",#N/A,FALSE,"Fluxo Caixa";"Investimentos",#N/A,FALSE,"Investimentos"}</definedName>
    <definedName name="SDWER" localSheetId="5">{"Econ Consolidado",#N/A,FALSE,"Econ Consol";"Fluxo de Caixa",#N/A,FALSE,"Fluxo Caixa";"Investimentos",#N/A,FALSE,"Investimentos"}</definedName>
    <definedName name="SDWER" localSheetId="4">{"Econ Consolidado",#N/A,FALSE,"Econ Consol";"Fluxo de Caixa",#N/A,FALSE,"Fluxo Caixa";"Investimentos",#N/A,FALSE,"Investimentos"}</definedName>
    <definedName name="SDWER" localSheetId="13">{"Econ Consolidado",#N/A,FALSE,"Econ Consol";"Fluxo de Caixa",#N/A,FALSE,"Fluxo Caixa";"Investimentos",#N/A,FALSE,"Investimentos"}</definedName>
    <definedName name="SDWER" localSheetId="17">{"Econ Consolidado",#N/A,FALSE,"Econ Consol";"Fluxo de Caixa",#N/A,FALSE,"Fluxo Caixa";"Investimentos",#N/A,FALSE,"Investimentos"}</definedName>
    <definedName name="SDWER" localSheetId="0">{"Econ Consolidado",#N/A,FALSE,"Econ Consol";"Fluxo de Caixa",#N/A,FALSE,"Fluxo Caixa";"Investimentos",#N/A,FALSE,"Investimentos"}</definedName>
    <definedName name="SDWER" localSheetId="19">{"Econ Consolidado",#N/A,FALSE,"Econ Consol";"Fluxo de Caixa",#N/A,FALSE,"Fluxo Caixa";"Investimentos",#N/A,FALSE,"Investimentos"}</definedName>
    <definedName name="SDWER" localSheetId="16">{"Econ Consolidado",#N/A,FALSE,"Econ Consol";"Fluxo de Caixa",#N/A,FALSE,"Fluxo Caixa";"Investimentos",#N/A,FALSE,"Investimentos"}</definedName>
    <definedName name="SDWER" localSheetId="18">{"Econ Consolidado",#N/A,FALSE,"Econ Consol";"Fluxo de Caixa",#N/A,FALSE,"Fluxo Caixa";"Investimentos",#N/A,FALSE,"Investimentos"}</definedName>
    <definedName name="SDWER" localSheetId="10">{"Econ Consolidado",#N/A,FALSE,"Econ Consol";"Fluxo de Caixa",#N/A,FALSE,"Fluxo Caixa";"Investimentos",#N/A,FALSE,"Investimentos"}</definedName>
    <definedName name="SDWER">{"Econ Consolidado",#N/A,FALSE,"Econ Consol";"Fluxo de Caixa",#N/A,FALSE,"Fluxo Caixa";"Investimentos",#N/A,FALSE,"Investimentos"}</definedName>
    <definedName name="sdxfrt" localSheetId="9">{#N/A,#N/A,FALSE,"Plan1";#N/A,#N/A,FALSE,"Plan2"}</definedName>
    <definedName name="sdxfrt" localSheetId="6">{#N/A,#N/A,FALSE,"Plan1";#N/A,#N/A,FALSE,"Plan2"}</definedName>
    <definedName name="sdxfrt" localSheetId="3">{#N/A,#N/A,FALSE,"Plan1";#N/A,#N/A,FALSE,"Plan2"}</definedName>
    <definedName name="sdxfrt" localSheetId="8">{#N/A,#N/A,FALSE,"Plan1";#N/A,#N/A,FALSE,"Plan2"}</definedName>
    <definedName name="sdxfrt" localSheetId="5">{#N/A,#N/A,FALSE,"Plan1";#N/A,#N/A,FALSE,"Plan2"}</definedName>
    <definedName name="sdxfrt" localSheetId="4">{#N/A,#N/A,FALSE,"Plan1";#N/A,#N/A,FALSE,"Plan2"}</definedName>
    <definedName name="sdxfrt" localSheetId="13">{#N/A,#N/A,FALSE,"Plan1";#N/A,#N/A,FALSE,"Plan2"}</definedName>
    <definedName name="sdxfrt" localSheetId="17">{#N/A,#N/A,FALSE,"Plan1";#N/A,#N/A,FALSE,"Plan2"}</definedName>
    <definedName name="sdxfrt" localSheetId="0">{#N/A,#N/A,FALSE,"Plan1";#N/A,#N/A,FALSE,"Plan2"}</definedName>
    <definedName name="sdxfrt" localSheetId="19">{#N/A,#N/A,FALSE,"Plan1";#N/A,#N/A,FALSE,"Plan2"}</definedName>
    <definedName name="sdxfrt" localSheetId="16">{#N/A,#N/A,FALSE,"Plan1";#N/A,#N/A,FALSE,"Plan2"}</definedName>
    <definedName name="sdxfrt" localSheetId="18">{#N/A,#N/A,FALSE,"Plan1";#N/A,#N/A,FALSE,"Plan2"}</definedName>
    <definedName name="sdxfrt" localSheetId="10">{#N/A,#N/A,FALSE,"Plan1";#N/A,#N/A,FALSE,"Plan2"}</definedName>
    <definedName name="sdxfrt">{#N/A,#N/A,FALSE,"Plan1";#N/A,#N/A,FALSE,"Plan2"}</definedName>
    <definedName name="SDZFERF" localSheetId="9">{#N/A,#N/A,FALSE,"Plan1";#N/A,#N/A,FALSE,"Plan2"}</definedName>
    <definedName name="SDZFERF" localSheetId="6">{#N/A,#N/A,FALSE,"Plan1";#N/A,#N/A,FALSE,"Plan2"}</definedName>
    <definedName name="SDZFERF" localSheetId="3">{#N/A,#N/A,FALSE,"Plan1";#N/A,#N/A,FALSE,"Plan2"}</definedName>
    <definedName name="SDZFERF" localSheetId="8">{#N/A,#N/A,FALSE,"Plan1";#N/A,#N/A,FALSE,"Plan2"}</definedName>
    <definedName name="SDZFERF" localSheetId="5">{#N/A,#N/A,FALSE,"Plan1";#N/A,#N/A,FALSE,"Plan2"}</definedName>
    <definedName name="SDZFERF" localSheetId="4">{#N/A,#N/A,FALSE,"Plan1";#N/A,#N/A,FALSE,"Plan2"}</definedName>
    <definedName name="SDZFERF" localSheetId="13">{#N/A,#N/A,FALSE,"Plan1";#N/A,#N/A,FALSE,"Plan2"}</definedName>
    <definedName name="SDZFERF" localSheetId="17">{#N/A,#N/A,FALSE,"Plan1";#N/A,#N/A,FALSE,"Plan2"}</definedName>
    <definedName name="SDZFERF" localSheetId="0">{#N/A,#N/A,FALSE,"Plan1";#N/A,#N/A,FALSE,"Plan2"}</definedName>
    <definedName name="SDZFERF" localSheetId="19">{#N/A,#N/A,FALSE,"Plan1";#N/A,#N/A,FALSE,"Plan2"}</definedName>
    <definedName name="SDZFERF" localSheetId="16">{#N/A,#N/A,FALSE,"Plan1";#N/A,#N/A,FALSE,"Plan2"}</definedName>
    <definedName name="SDZFERF" localSheetId="18">{#N/A,#N/A,FALSE,"Plan1";#N/A,#N/A,FALSE,"Plan2"}</definedName>
    <definedName name="SDZFERF" localSheetId="10">{#N/A,#N/A,FALSE,"Plan1";#N/A,#N/A,FALSE,"Plan2"}</definedName>
    <definedName name="SDZFERF">{#N/A,#N/A,FALSE,"Plan1";#N/A,#N/A,FALSE,"Plan2"}</definedName>
    <definedName name="se" localSheetId="3">#REF!</definedName>
    <definedName name="se" localSheetId="5">#REF!</definedName>
    <definedName name="se" localSheetId="13">#REF!</definedName>
    <definedName name="se" localSheetId="26">#REF!</definedName>
    <definedName name="se">#REF!</definedName>
    <definedName name="SEDE" localSheetId="3">#REF!</definedName>
    <definedName name="SEDE" localSheetId="5">#REF!</definedName>
    <definedName name="SEDE" localSheetId="13">#REF!</definedName>
    <definedName name="SEDE" localSheetId="26">#REF!</definedName>
    <definedName name="SEDE">#REF!</definedName>
    <definedName name="sefret4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3">#REF!</definedName>
    <definedName name="SEG" localSheetId="1">#REF!</definedName>
    <definedName name="SEG" localSheetId="5">#REF!</definedName>
    <definedName name="SEG" localSheetId="21">#REF!</definedName>
    <definedName name="SEG" localSheetId="22">#REF!</definedName>
    <definedName name="SEG" localSheetId="13">#REF!</definedName>
    <definedName name="SEG" localSheetId="26">#REF!</definedName>
    <definedName name="SEG" localSheetId="0">#REF!</definedName>
    <definedName name="SEG">#REF!</definedName>
    <definedName name="segftru" localSheetId="9">{#N/A,#N/A,FALSE,"Plan1";#N/A,#N/A,FALSE,"Plan2"}</definedName>
    <definedName name="segftru" localSheetId="6">{#N/A,#N/A,FALSE,"Plan1";#N/A,#N/A,FALSE,"Plan2"}</definedName>
    <definedName name="segftru" localSheetId="3">{#N/A,#N/A,FALSE,"Plan1";#N/A,#N/A,FALSE,"Plan2"}</definedName>
    <definedName name="segftru" localSheetId="8">{#N/A,#N/A,FALSE,"Plan1";#N/A,#N/A,FALSE,"Plan2"}</definedName>
    <definedName name="segftru" localSheetId="5">{#N/A,#N/A,FALSE,"Plan1";#N/A,#N/A,FALSE,"Plan2"}</definedName>
    <definedName name="segftru" localSheetId="4">{#N/A,#N/A,FALSE,"Plan1";#N/A,#N/A,FALSE,"Plan2"}</definedName>
    <definedName name="segftru" localSheetId="13">{#N/A,#N/A,FALSE,"Plan1";#N/A,#N/A,FALSE,"Plan2"}</definedName>
    <definedName name="segftru" localSheetId="17">{#N/A,#N/A,FALSE,"Plan1";#N/A,#N/A,FALSE,"Plan2"}</definedName>
    <definedName name="segftru" localSheetId="0">{#N/A,#N/A,FALSE,"Plan1";#N/A,#N/A,FALSE,"Plan2"}</definedName>
    <definedName name="segftru" localSheetId="19">{#N/A,#N/A,FALSE,"Plan1";#N/A,#N/A,FALSE,"Plan2"}</definedName>
    <definedName name="segftru" localSheetId="16">{#N/A,#N/A,FALSE,"Plan1";#N/A,#N/A,FALSE,"Plan2"}</definedName>
    <definedName name="segftru" localSheetId="18">{#N/A,#N/A,FALSE,"Plan1";#N/A,#N/A,FALSE,"Plan2"}</definedName>
    <definedName name="segftru" localSheetId="10">{#N/A,#N/A,FALSE,"Plan1";#N/A,#N/A,FALSE,"Plan2"}</definedName>
    <definedName name="segftru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3">#REF!</definedName>
    <definedName name="SEIS" localSheetId="5">#REF!</definedName>
    <definedName name="SEIS" localSheetId="13">#REF!</definedName>
    <definedName name="SEIS" localSheetId="26">#REF!</definedName>
    <definedName name="SEIS">#REF!</definedName>
    <definedName name="sencount" localSheetId="6">1</definedName>
    <definedName name="sencount" localSheetId="8">1</definedName>
    <definedName name="sencount" localSheetId="5">1</definedName>
    <definedName name="sencount" localSheetId="4">3</definedName>
    <definedName name="sencount" localSheetId="0">3</definedName>
    <definedName name="sencount" localSheetId="19">1</definedName>
    <definedName name="sencount">3</definedName>
    <definedName name="SEQUENCIA" localSheetId="3">#REF!</definedName>
    <definedName name="SEQUENCIA" localSheetId="8">#REF!</definedName>
    <definedName name="SEQUENCIA" localSheetId="5">#REF!</definedName>
    <definedName name="SEQUENCIA" localSheetId="13">#REF!</definedName>
    <definedName name="SEQUENCIA" localSheetId="26">#REF!</definedName>
    <definedName name="SEQUENCIA">#REF!</definedName>
    <definedName name="SEREWRSWE" localSheetId="9">{"tabela",#N/A,FALSE,"Tabela";"decoração",#N/A,FALSE,"Decor.";"Informações",#N/A,FALSE,"Inform."}</definedName>
    <definedName name="SEREWRSWE" localSheetId="6">{"tabela",#N/A,FALSE,"Tabela";"decoração",#N/A,FALSE,"Decor.";"Informações",#N/A,FALSE,"Inform."}</definedName>
    <definedName name="SEREWRSWE" localSheetId="3">{"tabela",#N/A,FALSE,"Tabela";"decoração",#N/A,FALSE,"Decor.";"Informações",#N/A,FALSE,"Inform."}</definedName>
    <definedName name="SEREWRSWE" localSheetId="8">{"tabela",#N/A,FALSE,"Tabela";"decoração",#N/A,FALSE,"Decor.";"Informações",#N/A,FALSE,"Inform."}</definedName>
    <definedName name="SEREWRSWE" localSheetId="5">{"tabela",#N/A,FALSE,"Tabela";"decoração",#N/A,FALSE,"Decor.";"Informações",#N/A,FALSE,"Inform."}</definedName>
    <definedName name="SEREWRSWE" localSheetId="4">{"tabela",#N/A,FALSE,"Tabela";"decoração",#N/A,FALSE,"Decor.";"Informações",#N/A,FALSE,"Inform."}</definedName>
    <definedName name="SEREWRSWE" localSheetId="13">{"tabela",#N/A,FALSE,"Tabela";"decoração",#N/A,FALSE,"Decor.";"Informações",#N/A,FALSE,"Inform."}</definedName>
    <definedName name="SEREWRSWE" localSheetId="17">{"tabela",#N/A,FALSE,"Tabela";"decoração",#N/A,FALSE,"Decor.";"Informações",#N/A,FALSE,"Inform."}</definedName>
    <definedName name="SEREWRSWE" localSheetId="0">{"tabela",#N/A,FALSE,"Tabela";"decoração",#N/A,FALSE,"Decor.";"Informações",#N/A,FALSE,"Inform."}</definedName>
    <definedName name="SEREWRSWE" localSheetId="19">{"tabela",#N/A,FALSE,"Tabela";"decoração",#N/A,FALSE,"Decor.";"Informações",#N/A,FALSE,"Inform."}</definedName>
    <definedName name="SEREWRSWE" localSheetId="16">{"tabela",#N/A,FALSE,"Tabela";"decoração",#N/A,FALSE,"Decor.";"Informações",#N/A,FALSE,"Inform."}</definedName>
    <definedName name="SEREWRSWE" localSheetId="18">{"tabela",#N/A,FALSE,"Tabela";"decoração",#N/A,FALSE,"Decor.";"Informações",#N/A,FALSE,"Inform."}</definedName>
    <definedName name="SEREWRSWE" localSheetId="10">{"tabela",#N/A,FALSE,"Tabela";"decoração",#N/A,FALSE,"Decor.";"Informações",#N/A,FALSE,"Inform."}</definedName>
    <definedName name="SEREWRSWE">{"tabela",#N/A,FALSE,"Tabela";"decoração",#N/A,FALSE,"Decor.";"Informações",#N/A,FALSE,"Inform."}</definedName>
    <definedName name="Set_17" localSheetId="3">#REF!</definedName>
    <definedName name="Set_17" localSheetId="5">#REF!</definedName>
    <definedName name="Set_17" localSheetId="13">#REF!</definedName>
    <definedName name="Set_17" localSheetId="26">#REF!</definedName>
    <definedName name="Set_17">#REF!</definedName>
    <definedName name="SETE" localSheetId="3">#REF!</definedName>
    <definedName name="SETE" localSheetId="5">#REF!</definedName>
    <definedName name="SETE" localSheetId="13">#REF!</definedName>
    <definedName name="SETE" localSheetId="26">#REF!</definedName>
    <definedName name="SETE">#REF!</definedName>
    <definedName name="SETEMBRO" localSheetId="3">#REF!</definedName>
    <definedName name="SETEMBRO" localSheetId="5">#REF!</definedName>
    <definedName name="SETEMBRO" localSheetId="13">#REF!</definedName>
    <definedName name="SETEMBRO" localSheetId="26">#REF!</definedName>
    <definedName name="SETEMBRO">#REF!</definedName>
    <definedName name="setRJ17" localSheetId="3">#REF!</definedName>
    <definedName name="setRJ17" localSheetId="5">#REF!</definedName>
    <definedName name="setRJ17" localSheetId="13">#REF!</definedName>
    <definedName name="setRJ17" localSheetId="26">#REF!</definedName>
    <definedName name="setRJ17">#REF!</definedName>
    <definedName name="severo" localSheetId="3">#REF!</definedName>
    <definedName name="severo" localSheetId="5">#REF!</definedName>
    <definedName name="severo" localSheetId="13">#REF!</definedName>
    <definedName name="severo" localSheetId="26">#REF!</definedName>
    <definedName name="severo">#REF!</definedName>
    <definedName name="sf" localSheetId="9">{#N/A,#N/A,FALSE,"Plan1";#N/A,#N/A,FALSE,"Plan2"}</definedName>
    <definedName name="sf" localSheetId="6">{#N/A,#N/A,FALSE,"Plan1";#N/A,#N/A,FALSE,"Plan2"}</definedName>
    <definedName name="sf" localSheetId="3">{#N/A,#N/A,FALSE,"Plan1";#N/A,#N/A,FALSE,"Plan2"}</definedName>
    <definedName name="sf" localSheetId="8">{#N/A,#N/A,FALSE,"Plan1";#N/A,#N/A,FALSE,"Plan2"}</definedName>
    <definedName name="sf" localSheetId="5">{#N/A,#N/A,FALSE,"Plan1";#N/A,#N/A,FALSE,"Plan2"}</definedName>
    <definedName name="sf" localSheetId="4">{#N/A,#N/A,FALSE,"Plan1";#N/A,#N/A,FALSE,"Plan2"}</definedName>
    <definedName name="sf" localSheetId="13">{#N/A,#N/A,FALSE,"Plan1";#N/A,#N/A,FALSE,"Plan2"}</definedName>
    <definedName name="sf" localSheetId="17">{#N/A,#N/A,FALSE,"Plan1";#N/A,#N/A,FALSE,"Plan2"}</definedName>
    <definedName name="sf" localSheetId="0">{#N/A,#N/A,FALSE,"Plan1";#N/A,#N/A,FALSE,"Plan2"}</definedName>
    <definedName name="sf" localSheetId="19">{#N/A,#N/A,FALSE,"Plan1";#N/A,#N/A,FALSE,"Plan2"}</definedName>
    <definedName name="sf" localSheetId="16">{#N/A,#N/A,FALSE,"Plan1";#N/A,#N/A,FALSE,"Plan2"}</definedName>
    <definedName name="sf" localSheetId="18">{#N/A,#N/A,FALSE,"Plan1";#N/A,#N/A,FALSE,"Plan2"}</definedName>
    <definedName name="sf" localSheetId="10">{#N/A,#N/A,FALSE,"Plan1";#N/A,#N/A,FALSE,"Plan2"}</definedName>
    <definedName name="sf">{#N/A,#N/A,FALSE,"Plan1";#N/A,#N/A,FALSE,"Plan2"}</definedName>
    <definedName name="sfcre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9">{#N/A,#N/A,FALSE,"Plan1";#N/A,#N/A,FALSE,"Plan2"}</definedName>
    <definedName name="sfddfd" localSheetId="6">{#N/A,#N/A,FALSE,"Plan1";#N/A,#N/A,FALSE,"Plan2"}</definedName>
    <definedName name="sfddfd" localSheetId="3">{#N/A,#N/A,FALSE,"Plan1";#N/A,#N/A,FALSE,"Plan2"}</definedName>
    <definedName name="sfddfd" localSheetId="8">{#N/A,#N/A,FALSE,"Plan1";#N/A,#N/A,FALSE,"Plan2"}</definedName>
    <definedName name="sfddfd" localSheetId="5">{#N/A,#N/A,FALSE,"Plan1";#N/A,#N/A,FALSE,"Plan2"}</definedName>
    <definedName name="sfddfd" localSheetId="4">{#N/A,#N/A,FALSE,"Plan1";#N/A,#N/A,FALSE,"Plan2"}</definedName>
    <definedName name="sfddfd" localSheetId="13">{#N/A,#N/A,FALSE,"Plan1";#N/A,#N/A,FALSE,"Plan2"}</definedName>
    <definedName name="sfddfd" localSheetId="17">{#N/A,#N/A,FALSE,"Plan1";#N/A,#N/A,FALSE,"Plan2"}</definedName>
    <definedName name="sfddfd" localSheetId="0">{#N/A,#N/A,FALSE,"Plan1";#N/A,#N/A,FALSE,"Plan2"}</definedName>
    <definedName name="sfddfd" localSheetId="19">{#N/A,#N/A,FALSE,"Plan1";#N/A,#N/A,FALSE,"Plan2"}</definedName>
    <definedName name="sfddfd" localSheetId="16">{#N/A,#N/A,FALSE,"Plan1";#N/A,#N/A,FALSE,"Plan2"}</definedName>
    <definedName name="sfddfd" localSheetId="18">{#N/A,#N/A,FALSE,"Plan1";#N/A,#N/A,FALSE,"Plan2"}</definedName>
    <definedName name="sfddfd" localSheetId="10">{#N/A,#N/A,FALSE,"Plan1";#N/A,#N/A,FALSE,"Plan2"}</definedName>
    <definedName name="sfddfd">{#N/A,#N/A,FALSE,"Plan1";#N/A,#N/A,FALSE,"Plan2"}</definedName>
    <definedName name="sfds" localSheetId="9">{#N/A,#N/A,FALSE,"Plan1";#N/A,#N/A,FALSE,"Plan2"}</definedName>
    <definedName name="sfds" localSheetId="6">{#N/A,#N/A,FALSE,"Plan1";#N/A,#N/A,FALSE,"Plan2"}</definedName>
    <definedName name="sfds" localSheetId="3">{#N/A,#N/A,FALSE,"Plan1";#N/A,#N/A,FALSE,"Plan2"}</definedName>
    <definedName name="sfds" localSheetId="8">{#N/A,#N/A,FALSE,"Plan1";#N/A,#N/A,FALSE,"Plan2"}</definedName>
    <definedName name="sfds" localSheetId="5">{#N/A,#N/A,FALSE,"Plan1";#N/A,#N/A,FALSE,"Plan2"}</definedName>
    <definedName name="sfds" localSheetId="4">{#N/A,#N/A,FALSE,"Plan1";#N/A,#N/A,FALSE,"Plan2"}</definedName>
    <definedName name="sfds" localSheetId="13">{#N/A,#N/A,FALSE,"Plan1";#N/A,#N/A,FALSE,"Plan2"}</definedName>
    <definedName name="sfds" localSheetId="17">{#N/A,#N/A,FALSE,"Plan1";#N/A,#N/A,FALSE,"Plan2"}</definedName>
    <definedName name="sfds" localSheetId="0">{#N/A,#N/A,FALSE,"Plan1";#N/A,#N/A,FALSE,"Plan2"}</definedName>
    <definedName name="sfds" localSheetId="19">{#N/A,#N/A,FALSE,"Plan1";#N/A,#N/A,FALSE,"Plan2"}</definedName>
    <definedName name="sfds" localSheetId="16">{#N/A,#N/A,FALSE,"Plan1";#N/A,#N/A,FALSE,"Plan2"}</definedName>
    <definedName name="sfds" localSheetId="18">{#N/A,#N/A,FALSE,"Plan1";#N/A,#N/A,FALSE,"Plan2"}</definedName>
    <definedName name="sfds" localSheetId="10">{#N/A,#N/A,FALSE,"Plan1";#N/A,#N/A,FALSE,"Plan2"}</definedName>
    <definedName name="sfds">{#N/A,#N/A,FALSE,"Plan1";#N/A,#N/A,FALSE,"Plan2"}</definedName>
    <definedName name="sfdsd" localSheetId="9">{#N/A,#N/A,FALSE,"Plan1";#N/A,#N/A,FALSE,"Plan2"}</definedName>
    <definedName name="sfdsd" localSheetId="6">{#N/A,#N/A,FALSE,"Plan1";#N/A,#N/A,FALSE,"Plan2"}</definedName>
    <definedName name="sfdsd" localSheetId="3">{#N/A,#N/A,FALSE,"Plan1";#N/A,#N/A,FALSE,"Plan2"}</definedName>
    <definedName name="sfdsd" localSheetId="8">{#N/A,#N/A,FALSE,"Plan1";#N/A,#N/A,FALSE,"Plan2"}</definedName>
    <definedName name="sfdsd" localSheetId="5">{#N/A,#N/A,FALSE,"Plan1";#N/A,#N/A,FALSE,"Plan2"}</definedName>
    <definedName name="sfdsd" localSheetId="4">{#N/A,#N/A,FALSE,"Plan1";#N/A,#N/A,FALSE,"Plan2"}</definedName>
    <definedName name="sfdsd" localSheetId="13">{#N/A,#N/A,FALSE,"Plan1";#N/A,#N/A,FALSE,"Plan2"}</definedName>
    <definedName name="sfdsd" localSheetId="17">{#N/A,#N/A,FALSE,"Plan1";#N/A,#N/A,FALSE,"Plan2"}</definedName>
    <definedName name="sfdsd" localSheetId="0">{#N/A,#N/A,FALSE,"Plan1";#N/A,#N/A,FALSE,"Plan2"}</definedName>
    <definedName name="sfdsd" localSheetId="19">{#N/A,#N/A,FALSE,"Plan1";#N/A,#N/A,FALSE,"Plan2"}</definedName>
    <definedName name="sfdsd" localSheetId="16">{#N/A,#N/A,FALSE,"Plan1";#N/A,#N/A,FALSE,"Plan2"}</definedName>
    <definedName name="sfdsd" localSheetId="18">{#N/A,#N/A,FALSE,"Plan1";#N/A,#N/A,FALSE,"Plan2"}</definedName>
    <definedName name="sfdsd" localSheetId="10">{#N/A,#N/A,FALSE,"Plan1";#N/A,#N/A,FALSE,"Plan2"}</definedName>
    <definedName name="sfdsd">{#N/A,#N/A,FALSE,"Plan1";#N/A,#N/A,FALSE,"Plan2"}</definedName>
    <definedName name="SFDSF">34</definedName>
    <definedName name="sfrsdrgt" localSheetId="9">{#N/A,#N/A,FALSE,"Plan1";#N/A,#N/A,FALSE,"Plan2"}</definedName>
    <definedName name="sfrsdrgt" localSheetId="6">{#N/A,#N/A,FALSE,"Plan1";#N/A,#N/A,FALSE,"Plan2"}</definedName>
    <definedName name="sfrsdrgt" localSheetId="3">{#N/A,#N/A,FALSE,"Plan1";#N/A,#N/A,FALSE,"Plan2"}</definedName>
    <definedName name="sfrsdrgt" localSheetId="8">{#N/A,#N/A,FALSE,"Plan1";#N/A,#N/A,FALSE,"Plan2"}</definedName>
    <definedName name="sfrsdrgt" localSheetId="5">{#N/A,#N/A,FALSE,"Plan1";#N/A,#N/A,FALSE,"Plan2"}</definedName>
    <definedName name="sfrsdrgt" localSheetId="4">{#N/A,#N/A,FALSE,"Plan1";#N/A,#N/A,FALSE,"Plan2"}</definedName>
    <definedName name="sfrsdrgt" localSheetId="13">{#N/A,#N/A,FALSE,"Plan1";#N/A,#N/A,FALSE,"Plan2"}</definedName>
    <definedName name="sfrsdrgt" localSheetId="17">{#N/A,#N/A,FALSE,"Plan1";#N/A,#N/A,FALSE,"Plan2"}</definedName>
    <definedName name="sfrsdrgt" localSheetId="0">{#N/A,#N/A,FALSE,"Plan1";#N/A,#N/A,FALSE,"Plan2"}</definedName>
    <definedName name="sfrsdrgt" localSheetId="19">{#N/A,#N/A,FALSE,"Plan1";#N/A,#N/A,FALSE,"Plan2"}</definedName>
    <definedName name="sfrsdrgt" localSheetId="16">{#N/A,#N/A,FALSE,"Plan1";#N/A,#N/A,FALSE,"Plan2"}</definedName>
    <definedName name="sfrsdrgt" localSheetId="18">{#N/A,#N/A,FALSE,"Plan1";#N/A,#N/A,FALSE,"Plan2"}</definedName>
    <definedName name="sfrsdrgt" localSheetId="10">{#N/A,#N/A,FALSE,"Plan1";#N/A,#N/A,FALSE,"Plan2"}</definedName>
    <definedName name="sfrsdrgt">{#N/A,#N/A,FALSE,"Plan1";#N/A,#N/A,FALSE,"Plan2"}</definedName>
    <definedName name="SFRT" localSheetId="9">{#N/A,#N/A,FALSE,"Plan1";#N/A,#N/A,FALSE,"Plan2"}</definedName>
    <definedName name="SFRT" localSheetId="6">{#N/A,#N/A,FALSE,"Plan1";#N/A,#N/A,FALSE,"Plan2"}</definedName>
    <definedName name="SFRT" localSheetId="3">{#N/A,#N/A,FALSE,"Plan1";#N/A,#N/A,FALSE,"Plan2"}</definedName>
    <definedName name="SFRT" localSheetId="8">{#N/A,#N/A,FALSE,"Plan1";#N/A,#N/A,FALSE,"Plan2"}</definedName>
    <definedName name="SFRT" localSheetId="5">{#N/A,#N/A,FALSE,"Plan1";#N/A,#N/A,FALSE,"Plan2"}</definedName>
    <definedName name="SFRT" localSheetId="4">{#N/A,#N/A,FALSE,"Plan1";#N/A,#N/A,FALSE,"Plan2"}</definedName>
    <definedName name="SFRT" localSheetId="13">{#N/A,#N/A,FALSE,"Plan1";#N/A,#N/A,FALSE,"Plan2"}</definedName>
    <definedName name="SFRT" localSheetId="17">{#N/A,#N/A,FALSE,"Plan1";#N/A,#N/A,FALSE,"Plan2"}</definedName>
    <definedName name="SFRT" localSheetId="0">{#N/A,#N/A,FALSE,"Plan1";#N/A,#N/A,FALSE,"Plan2"}</definedName>
    <definedName name="SFRT" localSheetId="19">{#N/A,#N/A,FALSE,"Plan1";#N/A,#N/A,FALSE,"Plan2"}</definedName>
    <definedName name="SFRT" localSheetId="16">{#N/A,#N/A,FALSE,"Plan1";#N/A,#N/A,FALSE,"Plan2"}</definedName>
    <definedName name="SFRT" localSheetId="18">{#N/A,#N/A,FALSE,"Plan1";#N/A,#N/A,FALSE,"Plan2"}</definedName>
    <definedName name="SFRT" localSheetId="10">{#N/A,#N/A,FALSE,"Plan1";#N/A,#N/A,FALSE,"Plan2"}</definedName>
    <definedName name="SFRT">{#N/A,#N/A,FALSE,"Plan1";#N/A,#N/A,FALSE,"Plan2"}</definedName>
    <definedName name="sfsdferf" localSheetId="9">{#N/A,#N/A,FALSE,"Plan1";#N/A,#N/A,FALSE,"Plan2"}</definedName>
    <definedName name="sfsdferf" localSheetId="6">{#N/A,#N/A,FALSE,"Plan1";#N/A,#N/A,FALSE,"Plan2"}</definedName>
    <definedName name="sfsdferf" localSheetId="3">{#N/A,#N/A,FALSE,"Plan1";#N/A,#N/A,FALSE,"Plan2"}</definedName>
    <definedName name="sfsdferf" localSheetId="8">{#N/A,#N/A,FALSE,"Plan1";#N/A,#N/A,FALSE,"Plan2"}</definedName>
    <definedName name="sfsdferf" localSheetId="5">{#N/A,#N/A,FALSE,"Plan1";#N/A,#N/A,FALSE,"Plan2"}</definedName>
    <definedName name="sfsdferf" localSheetId="4">{#N/A,#N/A,FALSE,"Plan1";#N/A,#N/A,FALSE,"Plan2"}</definedName>
    <definedName name="sfsdferf" localSheetId="13">{#N/A,#N/A,FALSE,"Plan1";#N/A,#N/A,FALSE,"Plan2"}</definedName>
    <definedName name="sfsdferf" localSheetId="17">{#N/A,#N/A,FALSE,"Plan1";#N/A,#N/A,FALSE,"Plan2"}</definedName>
    <definedName name="sfsdferf" localSheetId="0">{#N/A,#N/A,FALSE,"Plan1";#N/A,#N/A,FALSE,"Plan2"}</definedName>
    <definedName name="sfsdferf" localSheetId="19">{#N/A,#N/A,FALSE,"Plan1";#N/A,#N/A,FALSE,"Plan2"}</definedName>
    <definedName name="sfsdferf" localSheetId="16">{#N/A,#N/A,FALSE,"Plan1";#N/A,#N/A,FALSE,"Plan2"}</definedName>
    <definedName name="sfsdferf" localSheetId="18">{#N/A,#N/A,FALSE,"Plan1";#N/A,#N/A,FALSE,"Plan2"}</definedName>
    <definedName name="sfsdferf" localSheetId="10">{#N/A,#N/A,FALSE,"Plan1";#N/A,#N/A,FALSE,"Plan2"}</definedName>
    <definedName name="sfsdferf">{#N/A,#N/A,FALSE,"Plan1";#N/A,#N/A,FALSE,"Plan2"}</definedName>
    <definedName name="sfsdfs">34</definedName>
    <definedName name="SFSDS" localSheetId="9">{#N/A,#N/A,FALSE,"Plan1";#N/A,#N/A,FALSE,"Plan2"}</definedName>
    <definedName name="SFSDS" localSheetId="6">{#N/A,#N/A,FALSE,"Plan1";#N/A,#N/A,FALSE,"Plan2"}</definedName>
    <definedName name="SFSDS" localSheetId="3">{#N/A,#N/A,FALSE,"Plan1";#N/A,#N/A,FALSE,"Plan2"}</definedName>
    <definedName name="SFSDS" localSheetId="8">{#N/A,#N/A,FALSE,"Plan1";#N/A,#N/A,FALSE,"Plan2"}</definedName>
    <definedName name="SFSDS" localSheetId="5">{#N/A,#N/A,FALSE,"Plan1";#N/A,#N/A,FALSE,"Plan2"}</definedName>
    <definedName name="SFSDS" localSheetId="4">{#N/A,#N/A,FALSE,"Plan1";#N/A,#N/A,FALSE,"Plan2"}</definedName>
    <definedName name="SFSDS" localSheetId="13">{#N/A,#N/A,FALSE,"Plan1";#N/A,#N/A,FALSE,"Plan2"}</definedName>
    <definedName name="SFSDS" localSheetId="17">{#N/A,#N/A,FALSE,"Plan1";#N/A,#N/A,FALSE,"Plan2"}</definedName>
    <definedName name="SFSDS" localSheetId="0">{#N/A,#N/A,FALSE,"Plan1";#N/A,#N/A,FALSE,"Plan2"}</definedName>
    <definedName name="SFSDS" localSheetId="19">{#N/A,#N/A,FALSE,"Plan1";#N/A,#N/A,FALSE,"Plan2"}</definedName>
    <definedName name="SFSDS" localSheetId="16">{#N/A,#N/A,FALSE,"Plan1";#N/A,#N/A,FALSE,"Plan2"}</definedName>
    <definedName name="SFSDS" localSheetId="18">{#N/A,#N/A,FALSE,"Plan1";#N/A,#N/A,FALSE,"Plan2"}</definedName>
    <definedName name="SFSDS" localSheetId="10">{#N/A,#N/A,FALSE,"Plan1";#N/A,#N/A,FALSE,"Plan2"}</definedName>
    <definedName name="SFSDS">{#N/A,#N/A,FALSE,"Plan1";#N/A,#N/A,FALSE,"Plan2"}</definedName>
    <definedName name="SGarantia" localSheetId="3">#REF!</definedName>
    <definedName name="SGarantia" localSheetId="5">#REF!</definedName>
    <definedName name="SGarantia" localSheetId="13">#REF!</definedName>
    <definedName name="SGarantia" localSheetId="26">#REF!</definedName>
    <definedName name="SGarantia">#REF!</definedName>
    <definedName name="sgtghty" localSheetId="9">{#N/A,#N/A,FALSE,"Plan1";#N/A,#N/A,FALSE,"Plan2"}</definedName>
    <definedName name="sgtghty" localSheetId="6">{#N/A,#N/A,FALSE,"Plan1";#N/A,#N/A,FALSE,"Plan2"}</definedName>
    <definedName name="sgtghty" localSheetId="3">{#N/A,#N/A,FALSE,"Plan1";#N/A,#N/A,FALSE,"Plan2"}</definedName>
    <definedName name="sgtghty" localSheetId="8">{#N/A,#N/A,FALSE,"Plan1";#N/A,#N/A,FALSE,"Plan2"}</definedName>
    <definedName name="sgtghty" localSheetId="5">{#N/A,#N/A,FALSE,"Plan1";#N/A,#N/A,FALSE,"Plan2"}</definedName>
    <definedName name="sgtghty" localSheetId="4">{#N/A,#N/A,FALSE,"Plan1";#N/A,#N/A,FALSE,"Plan2"}</definedName>
    <definedName name="sgtghty" localSheetId="13">{#N/A,#N/A,FALSE,"Plan1";#N/A,#N/A,FALSE,"Plan2"}</definedName>
    <definedName name="sgtghty" localSheetId="17">{#N/A,#N/A,FALSE,"Plan1";#N/A,#N/A,FALSE,"Plan2"}</definedName>
    <definedName name="sgtghty" localSheetId="0">{#N/A,#N/A,FALSE,"Plan1";#N/A,#N/A,FALSE,"Plan2"}</definedName>
    <definedName name="sgtghty" localSheetId="19">{#N/A,#N/A,FALSE,"Plan1";#N/A,#N/A,FALSE,"Plan2"}</definedName>
    <definedName name="sgtghty" localSheetId="16">{#N/A,#N/A,FALSE,"Plan1";#N/A,#N/A,FALSE,"Plan2"}</definedName>
    <definedName name="sgtghty" localSheetId="18">{#N/A,#N/A,FALSE,"Plan1";#N/A,#N/A,FALSE,"Plan2"}</definedName>
    <definedName name="sgtghty" localSheetId="10">{#N/A,#N/A,FALSE,"Plan1";#N/A,#N/A,FALSE,"Plan2"}</definedName>
    <definedName name="sgtghty">{#N/A,#N/A,FALSE,"Plan1";#N/A,#N/A,FALSE,"Plan2"}</definedName>
    <definedName name="S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>#REF!</definedName>
    <definedName name="SHARED_FORMULA_1">#REF!</definedName>
    <definedName name="SHARED_FORMULA_10">#REF!</definedName>
    <definedName name="SHARED_FORMULA_11">#REF!</definedName>
    <definedName name="SHARED_FORMULA_12">#REF!</definedName>
    <definedName name="SHARED_FORMULA_13">#REF!</definedName>
    <definedName name="SHARED_FORMULA_14">#REF!</definedName>
    <definedName name="SHARED_FORMULA_15">#REF!</definedName>
    <definedName name="SHARED_FORMULA_16">#REF!</definedName>
    <definedName name="SHARED_FORMULA_17">#REF!</definedName>
    <definedName name="SHARED_FORMULA_18">#REF!</definedName>
    <definedName name="SHARED_FORMULA_19">#REF!</definedName>
    <definedName name="SHARED_FORMULA_2">#REF!</definedName>
    <definedName name="SHARED_FORMULA_20">#REF!</definedName>
    <definedName name="SHARED_FORMULA_21">#REF!</definedName>
    <definedName name="SHARED_FORMULA_22">#REF!</definedName>
    <definedName name="SHARED_FORMULA_23">#REF!</definedName>
    <definedName name="SHARED_FORMULA_24">#REF!</definedName>
    <definedName name="SHARED_FORMULA_25">#REF!</definedName>
    <definedName name="SHARED_FORMULA_26">#REF!</definedName>
    <definedName name="SHARED_FORMULA_27">#REF!</definedName>
    <definedName name="SHARED_FORMULA_28">#REF!</definedName>
    <definedName name="SHARED_FORMULA_29">#REF!</definedName>
    <definedName name="SHARED_FORMULA_3">#REF!</definedName>
    <definedName name="SHARED_FORMULA_30">#REF!</definedName>
    <definedName name="SHARED_FORMULA_31">#REF!</definedName>
    <definedName name="SHARED_FORMULA_32">#REF!</definedName>
    <definedName name="SHARED_FORMULA_33">#REF!</definedName>
    <definedName name="SHARED_FORMULA_34">#REF!</definedName>
    <definedName name="SHARED_FORMULA_35">#REF!</definedName>
    <definedName name="SHARED_FORMULA_36">#REF!</definedName>
    <definedName name="SHARED_FORMULA_37">#REF!</definedName>
    <definedName name="SHARED_FORMULA_38">#REF!</definedName>
    <definedName name="SHARED_FORMULA_39">#REF!</definedName>
    <definedName name="SHARED_FORMULA_4">#REF!</definedName>
    <definedName name="SHARED_FORMULA_40">#REF!</definedName>
    <definedName name="SHARED_FORMULA_41">#REF!</definedName>
    <definedName name="SHARED_FORMULA_42">#REF!</definedName>
    <definedName name="SHARED_FORMULA_43">#REF!</definedName>
    <definedName name="SHARED_FORMULA_44">#REF!</definedName>
    <definedName name="SHARED_FORMULA_45">#REF!</definedName>
    <definedName name="SHARED_FORMULA_46">#REF!</definedName>
    <definedName name="SHARED_FORMULA_47">#REF!</definedName>
    <definedName name="SHARED_FORMULA_48">#REF!</definedName>
    <definedName name="SHARED_FORMULA_49">#REF!</definedName>
    <definedName name="SHARED_FORMULA_5">#REF!</definedName>
    <definedName name="SHARED_FORMULA_50">#REF!</definedName>
    <definedName name="SHARED_FORMULA_51">#REF!</definedName>
    <definedName name="SHARED_FORMULA_52">#REF!</definedName>
    <definedName name="SHARED_FORMULA_53">#REF!</definedName>
    <definedName name="SHARED_FORMULA_54">#REF!</definedName>
    <definedName name="SHARED_FORMULA_55">#REF!</definedName>
    <definedName name="SHARED_FORMULA_56">#REF!</definedName>
    <definedName name="SHARED_FORMULA_57">#REF!</definedName>
    <definedName name="SHARED_FORMULA_58">#REF!</definedName>
    <definedName name="SHARED_FORMULA_59">#REF!</definedName>
    <definedName name="SHARED_FORMULA_6">#REF!</definedName>
    <definedName name="SHARED_FORMULA_60">#REF!</definedName>
    <definedName name="SHARED_FORMULA_61">#REF!</definedName>
    <definedName name="SHARED_FORMULA_62">#REF!</definedName>
    <definedName name="SHARED_FORMULA_7">#REF!</definedName>
    <definedName name="SHARED_FORMULA_8">#REF!</definedName>
    <definedName name="SHARED_FORMULA_9">#REF!</definedName>
    <definedName name="SIH" localSheetId="3">#REF!</definedName>
    <definedName name="SIH" localSheetId="1">#REF!</definedName>
    <definedName name="SIH" localSheetId="5">#REF!</definedName>
    <definedName name="SIH" localSheetId="21">#REF!</definedName>
    <definedName name="SIH" localSheetId="22">#REF!</definedName>
    <definedName name="SIH" localSheetId="13">#REF!</definedName>
    <definedName name="SIH" localSheetId="26">#REF!</definedName>
    <definedName name="SIH" localSheetId="0">#REF!</definedName>
    <definedName name="SIH">#REF!</definedName>
    <definedName name="SISTEM1" localSheetId="3">#REF!</definedName>
    <definedName name="SISTEM1" localSheetId="5">#REF!</definedName>
    <definedName name="SISTEM1" localSheetId="13">#REF!</definedName>
    <definedName name="SISTEM1" localSheetId="26">#REF!</definedName>
    <definedName name="SISTEM1">#REF!</definedName>
    <definedName name="SISTEM2" localSheetId="3">#REF!</definedName>
    <definedName name="SISTEM2" localSheetId="5">#REF!</definedName>
    <definedName name="SISTEM2" localSheetId="13">#REF!</definedName>
    <definedName name="SISTEM2" localSheetId="26">#REF!</definedName>
    <definedName name="SISTEM2">#REF!</definedName>
    <definedName name="SIV" localSheetId="3">#REF!</definedName>
    <definedName name="SIV" localSheetId="1">#REF!</definedName>
    <definedName name="SIV" localSheetId="5">#REF!</definedName>
    <definedName name="SIV" localSheetId="21">#REF!</definedName>
    <definedName name="SIV" localSheetId="22">#REF!</definedName>
    <definedName name="SIV" localSheetId="13">#REF!</definedName>
    <definedName name="SIV" localSheetId="26">#REF!</definedName>
    <definedName name="SIV" localSheetId="0">#REF!</definedName>
    <definedName name="SIV">#REF!</definedName>
    <definedName name="sjawe" localSheetId="9">{#N/A,#N/A,FALSE,"Plan1";#N/A,#N/A,FALSE,"Plan2"}</definedName>
    <definedName name="sjawe" localSheetId="6">{#N/A,#N/A,FALSE,"Plan1";#N/A,#N/A,FALSE,"Plan2"}</definedName>
    <definedName name="sjawe" localSheetId="3">{#N/A,#N/A,FALSE,"Plan1";#N/A,#N/A,FALSE,"Plan2"}</definedName>
    <definedName name="sjawe" localSheetId="8">{#N/A,#N/A,FALSE,"Plan1";#N/A,#N/A,FALSE,"Plan2"}</definedName>
    <definedName name="sjawe" localSheetId="5">{#N/A,#N/A,FALSE,"Plan1";#N/A,#N/A,FALSE,"Plan2"}</definedName>
    <definedName name="sjawe" localSheetId="4">{#N/A,#N/A,FALSE,"Plan1";#N/A,#N/A,FALSE,"Plan2"}</definedName>
    <definedName name="sjawe" localSheetId="13">{#N/A,#N/A,FALSE,"Plan1";#N/A,#N/A,FALSE,"Plan2"}</definedName>
    <definedName name="sjawe" localSheetId="17">{#N/A,#N/A,FALSE,"Plan1";#N/A,#N/A,FALSE,"Plan2"}</definedName>
    <definedName name="sjawe" localSheetId="0">{#N/A,#N/A,FALSE,"Plan1";#N/A,#N/A,FALSE,"Plan2"}</definedName>
    <definedName name="sjawe" localSheetId="19">{#N/A,#N/A,FALSE,"Plan1";#N/A,#N/A,FALSE,"Plan2"}</definedName>
    <definedName name="sjawe" localSheetId="16">{#N/A,#N/A,FALSE,"Plan1";#N/A,#N/A,FALSE,"Plan2"}</definedName>
    <definedName name="sjawe" localSheetId="18">{#N/A,#N/A,FALSE,"Plan1";#N/A,#N/A,FALSE,"Plan2"}</definedName>
    <definedName name="sjawe" localSheetId="10">{#N/A,#N/A,FALSE,"Plan1";#N/A,#N/A,FALSE,"Plan2"}</definedName>
    <definedName name="sjawe">{#N/A,#N/A,FALSE,"Plan1";#N/A,#N/A,FALSE,"Plan2"}</definedName>
    <definedName name="sjdffd" localSheetId="9">{#N/A,#N/A,FALSE,"Plan1";#N/A,#N/A,FALSE,"Plan2"}</definedName>
    <definedName name="sjdffd" localSheetId="6">{#N/A,#N/A,FALSE,"Plan1";#N/A,#N/A,FALSE,"Plan2"}</definedName>
    <definedName name="sjdffd" localSheetId="3">{#N/A,#N/A,FALSE,"Plan1";#N/A,#N/A,FALSE,"Plan2"}</definedName>
    <definedName name="sjdffd" localSheetId="8">{#N/A,#N/A,FALSE,"Plan1";#N/A,#N/A,FALSE,"Plan2"}</definedName>
    <definedName name="sjdffd" localSheetId="5">{#N/A,#N/A,FALSE,"Plan1";#N/A,#N/A,FALSE,"Plan2"}</definedName>
    <definedName name="sjdffd" localSheetId="4">{#N/A,#N/A,FALSE,"Plan1";#N/A,#N/A,FALSE,"Plan2"}</definedName>
    <definedName name="sjdffd" localSheetId="13">{#N/A,#N/A,FALSE,"Plan1";#N/A,#N/A,FALSE,"Plan2"}</definedName>
    <definedName name="sjdffd" localSheetId="17">{#N/A,#N/A,FALSE,"Plan1";#N/A,#N/A,FALSE,"Plan2"}</definedName>
    <definedName name="sjdffd" localSheetId="0">{#N/A,#N/A,FALSE,"Plan1";#N/A,#N/A,FALSE,"Plan2"}</definedName>
    <definedName name="sjdffd" localSheetId="19">{#N/A,#N/A,FALSE,"Plan1";#N/A,#N/A,FALSE,"Plan2"}</definedName>
    <definedName name="sjdffd" localSheetId="16">{#N/A,#N/A,FALSE,"Plan1";#N/A,#N/A,FALSE,"Plan2"}</definedName>
    <definedName name="sjdffd" localSheetId="18">{#N/A,#N/A,FALSE,"Plan1";#N/A,#N/A,FALSE,"Plan2"}</definedName>
    <definedName name="sjdffd" localSheetId="10">{#N/A,#N/A,FALSE,"Plan1";#N/A,#N/A,FALSE,"Plan2"}</definedName>
    <definedName name="sjdffd">{#N/A,#N/A,FALSE,"Plan1";#N/A,#N/A,FALSE,"Plan2"}</definedName>
    <definedName name="SJDFHDJS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9">{#N/A,#N/A,FALSE,"Plan1";#N/A,#N/A,FALSE,"Plan2"}</definedName>
    <definedName name="SJDHFHRE" localSheetId="6">{#N/A,#N/A,FALSE,"Plan1";#N/A,#N/A,FALSE,"Plan2"}</definedName>
    <definedName name="SJDHFHRE" localSheetId="3">{#N/A,#N/A,FALSE,"Plan1";#N/A,#N/A,FALSE,"Plan2"}</definedName>
    <definedName name="SJDHFHRE" localSheetId="8">{#N/A,#N/A,FALSE,"Plan1";#N/A,#N/A,FALSE,"Plan2"}</definedName>
    <definedName name="SJDHFHRE" localSheetId="5">{#N/A,#N/A,FALSE,"Plan1";#N/A,#N/A,FALSE,"Plan2"}</definedName>
    <definedName name="SJDHFHRE" localSheetId="4">{#N/A,#N/A,FALSE,"Plan1";#N/A,#N/A,FALSE,"Plan2"}</definedName>
    <definedName name="SJDHFHRE" localSheetId="13">{#N/A,#N/A,FALSE,"Plan1";#N/A,#N/A,FALSE,"Plan2"}</definedName>
    <definedName name="SJDHFHRE" localSheetId="17">{#N/A,#N/A,FALSE,"Plan1";#N/A,#N/A,FALSE,"Plan2"}</definedName>
    <definedName name="SJDHFHRE" localSheetId="0">{#N/A,#N/A,FALSE,"Plan1";#N/A,#N/A,FALSE,"Plan2"}</definedName>
    <definedName name="SJDHFHRE" localSheetId="19">{#N/A,#N/A,FALSE,"Plan1";#N/A,#N/A,FALSE,"Plan2"}</definedName>
    <definedName name="SJDHFHRE" localSheetId="16">{#N/A,#N/A,FALSE,"Plan1";#N/A,#N/A,FALSE,"Plan2"}</definedName>
    <definedName name="SJDHFHRE" localSheetId="18">{#N/A,#N/A,FALSE,"Plan1";#N/A,#N/A,FALSE,"Plan2"}</definedName>
    <definedName name="SJDHFHRE" localSheetId="10">{#N/A,#N/A,FALSE,"Plan1";#N/A,#N/A,FALSE,"Plan2"}</definedName>
    <definedName name="SJDHFHRE">{#N/A,#N/A,FALSE,"Plan1";#N/A,#N/A,FALSE,"Plan2"}</definedName>
    <definedName name="SJDKJDE" localSheetId="9">{"Econ Consolidado",#N/A,FALSE,"Econ Consol";"Fluxo de Caixa",#N/A,FALSE,"Fluxo Caixa";"Investimentos",#N/A,FALSE,"Investimentos"}</definedName>
    <definedName name="SJDKJDE" localSheetId="6">{"Econ Consolidado",#N/A,FALSE,"Econ Consol";"Fluxo de Caixa",#N/A,FALSE,"Fluxo Caixa";"Investimentos",#N/A,FALSE,"Investimentos"}</definedName>
    <definedName name="SJDKJDE" localSheetId="3">{"Econ Consolidado",#N/A,FALSE,"Econ Consol";"Fluxo de Caixa",#N/A,FALSE,"Fluxo Caixa";"Investimentos",#N/A,FALSE,"Investimentos"}</definedName>
    <definedName name="SJDKJDE" localSheetId="8">{"Econ Consolidado",#N/A,FALSE,"Econ Consol";"Fluxo de Caixa",#N/A,FALSE,"Fluxo Caixa";"Investimentos",#N/A,FALSE,"Investimentos"}</definedName>
    <definedName name="SJDKJDE" localSheetId="5">{"Econ Consolidado",#N/A,FALSE,"Econ Consol";"Fluxo de Caixa",#N/A,FALSE,"Fluxo Caixa";"Investimentos",#N/A,FALSE,"Investimentos"}</definedName>
    <definedName name="SJDKJDE" localSheetId="4">{"Econ Consolidado",#N/A,FALSE,"Econ Consol";"Fluxo de Caixa",#N/A,FALSE,"Fluxo Caixa";"Investimentos",#N/A,FALSE,"Investimentos"}</definedName>
    <definedName name="SJDKJDE" localSheetId="13">{"Econ Consolidado",#N/A,FALSE,"Econ Consol";"Fluxo de Caixa",#N/A,FALSE,"Fluxo Caixa";"Investimentos",#N/A,FALSE,"Investimentos"}</definedName>
    <definedName name="SJDKJDE" localSheetId="17">{"Econ Consolidado",#N/A,FALSE,"Econ Consol";"Fluxo de Caixa",#N/A,FALSE,"Fluxo Caixa";"Investimentos",#N/A,FALSE,"Investimentos"}</definedName>
    <definedName name="SJDKJDE" localSheetId="0">{"Econ Consolidado",#N/A,FALSE,"Econ Consol";"Fluxo de Caixa",#N/A,FALSE,"Fluxo Caixa";"Investimentos",#N/A,FALSE,"Investimentos"}</definedName>
    <definedName name="SJDKJDE" localSheetId="19">{"Econ Consolidado",#N/A,FALSE,"Econ Consol";"Fluxo de Caixa",#N/A,FALSE,"Fluxo Caixa";"Investimentos",#N/A,FALSE,"Investimentos"}</definedName>
    <definedName name="SJDKJDE" localSheetId="16">{"Econ Consolidado",#N/A,FALSE,"Econ Consol";"Fluxo de Caixa",#N/A,FALSE,"Fluxo Caixa";"Investimentos",#N/A,FALSE,"Investimentos"}</definedName>
    <definedName name="SJDKJDE" localSheetId="18">{"Econ Consolidado",#N/A,FALSE,"Econ Consol";"Fluxo de Caixa",#N/A,FALSE,"Fluxo Caixa";"Investimentos",#N/A,FALSE,"Investimentos"}</definedName>
    <definedName name="SJDKJDE" localSheetId="10">{"Econ Consolidado",#N/A,FALSE,"Econ Consol";"Fluxo de Caixa",#N/A,FALSE,"Fluxo Caixa";"Investimentos",#N/A,FALSE,"Investimentos"}</definedName>
    <definedName name="SJDKJDE">{"Econ Consolidado",#N/A,FALSE,"Econ Consol";"Fluxo de Caixa",#N/A,FALSE,"Fluxo Caixa";"Investimentos",#N/A,FALSE,"Investimentos"}</definedName>
    <definedName name="sjekwjri" localSheetId="9">{#N/A,#N/A,FALSE,"Plan1";#N/A,#N/A,FALSE,"Plan2"}</definedName>
    <definedName name="sjekwjri" localSheetId="6">{#N/A,#N/A,FALSE,"Plan1";#N/A,#N/A,FALSE,"Plan2"}</definedName>
    <definedName name="sjekwjri" localSheetId="3">{#N/A,#N/A,FALSE,"Plan1";#N/A,#N/A,FALSE,"Plan2"}</definedName>
    <definedName name="sjekwjri" localSheetId="8">{#N/A,#N/A,FALSE,"Plan1";#N/A,#N/A,FALSE,"Plan2"}</definedName>
    <definedName name="sjekwjri" localSheetId="5">{#N/A,#N/A,FALSE,"Plan1";#N/A,#N/A,FALSE,"Plan2"}</definedName>
    <definedName name="sjekwjri" localSheetId="4">{#N/A,#N/A,FALSE,"Plan1";#N/A,#N/A,FALSE,"Plan2"}</definedName>
    <definedName name="sjekwjri" localSheetId="13">{#N/A,#N/A,FALSE,"Plan1";#N/A,#N/A,FALSE,"Plan2"}</definedName>
    <definedName name="sjekwjri" localSheetId="17">{#N/A,#N/A,FALSE,"Plan1";#N/A,#N/A,FALSE,"Plan2"}</definedName>
    <definedName name="sjekwjri" localSheetId="0">{#N/A,#N/A,FALSE,"Plan1";#N/A,#N/A,FALSE,"Plan2"}</definedName>
    <definedName name="sjekwjri" localSheetId="19">{#N/A,#N/A,FALSE,"Plan1";#N/A,#N/A,FALSE,"Plan2"}</definedName>
    <definedName name="sjekwjri" localSheetId="16">{#N/A,#N/A,FALSE,"Plan1";#N/A,#N/A,FALSE,"Plan2"}</definedName>
    <definedName name="sjekwjri" localSheetId="18">{#N/A,#N/A,FALSE,"Plan1";#N/A,#N/A,FALSE,"Plan2"}</definedName>
    <definedName name="sjekwjri" localSheetId="10">{#N/A,#N/A,FALSE,"Plan1";#N/A,#N/A,FALSE,"Plan2"}</definedName>
    <definedName name="sjekwjri">{#N/A,#N/A,FALSE,"Plan1";#N/A,#N/A,FALSE,"Plan2"}</definedName>
    <definedName name="sjfkdhsfds" localSheetId="9">{#N/A,#N/A,FALSE,"Plan1";#N/A,#N/A,FALSE,"Plan2"}</definedName>
    <definedName name="sjfkdhsfds" localSheetId="6">{#N/A,#N/A,FALSE,"Plan1";#N/A,#N/A,FALSE,"Plan2"}</definedName>
    <definedName name="sjfkdhsfds" localSheetId="3">{#N/A,#N/A,FALSE,"Plan1";#N/A,#N/A,FALSE,"Plan2"}</definedName>
    <definedName name="sjfkdhsfds" localSheetId="8">{#N/A,#N/A,FALSE,"Plan1";#N/A,#N/A,FALSE,"Plan2"}</definedName>
    <definedName name="sjfkdhsfds" localSheetId="5">{#N/A,#N/A,FALSE,"Plan1";#N/A,#N/A,FALSE,"Plan2"}</definedName>
    <definedName name="sjfkdhsfds" localSheetId="4">{#N/A,#N/A,FALSE,"Plan1";#N/A,#N/A,FALSE,"Plan2"}</definedName>
    <definedName name="sjfkdhsfds" localSheetId="13">{#N/A,#N/A,FALSE,"Plan1";#N/A,#N/A,FALSE,"Plan2"}</definedName>
    <definedName name="sjfkdhsfds" localSheetId="17">{#N/A,#N/A,FALSE,"Plan1";#N/A,#N/A,FALSE,"Plan2"}</definedName>
    <definedName name="sjfkdhsfds" localSheetId="0">{#N/A,#N/A,FALSE,"Plan1";#N/A,#N/A,FALSE,"Plan2"}</definedName>
    <definedName name="sjfkdhsfds" localSheetId="19">{#N/A,#N/A,FALSE,"Plan1";#N/A,#N/A,FALSE,"Plan2"}</definedName>
    <definedName name="sjfkdhsfds" localSheetId="16">{#N/A,#N/A,FALSE,"Plan1";#N/A,#N/A,FALSE,"Plan2"}</definedName>
    <definedName name="sjfkdhsfds" localSheetId="18">{#N/A,#N/A,FALSE,"Plan1";#N/A,#N/A,FALSE,"Plan2"}</definedName>
    <definedName name="sjfkdhsfds" localSheetId="10">{#N/A,#N/A,FALSE,"Plan1";#N/A,#N/A,FALSE,"Plan2"}</definedName>
    <definedName name="sjfkdhsfds">{#N/A,#N/A,FALSE,"Plan1";#N/A,#N/A,FALSE,"Plan2"}</definedName>
    <definedName name="sjkdljslkrje" localSheetId="9">{#N/A,#N/A,FALSE,"Plan1";#N/A,#N/A,FALSE,"Plan2"}</definedName>
    <definedName name="sjkdljslkrje" localSheetId="6">{#N/A,#N/A,FALSE,"Plan1";#N/A,#N/A,FALSE,"Plan2"}</definedName>
    <definedName name="sjkdljslkrje" localSheetId="3">{#N/A,#N/A,FALSE,"Plan1";#N/A,#N/A,FALSE,"Plan2"}</definedName>
    <definedName name="sjkdljslkrje" localSheetId="8">{#N/A,#N/A,FALSE,"Plan1";#N/A,#N/A,FALSE,"Plan2"}</definedName>
    <definedName name="sjkdljslkrje" localSheetId="5">{#N/A,#N/A,FALSE,"Plan1";#N/A,#N/A,FALSE,"Plan2"}</definedName>
    <definedName name="sjkdljslkrje" localSheetId="4">{#N/A,#N/A,FALSE,"Plan1";#N/A,#N/A,FALSE,"Plan2"}</definedName>
    <definedName name="sjkdljslkrje" localSheetId="13">{#N/A,#N/A,FALSE,"Plan1";#N/A,#N/A,FALSE,"Plan2"}</definedName>
    <definedName name="sjkdljslkrje" localSheetId="17">{#N/A,#N/A,FALSE,"Plan1";#N/A,#N/A,FALSE,"Plan2"}</definedName>
    <definedName name="sjkdljslkrje" localSheetId="0">{#N/A,#N/A,FALSE,"Plan1";#N/A,#N/A,FALSE,"Plan2"}</definedName>
    <definedName name="sjkdljslkrje" localSheetId="19">{#N/A,#N/A,FALSE,"Plan1";#N/A,#N/A,FALSE,"Plan2"}</definedName>
    <definedName name="sjkdljslkrje" localSheetId="16">{#N/A,#N/A,FALSE,"Plan1";#N/A,#N/A,FALSE,"Plan2"}</definedName>
    <definedName name="sjkdljslkrje" localSheetId="18">{#N/A,#N/A,FALSE,"Plan1";#N/A,#N/A,FALSE,"Plan2"}</definedName>
    <definedName name="sjkdljslkrje" localSheetId="10">{#N/A,#N/A,FALSE,"Plan1";#N/A,#N/A,FALSE,"Plan2"}</definedName>
    <definedName name="sjkdljslkrje">{#N/A,#N/A,FALSE,"Plan1";#N/A,#N/A,FALSE,"Plan2"}</definedName>
    <definedName name="skadadaszs" localSheetId="9">{#N/A,#N/A,FALSE,"Plan1";#N/A,#N/A,FALSE,"Plan2"}</definedName>
    <definedName name="skadadaszs" localSheetId="6">{#N/A,#N/A,FALSE,"Plan1";#N/A,#N/A,FALSE,"Plan2"}</definedName>
    <definedName name="skadadaszs" localSheetId="3">{#N/A,#N/A,FALSE,"Plan1";#N/A,#N/A,FALSE,"Plan2"}</definedName>
    <definedName name="skadadaszs" localSheetId="8">{#N/A,#N/A,FALSE,"Plan1";#N/A,#N/A,FALSE,"Plan2"}</definedName>
    <definedName name="skadadaszs" localSheetId="5">{#N/A,#N/A,FALSE,"Plan1";#N/A,#N/A,FALSE,"Plan2"}</definedName>
    <definedName name="skadadaszs" localSheetId="4">{#N/A,#N/A,FALSE,"Plan1";#N/A,#N/A,FALSE,"Plan2"}</definedName>
    <definedName name="skadadaszs" localSheetId="13">{#N/A,#N/A,FALSE,"Plan1";#N/A,#N/A,FALSE,"Plan2"}</definedName>
    <definedName name="skadadaszs" localSheetId="17">{#N/A,#N/A,FALSE,"Plan1";#N/A,#N/A,FALSE,"Plan2"}</definedName>
    <definedName name="skadadaszs" localSheetId="0">{#N/A,#N/A,FALSE,"Plan1";#N/A,#N/A,FALSE,"Plan2"}</definedName>
    <definedName name="skadadaszs" localSheetId="19">{#N/A,#N/A,FALSE,"Plan1";#N/A,#N/A,FALSE,"Plan2"}</definedName>
    <definedName name="skadadaszs" localSheetId="16">{#N/A,#N/A,FALSE,"Plan1";#N/A,#N/A,FALSE,"Plan2"}</definedName>
    <definedName name="skadadaszs" localSheetId="18">{#N/A,#N/A,FALSE,"Plan1";#N/A,#N/A,FALSE,"Plan2"}</definedName>
    <definedName name="skadadaszs" localSheetId="10">{#N/A,#N/A,FALSE,"Plan1";#N/A,#N/A,FALSE,"Plan2"}</definedName>
    <definedName name="skadadaszs">{#N/A,#N/A,FALSE,"Plan1";#N/A,#N/A,FALSE,"Plan2"}</definedName>
    <definedName name="SKASH" localSheetId="9">{#N/A,#N/A,FALSE,"Plan1";#N/A,#N/A,FALSE,"Plan2"}</definedName>
    <definedName name="SKASH" localSheetId="6">{#N/A,#N/A,FALSE,"Plan1";#N/A,#N/A,FALSE,"Plan2"}</definedName>
    <definedName name="SKASH" localSheetId="3">{#N/A,#N/A,FALSE,"Plan1";#N/A,#N/A,FALSE,"Plan2"}</definedName>
    <definedName name="SKASH" localSheetId="8">{#N/A,#N/A,FALSE,"Plan1";#N/A,#N/A,FALSE,"Plan2"}</definedName>
    <definedName name="SKASH" localSheetId="5">{#N/A,#N/A,FALSE,"Plan1";#N/A,#N/A,FALSE,"Plan2"}</definedName>
    <definedName name="SKASH" localSheetId="4">{#N/A,#N/A,FALSE,"Plan1";#N/A,#N/A,FALSE,"Plan2"}</definedName>
    <definedName name="SKASH" localSheetId="13">{#N/A,#N/A,FALSE,"Plan1";#N/A,#N/A,FALSE,"Plan2"}</definedName>
    <definedName name="SKASH" localSheetId="17">{#N/A,#N/A,FALSE,"Plan1";#N/A,#N/A,FALSE,"Plan2"}</definedName>
    <definedName name="SKASH" localSheetId="0">{#N/A,#N/A,FALSE,"Plan1";#N/A,#N/A,FALSE,"Plan2"}</definedName>
    <definedName name="SKASH" localSheetId="19">{#N/A,#N/A,FALSE,"Plan1";#N/A,#N/A,FALSE,"Plan2"}</definedName>
    <definedName name="SKASH" localSheetId="16">{#N/A,#N/A,FALSE,"Plan1";#N/A,#N/A,FALSE,"Plan2"}</definedName>
    <definedName name="SKASH" localSheetId="18">{#N/A,#N/A,FALSE,"Plan1";#N/A,#N/A,FALSE,"Plan2"}</definedName>
    <definedName name="SKASH" localSheetId="10">{#N/A,#N/A,FALSE,"Plan1";#N/A,#N/A,FALSE,"Plan2"}</definedName>
    <definedName name="SKASH">{#N/A,#N/A,FALSE,"Plan1";#N/A,#N/A,FALSE,"Plan2"}</definedName>
    <definedName name="skldfrde" localSheetId="9">{#N/A,#N/A,FALSE,"Plan1";#N/A,#N/A,FALSE,"Plan2"}</definedName>
    <definedName name="skldfrde" localSheetId="6">{#N/A,#N/A,FALSE,"Plan1";#N/A,#N/A,FALSE,"Plan2"}</definedName>
    <definedName name="skldfrde" localSheetId="3">{#N/A,#N/A,FALSE,"Plan1";#N/A,#N/A,FALSE,"Plan2"}</definedName>
    <definedName name="skldfrde" localSheetId="8">{#N/A,#N/A,FALSE,"Plan1";#N/A,#N/A,FALSE,"Plan2"}</definedName>
    <definedName name="skldfrde" localSheetId="5">{#N/A,#N/A,FALSE,"Plan1";#N/A,#N/A,FALSE,"Plan2"}</definedName>
    <definedName name="skldfrde" localSheetId="4">{#N/A,#N/A,FALSE,"Plan1";#N/A,#N/A,FALSE,"Plan2"}</definedName>
    <definedName name="skldfrde" localSheetId="13">{#N/A,#N/A,FALSE,"Plan1";#N/A,#N/A,FALSE,"Plan2"}</definedName>
    <definedName name="skldfrde" localSheetId="17">{#N/A,#N/A,FALSE,"Plan1";#N/A,#N/A,FALSE,"Plan2"}</definedName>
    <definedName name="skldfrde" localSheetId="0">{#N/A,#N/A,FALSE,"Plan1";#N/A,#N/A,FALSE,"Plan2"}</definedName>
    <definedName name="skldfrde" localSheetId="19">{#N/A,#N/A,FALSE,"Plan1";#N/A,#N/A,FALSE,"Plan2"}</definedName>
    <definedName name="skldfrde" localSheetId="16">{#N/A,#N/A,FALSE,"Plan1";#N/A,#N/A,FALSE,"Plan2"}</definedName>
    <definedName name="skldfrde" localSheetId="18">{#N/A,#N/A,FALSE,"Plan1";#N/A,#N/A,FALSE,"Plan2"}</definedName>
    <definedName name="skldfrde" localSheetId="10">{#N/A,#N/A,FALSE,"Plan1";#N/A,#N/A,FALSE,"Plan2"}</definedName>
    <definedName name="skldfrde">{#N/A,#N/A,FALSE,"Plan1";#N/A,#N/A,FALSE,"Plan2"}</definedName>
    <definedName name="skosroer" localSheetId="9">{#N/A,#N/A,FALSE,"Plan1";#N/A,#N/A,FALSE,"Plan2"}</definedName>
    <definedName name="skosroer" localSheetId="6">{#N/A,#N/A,FALSE,"Plan1";#N/A,#N/A,FALSE,"Plan2"}</definedName>
    <definedName name="skosroer" localSheetId="3">{#N/A,#N/A,FALSE,"Plan1";#N/A,#N/A,FALSE,"Plan2"}</definedName>
    <definedName name="skosroer" localSheetId="8">{#N/A,#N/A,FALSE,"Plan1";#N/A,#N/A,FALSE,"Plan2"}</definedName>
    <definedName name="skosroer" localSheetId="5">{#N/A,#N/A,FALSE,"Plan1";#N/A,#N/A,FALSE,"Plan2"}</definedName>
    <definedName name="skosroer" localSheetId="4">{#N/A,#N/A,FALSE,"Plan1";#N/A,#N/A,FALSE,"Plan2"}</definedName>
    <definedName name="skosroer" localSheetId="13">{#N/A,#N/A,FALSE,"Plan1";#N/A,#N/A,FALSE,"Plan2"}</definedName>
    <definedName name="skosroer" localSheetId="17">{#N/A,#N/A,FALSE,"Plan1";#N/A,#N/A,FALSE,"Plan2"}</definedName>
    <definedName name="skosroer" localSheetId="0">{#N/A,#N/A,FALSE,"Plan1";#N/A,#N/A,FALSE,"Plan2"}</definedName>
    <definedName name="skosroer" localSheetId="19">{#N/A,#N/A,FALSE,"Plan1";#N/A,#N/A,FALSE,"Plan2"}</definedName>
    <definedName name="skosroer" localSheetId="16">{#N/A,#N/A,FALSE,"Plan1";#N/A,#N/A,FALSE,"Plan2"}</definedName>
    <definedName name="skosroer" localSheetId="18">{#N/A,#N/A,FALSE,"Plan1";#N/A,#N/A,FALSE,"Plan2"}</definedName>
    <definedName name="skosroer" localSheetId="10">{#N/A,#N/A,FALSE,"Plan1";#N/A,#N/A,FALSE,"Plan2"}</definedName>
    <definedName name="skosroer">{#N/A,#N/A,FALSE,"Plan1";#N/A,#N/A,FALSE,"Plan2"}</definedName>
    <definedName name="SO" localSheetId="3">#REF!</definedName>
    <definedName name="SO" localSheetId="5">#REF!</definedName>
    <definedName name="SO" localSheetId="13">#REF!</definedName>
    <definedName name="SO" localSheetId="26">#REF!</definedName>
    <definedName name="SO">#REF!</definedName>
    <definedName name="solver_lin">0</definedName>
    <definedName name="solver_num">0</definedName>
    <definedName name="solver_rel1">3</definedName>
    <definedName name="solver_rhs1">0</definedName>
    <definedName name="solver_tmp">0</definedName>
    <definedName name="solver_typ">1</definedName>
    <definedName name="solver_val">0</definedName>
    <definedName name="soma" localSheetId="3">#REF!</definedName>
    <definedName name="soma" localSheetId="5">#REF!</definedName>
    <definedName name="soma" localSheetId="13">#REF!</definedName>
    <definedName name="soma" localSheetId="26">#REF!</definedName>
    <definedName name="soma">#REF!</definedName>
    <definedName name="sp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9">{#N/A,#N/A,FALSE,"Plan1";#N/A,#N/A,FALSE,"Plan2"}</definedName>
    <definedName name="sQEWWE" localSheetId="6">{#N/A,#N/A,FALSE,"Plan1";#N/A,#N/A,FALSE,"Plan2"}</definedName>
    <definedName name="sQEWWE" localSheetId="3">{#N/A,#N/A,FALSE,"Plan1";#N/A,#N/A,FALSE,"Plan2"}</definedName>
    <definedName name="sQEWWE" localSheetId="8">{#N/A,#N/A,FALSE,"Plan1";#N/A,#N/A,FALSE,"Plan2"}</definedName>
    <definedName name="sQEWWE" localSheetId="5">{#N/A,#N/A,FALSE,"Plan1";#N/A,#N/A,FALSE,"Plan2"}</definedName>
    <definedName name="sQEWWE" localSheetId="4">{#N/A,#N/A,FALSE,"Plan1";#N/A,#N/A,FALSE,"Plan2"}</definedName>
    <definedName name="sQEWWE" localSheetId="13">{#N/A,#N/A,FALSE,"Plan1";#N/A,#N/A,FALSE,"Plan2"}</definedName>
    <definedName name="sQEWWE" localSheetId="17">{#N/A,#N/A,FALSE,"Plan1";#N/A,#N/A,FALSE,"Plan2"}</definedName>
    <definedName name="sQEWWE" localSheetId="0">{#N/A,#N/A,FALSE,"Plan1";#N/A,#N/A,FALSE,"Plan2"}</definedName>
    <definedName name="sQEWWE" localSheetId="19">{#N/A,#N/A,FALSE,"Plan1";#N/A,#N/A,FALSE,"Plan2"}</definedName>
    <definedName name="sQEWWE" localSheetId="16">{#N/A,#N/A,FALSE,"Plan1";#N/A,#N/A,FALSE,"Plan2"}</definedName>
    <definedName name="sQEWWE" localSheetId="18">{#N/A,#N/A,FALSE,"Plan1";#N/A,#N/A,FALSE,"Plan2"}</definedName>
    <definedName name="sQEWWE" localSheetId="10">{#N/A,#N/A,FALSE,"Plan1";#N/A,#N/A,FALSE,"Plan2"}</definedName>
    <definedName name="sQEWWE">{#N/A,#N/A,FALSE,"Plan1";#N/A,#N/A,FALSE,"Plan2"}</definedName>
    <definedName name="SR" localSheetId="3">#REF!</definedName>
    <definedName name="SR" localSheetId="5">#REF!</definedName>
    <definedName name="SR" localSheetId="13">#REF!</definedName>
    <definedName name="SR" localSheetId="26">#REF!</definedName>
    <definedName name="SR" localSheetId="0">#REF!</definedName>
    <definedName name="SR">#REF!</definedName>
    <definedName name="SR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3">#REF!</definedName>
    <definedName name="ss" localSheetId="1">#REF!</definedName>
    <definedName name="ss" localSheetId="21">#REF!</definedName>
    <definedName name="ss" localSheetId="22">#REF!</definedName>
    <definedName name="SS" localSheetId="13">#REF!</definedName>
    <definedName name="ss" localSheetId="26">#REF!</definedName>
    <definedName name="SS">#REF!</definedName>
    <definedName name="sssss" localSheetId="3">#REF!</definedName>
    <definedName name="sssss" localSheetId="5">#REF!</definedName>
    <definedName name="sssss" localSheetId="13">#REF!</definedName>
    <definedName name="sssss" localSheetId="26">#REF!</definedName>
    <definedName name="sssss" localSheetId="0">#REF!</definedName>
    <definedName name="sssss">#REF!</definedName>
    <definedName name="stake_cury" localSheetId="3">#REF!</definedName>
    <definedName name="stake_cury" localSheetId="5">#REF!</definedName>
    <definedName name="stake_cury" localSheetId="13">#REF!</definedName>
    <definedName name="stake_cury" localSheetId="26">#REF!</definedName>
    <definedName name="stake_cury">#REF!</definedName>
    <definedName name="status_projeto" localSheetId="6">OFFSET(INDEX(#REF!,MATCH(#REF!,#REF!,0)),1,0,COUNTA(#REF!)-1)</definedName>
    <definedName name="status_projeto" localSheetId="4">OFFSET(INDEX(#REF!,MATCH(#REF!,#REF!,0)),1,0,COUNTA(#REF!)-1)</definedName>
    <definedName name="status_projeto" localSheetId="13">OFFSET(INDEX(#REF!,MATCH(#REF!,#REF!,0)),1,0,COUNTA(#REF!)-1)</definedName>
    <definedName name="status_projeto" localSheetId="0">OFFSET(INDEX(#REF!,MATCH(#REF!,#REF!,0)),1,0,COUNTA(#REF!)-1)</definedName>
    <definedName name="status_projeto" localSheetId="19">OFFSET(INDEX(#REF!,MATCH(#REF!,#REF!,0)),1,0,COUNTA(#REF!)-1)</definedName>
    <definedName name="status_projeto">OFFSET(INDEX(#REF!,MATCH(#REF!,#REF!,0)),1,0,COUNTA(#REF!)-1)</definedName>
    <definedName name="SUB_TOTAL_1" localSheetId="3">#REF!</definedName>
    <definedName name="SUB_TOTAL_1" localSheetId="5">#REF!</definedName>
    <definedName name="SUB_TOTAL_1" localSheetId="13">#REF!</definedName>
    <definedName name="SUB_TOTAL_1" localSheetId="26">#REF!</definedName>
    <definedName name="SUB_TOTAL_1">#REF!</definedName>
    <definedName name="SUBDER" localSheetId="3">#REF!</definedName>
    <definedName name="SUBDER" localSheetId="5">#REF!</definedName>
    <definedName name="SUBDER" localSheetId="13">#REF!</definedName>
    <definedName name="SUBDER" localSheetId="26">#REF!</definedName>
    <definedName name="SUBDER">#REF!</definedName>
    <definedName name="SUBDIV" localSheetId="3">#REF!</definedName>
    <definedName name="SUBDIV" localSheetId="5">#REF!</definedName>
    <definedName name="SUBDIV" localSheetId="13">#REF!</definedName>
    <definedName name="SUBDIV" localSheetId="26">#REF!</definedName>
    <definedName name="SUBDIV">#REF!</definedName>
    <definedName name="SUBEQP" localSheetId="3">#REF!</definedName>
    <definedName name="SUBEQP" localSheetId="5">#REF!</definedName>
    <definedName name="SUBEQP" localSheetId="13">#REF!</definedName>
    <definedName name="SUBEQP" localSheetId="26">#REF!</definedName>
    <definedName name="SUBEQP">#REF!</definedName>
    <definedName name="SUBMUR" localSheetId="3">#REF!</definedName>
    <definedName name="SUBMUR" localSheetId="5">#REF!</definedName>
    <definedName name="SUBMUR" localSheetId="13">#REF!</definedName>
    <definedName name="SUBMUR" localSheetId="26">#REF!</definedName>
    <definedName name="SUBMUR">#REF!</definedName>
    <definedName name="summ" localSheetId="3">#REF!</definedName>
    <definedName name="summ" localSheetId="13">#REF!</definedName>
    <definedName name="summ" localSheetId="0">#REF!</definedName>
    <definedName name="summ">#REF!</definedName>
    <definedName name="susref" localSheetId="3">#REF!</definedName>
    <definedName name="susref" localSheetId="1">#REF!</definedName>
    <definedName name="susref" localSheetId="5">#REF!</definedName>
    <definedName name="susref" localSheetId="21">#REF!</definedName>
    <definedName name="susref" localSheetId="22">#REF!</definedName>
    <definedName name="susref" localSheetId="13">#REF!</definedName>
    <definedName name="susref" localSheetId="26">#REF!</definedName>
    <definedName name="susref" localSheetId="0">#REF!</definedName>
    <definedName name="susref">#REF!</definedName>
    <definedName name="Swvu.Características." localSheetId="13">#REF!</definedName>
    <definedName name="Swvu.Características.">#REF!</definedName>
    <definedName name="Swvu.Ciclos." localSheetId="13">#REF!</definedName>
    <definedName name="Swvu.Ciclos.">#REF!</definedName>
    <definedName name="Swvu.Custos." localSheetId="13">#REF!</definedName>
    <definedName name="Swvu.Custos.">#REF!</definedName>
    <definedName name="Swvu.PLANILHA2." localSheetId="13">#REF!</definedName>
    <definedName name="Swvu.PLANILHA2.">#REF!</definedName>
    <definedName name="Swvu.Recursos." localSheetId="13">#REF!</definedName>
    <definedName name="Swvu.Recursos.">#REF!</definedName>
    <definedName name="T_actual" localSheetId="3">#REF!</definedName>
    <definedName name="T_actual" localSheetId="5">#REF!</definedName>
    <definedName name="T_actual" localSheetId="13">#REF!</definedName>
    <definedName name="T_actual" localSheetId="26">#REF!</definedName>
    <definedName name="T_actual">#REF!</definedName>
    <definedName name="t_cc" localSheetId="3">#REF!</definedName>
    <definedName name="t_cc" localSheetId="5">#REF!</definedName>
    <definedName name="t_cc" localSheetId="13">#REF!</definedName>
    <definedName name="t_cc" localSheetId="26">#REF!</definedName>
    <definedName name="t_cc">#REF!</definedName>
    <definedName name="t_KSB1_Transport" localSheetId="3">#REF!</definedName>
    <definedName name="t_KSB1_Transport" localSheetId="5">#REF!</definedName>
    <definedName name="t_KSB1_Transport" localSheetId="13">#REF!</definedName>
    <definedName name="t_KSB1_Transport" localSheetId="26">#REF!</definedName>
    <definedName name="t_KSB1_Transport">#REF!</definedName>
    <definedName name="tab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3">#REF!</definedName>
    <definedName name="TAB_GASTOS" localSheetId="5">#REF!</definedName>
    <definedName name="TAB_GASTOS" localSheetId="13">#REF!</definedName>
    <definedName name="TAB_GASTOS" localSheetId="26">#REF!</definedName>
    <definedName name="TAB_GASTOS">#REF!</definedName>
    <definedName name="TABACABAMENTOS" localSheetId="3">#REF!</definedName>
    <definedName name="TABACABAMENTOS" localSheetId="5">#REF!</definedName>
    <definedName name="TABACABAMENTOS" localSheetId="13">#REF!</definedName>
    <definedName name="TABACABAMENTOS" localSheetId="26">#REF!</definedName>
    <definedName name="TABACABAMENTOS">#REF!</definedName>
    <definedName name="tabela" localSheetId="3">#REF!</definedName>
    <definedName name="tabela" localSheetId="5">#REF!</definedName>
    <definedName name="tabela" localSheetId="13">#REF!</definedName>
    <definedName name="tabela" localSheetId="26">#REF!</definedName>
    <definedName name="tabela">#REF!</definedName>
    <definedName name="Tabela_Atribuição" localSheetId="3">#REF!</definedName>
    <definedName name="Tabela_Atribuição" localSheetId="5">#REF!</definedName>
    <definedName name="Tabela_Atribuição" localSheetId="13">#REF!</definedName>
    <definedName name="Tabela_Atribuição" localSheetId="26">#REF!</definedName>
    <definedName name="Tabela_Atribuição">#REF!</definedName>
    <definedName name="TABELA_DE_REVESTIMENTOS" localSheetId="3">#REF!</definedName>
    <definedName name="TABELA_DE_REVESTIMENTOS" localSheetId="5">#REF!</definedName>
    <definedName name="TABELA_DE_REVESTIMENTOS" localSheetId="13">#REF!</definedName>
    <definedName name="TABELA_DE_REVESTIMENTOS" localSheetId="26">#REF!</definedName>
    <definedName name="TABELA_DE_REVESTIMENTOS">#REF!</definedName>
    <definedName name="Tabela_Recursos" localSheetId="3">#REF!</definedName>
    <definedName name="Tabela_Recursos" localSheetId="5">#REF!</definedName>
    <definedName name="Tabela_Recursos" localSheetId="13">#REF!</definedName>
    <definedName name="Tabela_Recursos" localSheetId="26">#REF!</definedName>
    <definedName name="Tabela_Recursos">#REF!</definedName>
    <definedName name="Tabela_Tarefas" localSheetId="3">#REF!</definedName>
    <definedName name="Tabela_Tarefas" localSheetId="5">#REF!</definedName>
    <definedName name="Tabela_Tarefas" localSheetId="13">#REF!</definedName>
    <definedName name="Tabela_Tarefas" localSheetId="26">#REF!</definedName>
    <definedName name="Tabela_Tarefas">#REF!</definedName>
    <definedName name="Tabela1" localSheetId="3">#REF!</definedName>
    <definedName name="Tabela1" localSheetId="5">#REF!</definedName>
    <definedName name="Tabela1" localSheetId="13">#REF!</definedName>
    <definedName name="Tabela1" localSheetId="26">#REF!</definedName>
    <definedName name="Tabela1">#REF!</definedName>
    <definedName name="Tabela2" localSheetId="3">#REF!</definedName>
    <definedName name="Tabela2" localSheetId="5">#REF!</definedName>
    <definedName name="Tabela2" localSheetId="13">#REF!</definedName>
    <definedName name="Tabela2" localSheetId="26">#REF!</definedName>
    <definedName name="Tabela2">#REF!</definedName>
    <definedName name="tabela3" localSheetId="3">#REF!</definedName>
    <definedName name="tabela3" localSheetId="5">#REF!</definedName>
    <definedName name="tabela3" localSheetId="13">#REF!</definedName>
    <definedName name="tabela3" localSheetId="26">#REF!</definedName>
    <definedName name="tabela3">#REF!</definedName>
    <definedName name="TABREF" localSheetId="3">#REF!</definedName>
    <definedName name="TABREF" localSheetId="5">#REF!</definedName>
    <definedName name="TABREF" localSheetId="13">#REF!</definedName>
    <definedName name="TABREF" localSheetId="26">#REF!</definedName>
    <definedName name="TABREF">#REF!</definedName>
    <definedName name="tania" localSheetId="3">#REF!</definedName>
    <definedName name="tania" localSheetId="1">#REF!</definedName>
    <definedName name="tania" localSheetId="5">#REF!</definedName>
    <definedName name="tania" localSheetId="21">#REF!</definedName>
    <definedName name="tania" localSheetId="22">#REF!</definedName>
    <definedName name="tania" localSheetId="13">#REF!</definedName>
    <definedName name="tania" localSheetId="26">#REF!</definedName>
    <definedName name="tania" localSheetId="0">#REF!</definedName>
    <definedName name="tania">#REF!</definedName>
    <definedName name="TAUX2" localSheetId="6">OFFSET(#REF!,0,0,COUNTA(#REF!)+1,1)</definedName>
    <definedName name="TAUX2" localSheetId="4">OFFSET(#REF!,0,0,COUNTA(#REF!)+1,1)</definedName>
    <definedName name="TAUX2" localSheetId="13">OFFSET(#REF!,0,0,COUNTA(#REF!)+1,1)</definedName>
    <definedName name="TAUX2" localSheetId="19">OFFSET(#REF!,0,0,COUNTA(#REF!)+1,1)</definedName>
    <definedName name="TAUX2">OFFSET(#REF!,0,0,COUNTA(#REF!)+1,1)</definedName>
    <definedName name="TAUX3" localSheetId="6">OFFSET(#REF!,0,0,COUNTA(#REF!)+1,1)</definedName>
    <definedName name="TAUX3" localSheetId="4">OFFSET(#REF!,0,0,COUNTA(#REF!)+1,1)</definedName>
    <definedName name="TAUX3" localSheetId="13">OFFSET(#REF!,0,0,COUNTA(#REF!)+1,1)</definedName>
    <definedName name="TAUX3" localSheetId="19">OFFSET(#REF!,0,0,COUNTA(#REF!)+1,1)</definedName>
    <definedName name="TAUX3">OFFSET(#REF!,0,0,COUNTA(#REF!)+1,1)</definedName>
    <definedName name="TAXA_VENTO" localSheetId="3">#REF!</definedName>
    <definedName name="TAXA_VENTO" localSheetId="5">#REF!</definedName>
    <definedName name="TAXA_VENTO" localSheetId="13">#REF!</definedName>
    <definedName name="TAXA_VENTO" localSheetId="26">#REF!</definedName>
    <definedName name="TAXA_VENTO">#REF!</definedName>
    <definedName name="TAXAS" localSheetId="3">#REF!</definedName>
    <definedName name="TAXAS" localSheetId="5">#REF!</definedName>
    <definedName name="TAXAS" localSheetId="13">#REF!</definedName>
    <definedName name="TAXAS" localSheetId="26">#REF!</definedName>
    <definedName name="TAXAS">#REF!</definedName>
    <definedName name="TbDin" localSheetId="6">OFFSET(#REF!,0,0,COUNTA(#REF!),13)</definedName>
    <definedName name="TbDin" localSheetId="4">OFFSET(#REF!,0,0,COUNTA(#REF!),13)</definedName>
    <definedName name="TbDin" localSheetId="13">OFFSET(#REF!,0,0,COUNTA(#REF!),13)</definedName>
    <definedName name="TbDin" localSheetId="19">OFFSET(#REF!,0,0,COUNTA(#REF!),13)</definedName>
    <definedName name="TbDin">OFFSET(#REF!,0,0,COUNTA(#REF!),13)</definedName>
    <definedName name="tc" localSheetId="3">#REF!</definedName>
    <definedName name="tc" localSheetId="1">#REF!</definedName>
    <definedName name="tc" localSheetId="5">#REF!</definedName>
    <definedName name="tc" localSheetId="21">#REF!</definedName>
    <definedName name="tc" localSheetId="22">#REF!</definedName>
    <definedName name="tc" localSheetId="13">#REF!</definedName>
    <definedName name="tc" localSheetId="26">#REF!</definedName>
    <definedName name="tc" localSheetId="0">#REF!</definedName>
    <definedName name="tc">#REF!</definedName>
    <definedName name="TE" localSheetId="3">#REF!</definedName>
    <definedName name="TE" localSheetId="5">#REF!</definedName>
    <definedName name="TE" localSheetId="13">#REF!</definedName>
    <definedName name="TE" localSheetId="26">#REF!</definedName>
    <definedName name="TE">#REF!</definedName>
    <definedName name="TECLA" localSheetId="3">#REF!</definedName>
    <definedName name="TECLA" localSheetId="5">#REF!</definedName>
    <definedName name="TECLA" localSheetId="13">#REF!</definedName>
    <definedName name="TECLA" localSheetId="26">#REF!</definedName>
    <definedName name="TECLA">#REF!</definedName>
    <definedName name="Tendência_Obra_Controladoria" localSheetId="3">#REF!</definedName>
    <definedName name="Tendência_Obra_Controladoria" localSheetId="5">#REF!</definedName>
    <definedName name="Tendência_Obra_Controladoria" localSheetId="13">#REF!</definedName>
    <definedName name="Tendência_Obra_Controladoria" localSheetId="26">#REF!</definedName>
    <definedName name="Tendência_Obra_Controladoria">#REF!</definedName>
    <definedName name="TERRENO" localSheetId="3">#REF!</definedName>
    <definedName name="TERRENO" localSheetId="5">#REF!</definedName>
    <definedName name="TERRENO" localSheetId="13">#REF!</definedName>
    <definedName name="TERRENO" localSheetId="26">#REF!</definedName>
    <definedName name="TERRENO">#REF!</definedName>
    <definedName name="Test" localSheetId="9">{"'Edit'!$A$1:$V$2277"}</definedName>
    <definedName name="Test" localSheetId="6">{"'Edit'!$A$1:$V$2277"}</definedName>
    <definedName name="Test" localSheetId="3">{"'Edit'!$A$1:$V$2277"}</definedName>
    <definedName name="Test" localSheetId="8">{"'Edit'!$A$1:$V$2277"}</definedName>
    <definedName name="Test" localSheetId="5">{"'Edit'!$A$1:$V$2277"}</definedName>
    <definedName name="Test" localSheetId="4">{"'Edit'!$A$1:$V$2277"}</definedName>
    <definedName name="Test" localSheetId="13">{"'Edit'!$A$1:$V$2277"}</definedName>
    <definedName name="Test" localSheetId="17">{"'Edit'!$A$1:$V$2277"}</definedName>
    <definedName name="Test" localSheetId="0">{"'Edit'!$A$1:$V$2277"}</definedName>
    <definedName name="Test" localSheetId="19">{"'Edit'!$A$1:$V$2277"}</definedName>
    <definedName name="Test" localSheetId="16">{"'Edit'!$A$1:$V$2277"}</definedName>
    <definedName name="Test" localSheetId="18">{"'Edit'!$A$1:$V$2277"}</definedName>
    <definedName name="Test" localSheetId="10">{"'Edit'!$A$1:$V$2277"}</definedName>
    <definedName name="Test">{"'Edit'!$A$1:$V$2277"}</definedName>
    <definedName name="TESTANDO" localSheetId="9">{#N/A,#N/A,TRUE,"Quinzena 01 à 15-04-98 "}</definedName>
    <definedName name="TESTANDO" localSheetId="6">{#N/A,#N/A,TRUE,"Quinzena 01 à 15-04-98 "}</definedName>
    <definedName name="TESTANDO" localSheetId="3">{#N/A,#N/A,TRUE,"Quinzena 01 à 15-04-98 "}</definedName>
    <definedName name="TESTANDO" localSheetId="8">{#N/A,#N/A,TRUE,"Quinzena 01 à 15-04-98 "}</definedName>
    <definedName name="TESTANDO" localSheetId="5">{#N/A,#N/A,TRUE,"Quinzena 01 à 15-04-98 "}</definedName>
    <definedName name="TESTANDO" localSheetId="4">{#N/A,#N/A,TRUE,"Quinzena 01 à 15-04-98 "}</definedName>
    <definedName name="TESTANDO" localSheetId="13">{#N/A,#N/A,TRUE,"Quinzena 01 à 15-04-98 "}</definedName>
    <definedName name="TESTANDO" localSheetId="17">{#N/A,#N/A,TRUE,"Quinzena 01 à 15-04-98 "}</definedName>
    <definedName name="TESTANDO" localSheetId="0">{#N/A,#N/A,TRUE,"Quinzena 01 à 15-04-98 "}</definedName>
    <definedName name="TESTANDO" localSheetId="19">{#N/A,#N/A,TRUE,"Quinzena 01 à 15-04-98 "}</definedName>
    <definedName name="TESTANDO" localSheetId="16">{#N/A,#N/A,TRUE,"Quinzena 01 à 15-04-98 "}</definedName>
    <definedName name="TESTANDO" localSheetId="18">{#N/A,#N/A,TRUE,"Quinzena 01 à 15-04-98 "}</definedName>
    <definedName name="TESTANDO" localSheetId="10">{#N/A,#N/A,TRUE,"Quinzena 01 à 15-04-98 "}</definedName>
    <definedName name="TESTANDO">{#N/A,#N/A,TRUE,"Quinzena 01 à 15-04-98 "}</definedName>
    <definedName name="teste" localSheetId="3">#REF!</definedName>
    <definedName name="teste" localSheetId="5">#REF!</definedName>
    <definedName name="teste" localSheetId="13">#REF!</definedName>
    <definedName name="teste" localSheetId="26">#REF!</definedName>
    <definedName name="teste">#REF!</definedName>
    <definedName name="teste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3">#REF!</definedName>
    <definedName name="teste3" localSheetId="5">#REF!</definedName>
    <definedName name="teste3" localSheetId="13">#REF!</definedName>
    <definedName name="teste3" localSheetId="26">#REF!</definedName>
    <definedName name="teste3">#REF!</definedName>
    <definedName name="TESTHKEY" localSheetId="3">#REF!</definedName>
    <definedName name="TESTHKEY" localSheetId="5">#REF!</definedName>
    <definedName name="TESTHKEY" localSheetId="13">#REF!</definedName>
    <definedName name="TESTHKEY" localSheetId="26">#REF!</definedName>
    <definedName name="TESTHKEY">#REF!</definedName>
    <definedName name="teto1" localSheetId="3">#REF!</definedName>
    <definedName name="teto1" localSheetId="5">#REF!</definedName>
    <definedName name="teto1" localSheetId="13">#REF!</definedName>
    <definedName name="teto1" localSheetId="26">#REF!</definedName>
    <definedName name="teto1">#REF!</definedName>
    <definedName name="Teto2" localSheetId="3">#REF!</definedName>
    <definedName name="Teto2" localSheetId="5">#REF!</definedName>
    <definedName name="Teto2" localSheetId="13">#REF!</definedName>
    <definedName name="Teto2" localSheetId="26">#REF!</definedName>
    <definedName name="Teto2">#REF!</definedName>
    <definedName name="tetuytw" localSheetId="3">#REF!</definedName>
    <definedName name="tetuytw" localSheetId="5">#REF!</definedName>
    <definedName name="tetuytw" localSheetId="13">#REF!</definedName>
    <definedName name="tetuytw" localSheetId="26">#REF!</definedName>
    <definedName name="tetuytw">#REF!</definedName>
    <definedName name="TextRefCopyRangeCount">1</definedName>
    <definedName name="thjgsergsr" localSheetId="9">{#N/A,#N/A,FALSE,"Plan1";#N/A,#N/A,FALSE,"Plan2"}</definedName>
    <definedName name="thjgsergsr" localSheetId="6">{#N/A,#N/A,FALSE,"Plan1";#N/A,#N/A,FALSE,"Plan2"}</definedName>
    <definedName name="thjgsergsr" localSheetId="3">{#N/A,#N/A,FALSE,"Plan1";#N/A,#N/A,FALSE,"Plan2"}</definedName>
    <definedName name="thjgsergsr" localSheetId="8">{#N/A,#N/A,FALSE,"Plan1";#N/A,#N/A,FALSE,"Plan2"}</definedName>
    <definedName name="thjgsergsr" localSheetId="5">{#N/A,#N/A,FALSE,"Plan1";#N/A,#N/A,FALSE,"Plan2"}</definedName>
    <definedName name="thjgsergsr" localSheetId="4">{#N/A,#N/A,FALSE,"Plan1";#N/A,#N/A,FALSE,"Plan2"}</definedName>
    <definedName name="thjgsergsr" localSheetId="13">{#N/A,#N/A,FALSE,"Plan1";#N/A,#N/A,FALSE,"Plan2"}</definedName>
    <definedName name="thjgsergsr" localSheetId="17">{#N/A,#N/A,FALSE,"Plan1";#N/A,#N/A,FALSE,"Plan2"}</definedName>
    <definedName name="thjgsergsr" localSheetId="0">{#N/A,#N/A,FALSE,"Plan1";#N/A,#N/A,FALSE,"Plan2"}</definedName>
    <definedName name="thjgsergsr" localSheetId="19">{#N/A,#N/A,FALSE,"Plan1";#N/A,#N/A,FALSE,"Plan2"}</definedName>
    <definedName name="thjgsergsr" localSheetId="16">{#N/A,#N/A,FALSE,"Plan1";#N/A,#N/A,FALSE,"Plan2"}</definedName>
    <definedName name="thjgsergsr" localSheetId="18">{#N/A,#N/A,FALSE,"Plan1";#N/A,#N/A,FALSE,"Plan2"}</definedName>
    <definedName name="thjgsergsr" localSheetId="10">{#N/A,#N/A,FALSE,"Plan1";#N/A,#N/A,FALSE,"Plan2"}</definedName>
    <definedName name="thjgsergsr">{#N/A,#N/A,FALSE,"Plan1";#N/A,#N/A,FALSE,"Plan2"}</definedName>
    <definedName name="THYJ" localSheetId="9">{#N/A,#N/A,FALSE,"Plan1";#N/A,#N/A,FALSE,"Plan2"}</definedName>
    <definedName name="THYJ" localSheetId="6">{#N/A,#N/A,FALSE,"Plan1";#N/A,#N/A,FALSE,"Plan2"}</definedName>
    <definedName name="THYJ" localSheetId="3">{#N/A,#N/A,FALSE,"Plan1";#N/A,#N/A,FALSE,"Plan2"}</definedName>
    <definedName name="THYJ" localSheetId="8">{#N/A,#N/A,FALSE,"Plan1";#N/A,#N/A,FALSE,"Plan2"}</definedName>
    <definedName name="THYJ" localSheetId="5">{#N/A,#N/A,FALSE,"Plan1";#N/A,#N/A,FALSE,"Plan2"}</definedName>
    <definedName name="THYJ" localSheetId="4">{#N/A,#N/A,FALSE,"Plan1";#N/A,#N/A,FALSE,"Plan2"}</definedName>
    <definedName name="THYJ" localSheetId="13">{#N/A,#N/A,FALSE,"Plan1";#N/A,#N/A,FALSE,"Plan2"}</definedName>
    <definedName name="THYJ" localSheetId="17">{#N/A,#N/A,FALSE,"Plan1";#N/A,#N/A,FALSE,"Plan2"}</definedName>
    <definedName name="THYJ" localSheetId="0">{#N/A,#N/A,FALSE,"Plan1";#N/A,#N/A,FALSE,"Plan2"}</definedName>
    <definedName name="THYJ" localSheetId="19">{#N/A,#N/A,FALSE,"Plan1";#N/A,#N/A,FALSE,"Plan2"}</definedName>
    <definedName name="THYJ" localSheetId="16">{#N/A,#N/A,FALSE,"Plan1";#N/A,#N/A,FALSE,"Plan2"}</definedName>
    <definedName name="THYJ" localSheetId="18">{#N/A,#N/A,FALSE,"Plan1";#N/A,#N/A,FALSE,"Plan2"}</definedName>
    <definedName name="THYJ" localSheetId="10">{#N/A,#N/A,FALSE,"Plan1";#N/A,#N/A,FALSE,"Plan2"}</definedName>
    <definedName name="THYJ">{#N/A,#N/A,FALSE,"Plan1";#N/A,#N/A,FALSE,"Plan2"}</definedName>
    <definedName name="tihjgih" localSheetId="9">{#N/A,#N/A,FALSE,"Plan1";#N/A,#N/A,FALSE,"Plan2"}</definedName>
    <definedName name="tihjgih" localSheetId="6">{#N/A,#N/A,FALSE,"Plan1";#N/A,#N/A,FALSE,"Plan2"}</definedName>
    <definedName name="tihjgih" localSheetId="3">{#N/A,#N/A,FALSE,"Plan1";#N/A,#N/A,FALSE,"Plan2"}</definedName>
    <definedName name="tihjgih" localSheetId="8">{#N/A,#N/A,FALSE,"Plan1";#N/A,#N/A,FALSE,"Plan2"}</definedName>
    <definedName name="tihjgih" localSheetId="5">{#N/A,#N/A,FALSE,"Plan1";#N/A,#N/A,FALSE,"Plan2"}</definedName>
    <definedName name="tihjgih" localSheetId="4">{#N/A,#N/A,FALSE,"Plan1";#N/A,#N/A,FALSE,"Plan2"}</definedName>
    <definedName name="tihjgih" localSheetId="13">{#N/A,#N/A,FALSE,"Plan1";#N/A,#N/A,FALSE,"Plan2"}</definedName>
    <definedName name="tihjgih" localSheetId="17">{#N/A,#N/A,FALSE,"Plan1";#N/A,#N/A,FALSE,"Plan2"}</definedName>
    <definedName name="tihjgih" localSheetId="0">{#N/A,#N/A,FALSE,"Plan1";#N/A,#N/A,FALSE,"Plan2"}</definedName>
    <definedName name="tihjgih" localSheetId="19">{#N/A,#N/A,FALSE,"Plan1";#N/A,#N/A,FALSE,"Plan2"}</definedName>
    <definedName name="tihjgih" localSheetId="16">{#N/A,#N/A,FALSE,"Plan1";#N/A,#N/A,FALSE,"Plan2"}</definedName>
    <definedName name="tihjgih" localSheetId="18">{#N/A,#N/A,FALSE,"Plan1";#N/A,#N/A,FALSE,"Plan2"}</definedName>
    <definedName name="tihjgih" localSheetId="10">{#N/A,#N/A,FALSE,"Plan1";#N/A,#N/A,FALSE,"Plan2"}</definedName>
    <definedName name="tihjgih">{#N/A,#N/A,FALSE,"Plan1";#N/A,#N/A,FALSE,"Plan2"}</definedName>
    <definedName name="TIPO_CTT" localSheetId="3">#REF!</definedName>
    <definedName name="TIPO_CTT" localSheetId="5">#REF!</definedName>
    <definedName name="TIPO_CTT" localSheetId="13">#REF!</definedName>
    <definedName name="TIPO_CTT" localSheetId="26">#REF!</definedName>
    <definedName name="TIPO_CTT">#REF!</definedName>
    <definedName name="Tipo_de_Diretoria" localSheetId="3">#REF!</definedName>
    <definedName name="Tipo_de_Diretoria" localSheetId="5">#REF!</definedName>
    <definedName name="Tipo_de_Diretoria" localSheetId="13">#REF!</definedName>
    <definedName name="Tipo_de_Diretoria" localSheetId="26">#REF!</definedName>
    <definedName name="Tipo_de_Diretoria">#REF!</definedName>
    <definedName name="Tipo_de_Gestao" localSheetId="3">#REF!</definedName>
    <definedName name="Tipo_de_Gestao" localSheetId="5">#REF!</definedName>
    <definedName name="Tipo_de_Gestao" localSheetId="13">#REF!</definedName>
    <definedName name="Tipo_de_Gestao" localSheetId="26">#REF!</definedName>
    <definedName name="Tipo_de_Gestao">#REF!</definedName>
    <definedName name="Tipo_de_Padrao" localSheetId="3">#REF!</definedName>
    <definedName name="Tipo_de_Padrao" localSheetId="5">#REF!</definedName>
    <definedName name="Tipo_de_Padrao" localSheetId="13">#REF!</definedName>
    <definedName name="Tipo_de_Padrao" localSheetId="26">#REF!</definedName>
    <definedName name="Tipo_de_Padrao">#REF!</definedName>
    <definedName name="Tipo_de_Regiao" localSheetId="3">#REF!</definedName>
    <definedName name="Tipo_de_Regiao" localSheetId="5">#REF!</definedName>
    <definedName name="Tipo_de_Regiao" localSheetId="13">#REF!</definedName>
    <definedName name="Tipo_de_Regiao" localSheetId="26">#REF!</definedName>
    <definedName name="Tipo_de_Regiao">#REF!</definedName>
    <definedName name="Tipo_de_Segmento" localSheetId="3">#REF!</definedName>
    <definedName name="Tipo_de_Segmento" localSheetId="5">#REF!</definedName>
    <definedName name="Tipo_de_Segmento" localSheetId="13">#REF!</definedName>
    <definedName name="Tipo_de_Segmento" localSheetId="26">#REF!</definedName>
    <definedName name="Tipo_de_Segmento">#REF!</definedName>
    <definedName name="Tipo_de_Status" localSheetId="3">#REF!</definedName>
    <definedName name="Tipo_de_Status" localSheetId="5">#REF!</definedName>
    <definedName name="Tipo_de_Status" localSheetId="13">#REF!</definedName>
    <definedName name="Tipo_de_Status" localSheetId="26">#REF!</definedName>
    <definedName name="Tipo_de_Status">#REF!</definedName>
    <definedName name="Tipo_de_UF" localSheetId="3">#REF!</definedName>
    <definedName name="Tipo_de_UF" localSheetId="5">#REF!</definedName>
    <definedName name="Tipo_de_UF" localSheetId="13">#REF!</definedName>
    <definedName name="Tipo_de_UF" localSheetId="26">#REF!</definedName>
    <definedName name="Tipo_de_UF">#REF!</definedName>
    <definedName name="Tipo_de_Unidade_de_Negocio" localSheetId="3">#REF!</definedName>
    <definedName name="Tipo_de_Unidade_de_Negocio" localSheetId="5">#REF!</definedName>
    <definedName name="Tipo_de_Unidade_de_Negocio" localSheetId="13">#REF!</definedName>
    <definedName name="Tipo_de_Unidade_de_Negocio" localSheetId="26">#REF!</definedName>
    <definedName name="Tipo_de_Unidade_de_Negocio">#REF!</definedName>
    <definedName name="Tipo_do_cliente" localSheetId="3">#REF!</definedName>
    <definedName name="Tipo_do_cliente" localSheetId="5">#REF!</definedName>
    <definedName name="Tipo_do_cliente" localSheetId="13">#REF!</definedName>
    <definedName name="Tipo_do_cliente" localSheetId="26">#REF!</definedName>
    <definedName name="Tipo_do_cliente">#REF!</definedName>
    <definedName name="tipo_subtotal" localSheetId="3">#REF!</definedName>
    <definedName name="tipo_subtotal" localSheetId="5">#REF!</definedName>
    <definedName name="tipo_subtotal" localSheetId="13">#REF!</definedName>
    <definedName name="tipo_subtotal" localSheetId="26">#REF!</definedName>
    <definedName name="tipo_subtotal">#REF!</definedName>
    <definedName name="tipobloco" localSheetId="3">#REF!</definedName>
    <definedName name="tipobloco" localSheetId="5">#REF!</definedName>
    <definedName name="tipobloco" localSheetId="13">#REF!</definedName>
    <definedName name="tipobloco" localSheetId="26">#REF!</definedName>
    <definedName name="tipobloco">#REF!</definedName>
    <definedName name="titbeb" localSheetId="3">#REF!</definedName>
    <definedName name="titbeb" localSheetId="5">#REF!</definedName>
    <definedName name="titbeb" localSheetId="13">#REF!</definedName>
    <definedName name="titbeb" localSheetId="26">#REF!</definedName>
    <definedName name="titbeb">#REF!</definedName>
    <definedName name="TITCHAF" localSheetId="3">#REF!</definedName>
    <definedName name="TITCHAF" localSheetId="5">#REF!</definedName>
    <definedName name="TITCHAF" localSheetId="13">#REF!</definedName>
    <definedName name="TITCHAF" localSheetId="26">#REF!</definedName>
    <definedName name="TITCHAF">#REF!</definedName>
    <definedName name="TituloMkt" localSheetId="3">#REF!</definedName>
    <definedName name="TituloMkt" localSheetId="5">#REF!</definedName>
    <definedName name="TituloMkt" localSheetId="13">#REF!</definedName>
    <definedName name="TituloMkt" localSheetId="26">#REF!</definedName>
    <definedName name="TituloMkt">#REF!</definedName>
    <definedName name="titulos" localSheetId="3">#REF!</definedName>
    <definedName name="titulos" localSheetId="5">#REF!</definedName>
    <definedName name="titulos" localSheetId="21">#REF!</definedName>
    <definedName name="titulos" localSheetId="22">#REF!</definedName>
    <definedName name="titulos" localSheetId="13">#REF!</definedName>
    <definedName name="titulos" localSheetId="26">#REF!</definedName>
    <definedName name="titulos" localSheetId="0">#REF!</definedName>
    <definedName name="titulos">#REF!</definedName>
    <definedName name="Títulos_impressão_IM" localSheetId="3">#REF!</definedName>
    <definedName name="Títulos_impressão_IM" localSheetId="5">#REF!</definedName>
    <definedName name="Títulos_impressão_IM" localSheetId="13">#REF!</definedName>
    <definedName name="Títulos_impressão_IM" localSheetId="26">#REF!</definedName>
    <definedName name="Títulos_impressão_IM">#REF!</definedName>
    <definedName name="TMO" localSheetId="3">#REF!</definedName>
    <definedName name="TMO" localSheetId="5">#REF!</definedName>
    <definedName name="TMO" localSheetId="13">#REF!</definedName>
    <definedName name="TMO" localSheetId="26">#REF!</definedName>
    <definedName name="TMO">#REF!</definedName>
    <definedName name="TOLTAL2" localSheetId="3">#REF!</definedName>
    <definedName name="TOLTAL2" localSheetId="5">#REF!</definedName>
    <definedName name="TOLTAL2" localSheetId="13">#REF!</definedName>
    <definedName name="TOLTAL2" localSheetId="26">#REF!</definedName>
    <definedName name="TOLTAL2">#REF!</definedName>
    <definedName name="TOT" localSheetId="3">#REF!</definedName>
    <definedName name="TOT" localSheetId="1">#REF!</definedName>
    <definedName name="TOT" localSheetId="5">#REF!</definedName>
    <definedName name="TOT" localSheetId="21">#REF!</definedName>
    <definedName name="TOT" localSheetId="22">#REF!</definedName>
    <definedName name="TOT" localSheetId="13">#REF!</definedName>
    <definedName name="TOT" localSheetId="26">#REF!</definedName>
    <definedName name="TOT" localSheetId="0">#REF!</definedName>
    <definedName name="TOT">#REF!</definedName>
    <definedName name="tot3estac" localSheetId="3">#REF!</definedName>
    <definedName name="tot3estac" localSheetId="5">#REF!</definedName>
    <definedName name="tot3estac" localSheetId="13">#REF!</definedName>
    <definedName name="tot3estac" localSheetId="26">#REF!</definedName>
    <definedName name="tot3estac">#REF!</definedName>
    <definedName name="TOTAIS" localSheetId="3">#REF!</definedName>
    <definedName name="TOTAIS" localSheetId="5">#REF!</definedName>
    <definedName name="TOTAIS" localSheetId="13">#REF!</definedName>
    <definedName name="TOTAIS" localSheetId="26">#REF!</definedName>
    <definedName name="TOTAIS">#REF!</definedName>
    <definedName name="Total" localSheetId="3">#REF!</definedName>
    <definedName name="Total" localSheetId="1">#REF!</definedName>
    <definedName name="Total" localSheetId="5">#REF!</definedName>
    <definedName name="Total" localSheetId="21">#REF!</definedName>
    <definedName name="Total" localSheetId="22">#REF!</definedName>
    <definedName name="Total" localSheetId="13">#REF!</definedName>
    <definedName name="Total" localSheetId="26">#REF!</definedName>
    <definedName name="Total" localSheetId="0">#REF!</definedName>
    <definedName name="Total">#REF!</definedName>
    <definedName name="Total_2016_Rel_Controladoria" localSheetId="3">#REF!</definedName>
    <definedName name="Total_2016_Rel_Controladoria" localSheetId="5">#REF!</definedName>
    <definedName name="Total_2016_Rel_Controladoria" localSheetId="13">#REF!</definedName>
    <definedName name="Total_2016_Rel_Controladoria" localSheetId="26">#REF!</definedName>
    <definedName name="Total_2016_Rel_Controladoria">#REF!</definedName>
    <definedName name="Total_Parcelas_MAP" localSheetId="3">#REF!</definedName>
    <definedName name="Total_Parcelas_MAP" localSheetId="5">#REF!</definedName>
    <definedName name="Total_Parcelas_MAP" localSheetId="13">#REF!</definedName>
    <definedName name="Total_Parcelas_MAP" localSheetId="26">#REF!</definedName>
    <definedName name="Total_Parcelas_MAP">#REF!</definedName>
    <definedName name="total_unid" localSheetId="3">#REF!</definedName>
    <definedName name="total_unid" localSheetId="5">#REF!</definedName>
    <definedName name="total_unid" localSheetId="13">#REF!</definedName>
    <definedName name="total_unid" localSheetId="26">#REF!</definedName>
    <definedName name="total_unid">#REF!</definedName>
    <definedName name="TOTAL1" localSheetId="3">#REF!</definedName>
    <definedName name="TOTAL1" localSheetId="5">#REF!</definedName>
    <definedName name="TOTAL1" localSheetId="13">#REF!</definedName>
    <definedName name="TOTAL1" localSheetId="26">#REF!</definedName>
    <definedName name="TOTAL1">#REF!</definedName>
    <definedName name="TOTAL10" localSheetId="3">#REF!</definedName>
    <definedName name="TOTAL10" localSheetId="5">#REF!</definedName>
    <definedName name="TOTAL10" localSheetId="13">#REF!</definedName>
    <definedName name="TOTAL10" localSheetId="26">#REF!</definedName>
    <definedName name="TOTAL10">#REF!</definedName>
    <definedName name="TOTAL11" localSheetId="3">#REF!</definedName>
    <definedName name="TOTAL11" localSheetId="5">#REF!</definedName>
    <definedName name="TOTAL11" localSheetId="13">#REF!</definedName>
    <definedName name="TOTAL11" localSheetId="26">#REF!</definedName>
    <definedName name="TOTAL11">#REF!</definedName>
    <definedName name="TOTAL12" localSheetId="3">#REF!</definedName>
    <definedName name="TOTAL12" localSheetId="5">#REF!</definedName>
    <definedName name="TOTAL12" localSheetId="13">#REF!</definedName>
    <definedName name="TOTAL12" localSheetId="26">#REF!</definedName>
    <definedName name="TOTAL12">#REF!</definedName>
    <definedName name="TOTAL13" localSheetId="3">#REF!</definedName>
    <definedName name="TOTAL13" localSheetId="5">#REF!</definedName>
    <definedName name="TOTAL13" localSheetId="13">#REF!</definedName>
    <definedName name="TOTAL13" localSheetId="26">#REF!</definedName>
    <definedName name="TOTAL13">#REF!</definedName>
    <definedName name="TOTAL14" localSheetId="3">#REF!</definedName>
    <definedName name="TOTAL14" localSheetId="5">#REF!</definedName>
    <definedName name="TOTAL14" localSheetId="13">#REF!</definedName>
    <definedName name="TOTAL14" localSheetId="26">#REF!</definedName>
    <definedName name="TOTAL14">#REF!</definedName>
    <definedName name="TOTAL15" localSheetId="3">#REF!</definedName>
    <definedName name="TOTAL15" localSheetId="5">#REF!</definedName>
    <definedName name="TOTAL15" localSheetId="13">#REF!</definedName>
    <definedName name="TOTAL15" localSheetId="26">#REF!</definedName>
    <definedName name="TOTAL15">#REF!</definedName>
    <definedName name="TOTAL16" localSheetId="3">#REF!</definedName>
    <definedName name="TOTAL16" localSheetId="5">#REF!</definedName>
    <definedName name="TOTAL16" localSheetId="13">#REF!</definedName>
    <definedName name="TOTAL16" localSheetId="26">#REF!</definedName>
    <definedName name="TOTAL16">#REF!</definedName>
    <definedName name="TOTAL2" localSheetId="3">#REF!</definedName>
    <definedName name="TOTAL2" localSheetId="5">#REF!</definedName>
    <definedName name="TOTAL2" localSheetId="13">#REF!</definedName>
    <definedName name="TOTAL2" localSheetId="26">#REF!</definedName>
    <definedName name="TOTAL2">#REF!</definedName>
    <definedName name="TOTAL3" localSheetId="3">#REF!</definedName>
    <definedName name="TOTAL3" localSheetId="5">#REF!</definedName>
    <definedName name="TOTAL3" localSheetId="13">#REF!</definedName>
    <definedName name="TOTAL3" localSheetId="26">#REF!</definedName>
    <definedName name="TOTAL3">#REF!</definedName>
    <definedName name="TOTAL4" localSheetId="3">#REF!</definedName>
    <definedName name="TOTAL4" localSheetId="5">#REF!</definedName>
    <definedName name="TOTAL4" localSheetId="13">#REF!</definedName>
    <definedName name="TOTAL4" localSheetId="26">#REF!</definedName>
    <definedName name="TOTAL4">#REF!</definedName>
    <definedName name="TOTAL5" localSheetId="3">#REF!</definedName>
    <definedName name="TOTAL5" localSheetId="5">#REF!</definedName>
    <definedName name="TOTAL5" localSheetId="13">#REF!</definedName>
    <definedName name="TOTAL5" localSheetId="26">#REF!</definedName>
    <definedName name="TOTAL5">#REF!</definedName>
    <definedName name="TOTAL6" localSheetId="3">#REF!</definedName>
    <definedName name="TOTAL6" localSheetId="5">#REF!</definedName>
    <definedName name="TOTAL6" localSheetId="13">#REF!</definedName>
    <definedName name="TOTAL6" localSheetId="26">#REF!</definedName>
    <definedName name="TOTAL6">#REF!</definedName>
    <definedName name="TOTAL7" localSheetId="3">#REF!</definedName>
    <definedName name="TOTAL7" localSheetId="5">#REF!</definedName>
    <definedName name="TOTAL7" localSheetId="13">#REF!</definedName>
    <definedName name="TOTAL7" localSheetId="26">#REF!</definedName>
    <definedName name="TOTAL7">#REF!</definedName>
    <definedName name="TOTAL8" localSheetId="3">#REF!</definedName>
    <definedName name="TOTAL8" localSheetId="5">#REF!</definedName>
    <definedName name="TOTAL8" localSheetId="13">#REF!</definedName>
    <definedName name="TOTAL8" localSheetId="26">#REF!</definedName>
    <definedName name="TOTAL8">#REF!</definedName>
    <definedName name="TOTAL9" localSheetId="3">#REF!</definedName>
    <definedName name="TOTAL9" localSheetId="5">#REF!</definedName>
    <definedName name="TOTAL9" localSheetId="13">#REF!</definedName>
    <definedName name="TOTAL9" localSheetId="26">#REF!</definedName>
    <definedName name="TOTAL9">#REF!</definedName>
    <definedName name="TOTALITEM" localSheetId="3">#REF!</definedName>
    <definedName name="TOTALITEM" localSheetId="5">#REF!</definedName>
    <definedName name="TOTALITEM" localSheetId="13">#REF!</definedName>
    <definedName name="TOTALITEM" localSheetId="26">#REF!</definedName>
    <definedName name="TOTALITEM">#REF!</definedName>
    <definedName name="totbase" localSheetId="3">#REF!</definedName>
    <definedName name="totbase" localSheetId="5">#REF!</definedName>
    <definedName name="totbase" localSheetId="13">#REF!</definedName>
    <definedName name="totbase" localSheetId="26">#REF!</definedName>
    <definedName name="totbase">#REF!</definedName>
    <definedName name="totestaca" localSheetId="3">#REF!</definedName>
    <definedName name="totestaca" localSheetId="5">#REF!</definedName>
    <definedName name="totestaca" localSheetId="13">#REF!</definedName>
    <definedName name="totestaca" localSheetId="26">#REF!</definedName>
    <definedName name="totestaca">#REF!</definedName>
    <definedName name="TOTG" localSheetId="6">OFFSET(#REF!,0,0,COUNTA(#REF!),1)</definedName>
    <definedName name="TOTG" localSheetId="4">OFFSET(#REF!,0,0,COUNTA(#REF!),1)</definedName>
    <definedName name="TOTG" localSheetId="13">OFFSET(#REF!,0,0,COUNTA(#REF!),1)</definedName>
    <definedName name="TOTG" localSheetId="19">OFFSET(#REF!,0,0,COUNTA(#REF!),1)</definedName>
    <definedName name="TOTG">OFFSET(#REF!,0,0,COUNTA(#REF!),1)</definedName>
    <definedName name="totperfura" localSheetId="3">#REF!</definedName>
    <definedName name="totperfura" localSheetId="5">#REF!</definedName>
    <definedName name="totperfura" localSheetId="13">#REF!</definedName>
    <definedName name="totperfura" localSheetId="26">#REF!</definedName>
    <definedName name="totperfura">#REF!</definedName>
    <definedName name="TOTQTS" localSheetId="3">#REF!</definedName>
    <definedName name="TOTQTS" localSheetId="5">#REF!</definedName>
    <definedName name="TOTQTS" localSheetId="13">#REF!</definedName>
    <definedName name="TOTQTS" localSheetId="26">#REF!</definedName>
    <definedName name="TOTQTS">#REF!</definedName>
    <definedName name="TOTT" localSheetId="6">OFFSET(#REF!,0,0,COUNTA(#REF!)+1,1)</definedName>
    <definedName name="TOTT" localSheetId="4">OFFSET(#REF!,0,0,COUNTA(#REF!)+1,1)</definedName>
    <definedName name="TOTT" localSheetId="13">OFFSET(#REF!,0,0,COUNTA(#REF!)+1,1)</definedName>
    <definedName name="TOTT" localSheetId="19">OFFSET(#REF!,0,0,COUNTA(#REF!)+1,1)</definedName>
    <definedName name="TOTT">OFFSET(#REF!,0,0,COUNTA(#REF!)+1,1)</definedName>
    <definedName name="TR" localSheetId="3">#REF!</definedName>
    <definedName name="TR" localSheetId="5">#REF!</definedName>
    <definedName name="TR" localSheetId="13">#REF!</definedName>
    <definedName name="TR" localSheetId="26">#REF!</definedName>
    <definedName name="TR">#REF!</definedName>
    <definedName name="Transferencia1" localSheetId="3">#REF!</definedName>
    <definedName name="Transferencia1" localSheetId="5">#REF!</definedName>
    <definedName name="Transferencia1" localSheetId="13">#REF!</definedName>
    <definedName name="Transferencia1" localSheetId="26">#REF!</definedName>
    <definedName name="Transferencia1">#REF!</definedName>
    <definedName name="TRES" localSheetId="3">#REF!</definedName>
    <definedName name="TRES" localSheetId="5">#REF!</definedName>
    <definedName name="TRES" localSheetId="13">#REF!</definedName>
    <definedName name="TRES" localSheetId="26">#REF!</definedName>
    <definedName name="TRES">#REF!</definedName>
    <definedName name="TREZE" localSheetId="3">#REF!</definedName>
    <definedName name="TREZE" localSheetId="5">#REF!</definedName>
    <definedName name="TREZE" localSheetId="13">#REF!</definedName>
    <definedName name="TREZE" localSheetId="26">#REF!</definedName>
    <definedName name="TREZE">#REF!</definedName>
    <definedName name="tri" localSheetId="3">#REF!</definedName>
    <definedName name="tri" localSheetId="5">#REF!</definedName>
    <definedName name="tri" localSheetId="13">#REF!</definedName>
    <definedName name="tri" localSheetId="26">#REF!</definedName>
    <definedName name="tri">#REF!</definedName>
    <definedName name="Trimestre_data_base" localSheetId="3">#REF!</definedName>
    <definedName name="Trimestre_data_base" localSheetId="5">#REF!</definedName>
    <definedName name="Trimestre_data_base" localSheetId="13">#REF!</definedName>
    <definedName name="Trimestre_data_base" localSheetId="26">#REF!</definedName>
    <definedName name="Trimestre_data_base">#REF!</definedName>
    <definedName name="trjyidih" localSheetId="9">{#N/A,#N/A,FALSE,"Plan1";#N/A,#N/A,FALSE,"Plan2"}</definedName>
    <definedName name="trjyidih" localSheetId="6">{#N/A,#N/A,FALSE,"Plan1";#N/A,#N/A,FALSE,"Plan2"}</definedName>
    <definedName name="trjyidih" localSheetId="3">{#N/A,#N/A,FALSE,"Plan1";#N/A,#N/A,FALSE,"Plan2"}</definedName>
    <definedName name="trjyidih" localSheetId="8">{#N/A,#N/A,FALSE,"Plan1";#N/A,#N/A,FALSE,"Plan2"}</definedName>
    <definedName name="trjyidih" localSheetId="5">{#N/A,#N/A,FALSE,"Plan1";#N/A,#N/A,FALSE,"Plan2"}</definedName>
    <definedName name="trjyidih" localSheetId="4">{#N/A,#N/A,FALSE,"Plan1";#N/A,#N/A,FALSE,"Plan2"}</definedName>
    <definedName name="trjyidih" localSheetId="13">{#N/A,#N/A,FALSE,"Plan1";#N/A,#N/A,FALSE,"Plan2"}</definedName>
    <definedName name="trjyidih" localSheetId="17">{#N/A,#N/A,FALSE,"Plan1";#N/A,#N/A,FALSE,"Plan2"}</definedName>
    <definedName name="trjyidih" localSheetId="0">{#N/A,#N/A,FALSE,"Plan1";#N/A,#N/A,FALSE,"Plan2"}</definedName>
    <definedName name="trjyidih" localSheetId="19">{#N/A,#N/A,FALSE,"Plan1";#N/A,#N/A,FALSE,"Plan2"}</definedName>
    <definedName name="trjyidih" localSheetId="16">{#N/A,#N/A,FALSE,"Plan1";#N/A,#N/A,FALSE,"Plan2"}</definedName>
    <definedName name="trjyidih" localSheetId="18">{#N/A,#N/A,FALSE,"Plan1";#N/A,#N/A,FALSE,"Plan2"}</definedName>
    <definedName name="trjyidih" localSheetId="10">{#N/A,#N/A,FALSE,"Plan1";#N/A,#N/A,FALSE,"Plan2"}</definedName>
    <definedName name="trjyidih">{#N/A,#N/A,FALSE,"Plan1";#N/A,#N/A,FALSE,"Plan2"}</definedName>
    <definedName name="TRP" localSheetId="3">#REF!</definedName>
    <definedName name="TRP" localSheetId="1">#REF!</definedName>
    <definedName name="TRP" localSheetId="5">#REF!</definedName>
    <definedName name="TRP" localSheetId="21">#REF!</definedName>
    <definedName name="TRP" localSheetId="22">#REF!</definedName>
    <definedName name="TRP" localSheetId="13">#REF!</definedName>
    <definedName name="TRP" localSheetId="26">#REF!</definedName>
    <definedName name="TRP" localSheetId="0">#REF!</definedName>
    <definedName name="TRP">#REF!</definedName>
    <definedName name="TTT" localSheetId="3">#REF!</definedName>
    <definedName name="TTT" localSheetId="5">#REF!</definedName>
    <definedName name="TTT" localSheetId="13">#REF!</definedName>
    <definedName name="TTT" localSheetId="26">#REF!</definedName>
    <definedName name="TTT">#REF!</definedName>
    <definedName name="TURNO" localSheetId="3">#REF!</definedName>
    <definedName name="TURNO" localSheetId="5">#REF!</definedName>
    <definedName name="TURNO" localSheetId="13">#REF!</definedName>
    <definedName name="TURNO" localSheetId="26">#REF!</definedName>
    <definedName name="TURNO">#REF!</definedName>
    <definedName name="tuyedjsksj" localSheetId="9">{#N/A,#N/A,FALSE,"Plan1";#N/A,#N/A,FALSE,"Plan2"}</definedName>
    <definedName name="tuyedjsksj" localSheetId="6">{#N/A,#N/A,FALSE,"Plan1";#N/A,#N/A,FALSE,"Plan2"}</definedName>
    <definedName name="tuyedjsksj" localSheetId="3">{#N/A,#N/A,FALSE,"Plan1";#N/A,#N/A,FALSE,"Plan2"}</definedName>
    <definedName name="tuyedjsksj" localSheetId="8">{#N/A,#N/A,FALSE,"Plan1";#N/A,#N/A,FALSE,"Plan2"}</definedName>
    <definedName name="tuyedjsksj" localSheetId="5">{#N/A,#N/A,FALSE,"Plan1";#N/A,#N/A,FALSE,"Plan2"}</definedName>
    <definedName name="tuyedjsksj" localSheetId="4">{#N/A,#N/A,FALSE,"Plan1";#N/A,#N/A,FALSE,"Plan2"}</definedName>
    <definedName name="tuyedjsksj" localSheetId="13">{#N/A,#N/A,FALSE,"Plan1";#N/A,#N/A,FALSE,"Plan2"}</definedName>
    <definedName name="tuyedjsksj" localSheetId="17">{#N/A,#N/A,FALSE,"Plan1";#N/A,#N/A,FALSE,"Plan2"}</definedName>
    <definedName name="tuyedjsksj" localSheetId="0">{#N/A,#N/A,FALSE,"Plan1";#N/A,#N/A,FALSE,"Plan2"}</definedName>
    <definedName name="tuyedjsksj" localSheetId="19">{#N/A,#N/A,FALSE,"Plan1";#N/A,#N/A,FALSE,"Plan2"}</definedName>
    <definedName name="tuyedjsksj" localSheetId="16">{#N/A,#N/A,FALSE,"Plan1";#N/A,#N/A,FALSE,"Plan2"}</definedName>
    <definedName name="tuyedjsksj" localSheetId="18">{#N/A,#N/A,FALSE,"Plan1";#N/A,#N/A,FALSE,"Plan2"}</definedName>
    <definedName name="tuyedjsksj" localSheetId="10">{#N/A,#N/A,FALSE,"Plan1";#N/A,#N/A,FALSE,"Plan2"}</definedName>
    <definedName name="tuyedjsksj">{#N/A,#N/A,FALSE,"Plan1";#N/A,#N/A,FALSE,"Plan2"}</definedName>
    <definedName name="TX_ADM" localSheetId="3">#REF!</definedName>
    <definedName name="TX_ADM" localSheetId="5">#REF!</definedName>
    <definedName name="TX_ADM" localSheetId="13">#REF!</definedName>
    <definedName name="TX_ADM" localSheetId="26">#REF!</definedName>
    <definedName name="TX_ADM">#REF!</definedName>
    <definedName name="tx_desconto_real" localSheetId="3">#REF!</definedName>
    <definedName name="tx_desconto_real" localSheetId="5">#REF!</definedName>
    <definedName name="tx_desconto_real" localSheetId="13">#REF!</definedName>
    <definedName name="tx_desconto_real" localSheetId="26">#REF!</definedName>
    <definedName name="tx_desconto_real">#REF!</definedName>
    <definedName name="TxAplicMes" localSheetId="3">#REF!</definedName>
    <definedName name="TxAplicMes" localSheetId="5">#REF!</definedName>
    <definedName name="TxAplicMes" localSheetId="13">#REF!</definedName>
    <definedName name="TxAplicMes" localSheetId="26">#REF!</definedName>
    <definedName name="TxAplicMes">#REF!</definedName>
    <definedName name="TxCdiMes" localSheetId="3">#REF!</definedName>
    <definedName name="TxCdiMes" localSheetId="5">#REF!</definedName>
    <definedName name="TxCdiMes" localSheetId="13">#REF!</definedName>
    <definedName name="TxCdiMes" localSheetId="26">#REF!</definedName>
    <definedName name="TxCdiMes">#REF!</definedName>
    <definedName name="TxDescMes" localSheetId="3">#REF!</definedName>
    <definedName name="TxDescMes" localSheetId="5">#REF!</definedName>
    <definedName name="TxDescMes" localSheetId="13">#REF!</definedName>
    <definedName name="TxDescMes" localSheetId="26">#REF!</definedName>
    <definedName name="TxDescMes">#REF!</definedName>
    <definedName name="TxSecuritizacaoMes" localSheetId="3">#REF!</definedName>
    <definedName name="TxSecuritizacaoMes" localSheetId="5">#REF!</definedName>
    <definedName name="TxSecuritizacaoMes" localSheetId="13">#REF!</definedName>
    <definedName name="TxSecuritizacaoMes" localSheetId="26">#REF!</definedName>
    <definedName name="TxSecuritizacaoMes">#REF!</definedName>
    <definedName name="TxSfhEco" localSheetId="3">#REF!</definedName>
    <definedName name="TxSfhEco" localSheetId="5">#REF!</definedName>
    <definedName name="TxSfhEco" localSheetId="13">#REF!</definedName>
    <definedName name="TxSfhEco" localSheetId="26">#REF!</definedName>
    <definedName name="TxSfhEco">#REF!</definedName>
    <definedName name="TxSfhMap" localSheetId="3">#REF!</definedName>
    <definedName name="TxSfhMap" localSheetId="5">#REF!</definedName>
    <definedName name="TxSfhMap" localSheetId="13">#REF!</definedName>
    <definedName name="TxSfhMap" localSheetId="26">#REF!</definedName>
    <definedName name="TxSfhMap">#REF!</definedName>
    <definedName name="TXTEQUIP" localSheetId="3">#REF!</definedName>
    <definedName name="TXTEQUIP" localSheetId="5">#REF!</definedName>
    <definedName name="TXTEQUIP" localSheetId="13">#REF!</definedName>
    <definedName name="TXTEQUIP" localSheetId="26">#REF!</definedName>
    <definedName name="TXTEQUIP">#REF!</definedName>
    <definedName name="TXTMARCA" localSheetId="3">#REF!</definedName>
    <definedName name="TXTMARCA" localSheetId="5">#REF!</definedName>
    <definedName name="TXTMARCA" localSheetId="13">#REF!</definedName>
    <definedName name="TXTMARCA" localSheetId="26">#REF!</definedName>
    <definedName name="TXTMARCA">#REF!</definedName>
    <definedName name="TXTMOD" localSheetId="3">#REF!</definedName>
    <definedName name="TXTMOD" localSheetId="5">#REF!</definedName>
    <definedName name="TXTMOD" localSheetId="13">#REF!</definedName>
    <definedName name="TXTMOD" localSheetId="26">#REF!</definedName>
    <definedName name="TXTMOD">#REF!</definedName>
    <definedName name="TXTPOT" localSheetId="3">#REF!</definedName>
    <definedName name="TXTPOT" localSheetId="5">#REF!</definedName>
    <definedName name="TXTPOT" localSheetId="13">#REF!</definedName>
    <definedName name="TXTPOT" localSheetId="26">#REF!</definedName>
    <definedName name="TXTPOT">#REF!</definedName>
    <definedName name="TYHGFHFHG" localSheetId="9">{#N/A,#N/A,FALSE,"Plan1";#N/A,#N/A,FALSE,"Plan2"}</definedName>
    <definedName name="TYHGFHFHG" localSheetId="6">{#N/A,#N/A,FALSE,"Plan1";#N/A,#N/A,FALSE,"Plan2"}</definedName>
    <definedName name="TYHGFHFHG" localSheetId="3">{#N/A,#N/A,FALSE,"Plan1";#N/A,#N/A,FALSE,"Plan2"}</definedName>
    <definedName name="TYHGFHFHG" localSheetId="8">{#N/A,#N/A,FALSE,"Plan1";#N/A,#N/A,FALSE,"Plan2"}</definedName>
    <definedName name="TYHGFHFHG" localSheetId="5">{#N/A,#N/A,FALSE,"Plan1";#N/A,#N/A,FALSE,"Plan2"}</definedName>
    <definedName name="TYHGFHFHG" localSheetId="4">{#N/A,#N/A,FALSE,"Plan1";#N/A,#N/A,FALSE,"Plan2"}</definedName>
    <definedName name="TYHGFHFHG" localSheetId="13">{#N/A,#N/A,FALSE,"Plan1";#N/A,#N/A,FALSE,"Plan2"}</definedName>
    <definedName name="TYHGFHFHG" localSheetId="17">{#N/A,#N/A,FALSE,"Plan1";#N/A,#N/A,FALSE,"Plan2"}</definedName>
    <definedName name="TYHGFHFHG" localSheetId="0">{#N/A,#N/A,FALSE,"Plan1";#N/A,#N/A,FALSE,"Plan2"}</definedName>
    <definedName name="TYHGFHFHG" localSheetId="19">{#N/A,#N/A,FALSE,"Plan1";#N/A,#N/A,FALSE,"Plan2"}</definedName>
    <definedName name="TYHGFHFHG" localSheetId="16">{#N/A,#N/A,FALSE,"Plan1";#N/A,#N/A,FALSE,"Plan2"}</definedName>
    <definedName name="TYHGFHFHG" localSheetId="18">{#N/A,#N/A,FALSE,"Plan1";#N/A,#N/A,FALSE,"Plan2"}</definedName>
    <definedName name="TYHGFHFHG" localSheetId="10">{#N/A,#N/A,FALSE,"Plan1";#N/A,#N/A,FALSE,"Plan2"}</definedName>
    <definedName name="TYHGFHFHG">{#N/A,#N/A,FALSE,"Plan1";#N/A,#N/A,FALSE,"Plan2"}</definedName>
    <definedName name="u" localSheetId="9">{#N/A,#N/A,FALSE,"ET-CAPA";#N/A,#N/A,FALSE,"ET-PAG1";#N/A,#N/A,FALSE,"ET-PAG2";#N/A,#N/A,FALSE,"ET-PAG3";#N/A,#N/A,FALSE,"ET-PAG4";#N/A,#N/A,FALSE,"ET-PAG5"}</definedName>
    <definedName name="u" localSheetId="2">{#N/A,#N/A,FALSE,"ET-CAPA";#N/A,#N/A,FALSE,"ET-PAG1";#N/A,#N/A,FALSE,"ET-PAG2";#N/A,#N/A,FALSE,"ET-PAG3";#N/A,#N/A,FALSE,"ET-PAG4";#N/A,#N/A,FALSE,"ET-PAG5"}</definedName>
    <definedName name="u" localSheetId="6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1">{#N/A,#N/A,FALSE,"ET-CAPA";#N/A,#N/A,FALSE,"ET-PAG1";#N/A,#N/A,FALSE,"ET-PAG2";#N/A,#N/A,FALSE,"ET-PAG3";#N/A,#N/A,FALSE,"ET-PAG4";#N/A,#N/A,FALSE,"ET-PAG5"}</definedName>
    <definedName name="u" localSheetId="8">{#N/A,#N/A,FALSE,"ET-CAPA";#N/A,#N/A,FALSE,"ET-PAG1";#N/A,#N/A,FALSE,"ET-PAG2";#N/A,#N/A,FALSE,"ET-PAG3";#N/A,#N/A,FALSE,"ET-PAG4";#N/A,#N/A,FALSE,"ET-PAG5"}</definedName>
    <definedName name="u" localSheetId="5">{#N/A,#N/A,FALSE,"ET-CAPA";#N/A,#N/A,FALSE,"ET-PAG1";#N/A,#N/A,FALSE,"ET-PAG2";#N/A,#N/A,FALSE,"ET-PAG3";#N/A,#N/A,FALSE,"ET-PAG4";#N/A,#N/A,FALSE,"ET-PAG5"}</definedName>
    <definedName name="u" localSheetId="4">{#N/A,#N/A,FALSE,"ET-CAPA";#N/A,#N/A,FALSE,"ET-PAG1";#N/A,#N/A,FALSE,"ET-PAG2";#N/A,#N/A,FALSE,"ET-PAG3";#N/A,#N/A,FALSE,"ET-PAG4";#N/A,#N/A,FALSE,"ET-PAG5"}</definedName>
    <definedName name="u" localSheetId="13">{#N/A,#N/A,FALSE,"ET-CAPA";#N/A,#N/A,FALSE,"ET-PAG1";#N/A,#N/A,FALSE,"ET-PAG2";#N/A,#N/A,FALSE,"ET-PAG3";#N/A,#N/A,FALSE,"ET-PAG4";#N/A,#N/A,FALSE,"ET-PAG5"}</definedName>
    <definedName name="u" localSheetId="17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 localSheetId="19">{#N/A,#N/A,FALSE,"ET-CAPA";#N/A,#N/A,FALSE,"ET-PAG1";#N/A,#N/A,FALSE,"ET-PAG2";#N/A,#N/A,FALSE,"ET-PAG3";#N/A,#N/A,FALSE,"ET-PAG4";#N/A,#N/A,FALSE,"ET-PAG5"}</definedName>
    <definedName name="u" localSheetId="16">{#N/A,#N/A,FALSE,"ET-CAPA";#N/A,#N/A,FALSE,"ET-PAG1";#N/A,#N/A,FALSE,"ET-PAG2";#N/A,#N/A,FALSE,"ET-PAG3";#N/A,#N/A,FALSE,"ET-PAG4";#N/A,#N/A,FALSE,"ET-PAG5"}</definedName>
    <definedName name="u" localSheetId="18">{#N/A,#N/A,FALSE,"ET-CAPA";#N/A,#N/A,FALSE,"ET-PAG1";#N/A,#N/A,FALSE,"ET-PAG2";#N/A,#N/A,FALSE,"ET-PAG3";#N/A,#N/A,FALSE,"ET-PAG4";#N/A,#N/A,FALSE,"ET-PAG5"}</definedName>
    <definedName name="u" localSheetId="10">{#N/A,#N/A,FALSE,"ET-CAPA";#N/A,#N/A,FALSE,"ET-PAG1";#N/A,#N/A,FALSE,"ET-PAG2";#N/A,#N/A,FALSE,"ET-PAG3";#N/A,#N/A,FALSE,"ET-PAG4";#N/A,#N/A,FALSE,"ET-PAG5"}</definedName>
    <definedName name="u" localSheetId="15">{#N/A,#N/A,FALSE,"ET-CAPA";#N/A,#N/A,FALSE,"ET-PAG1";#N/A,#N/A,FALSE,"ET-PAG2";#N/A,#N/A,FALSE,"ET-PAG3";#N/A,#N/A,FALSE,"ET-PAG4";#N/A,#N/A,FALSE,"ET-PAG5"}</definedName>
    <definedName name="u" localSheetId="14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udhgfhfg" localSheetId="9">{#N/A,#N/A,FALSE,"Plan1";#N/A,#N/A,FALSE,"Plan2"}</definedName>
    <definedName name="udhgfhfg" localSheetId="6">{#N/A,#N/A,FALSE,"Plan1";#N/A,#N/A,FALSE,"Plan2"}</definedName>
    <definedName name="udhgfhfg" localSheetId="3">{#N/A,#N/A,FALSE,"Plan1";#N/A,#N/A,FALSE,"Plan2"}</definedName>
    <definedName name="udhgfhfg" localSheetId="8">{#N/A,#N/A,FALSE,"Plan1";#N/A,#N/A,FALSE,"Plan2"}</definedName>
    <definedName name="udhgfhfg" localSheetId="5">{#N/A,#N/A,FALSE,"Plan1";#N/A,#N/A,FALSE,"Plan2"}</definedName>
    <definedName name="udhgfhfg" localSheetId="4">{#N/A,#N/A,FALSE,"Plan1";#N/A,#N/A,FALSE,"Plan2"}</definedName>
    <definedName name="udhgfhfg" localSheetId="13">{#N/A,#N/A,FALSE,"Plan1";#N/A,#N/A,FALSE,"Plan2"}</definedName>
    <definedName name="udhgfhfg" localSheetId="17">{#N/A,#N/A,FALSE,"Plan1";#N/A,#N/A,FALSE,"Plan2"}</definedName>
    <definedName name="udhgfhfg" localSheetId="0">{#N/A,#N/A,FALSE,"Plan1";#N/A,#N/A,FALSE,"Plan2"}</definedName>
    <definedName name="udhgfhfg" localSheetId="19">{#N/A,#N/A,FALSE,"Plan1";#N/A,#N/A,FALSE,"Plan2"}</definedName>
    <definedName name="udhgfhfg" localSheetId="16">{#N/A,#N/A,FALSE,"Plan1";#N/A,#N/A,FALSE,"Plan2"}</definedName>
    <definedName name="udhgfhfg" localSheetId="18">{#N/A,#N/A,FALSE,"Plan1";#N/A,#N/A,FALSE,"Plan2"}</definedName>
    <definedName name="udhgfhfg" localSheetId="10">{#N/A,#N/A,FALSE,"Plan1";#N/A,#N/A,FALSE,"Plan2"}</definedName>
    <definedName name="udhgfhfg">{#N/A,#N/A,FALSE,"Plan1";#N/A,#N/A,FALSE,"Plan2"}</definedName>
    <definedName name="ueiutriuef" localSheetId="9">{#N/A,#N/A,FALSE,"Plan1";#N/A,#N/A,FALSE,"Plan2"}</definedName>
    <definedName name="ueiutriuef" localSheetId="6">{#N/A,#N/A,FALSE,"Plan1";#N/A,#N/A,FALSE,"Plan2"}</definedName>
    <definedName name="ueiutriuef" localSheetId="3">{#N/A,#N/A,FALSE,"Plan1";#N/A,#N/A,FALSE,"Plan2"}</definedName>
    <definedName name="ueiutriuef" localSheetId="8">{#N/A,#N/A,FALSE,"Plan1";#N/A,#N/A,FALSE,"Plan2"}</definedName>
    <definedName name="ueiutriuef" localSheetId="5">{#N/A,#N/A,FALSE,"Plan1";#N/A,#N/A,FALSE,"Plan2"}</definedName>
    <definedName name="ueiutriuef" localSheetId="4">{#N/A,#N/A,FALSE,"Plan1";#N/A,#N/A,FALSE,"Plan2"}</definedName>
    <definedName name="ueiutriuef" localSheetId="13">{#N/A,#N/A,FALSE,"Plan1";#N/A,#N/A,FALSE,"Plan2"}</definedName>
    <definedName name="ueiutriuef" localSheetId="17">{#N/A,#N/A,FALSE,"Plan1";#N/A,#N/A,FALSE,"Plan2"}</definedName>
    <definedName name="ueiutriuef" localSheetId="0">{#N/A,#N/A,FALSE,"Plan1";#N/A,#N/A,FALSE,"Plan2"}</definedName>
    <definedName name="ueiutriuef" localSheetId="19">{#N/A,#N/A,FALSE,"Plan1";#N/A,#N/A,FALSE,"Plan2"}</definedName>
    <definedName name="ueiutriuef" localSheetId="16">{#N/A,#N/A,FALSE,"Plan1";#N/A,#N/A,FALSE,"Plan2"}</definedName>
    <definedName name="ueiutriuef" localSheetId="18">{#N/A,#N/A,FALSE,"Plan1";#N/A,#N/A,FALSE,"Plan2"}</definedName>
    <definedName name="ueiutriuef" localSheetId="10">{#N/A,#N/A,FALSE,"Plan1";#N/A,#N/A,FALSE,"Plan2"}</definedName>
    <definedName name="ueiutriuef">{#N/A,#N/A,FALSE,"Plan1";#N/A,#N/A,FALSE,"Plan2"}</definedName>
    <definedName name="UENSIT" localSheetId="3">#REF!</definedName>
    <definedName name="UENSIT" localSheetId="5">#REF!</definedName>
    <definedName name="UENSIT" localSheetId="13">#REF!</definedName>
    <definedName name="UENSIT" localSheetId="26">#REF!</definedName>
    <definedName name="UENSIT">#REF!</definedName>
    <definedName name="UENSITS" localSheetId="3">#REF!</definedName>
    <definedName name="UENSITS" localSheetId="5">#REF!</definedName>
    <definedName name="UENSITS" localSheetId="13">#REF!</definedName>
    <definedName name="UENSITS" localSheetId="26">#REF!</definedName>
    <definedName name="UENSITS">#REF!</definedName>
    <definedName name="UHGSDUS" localSheetId="9">{#N/A,#N/A,FALSE,"Plan1";#N/A,#N/A,FALSE,"Plan2"}</definedName>
    <definedName name="UHGSDUS" localSheetId="6">{#N/A,#N/A,FALSE,"Plan1";#N/A,#N/A,FALSE,"Plan2"}</definedName>
    <definedName name="UHGSDUS" localSheetId="3">{#N/A,#N/A,FALSE,"Plan1";#N/A,#N/A,FALSE,"Plan2"}</definedName>
    <definedName name="UHGSDUS" localSheetId="8">{#N/A,#N/A,FALSE,"Plan1";#N/A,#N/A,FALSE,"Plan2"}</definedName>
    <definedName name="UHGSDUS" localSheetId="5">{#N/A,#N/A,FALSE,"Plan1";#N/A,#N/A,FALSE,"Plan2"}</definedName>
    <definedName name="UHGSDUS" localSheetId="4">{#N/A,#N/A,FALSE,"Plan1";#N/A,#N/A,FALSE,"Plan2"}</definedName>
    <definedName name="UHGSDUS" localSheetId="13">{#N/A,#N/A,FALSE,"Plan1";#N/A,#N/A,FALSE,"Plan2"}</definedName>
    <definedName name="UHGSDUS" localSheetId="17">{#N/A,#N/A,FALSE,"Plan1";#N/A,#N/A,FALSE,"Plan2"}</definedName>
    <definedName name="UHGSDUS" localSheetId="0">{#N/A,#N/A,FALSE,"Plan1";#N/A,#N/A,FALSE,"Plan2"}</definedName>
    <definedName name="UHGSDUS" localSheetId="19">{#N/A,#N/A,FALSE,"Plan1";#N/A,#N/A,FALSE,"Plan2"}</definedName>
    <definedName name="UHGSDUS" localSheetId="16">{#N/A,#N/A,FALSE,"Plan1";#N/A,#N/A,FALSE,"Plan2"}</definedName>
    <definedName name="UHGSDUS" localSheetId="18">{#N/A,#N/A,FALSE,"Plan1";#N/A,#N/A,FALSE,"Plan2"}</definedName>
    <definedName name="UHGSDUS" localSheetId="10">{#N/A,#N/A,FALSE,"Plan1";#N/A,#N/A,FALSE,"Plan2"}</definedName>
    <definedName name="UHGSDUS">{#N/A,#N/A,FALSE,"Plan1";#N/A,#N/A,FALSE,"Plan2"}</definedName>
    <definedName name="UI" localSheetId="3">#REF!</definedName>
    <definedName name="UI" localSheetId="5">#REF!</definedName>
    <definedName name="UI" localSheetId="13">#REF!</definedName>
    <definedName name="UI" localSheetId="26">#REF!</definedName>
    <definedName name="UI" localSheetId="0">#REF!</definedName>
    <definedName name="UI">#REF!</definedName>
    <definedName name="UIHWER45R" localSheetId="9">{#N/A,#N/A,FALSE,"Plan1";#N/A,#N/A,FALSE,"Plan2"}</definedName>
    <definedName name="UIHWER45R" localSheetId="6">{#N/A,#N/A,FALSE,"Plan1";#N/A,#N/A,FALSE,"Plan2"}</definedName>
    <definedName name="UIHWER45R" localSheetId="3">{#N/A,#N/A,FALSE,"Plan1";#N/A,#N/A,FALSE,"Plan2"}</definedName>
    <definedName name="UIHWER45R" localSheetId="8">{#N/A,#N/A,FALSE,"Plan1";#N/A,#N/A,FALSE,"Plan2"}</definedName>
    <definedName name="UIHWER45R" localSheetId="5">{#N/A,#N/A,FALSE,"Plan1";#N/A,#N/A,FALSE,"Plan2"}</definedName>
    <definedName name="UIHWER45R" localSheetId="4">{#N/A,#N/A,FALSE,"Plan1";#N/A,#N/A,FALSE,"Plan2"}</definedName>
    <definedName name="UIHWER45R" localSheetId="13">{#N/A,#N/A,FALSE,"Plan1";#N/A,#N/A,FALSE,"Plan2"}</definedName>
    <definedName name="UIHWER45R" localSheetId="17">{#N/A,#N/A,FALSE,"Plan1";#N/A,#N/A,FALSE,"Plan2"}</definedName>
    <definedName name="UIHWER45R" localSheetId="0">{#N/A,#N/A,FALSE,"Plan1";#N/A,#N/A,FALSE,"Plan2"}</definedName>
    <definedName name="UIHWER45R" localSheetId="19">{#N/A,#N/A,FALSE,"Plan1";#N/A,#N/A,FALSE,"Plan2"}</definedName>
    <definedName name="UIHWER45R" localSheetId="16">{#N/A,#N/A,FALSE,"Plan1";#N/A,#N/A,FALSE,"Plan2"}</definedName>
    <definedName name="UIHWER45R" localSheetId="18">{#N/A,#N/A,FALSE,"Plan1";#N/A,#N/A,FALSE,"Plan2"}</definedName>
    <definedName name="UIHWER45R" localSheetId="10">{#N/A,#N/A,FALSE,"Plan1";#N/A,#N/A,FALSE,"Plan2"}</definedName>
    <definedName name="UIHWER45R">{#N/A,#N/A,FALSE,"Plan1";#N/A,#N/A,FALSE,"Plan2"}</definedName>
    <definedName name="uiosderuiu" localSheetId="9">{#N/A,#N/A,FALSE,"Plan1";#N/A,#N/A,FALSE,"Plan2"}</definedName>
    <definedName name="uiosderuiu" localSheetId="6">{#N/A,#N/A,FALSE,"Plan1";#N/A,#N/A,FALSE,"Plan2"}</definedName>
    <definedName name="uiosderuiu" localSheetId="3">{#N/A,#N/A,FALSE,"Plan1";#N/A,#N/A,FALSE,"Plan2"}</definedName>
    <definedName name="uiosderuiu" localSheetId="8">{#N/A,#N/A,FALSE,"Plan1";#N/A,#N/A,FALSE,"Plan2"}</definedName>
    <definedName name="uiosderuiu" localSheetId="5">{#N/A,#N/A,FALSE,"Plan1";#N/A,#N/A,FALSE,"Plan2"}</definedName>
    <definedName name="uiosderuiu" localSheetId="4">{#N/A,#N/A,FALSE,"Plan1";#N/A,#N/A,FALSE,"Plan2"}</definedName>
    <definedName name="uiosderuiu" localSheetId="13">{#N/A,#N/A,FALSE,"Plan1";#N/A,#N/A,FALSE,"Plan2"}</definedName>
    <definedName name="uiosderuiu" localSheetId="17">{#N/A,#N/A,FALSE,"Plan1";#N/A,#N/A,FALSE,"Plan2"}</definedName>
    <definedName name="uiosderuiu" localSheetId="0">{#N/A,#N/A,FALSE,"Plan1";#N/A,#N/A,FALSE,"Plan2"}</definedName>
    <definedName name="uiosderuiu" localSheetId="19">{#N/A,#N/A,FALSE,"Plan1";#N/A,#N/A,FALSE,"Plan2"}</definedName>
    <definedName name="uiosderuiu" localSheetId="16">{#N/A,#N/A,FALSE,"Plan1";#N/A,#N/A,FALSE,"Plan2"}</definedName>
    <definedName name="uiosderuiu" localSheetId="18">{#N/A,#N/A,FALSE,"Plan1";#N/A,#N/A,FALSE,"Plan2"}</definedName>
    <definedName name="uiosderuiu" localSheetId="10">{#N/A,#N/A,FALSE,"Plan1";#N/A,#N/A,FALSE,"Plan2"}</definedName>
    <definedName name="uiosderuiu">{#N/A,#N/A,FALSE,"Plan1";#N/A,#N/A,FALSE,"Plan2"}</definedName>
    <definedName name="UIOURET" localSheetId="9">{#N/A,#N/A,FALSE,"Plan1";#N/A,#N/A,FALSE,"Plan2"}</definedName>
    <definedName name="UIOURET" localSheetId="6">{#N/A,#N/A,FALSE,"Plan1";#N/A,#N/A,FALSE,"Plan2"}</definedName>
    <definedName name="UIOURET" localSheetId="3">{#N/A,#N/A,FALSE,"Plan1";#N/A,#N/A,FALSE,"Plan2"}</definedName>
    <definedName name="UIOURET" localSheetId="8">{#N/A,#N/A,FALSE,"Plan1";#N/A,#N/A,FALSE,"Plan2"}</definedName>
    <definedName name="UIOURET" localSheetId="5">{#N/A,#N/A,FALSE,"Plan1";#N/A,#N/A,FALSE,"Plan2"}</definedName>
    <definedName name="UIOURET" localSheetId="4">{#N/A,#N/A,FALSE,"Plan1";#N/A,#N/A,FALSE,"Plan2"}</definedName>
    <definedName name="UIOURET" localSheetId="13">{#N/A,#N/A,FALSE,"Plan1";#N/A,#N/A,FALSE,"Plan2"}</definedName>
    <definedName name="UIOURET" localSheetId="17">{#N/A,#N/A,FALSE,"Plan1";#N/A,#N/A,FALSE,"Plan2"}</definedName>
    <definedName name="UIOURET" localSheetId="0">{#N/A,#N/A,FALSE,"Plan1";#N/A,#N/A,FALSE,"Plan2"}</definedName>
    <definedName name="UIOURET" localSheetId="19">{#N/A,#N/A,FALSE,"Plan1";#N/A,#N/A,FALSE,"Plan2"}</definedName>
    <definedName name="UIOURET" localSheetId="16">{#N/A,#N/A,FALSE,"Plan1";#N/A,#N/A,FALSE,"Plan2"}</definedName>
    <definedName name="UIOURET" localSheetId="18">{#N/A,#N/A,FALSE,"Plan1";#N/A,#N/A,FALSE,"Plan2"}</definedName>
    <definedName name="UIOURET" localSheetId="10">{#N/A,#N/A,FALSE,"Plan1";#N/A,#N/A,FALSE,"Plan2"}</definedName>
    <definedName name="UIOURET">{#N/A,#N/A,FALSE,"Plan1";#N/A,#N/A,FALSE,"Plan2"}</definedName>
    <definedName name="uiwuer" localSheetId="9">{#N/A,#N/A,FALSE,"Plan1";#N/A,#N/A,FALSE,"Plan2"}</definedName>
    <definedName name="uiwuer" localSheetId="6">{#N/A,#N/A,FALSE,"Plan1";#N/A,#N/A,FALSE,"Plan2"}</definedName>
    <definedName name="uiwuer" localSheetId="3">{#N/A,#N/A,FALSE,"Plan1";#N/A,#N/A,FALSE,"Plan2"}</definedName>
    <definedName name="uiwuer" localSheetId="8">{#N/A,#N/A,FALSE,"Plan1";#N/A,#N/A,FALSE,"Plan2"}</definedName>
    <definedName name="uiwuer" localSheetId="5">{#N/A,#N/A,FALSE,"Plan1";#N/A,#N/A,FALSE,"Plan2"}</definedName>
    <definedName name="uiwuer" localSheetId="4">{#N/A,#N/A,FALSE,"Plan1";#N/A,#N/A,FALSE,"Plan2"}</definedName>
    <definedName name="uiwuer" localSheetId="13">{#N/A,#N/A,FALSE,"Plan1";#N/A,#N/A,FALSE,"Plan2"}</definedName>
    <definedName name="uiwuer" localSheetId="17">{#N/A,#N/A,FALSE,"Plan1";#N/A,#N/A,FALSE,"Plan2"}</definedName>
    <definedName name="uiwuer" localSheetId="0">{#N/A,#N/A,FALSE,"Plan1";#N/A,#N/A,FALSE,"Plan2"}</definedName>
    <definedName name="uiwuer" localSheetId="19">{#N/A,#N/A,FALSE,"Plan1";#N/A,#N/A,FALSE,"Plan2"}</definedName>
    <definedName name="uiwuer" localSheetId="16">{#N/A,#N/A,FALSE,"Plan1";#N/A,#N/A,FALSE,"Plan2"}</definedName>
    <definedName name="uiwuer" localSheetId="18">{#N/A,#N/A,FALSE,"Plan1";#N/A,#N/A,FALSE,"Plan2"}</definedName>
    <definedName name="uiwuer" localSheetId="10">{#N/A,#N/A,FALSE,"Plan1";#N/A,#N/A,FALSE,"Plan2"}</definedName>
    <definedName name="uiwuer">{#N/A,#N/A,FALSE,"Plan1";#N/A,#N/A,FALSE,"Plan2"}</definedName>
    <definedName name="UKHDFDSGUDFKD" localSheetId="9">{#N/A,#N/A,FALSE,"Plan1";#N/A,#N/A,FALSE,"Plan2"}</definedName>
    <definedName name="UKHDFDSGUDFKD" localSheetId="6">{#N/A,#N/A,FALSE,"Plan1";#N/A,#N/A,FALSE,"Plan2"}</definedName>
    <definedName name="UKHDFDSGUDFKD" localSheetId="3">{#N/A,#N/A,FALSE,"Plan1";#N/A,#N/A,FALSE,"Plan2"}</definedName>
    <definedName name="UKHDFDSGUDFKD" localSheetId="8">{#N/A,#N/A,FALSE,"Plan1";#N/A,#N/A,FALSE,"Plan2"}</definedName>
    <definedName name="UKHDFDSGUDFKD" localSheetId="5">{#N/A,#N/A,FALSE,"Plan1";#N/A,#N/A,FALSE,"Plan2"}</definedName>
    <definedName name="UKHDFDSGUDFKD" localSheetId="4">{#N/A,#N/A,FALSE,"Plan1";#N/A,#N/A,FALSE,"Plan2"}</definedName>
    <definedName name="UKHDFDSGUDFKD" localSheetId="13">{#N/A,#N/A,FALSE,"Plan1";#N/A,#N/A,FALSE,"Plan2"}</definedName>
    <definedName name="UKHDFDSGUDFKD" localSheetId="17">{#N/A,#N/A,FALSE,"Plan1";#N/A,#N/A,FALSE,"Plan2"}</definedName>
    <definedName name="UKHDFDSGUDFKD" localSheetId="0">{#N/A,#N/A,FALSE,"Plan1";#N/A,#N/A,FALSE,"Plan2"}</definedName>
    <definedName name="UKHDFDSGUDFKD" localSheetId="19">{#N/A,#N/A,FALSE,"Plan1";#N/A,#N/A,FALSE,"Plan2"}</definedName>
    <definedName name="UKHDFDSGUDFKD" localSheetId="16">{#N/A,#N/A,FALSE,"Plan1";#N/A,#N/A,FALSE,"Plan2"}</definedName>
    <definedName name="UKHDFDSGUDFKD" localSheetId="18">{#N/A,#N/A,FALSE,"Plan1";#N/A,#N/A,FALSE,"Plan2"}</definedName>
    <definedName name="UKHDFDSGUDFKD" localSheetId="10">{#N/A,#N/A,FALSE,"Plan1";#N/A,#N/A,FALSE,"Plan2"}</definedName>
    <definedName name="UKHDFDSGUDFKD">{#N/A,#N/A,FALSE,"Plan1";#N/A,#N/A,FALSE,"Plan2"}</definedName>
    <definedName name="um" localSheetId="6">0</definedName>
    <definedName name="um" localSheetId="8">0</definedName>
    <definedName name="UM" localSheetId="5">#REF!</definedName>
    <definedName name="UM" localSheetId="13">#REF!</definedName>
    <definedName name="um" localSheetId="0">0</definedName>
    <definedName name="um" localSheetId="19">0</definedName>
    <definedName name="UM">#REF!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D" localSheetId="6">OFFSET(#REF!,0,0,COUNTA(#REF!),1)</definedName>
    <definedName name="UNID" localSheetId="4">OFFSET(#REF!,0,0,COUNTA(#REF!),1)</definedName>
    <definedName name="UNID" localSheetId="13">OFFSET(#REF!,0,0,COUNTA(#REF!),1)</definedName>
    <definedName name="UNID" localSheetId="19">OFFSET(#REF!,0,0,COUNTA(#REF!),1)</definedName>
    <definedName name="UNID">OFFSET(#REF!,0,0,COUNTA(#REF!),1)</definedName>
    <definedName name="uni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3">#REF!</definedName>
    <definedName name="univ_cdi" localSheetId="5">#REF!</definedName>
    <definedName name="univ_cdi" localSheetId="13">#REF!</definedName>
    <definedName name="univ_cdi" localSheetId="26">#REF!</definedName>
    <definedName name="univ_cdi">#REF!</definedName>
    <definedName name="univ_hist" localSheetId="3">#REF!</definedName>
    <definedName name="univ_hist" localSheetId="5">#REF!</definedName>
    <definedName name="univ_hist" localSheetId="13">#REF!</definedName>
    <definedName name="univ_hist" localSheetId="26">#REF!</definedName>
    <definedName name="univ_hist">#REF!</definedName>
    <definedName name="univ_uss" localSheetId="3">#REF!</definedName>
    <definedName name="univ_uss" localSheetId="5">#REF!</definedName>
    <definedName name="univ_uss" localSheetId="13">#REF!</definedName>
    <definedName name="univ_uss" localSheetId="26">#REF!</definedName>
    <definedName name="univ_uss">#REF!</definedName>
    <definedName name="UPS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9">{#N/A,#N/A,FALSE,"Plan1";#N/A,#N/A,FALSE,"Plan2"}</definedName>
    <definedName name="uryrtyt" localSheetId="6">{#N/A,#N/A,FALSE,"Plan1";#N/A,#N/A,FALSE,"Plan2"}</definedName>
    <definedName name="uryrtyt" localSheetId="3">{#N/A,#N/A,FALSE,"Plan1";#N/A,#N/A,FALSE,"Plan2"}</definedName>
    <definedName name="uryrtyt" localSheetId="8">{#N/A,#N/A,FALSE,"Plan1";#N/A,#N/A,FALSE,"Plan2"}</definedName>
    <definedName name="uryrtyt" localSheetId="5">{#N/A,#N/A,FALSE,"Plan1";#N/A,#N/A,FALSE,"Plan2"}</definedName>
    <definedName name="uryrtyt" localSheetId="4">{#N/A,#N/A,FALSE,"Plan1";#N/A,#N/A,FALSE,"Plan2"}</definedName>
    <definedName name="uryrtyt" localSheetId="13">{#N/A,#N/A,FALSE,"Plan1";#N/A,#N/A,FALSE,"Plan2"}</definedName>
    <definedName name="uryrtyt" localSheetId="17">{#N/A,#N/A,FALSE,"Plan1";#N/A,#N/A,FALSE,"Plan2"}</definedName>
    <definedName name="uryrtyt" localSheetId="0">{#N/A,#N/A,FALSE,"Plan1";#N/A,#N/A,FALSE,"Plan2"}</definedName>
    <definedName name="uryrtyt" localSheetId="19">{#N/A,#N/A,FALSE,"Plan1";#N/A,#N/A,FALSE,"Plan2"}</definedName>
    <definedName name="uryrtyt" localSheetId="16">{#N/A,#N/A,FALSE,"Plan1";#N/A,#N/A,FALSE,"Plan2"}</definedName>
    <definedName name="uryrtyt" localSheetId="18">{#N/A,#N/A,FALSE,"Plan1";#N/A,#N/A,FALSE,"Plan2"}</definedName>
    <definedName name="uryrtyt" localSheetId="10">{#N/A,#N/A,FALSE,"Plan1";#N/A,#N/A,FALSE,"Plan2"}</definedName>
    <definedName name="uryrtyt">{#N/A,#N/A,FALSE,"Plan1";#N/A,#N/A,FALSE,"Plan2"}</definedName>
    <definedName name="V" localSheetId="3">#REF!</definedName>
    <definedName name="V" localSheetId="8">#REF!</definedName>
    <definedName name="V" localSheetId="5">#REF!</definedName>
    <definedName name="V" localSheetId="13">#REF!</definedName>
    <definedName name="V" localSheetId="26">#REF!</definedName>
    <definedName name="V">#REF!</definedName>
    <definedName name="VALIDADE_EXECUÇÃO" localSheetId="3">#REF!</definedName>
    <definedName name="VALIDADE_EXECUÇÃO" localSheetId="5">#REF!</definedName>
    <definedName name="VALIDADE_EXECUÇÃO" localSheetId="13">#REF!</definedName>
    <definedName name="VALIDADE_EXECUÇÃO" localSheetId="26">#REF!</definedName>
    <definedName name="VALIDADE_EXECUÇÃO">#REF!</definedName>
    <definedName name="Valor_PLS_Controladoria" localSheetId="3">#REF!</definedName>
    <definedName name="Valor_PLS_Controladoria" localSheetId="5">#REF!</definedName>
    <definedName name="Valor_PLS_Controladoria" localSheetId="13">#REF!</definedName>
    <definedName name="Valor_PLS_Controladoria" localSheetId="26">#REF!</definedName>
    <definedName name="Valor_PLS_Controladoria">#REF!</definedName>
    <definedName name="Valor_Previsto_Fin_Medições" localSheetId="3">#REF!</definedName>
    <definedName name="Valor_Previsto_Fin_Medições" localSheetId="5">#REF!</definedName>
    <definedName name="Valor_Previsto_Fin_Medições" localSheetId="13">#REF!</definedName>
    <definedName name="Valor_Previsto_Fin_Medições" localSheetId="26">#REF!</definedName>
    <definedName name="Valor_Previsto_Fin_Medições">#REF!</definedName>
    <definedName name="VALOR_REAIS" localSheetId="3">#REF!</definedName>
    <definedName name="VALOR_REAIS" localSheetId="5">#REF!</definedName>
    <definedName name="VALOR_REAIS" localSheetId="13">#REF!</definedName>
    <definedName name="VALOR_REAIS" localSheetId="26">#REF!</definedName>
    <definedName name="VALOR_REAIS">#REF!</definedName>
    <definedName name="Valor_Recebido_Fin_Medições" localSheetId="3">#REF!</definedName>
    <definedName name="Valor_Recebido_Fin_Medições" localSheetId="5">#REF!</definedName>
    <definedName name="Valor_Recebido_Fin_Medições" localSheetId="13">#REF!</definedName>
    <definedName name="Valor_Recebido_Fin_Medições" localSheetId="26">#REF!</definedName>
    <definedName name="Valor_Recebido_Fin_Medições">#REF!</definedName>
    <definedName name="Valor_Sienge" localSheetId="3">#REF!</definedName>
    <definedName name="Valor_Sienge" localSheetId="5">#REF!</definedName>
    <definedName name="Valor_Sienge" localSheetId="13">#REF!</definedName>
    <definedName name="Valor_Sienge" localSheetId="26">#REF!</definedName>
    <definedName name="Valor_Sienge">#REF!</definedName>
    <definedName name="VALOR_VENDA" localSheetId="3">#REF!</definedName>
    <definedName name="VALOR_VENDA" localSheetId="5">#REF!</definedName>
    <definedName name="VALOR_VENDA" localSheetId="13">#REF!</definedName>
    <definedName name="VALOR_VENDA" localSheetId="26">#REF!</definedName>
    <definedName name="VALOR_VENDA">#REF!</definedName>
    <definedName name="valores_diferidos" localSheetId="3">#REF!</definedName>
    <definedName name="valores_diferidos" localSheetId="5">#REF!</definedName>
    <definedName name="valores_diferidos" localSheetId="13">#REF!</definedName>
    <definedName name="valores_diferidos" localSheetId="26">#REF!</definedName>
    <definedName name="valores_diferidos">#REF!</definedName>
    <definedName name="valv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3">#REF!</definedName>
    <definedName name="VAOS" localSheetId="5">#REF!</definedName>
    <definedName name="VAOS" localSheetId="13">#REF!</definedName>
    <definedName name="VAOS" localSheetId="26">#REF!</definedName>
    <definedName name="VAOS">#REF!</definedName>
    <definedName name="vdsgfrhgfr" localSheetId="9">{#N/A,#N/A,FALSE,"Plan1";#N/A,#N/A,FALSE,"Plan2"}</definedName>
    <definedName name="vdsgfrhgfr" localSheetId="6">{#N/A,#N/A,FALSE,"Plan1";#N/A,#N/A,FALSE,"Plan2"}</definedName>
    <definedName name="vdsgfrhgfr" localSheetId="3">{#N/A,#N/A,FALSE,"Plan1";#N/A,#N/A,FALSE,"Plan2"}</definedName>
    <definedName name="vdsgfrhgfr" localSheetId="8">{#N/A,#N/A,FALSE,"Plan1";#N/A,#N/A,FALSE,"Plan2"}</definedName>
    <definedName name="vdsgfrhgfr" localSheetId="5">{#N/A,#N/A,FALSE,"Plan1";#N/A,#N/A,FALSE,"Plan2"}</definedName>
    <definedName name="vdsgfrhgfr" localSheetId="4">{#N/A,#N/A,FALSE,"Plan1";#N/A,#N/A,FALSE,"Plan2"}</definedName>
    <definedName name="vdsgfrhgfr" localSheetId="13">{#N/A,#N/A,FALSE,"Plan1";#N/A,#N/A,FALSE,"Plan2"}</definedName>
    <definedName name="vdsgfrhgfr" localSheetId="17">{#N/A,#N/A,FALSE,"Plan1";#N/A,#N/A,FALSE,"Plan2"}</definedName>
    <definedName name="vdsgfrhgfr" localSheetId="0">{#N/A,#N/A,FALSE,"Plan1";#N/A,#N/A,FALSE,"Plan2"}</definedName>
    <definedName name="vdsgfrhgfr" localSheetId="19">{#N/A,#N/A,FALSE,"Plan1";#N/A,#N/A,FALSE,"Plan2"}</definedName>
    <definedName name="vdsgfrhgfr" localSheetId="16">{#N/A,#N/A,FALSE,"Plan1";#N/A,#N/A,FALSE,"Plan2"}</definedName>
    <definedName name="vdsgfrhgfr" localSheetId="18">{#N/A,#N/A,FALSE,"Plan1";#N/A,#N/A,FALSE,"Plan2"}</definedName>
    <definedName name="vdsgfrhgfr" localSheetId="10">{#N/A,#N/A,FALSE,"Plan1";#N/A,#N/A,FALSE,"Plan2"}</definedName>
    <definedName name="vdsgfrhgfr">{#N/A,#N/A,FALSE,"Plan1";#N/A,#N/A,FALSE,"Plan2"}</definedName>
    <definedName name="Veiculos" localSheetId="3">#REF!</definedName>
    <definedName name="Veiculos" localSheetId="5">#REF!</definedName>
    <definedName name="Veiculos" localSheetId="13">#REF!</definedName>
    <definedName name="Veiculos" localSheetId="26">#REF!</definedName>
    <definedName name="Veiculos">#REF!</definedName>
    <definedName name="VENDA_ADOTADA" localSheetId="3">#REF!</definedName>
    <definedName name="VENDA_ADOTADA" localSheetId="5">#REF!</definedName>
    <definedName name="VENDA_ADOTADA" localSheetId="13">#REF!</definedName>
    <definedName name="VENDA_ADOTADA" localSheetId="26">#REF!</definedName>
    <definedName name="VENDA_ADOTADA">#REF!</definedName>
    <definedName name="VENDAFINAL_R" localSheetId="3">#REF!</definedName>
    <definedName name="VENDAFINAL_R" localSheetId="5">#REF!</definedName>
    <definedName name="VENDAFINAL_R" localSheetId="13">#REF!</definedName>
    <definedName name="VENDAFINAL_R" localSheetId="26">#REF!</definedName>
    <definedName name="VENDAFINAL_R">#REF!</definedName>
    <definedName name="VENDAFINAL_U" localSheetId="3">#REF!</definedName>
    <definedName name="VENDAFINAL_U" localSheetId="5">#REF!</definedName>
    <definedName name="VENDAFINAL_U" localSheetId="13">#REF!</definedName>
    <definedName name="VENDAFINAL_U" localSheetId="26">#REF!</definedName>
    <definedName name="VENDAFINAL_U">#REF!</definedName>
    <definedName name="Vendas" localSheetId="3">#REF!</definedName>
    <definedName name="Vendas" localSheetId="5">#REF!</definedName>
    <definedName name="Vendas" localSheetId="13">#REF!</definedName>
    <definedName name="Vendas" localSheetId="26">#REF!</definedName>
    <definedName name="Vendas">#REF!</definedName>
    <definedName name="vendas_" localSheetId="3">#REF!</definedName>
    <definedName name="vendas_" localSheetId="5">#REF!</definedName>
    <definedName name="vendas_" localSheetId="13">#REF!</definedName>
    <definedName name="vendas_" localSheetId="26">#REF!</definedName>
    <definedName name="vendas_">#REF!</definedName>
    <definedName name="VERIFICAR" localSheetId="9">{#N/A,#N/A,TRUE,"Quinzena 01 à 15-04-98 "}</definedName>
    <definedName name="VERIFICAR" localSheetId="6">{#N/A,#N/A,TRUE,"Quinzena 01 à 15-04-98 "}</definedName>
    <definedName name="VERIFICAR" localSheetId="3">{#N/A,#N/A,TRUE,"Quinzena 01 à 15-04-98 "}</definedName>
    <definedName name="VERIFICAR" localSheetId="8">{#N/A,#N/A,TRUE,"Quinzena 01 à 15-04-98 "}</definedName>
    <definedName name="VERIFICAR" localSheetId="5">{#N/A,#N/A,TRUE,"Quinzena 01 à 15-04-98 "}</definedName>
    <definedName name="VERIFICAR" localSheetId="4">{#N/A,#N/A,TRUE,"Quinzena 01 à 15-04-98 "}</definedName>
    <definedName name="VERIFICAR" localSheetId="13">{#N/A,#N/A,TRUE,"Quinzena 01 à 15-04-98 "}</definedName>
    <definedName name="VERIFICAR" localSheetId="17">{#N/A,#N/A,TRUE,"Quinzena 01 à 15-04-98 "}</definedName>
    <definedName name="VERIFICAR" localSheetId="0">{#N/A,#N/A,TRUE,"Quinzena 01 à 15-04-98 "}</definedName>
    <definedName name="VERIFICAR" localSheetId="19">{#N/A,#N/A,TRUE,"Quinzena 01 à 15-04-98 "}</definedName>
    <definedName name="VERIFICAR" localSheetId="16">{#N/A,#N/A,TRUE,"Quinzena 01 à 15-04-98 "}</definedName>
    <definedName name="VERIFICAR" localSheetId="18">{#N/A,#N/A,TRUE,"Quinzena 01 à 15-04-98 "}</definedName>
    <definedName name="VERIFICAR" localSheetId="10">{#N/A,#N/A,TRUE,"Quinzena 01 à 15-04-98 "}</definedName>
    <definedName name="VERIFICAR">{#N/A,#N/A,TRUE,"Quinzena 01 à 15-04-98 "}</definedName>
    <definedName name="versao_estudo" localSheetId="3">#REF!</definedName>
    <definedName name="versao_estudo" localSheetId="5">#REF!</definedName>
    <definedName name="versao_estudo" localSheetId="13">#REF!</definedName>
    <definedName name="versao_estudo" localSheetId="26">#REF!</definedName>
    <definedName name="versao_estudo">#REF!</definedName>
    <definedName name="vfbg" localSheetId="3">#REF!</definedName>
    <definedName name="vfbg" localSheetId="5">#REF!</definedName>
    <definedName name="vfbg" localSheetId="13">#REF!</definedName>
    <definedName name="vfbg" localSheetId="26">#REF!</definedName>
    <definedName name="vfbg">#REF!</definedName>
    <definedName name="vfnijf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9">{#N/A,#N/A,FALSE,"Plan1";#N/A,#N/A,FALSE,"Plan2"}</definedName>
    <definedName name="VFV" localSheetId="6">{#N/A,#N/A,FALSE,"Plan1";#N/A,#N/A,FALSE,"Plan2"}</definedName>
    <definedName name="VFV" localSheetId="3">{#N/A,#N/A,FALSE,"Plan1";#N/A,#N/A,FALSE,"Plan2"}</definedName>
    <definedName name="VFV" localSheetId="8">{#N/A,#N/A,FALSE,"Plan1";#N/A,#N/A,FALSE,"Plan2"}</definedName>
    <definedName name="VFV" localSheetId="5">{#N/A,#N/A,FALSE,"Plan1";#N/A,#N/A,FALSE,"Plan2"}</definedName>
    <definedName name="VFV" localSheetId="4">{#N/A,#N/A,FALSE,"Plan1";#N/A,#N/A,FALSE,"Plan2"}</definedName>
    <definedName name="VFV" localSheetId="13">{#N/A,#N/A,FALSE,"Plan1";#N/A,#N/A,FALSE,"Plan2"}</definedName>
    <definedName name="VFV" localSheetId="17">{#N/A,#N/A,FALSE,"Plan1";#N/A,#N/A,FALSE,"Plan2"}</definedName>
    <definedName name="VFV" localSheetId="0">{#N/A,#N/A,FALSE,"Plan1";#N/A,#N/A,FALSE,"Plan2"}</definedName>
    <definedName name="VFV" localSheetId="19">{#N/A,#N/A,FALSE,"Plan1";#N/A,#N/A,FALSE,"Plan2"}</definedName>
    <definedName name="VFV" localSheetId="16">{#N/A,#N/A,FALSE,"Plan1";#N/A,#N/A,FALSE,"Plan2"}</definedName>
    <definedName name="VFV" localSheetId="18">{#N/A,#N/A,FALSE,"Plan1";#N/A,#N/A,FALSE,"Plan2"}</definedName>
    <definedName name="VFV" localSheetId="10">{#N/A,#N/A,FALSE,"Plan1";#N/A,#N/A,FALSE,"Plan2"}</definedName>
    <definedName name="VFV">{#N/A,#N/A,FALSE,"Plan1";#N/A,#N/A,FALSE,"Plan2"}</definedName>
    <definedName name="VI" localSheetId="3">#REF!</definedName>
    <definedName name="VI" localSheetId="8">#REF!</definedName>
    <definedName name="VI" localSheetId="5">#REF!</definedName>
    <definedName name="VI" localSheetId="13">#REF!</definedName>
    <definedName name="VI" localSheetId="26">#REF!</definedName>
    <definedName name="VI">#REF!</definedName>
    <definedName name="VINTE" localSheetId="3">#REF!</definedName>
    <definedName name="VINTE" localSheetId="5">#REF!</definedName>
    <definedName name="VINTE" localSheetId="13">#REF!</definedName>
    <definedName name="VINTE" localSheetId="26">#REF!</definedName>
    <definedName name="VINTE">#REF!</definedName>
    <definedName name="visao_cashflow" localSheetId="3">#REF!</definedName>
    <definedName name="visao_cashflow" localSheetId="5">#REF!</definedName>
    <definedName name="visao_cashflow" localSheetId="13">#REF!</definedName>
    <definedName name="visao_cashflow" localSheetId="26">#REF!</definedName>
    <definedName name="visao_cashflow">#REF!</definedName>
    <definedName name="visao_VL" localSheetId="3">#REF!</definedName>
    <definedName name="visao_VL" localSheetId="5">#REF!</definedName>
    <definedName name="visao_VL" localSheetId="13">#REF!</definedName>
    <definedName name="visao_VL" localSheetId="26">#REF!</definedName>
    <definedName name="visao_VL">#REF!</definedName>
    <definedName name="vl_cd" localSheetId="3">#REF!</definedName>
    <definedName name="vl_cd" localSheetId="5">#REF!</definedName>
    <definedName name="vl_cd" localSheetId="13">#REF!</definedName>
    <definedName name="vl_cd" localSheetId="26">#REF!</definedName>
    <definedName name="vl_cd">#REF!</definedName>
    <definedName name="vl_k1" localSheetId="3">#REF!</definedName>
    <definedName name="vl_k1" localSheetId="5">#REF!</definedName>
    <definedName name="vl_k1" localSheetId="13">#REF!</definedName>
    <definedName name="vl_k1" localSheetId="26">#REF!</definedName>
    <definedName name="vl_k1">#REF!</definedName>
    <definedName name="vl_k2" localSheetId="3">#REF!</definedName>
    <definedName name="vl_k2" localSheetId="5">#REF!</definedName>
    <definedName name="vl_k2" localSheetId="13">#REF!</definedName>
    <definedName name="vl_k2" localSheetId="26">#REF!</definedName>
    <definedName name="vl_k2">#REF!</definedName>
    <definedName name="vl_k3" localSheetId="3">#REF!</definedName>
    <definedName name="vl_k3" localSheetId="5">#REF!</definedName>
    <definedName name="vl_k3" localSheetId="13">#REF!</definedName>
    <definedName name="vl_k3" localSheetId="26">#REF!</definedName>
    <definedName name="vl_k3">#REF!</definedName>
    <definedName name="vld_classificacao" localSheetId="9">IF(#REF!="Ativa",OFFSET(INDEX(rng_list_classificacao,MATCH(#REF!,rng_list_classificacao,0)),1,0,COUNTA(rng_list_classificacao)-1),#REF!)</definedName>
    <definedName name="vld_classificacao" localSheetId="6">IF(#REF!="Ativa",OFFSET(INDEX(rng_list_classificacao,MATCH(#REF!,rng_list_classificacao,0)),1,0,COUNTA(rng_list_classificacao)-1),#REF!)</definedName>
    <definedName name="vld_classificacao" localSheetId="3">IF(#REF!="Ativa",OFFSET(INDEX(rng_list_classificacao,MATCH(#REF!,rng_list_classificacao,0)),1,0,COUNTA(rng_list_classificacao)-1),#REF!)</definedName>
    <definedName name="vld_classificacao" localSheetId="8">IF(#REF!="Ativa",OFFSET(INDEX(rng_list_classificacao,MATCH(#REF!,rng_list_classificacao,0)),1,0,COUNTA(rng_list_classificacao)-1),#REF!)</definedName>
    <definedName name="vld_classificacao" localSheetId="5">IF(#REF!="Ativa",OFFSET(INDEX(rng_list_classificacao,MATCH(#REF!,rng_list_classificacao,0)),1,0,COUNTA(rng_list_classificacao)-1),#REF!)</definedName>
    <definedName name="vld_classificacao" localSheetId="4">IF(#REF!="Ativa",OFFSET(INDEX(rng_list_classificacao,MATCH(#REF!,rng_list_classificacao,0)),1,0,COUNTA(rng_list_classificacao)-1),#REF!)</definedName>
    <definedName name="vld_classificacao" localSheetId="13">IF(#REF!="Ativa",OFFSET(INDEX(rng_list_classificacao,MATCH(#REF!,rng_list_classificacao,0)),1,0,COUNTA(rng_list_classificacao)-1),#REF!)</definedName>
    <definedName name="vld_classificacao" localSheetId="17">IF(#REF!="Ativa",OFFSET(INDEX(rng_list_classificacao,MATCH(#REF!,rng_list_classificacao,0)),1,0,COUNTA(rng_list_classificacao)-1),#REF!)</definedName>
    <definedName name="vld_classificacao" localSheetId="0">IF(#REF!="Ativa",OFFSET(INDEX(rng_list_classificacao,MATCH(#REF!,rng_list_classificacao,0)),1,0,COUNTA(rng_list_classificacao)-1),#REF!)</definedName>
    <definedName name="vld_classificacao" localSheetId="19">IF(#REF!="Ativa",OFFSET(INDEX(rng_list_classificacao,MATCH(#REF!,rng_list_classificacao,0)),1,0,COUNTA(rng_list_classificacao)-1),#REF!)</definedName>
    <definedName name="vld_classificacao" localSheetId="16">IF(#REF!="Ativa",OFFSET(INDEX(rng_list_classificacao,MATCH(#REF!,rng_list_classificacao,0)),1,0,COUNTA(rng_list_classificacao)-1),#REF!)</definedName>
    <definedName name="vld_classificacao" localSheetId="18">IF(#REF!="Ativa",OFFSET(INDEX(rng_list_classificacao,MATCH(#REF!,rng_list_classificacao,0)),1,0,COUNTA(rng_list_classificacao)-1),#REF!)</definedName>
    <definedName name="vld_classificacao" localSheetId="10">IF(#REF!="Ativa",OFFSET(INDEX(rng_list_classificacao,MATCH(#REF!,rng_list_classificacao,0)),1,0,COUNTA(rng_list_classificacao)-1),#REF!)</definedName>
    <definedName name="vld_classificacao" localSheetId="15">IF(#REF!="Ativa",OFFSET(INDEX(rng_list_classificacao,MATCH(#REF!,rng_list_classificacao,0)),1,0,COUNTA(rng_list_classificacao)-1),#REF!)</definedName>
    <definedName name="vld_classificacao">IF(#REF!="Ativa",OFFSET(INDEX(rng_list_classificacao,MATCH(#REF!,rng_list_classificacao,0)),1,0,COUNTA(rng_list_classificacao)-1),#REF!)</definedName>
    <definedName name="vld_regional" localSheetId="9">OFFSET(INDEX(rng_list_regional,MATCH(#REF!,rng_list_regional,0)),1,0,COUNTA(rng_list_regional)-1)</definedName>
    <definedName name="vld_regional" localSheetId="6">OFFSET(INDEX(rng_list_regional,MATCH(#REF!,rng_list_regional,0)),1,0,COUNTA(rng_list_regional)-1)</definedName>
    <definedName name="vld_regional" localSheetId="3">OFFSET(INDEX(rng_list_regional,MATCH(#REF!,rng_list_regional,0)),1,0,COUNTA(rng_list_regional)-1)</definedName>
    <definedName name="vld_regional" localSheetId="8">OFFSET(INDEX(rng_list_regional,MATCH(#REF!,rng_list_regional,0)),1,0,COUNTA(rng_list_regional)-1)</definedName>
    <definedName name="vld_regional" localSheetId="5">OFFSET(INDEX(rng_list_regional,MATCH(#REF!,rng_list_regional,0)),1,0,COUNTA(rng_list_regional)-1)</definedName>
    <definedName name="vld_regional" localSheetId="4">OFFSET(INDEX(rng_list_regional,MATCH(#REF!,rng_list_regional,0)),1,0,COUNTA(rng_list_regional)-1)</definedName>
    <definedName name="vld_regional" localSheetId="13">OFFSET(INDEX(rng_list_regional,MATCH(#REF!,rng_list_regional,0)),1,0,COUNTA(rng_list_regional)-1)</definedName>
    <definedName name="vld_regional" localSheetId="17">OFFSET(INDEX(rng_list_regional,MATCH(#REF!,rng_list_regional,0)),1,0,COUNTA(rng_list_regional)-1)</definedName>
    <definedName name="vld_regional" localSheetId="0">OFFSET(INDEX(rng_list_regional,MATCH(#REF!,rng_list_regional,0)),1,0,COUNTA(rng_list_regional)-1)</definedName>
    <definedName name="vld_regional" localSheetId="19">OFFSET(INDEX(rng_list_regional,MATCH(#REF!,rng_list_regional,0)),1,0,COUNTA(rng_list_regional)-1)</definedName>
    <definedName name="vld_regional" localSheetId="16">OFFSET(INDEX(rng_list_regional,MATCH(#REF!,rng_list_regional,0)),1,0,COUNTA(rng_list_regional)-1)</definedName>
    <definedName name="vld_regional" localSheetId="18">OFFSET(INDEX(rng_list_regional,MATCH(#REF!,rng_list_regional,0)),1,0,COUNTA(rng_list_regional)-1)</definedName>
    <definedName name="vld_regional" localSheetId="10">OFFSET(INDEX(rng_list_regional,MATCH(#REF!,rng_list_regional,0)),1,0,COUNTA(rng_list_regional)-1)</definedName>
    <definedName name="vld_regional" localSheetId="15">OFFSET(INDEX(rng_list_regional,MATCH(#REF!,rng_list_regional,0)),1,0,COUNTA(rng_list_regional)-1)</definedName>
    <definedName name="vld_regional">OFFSET(INDEX(rng_list_regional,MATCH(#REF!,rng_list_regional,0)),1,0,COUNTA(rng_list_regional)-1)</definedName>
    <definedName name="vld_segmento" localSheetId="9">IF(#REF!="Ativa",OFFSET(INDEX(rng_list_segmento,MATCH(#REF!,rng_list_segmento,0)),1,0,COUNTA(rng_list_segmento)-1),#REF!)</definedName>
    <definedName name="vld_segmento" localSheetId="6">IF(#REF!="Ativa",OFFSET(INDEX(rng_list_segmento,MATCH(#REF!,rng_list_segmento,0)),1,0,COUNTA(rng_list_segmento)-1),#REF!)</definedName>
    <definedName name="vld_segmento" localSheetId="3">IF(#REF!="Ativa",OFFSET(INDEX(rng_list_segmento,MATCH(#REF!,rng_list_segmento,0)),1,0,COUNTA(rng_list_segmento)-1),#REF!)</definedName>
    <definedName name="vld_segmento" localSheetId="8">IF(#REF!="Ativa",OFFSET(INDEX(rng_list_segmento,MATCH(#REF!,rng_list_segmento,0)),1,0,COUNTA(rng_list_segmento)-1),#REF!)</definedName>
    <definedName name="vld_segmento" localSheetId="5">IF(#REF!="Ativa",OFFSET(INDEX(rng_list_segmento,MATCH(#REF!,rng_list_segmento,0)),1,0,COUNTA(rng_list_segmento)-1),#REF!)</definedName>
    <definedName name="vld_segmento" localSheetId="4">IF(#REF!="Ativa",OFFSET(INDEX(rng_list_segmento,MATCH(#REF!,rng_list_segmento,0)),1,0,COUNTA(rng_list_segmento)-1),#REF!)</definedName>
    <definedName name="vld_segmento" localSheetId="13">IF(#REF!="Ativa",OFFSET(INDEX(rng_list_segmento,MATCH(#REF!,rng_list_segmento,0)),1,0,COUNTA(rng_list_segmento)-1),#REF!)</definedName>
    <definedName name="vld_segmento" localSheetId="17">IF(#REF!="Ativa",OFFSET(INDEX(rng_list_segmento,MATCH(#REF!,rng_list_segmento,0)),1,0,COUNTA(rng_list_segmento)-1),#REF!)</definedName>
    <definedName name="vld_segmento" localSheetId="0">IF(#REF!="Ativa",OFFSET(INDEX(rng_list_segmento,MATCH(#REF!,rng_list_segmento,0)),1,0,COUNTA(rng_list_segmento)-1),#REF!)</definedName>
    <definedName name="vld_segmento" localSheetId="19">IF(#REF!="Ativa",OFFSET(INDEX(rng_list_segmento,MATCH(#REF!,rng_list_segmento,0)),1,0,COUNTA(rng_list_segmento)-1),#REF!)</definedName>
    <definedName name="vld_segmento" localSheetId="16">IF(#REF!="Ativa",OFFSET(INDEX(rng_list_segmento,MATCH(#REF!,rng_list_segmento,0)),1,0,COUNTA(rng_list_segmento)-1),#REF!)</definedName>
    <definedName name="vld_segmento" localSheetId="18">IF(#REF!="Ativa",OFFSET(INDEX(rng_list_segmento,MATCH(#REF!,rng_list_segmento,0)),1,0,COUNTA(rng_list_segmento)-1),#REF!)</definedName>
    <definedName name="vld_segmento" localSheetId="10">IF(#REF!="Ativa",OFFSET(INDEX(rng_list_segmento,MATCH(#REF!,rng_list_segmento,0)),1,0,COUNTA(rng_list_segmento)-1),#REF!)</definedName>
    <definedName name="vld_segmento" localSheetId="15">IF(#REF!="Ativa",OFFSET(INDEX(rng_list_segmento,MATCH(#REF!,rng_list_segmento,0)),1,0,COUNTA(rng_list_segmento)-1),#REF!)</definedName>
    <definedName name="vld_segmento">IF(#REF!="Ativa",OFFSET(INDEX(rng_list_segmento,MATCH(#REF!,rng_list_segmento,0)),1,0,COUNTA(rng_list_segmento)-1),#REF!)</definedName>
    <definedName name="vld_sociedade" localSheetId="9">OFFSET(INDEX(rng_list_sociedade,MATCH(#REF!,rng_list_sociedade,0)),1,0,COUNTA(rng_list_sociedade)-1)</definedName>
    <definedName name="vld_sociedade" localSheetId="6">OFFSET(INDEX(rng_list_sociedade,MATCH(#REF!,rng_list_sociedade,0)),1,0,COUNTA(rng_list_sociedade)-1)</definedName>
    <definedName name="vld_sociedade" localSheetId="3">OFFSET(INDEX(rng_list_sociedade,MATCH(#REF!,rng_list_sociedade,0)),1,0,COUNTA(rng_list_sociedade)-1)</definedName>
    <definedName name="vld_sociedade" localSheetId="8">OFFSET(INDEX(rng_list_sociedade,MATCH(#REF!,rng_list_sociedade,0)),1,0,COUNTA(rng_list_sociedade)-1)</definedName>
    <definedName name="vld_sociedade" localSheetId="5">OFFSET(INDEX(rng_list_sociedade,MATCH(#REF!,rng_list_sociedade,0)),1,0,COUNTA(rng_list_sociedade)-1)</definedName>
    <definedName name="vld_sociedade" localSheetId="4">OFFSET(INDEX(rng_list_sociedade,MATCH(#REF!,rng_list_sociedade,0)),1,0,COUNTA(rng_list_sociedade)-1)</definedName>
    <definedName name="vld_sociedade" localSheetId="13">OFFSET(INDEX(rng_list_sociedade,MATCH(#REF!,rng_list_sociedade,0)),1,0,COUNTA(rng_list_sociedade)-1)</definedName>
    <definedName name="vld_sociedade" localSheetId="17">OFFSET(INDEX(rng_list_sociedade,MATCH(#REF!,rng_list_sociedade,0)),1,0,COUNTA(rng_list_sociedade)-1)</definedName>
    <definedName name="vld_sociedade" localSheetId="0">OFFSET(INDEX(rng_list_sociedade,MATCH(#REF!,rng_list_sociedade,0)),1,0,COUNTA(rng_list_sociedade)-1)</definedName>
    <definedName name="vld_sociedade" localSheetId="19">OFFSET(INDEX(rng_list_sociedade,MATCH(#REF!,rng_list_sociedade,0)),1,0,COUNTA(rng_list_sociedade)-1)</definedName>
    <definedName name="vld_sociedade" localSheetId="16">OFFSET(INDEX(rng_list_sociedade,MATCH(#REF!,rng_list_sociedade,0)),1,0,COUNTA(rng_list_sociedade)-1)</definedName>
    <definedName name="vld_sociedade" localSheetId="18">OFFSET(INDEX(rng_list_sociedade,MATCH(#REF!,rng_list_sociedade,0)),1,0,COUNTA(rng_list_sociedade)-1)</definedName>
    <definedName name="vld_sociedade" localSheetId="10">OFFSET(INDEX(rng_list_sociedade,MATCH(#REF!,rng_list_sociedade,0)),1,0,COUNTA(rng_list_sociedade)-1)</definedName>
    <definedName name="vld_sociedade" localSheetId="15">OFFSET(INDEX(rng_list_sociedade,MATCH(#REF!,rng_list_sociedade,0)),1,0,COUNTA(rng_list_sociedade)-1)</definedName>
    <definedName name="vld_sociedade">OFFSET(INDEX(rng_list_sociedade,MATCH(#REF!,rng_list_sociedade,0)),1,0,COUNTA(rng_list_sociedade)-1)</definedName>
    <definedName name="vld_status_empresa" localSheetId="9">OFFSET(INDEX(rng_list_status_empresa,MATCH(#REF!,rng_list_status_empresa,0)),1,0,COUNTA(rng_list_status_empresa)-1)</definedName>
    <definedName name="vld_status_empresa" localSheetId="6">OFFSET(INDEX(rng_list_status_empresa,MATCH(#REF!,rng_list_status_empresa,0)),1,0,COUNTA(rng_list_status_empresa)-1)</definedName>
    <definedName name="vld_status_empresa" localSheetId="3">OFFSET(INDEX(rng_list_status_empresa,MATCH(#REF!,rng_list_status_empresa,0)),1,0,COUNTA(rng_list_status_empresa)-1)</definedName>
    <definedName name="vld_status_empresa" localSheetId="8">OFFSET(INDEX(rng_list_status_empresa,MATCH(#REF!,rng_list_status_empresa,0)),1,0,COUNTA(rng_list_status_empresa)-1)</definedName>
    <definedName name="vld_status_empresa" localSheetId="5">OFFSET(INDEX(rng_list_status_empresa,MATCH(#REF!,rng_list_status_empresa,0)),1,0,COUNTA(rng_list_status_empresa)-1)</definedName>
    <definedName name="vld_status_empresa" localSheetId="4">OFFSET(INDEX(rng_list_status_empresa,MATCH(#REF!,rng_list_status_empresa,0)),1,0,COUNTA(rng_list_status_empresa)-1)</definedName>
    <definedName name="vld_status_empresa" localSheetId="13">OFFSET(INDEX(rng_list_status_empresa,MATCH(#REF!,rng_list_status_empresa,0)),1,0,COUNTA(rng_list_status_empresa)-1)</definedName>
    <definedName name="vld_status_empresa" localSheetId="17">OFFSET(INDEX(rng_list_status_empresa,MATCH(#REF!,rng_list_status_empresa,0)),1,0,COUNTA(rng_list_status_empresa)-1)</definedName>
    <definedName name="vld_status_empresa" localSheetId="0">OFFSET(INDEX(rng_list_status_empresa,MATCH(#REF!,rng_list_status_empresa,0)),1,0,COUNTA(rng_list_status_empresa)-1)</definedName>
    <definedName name="vld_status_empresa" localSheetId="19">OFFSET(INDEX(rng_list_status_empresa,MATCH(#REF!,rng_list_status_empresa,0)),1,0,COUNTA(rng_list_status_empresa)-1)</definedName>
    <definedName name="vld_status_empresa" localSheetId="16">OFFSET(INDEX(rng_list_status_empresa,MATCH(#REF!,rng_list_status_empresa,0)),1,0,COUNTA(rng_list_status_empresa)-1)</definedName>
    <definedName name="vld_status_empresa" localSheetId="18">OFFSET(INDEX(rng_list_status_empresa,MATCH(#REF!,rng_list_status_empresa,0)),1,0,COUNTA(rng_list_status_empresa)-1)</definedName>
    <definedName name="vld_status_empresa" localSheetId="10">OFFSET(INDEX(rng_list_status_empresa,MATCH(#REF!,rng_list_status_empresa,0)),1,0,COUNTA(rng_list_status_empresa)-1)</definedName>
    <definedName name="vld_status_empresa" localSheetId="15">OFFSET(INDEX(rng_list_status_empresa,MATCH(#REF!,rng_list_status_empresa,0)),1,0,COUNTA(rng_list_status_empresa)-1)</definedName>
    <definedName name="vld_status_empresa">OFFSET(INDEX(rng_list_status_empresa,MATCH(#REF!,rng_list_status_empresa,0)),1,0,COUNTA(rng_list_status_empresa)-1)</definedName>
    <definedName name="vld_status_lancamento" localSheetId="9">IF(#REF!="Ativa",OFFSET(INDEX(rng_list_status_lancamento,MATCH(#REF!,rng_list_status_lancamento,0)),1,0,COUNTA(rng_list_status_lancamento)-1),#REF!)</definedName>
    <definedName name="vld_status_lancamento" localSheetId="6">IF(#REF!="Ativa",OFFSET(INDEX(rng_list_status_lancamento,MATCH(#REF!,rng_list_status_lancamento,0)),1,0,COUNTA(rng_list_status_lancamento)-1),#REF!)</definedName>
    <definedName name="vld_status_lancamento" localSheetId="3">IF(#REF!="Ativa",OFFSET(INDEX(rng_list_status_lancamento,MATCH(#REF!,rng_list_status_lancamento,0)),1,0,COUNTA(rng_list_status_lancamento)-1),#REF!)</definedName>
    <definedName name="vld_status_lancamento" localSheetId="8">IF(#REF!="Ativa",OFFSET(INDEX(rng_list_status_lancamento,MATCH(#REF!,rng_list_status_lancamento,0)),1,0,COUNTA(rng_list_status_lancamento)-1),#REF!)</definedName>
    <definedName name="vld_status_lancamento" localSheetId="5">IF(#REF!="Ativa",OFFSET(INDEX(rng_list_status_lancamento,MATCH(#REF!,rng_list_status_lancamento,0)),1,0,COUNTA(rng_list_status_lancamento)-1),#REF!)</definedName>
    <definedName name="vld_status_lancamento" localSheetId="4">IF(#REF!="Ativa",OFFSET(INDEX(rng_list_status_lancamento,MATCH(#REF!,rng_list_status_lancamento,0)),1,0,COUNTA(rng_list_status_lancamento)-1),#REF!)</definedName>
    <definedName name="vld_status_lancamento" localSheetId="13">IF(#REF!="Ativa",OFFSET(INDEX(rng_list_status_lancamento,MATCH(#REF!,rng_list_status_lancamento,0)),1,0,COUNTA(rng_list_status_lancamento)-1),#REF!)</definedName>
    <definedName name="vld_status_lancamento" localSheetId="17">IF(#REF!="Ativa",OFFSET(INDEX(rng_list_status_lancamento,MATCH(#REF!,rng_list_status_lancamento,0)),1,0,COUNTA(rng_list_status_lancamento)-1),#REF!)</definedName>
    <definedName name="vld_status_lancamento" localSheetId="0">IF(#REF!="Ativa",OFFSET(INDEX(rng_list_status_lancamento,MATCH(#REF!,rng_list_status_lancamento,0)),1,0,COUNTA(rng_list_status_lancamento)-1),#REF!)</definedName>
    <definedName name="vld_status_lancamento" localSheetId="19">IF(#REF!="Ativa",OFFSET(INDEX(rng_list_status_lancamento,MATCH(#REF!,rng_list_status_lancamento,0)),1,0,COUNTA(rng_list_status_lancamento)-1),#REF!)</definedName>
    <definedName name="vld_status_lancamento" localSheetId="16">IF(#REF!="Ativa",OFFSET(INDEX(rng_list_status_lancamento,MATCH(#REF!,rng_list_status_lancamento,0)),1,0,COUNTA(rng_list_status_lancamento)-1),#REF!)</definedName>
    <definedName name="vld_status_lancamento" localSheetId="18">IF(#REF!="Ativa",OFFSET(INDEX(rng_list_status_lancamento,MATCH(#REF!,rng_list_status_lancamento,0)),1,0,COUNTA(rng_list_status_lancamento)-1),#REF!)</definedName>
    <definedName name="vld_status_lancamento" localSheetId="10">IF(#REF!="Ativa",OFFSET(INDEX(rng_list_status_lancamento,MATCH(#REF!,rng_list_status_lancamento,0)),1,0,COUNTA(rng_list_status_lancamento)-1),#REF!)</definedName>
    <definedName name="vld_status_lancamento" localSheetId="15">IF(#REF!="Ativa",OFFSET(INDEX(rng_list_status_lancamento,MATCH(#REF!,rng_list_status_lancamento,0)),1,0,COUNTA(rng_list_status_lancamento)-1),#REF!)</definedName>
    <definedName name="vld_status_lancamento">IF(#REF!="Ativa",OFFSET(INDEX(rng_list_status_lancamento,MATCH(#REF!,rng_list_status_lancamento,0)),1,0,COUNTA(rng_list_status_lancamento)-1),#REF!)</definedName>
    <definedName name="vld_status_projeto" localSheetId="9">IF(#REF!="Ativa",OFFSET(INDEX(rng_list_status_projeto,MATCH(#REF!,rng_list_status_projeto,0)),1,0,COUNTA(rng_list_status_projeto)-1),#REF!)</definedName>
    <definedName name="vld_status_projeto" localSheetId="6">IF(#REF!="Ativa",OFFSET(INDEX(rng_list_status_projeto,MATCH(#REF!,rng_list_status_projeto,0)),1,0,COUNTA(rng_list_status_projeto)-1),#REF!)</definedName>
    <definedName name="vld_status_projeto" localSheetId="3">IF(#REF!="Ativa",OFFSET(INDEX(rng_list_status_projeto,MATCH(#REF!,rng_list_status_projeto,0)),1,0,COUNTA(rng_list_status_projeto)-1),#REF!)</definedName>
    <definedName name="vld_status_projeto" localSheetId="8">IF(#REF!="Ativa",OFFSET(INDEX(rng_list_status_projeto,MATCH(#REF!,rng_list_status_projeto,0)),1,0,COUNTA(rng_list_status_projeto)-1),#REF!)</definedName>
    <definedName name="vld_status_projeto" localSheetId="5">IF(#REF!="Ativa",OFFSET(INDEX(rng_list_status_projeto,MATCH(#REF!,rng_list_status_projeto,0)),1,0,COUNTA(rng_list_status_projeto)-1),#REF!)</definedName>
    <definedName name="vld_status_projeto" localSheetId="4">IF(#REF!="Ativa",OFFSET(INDEX(rng_list_status_projeto,MATCH(#REF!,rng_list_status_projeto,0)),1,0,COUNTA(rng_list_status_projeto)-1),#REF!)</definedName>
    <definedName name="vld_status_projeto" localSheetId="13">IF(#REF!="Ativa",OFFSET(INDEX(rng_list_status_projeto,MATCH(#REF!,rng_list_status_projeto,0)),1,0,COUNTA(rng_list_status_projeto)-1),#REF!)</definedName>
    <definedName name="vld_status_projeto" localSheetId="17">IF(#REF!="Ativa",OFFSET(INDEX(rng_list_status_projeto,MATCH(#REF!,rng_list_status_projeto,0)),1,0,COUNTA(rng_list_status_projeto)-1),#REF!)</definedName>
    <definedName name="vld_status_projeto" localSheetId="0">IF(#REF!="Ativa",OFFSET(INDEX(rng_list_status_projeto,MATCH(#REF!,rng_list_status_projeto,0)),1,0,COUNTA(rng_list_status_projeto)-1),#REF!)</definedName>
    <definedName name="vld_status_projeto" localSheetId="19">IF(#REF!="Ativa",OFFSET(INDEX(rng_list_status_projeto,MATCH(#REF!,rng_list_status_projeto,0)),1,0,COUNTA(rng_list_status_projeto)-1),#REF!)</definedName>
    <definedName name="vld_status_projeto" localSheetId="16">IF(#REF!="Ativa",OFFSET(INDEX(rng_list_status_projeto,MATCH(#REF!,rng_list_status_projeto,0)),1,0,COUNTA(rng_list_status_projeto)-1),#REF!)</definedName>
    <definedName name="vld_status_projeto" localSheetId="18">IF(#REF!="Ativa",OFFSET(INDEX(rng_list_status_projeto,MATCH(#REF!,rng_list_status_projeto,0)),1,0,COUNTA(rng_list_status_projeto)-1),#REF!)</definedName>
    <definedName name="vld_status_projeto" localSheetId="10">IF(#REF!="Ativa",OFFSET(INDEX(rng_list_status_projeto,MATCH(#REF!,rng_list_status_projeto,0)),1,0,COUNTA(rng_list_status_projeto)-1),#REF!)</definedName>
    <definedName name="vld_status_projeto" localSheetId="15">IF(#REF!="Ativa",OFFSET(INDEX(rng_list_status_projeto,MATCH(#REF!,rng_list_status_projeto,0)),1,0,COUNTA(rng_list_status_projeto)-1),#REF!)</definedName>
    <definedName name="vld_status_projeto">IF(#REF!="Ativa",OFFSET(INDEX(rng_list_status_projeto,MATCH(#REF!,rng_list_status_projeto,0)),1,0,COUNTA(rng_list_status_projeto)-1),#REF!)</definedName>
    <definedName name="vld_status_viabilidade" localSheetId="9">OFFSET(INDEX(rng_list_status_viabilidade,MATCH(#REF!,rng_list_status_viabilidade,0)),1,0,COUNTA(rng_list_status_viabilidade)-1)</definedName>
    <definedName name="vld_status_viabilidade" localSheetId="6">OFFSET(INDEX(rng_list_status_viabilidade,MATCH(#REF!,rng_list_status_viabilidade,0)),1,0,COUNTA(rng_list_status_viabilidade)-1)</definedName>
    <definedName name="vld_status_viabilidade" localSheetId="3">OFFSET(INDEX(rng_list_status_viabilidade,MATCH(#REF!,rng_list_status_viabilidade,0)),1,0,COUNTA(rng_list_status_viabilidade)-1)</definedName>
    <definedName name="vld_status_viabilidade" localSheetId="8">OFFSET(INDEX(rng_list_status_viabilidade,MATCH(#REF!,rng_list_status_viabilidade,0)),1,0,COUNTA(rng_list_status_viabilidade)-1)</definedName>
    <definedName name="vld_status_viabilidade" localSheetId="5">OFFSET(INDEX(rng_list_status_viabilidade,MATCH(#REF!,rng_list_status_viabilidade,0)),1,0,COUNTA(rng_list_status_viabilidade)-1)</definedName>
    <definedName name="vld_status_viabilidade" localSheetId="4">OFFSET(INDEX(rng_list_status_viabilidade,MATCH(#REF!,rng_list_status_viabilidade,0)),1,0,COUNTA(rng_list_status_viabilidade)-1)</definedName>
    <definedName name="vld_status_viabilidade" localSheetId="13">OFFSET(INDEX(rng_list_status_viabilidade,MATCH(#REF!,rng_list_status_viabilidade,0)),1,0,COUNTA(rng_list_status_viabilidade)-1)</definedName>
    <definedName name="vld_status_viabilidade" localSheetId="17">OFFSET(INDEX(rng_list_status_viabilidade,MATCH(#REF!,rng_list_status_viabilidade,0)),1,0,COUNTA(rng_list_status_viabilidade)-1)</definedName>
    <definedName name="vld_status_viabilidade" localSheetId="0">OFFSET(INDEX(rng_list_status_viabilidade,MATCH(#REF!,rng_list_status_viabilidade,0)),1,0,COUNTA(rng_list_status_viabilidade)-1)</definedName>
    <definedName name="vld_status_viabilidade" localSheetId="19">OFFSET(INDEX(rng_list_status_viabilidade,MATCH(#REF!,rng_list_status_viabilidade,0)),1,0,COUNTA(rng_list_status_viabilidade)-1)</definedName>
    <definedName name="vld_status_viabilidade" localSheetId="16">OFFSET(INDEX(rng_list_status_viabilidade,MATCH(#REF!,rng_list_status_viabilidade,0)),1,0,COUNTA(rng_list_status_viabilidade)-1)</definedName>
    <definedName name="vld_status_viabilidade" localSheetId="18">OFFSET(INDEX(rng_list_status_viabilidade,MATCH(#REF!,rng_list_status_viabilidade,0)),1,0,COUNTA(rng_list_status_viabilidade)-1)</definedName>
    <definedName name="vld_status_viabilidade" localSheetId="10">OFFSET(INDEX(rng_list_status_viabilidade,MATCH(#REF!,rng_list_status_viabilidade,0)),1,0,COUNTA(rng_list_status_viabilidade)-1)</definedName>
    <definedName name="vld_status_viabilidade" localSheetId="15">OFFSET(INDEX(rng_list_status_viabilidade,MATCH(#REF!,rng_list_status_viabilidade,0)),1,0,COUNTA(rng_list_status_viabilidade)-1)</definedName>
    <definedName name="vld_status_viabilidade">OFFSET(INDEX(rng_list_status_viabilidade,MATCH(#REF!,rng_list_status_viabilidade,0)),1,0,COUNTA(rng_list_status_viabilidade)-1)</definedName>
    <definedName name="VOLUME1" localSheetId="3">#REF!</definedName>
    <definedName name="VOLUME1" localSheetId="8">#REF!</definedName>
    <definedName name="VOLUME1" localSheetId="5">#REF!</definedName>
    <definedName name="VOLUME1" localSheetId="13">#REF!</definedName>
    <definedName name="VOLUME1" localSheetId="26">#REF!</definedName>
    <definedName name="VOLUME1">#REF!</definedName>
    <definedName name="VOLUME2" localSheetId="3">#REF!</definedName>
    <definedName name="VOLUME2" localSheetId="5">#REF!</definedName>
    <definedName name="VOLUME2" localSheetId="13">#REF!</definedName>
    <definedName name="VOLUME2" localSheetId="26">#REF!</definedName>
    <definedName name="VOLUME2">#REF!</definedName>
    <definedName name="VOLUME3" localSheetId="3">#REF!</definedName>
    <definedName name="VOLUME3" localSheetId="5">#REF!</definedName>
    <definedName name="VOLUME3" localSheetId="13">#REF!</definedName>
    <definedName name="VOLUME3" localSheetId="26">#REF!</definedName>
    <definedName name="VOLUME3">#REF!</definedName>
    <definedName name="VSDHFGDFGR" localSheetId="9">{#N/A,#N/A,FALSE,"Plan1";#N/A,#N/A,FALSE,"Plan2"}</definedName>
    <definedName name="VSDHFGDFGR" localSheetId="6">{#N/A,#N/A,FALSE,"Plan1";#N/A,#N/A,FALSE,"Plan2"}</definedName>
    <definedName name="VSDHFGDFGR" localSheetId="3">{#N/A,#N/A,FALSE,"Plan1";#N/A,#N/A,FALSE,"Plan2"}</definedName>
    <definedName name="VSDHFGDFGR" localSheetId="8">{#N/A,#N/A,FALSE,"Plan1";#N/A,#N/A,FALSE,"Plan2"}</definedName>
    <definedName name="VSDHFGDFGR" localSheetId="5">{#N/A,#N/A,FALSE,"Plan1";#N/A,#N/A,FALSE,"Plan2"}</definedName>
    <definedName name="VSDHFGDFGR" localSheetId="4">{#N/A,#N/A,FALSE,"Plan1";#N/A,#N/A,FALSE,"Plan2"}</definedName>
    <definedName name="VSDHFGDFGR" localSheetId="13">{#N/A,#N/A,FALSE,"Plan1";#N/A,#N/A,FALSE,"Plan2"}</definedName>
    <definedName name="VSDHFGDFGR" localSheetId="17">{#N/A,#N/A,FALSE,"Plan1";#N/A,#N/A,FALSE,"Plan2"}</definedName>
    <definedName name="VSDHFGDFGR" localSheetId="0">{#N/A,#N/A,FALSE,"Plan1";#N/A,#N/A,FALSE,"Plan2"}</definedName>
    <definedName name="VSDHFGDFGR" localSheetId="19">{#N/A,#N/A,FALSE,"Plan1";#N/A,#N/A,FALSE,"Plan2"}</definedName>
    <definedName name="VSDHFGDFGR" localSheetId="16">{#N/A,#N/A,FALSE,"Plan1";#N/A,#N/A,FALSE,"Plan2"}</definedName>
    <definedName name="VSDHFGDFGR" localSheetId="18">{#N/A,#N/A,FALSE,"Plan1";#N/A,#N/A,FALSE,"Plan2"}</definedName>
    <definedName name="VSDHFGDFGR" localSheetId="10">{#N/A,#N/A,FALSE,"Plan1";#N/A,#N/A,FALSE,"Plan2"}</definedName>
    <definedName name="VSDHFGDFGR">{#N/A,#N/A,FALSE,"Plan1";#N/A,#N/A,FALSE,"Plan2"}</definedName>
    <definedName name="vvbb" localSheetId="9">{"tabela",#N/A,FALSE,"Tabela";"decoração",#N/A,FALSE,"Decor.";"Informações",#N/A,FALSE,"Inform."}</definedName>
    <definedName name="vvbb" localSheetId="6">{"tabela",#N/A,FALSE,"Tabela";"decoração",#N/A,FALSE,"Decor.";"Informações",#N/A,FALSE,"Inform."}</definedName>
    <definedName name="vvbb" localSheetId="3">{"tabela",#N/A,FALSE,"Tabela";"decoração",#N/A,FALSE,"Decor.";"Informações",#N/A,FALSE,"Inform."}</definedName>
    <definedName name="vvbb" localSheetId="8">{"tabela",#N/A,FALSE,"Tabela";"decoração",#N/A,FALSE,"Decor.";"Informações",#N/A,FALSE,"Inform."}</definedName>
    <definedName name="vvbb" localSheetId="5">{"tabela",#N/A,FALSE,"Tabela";"decoração",#N/A,FALSE,"Decor.";"Informações",#N/A,FALSE,"Inform."}</definedName>
    <definedName name="vvbb" localSheetId="4">{"tabela",#N/A,FALSE,"Tabela";"decoração",#N/A,FALSE,"Decor.";"Informações",#N/A,FALSE,"Inform."}</definedName>
    <definedName name="vvbb" localSheetId="13">{"tabela",#N/A,FALSE,"Tabela";"decoração",#N/A,FALSE,"Decor.";"Informações",#N/A,FALSE,"Inform."}</definedName>
    <definedName name="vvbb" localSheetId="17">{"tabela",#N/A,FALSE,"Tabela";"decoração",#N/A,FALSE,"Decor.";"Informações",#N/A,FALSE,"Inform."}</definedName>
    <definedName name="vvbb" localSheetId="0">{"tabela",#N/A,FALSE,"Tabela";"decoração",#N/A,FALSE,"Decor.";"Informações",#N/A,FALSE,"Inform."}</definedName>
    <definedName name="vvbb" localSheetId="19">{"tabela",#N/A,FALSE,"Tabela";"decoração",#N/A,FALSE,"Decor.";"Informações",#N/A,FALSE,"Inform."}</definedName>
    <definedName name="vvbb" localSheetId="16">{"tabela",#N/A,FALSE,"Tabela";"decoração",#N/A,FALSE,"Decor.";"Informações",#N/A,FALSE,"Inform."}</definedName>
    <definedName name="vvbb" localSheetId="18">{"tabela",#N/A,FALSE,"Tabela";"decoração",#N/A,FALSE,"Decor.";"Informações",#N/A,FALSE,"Inform."}</definedName>
    <definedName name="vvbb" localSheetId="10">{"tabela",#N/A,FALSE,"Tabela";"decoração",#N/A,FALSE,"Decor.";"Informações",#N/A,FALSE,"Inform."}</definedName>
    <definedName name="vvbb">{"tabela",#N/A,FALSE,"Tabela";"decoração",#N/A,FALSE,"Decor.";"Informações",#N/A,FALSE,"Inform."}</definedName>
    <definedName name="vvcbnb" localSheetId="9">{#N/A,#N/A,FALSE,"Plan1";#N/A,#N/A,FALSE,"Plan2"}</definedName>
    <definedName name="vvcbnb" localSheetId="6">{#N/A,#N/A,FALSE,"Plan1";#N/A,#N/A,FALSE,"Plan2"}</definedName>
    <definedName name="vvcbnb" localSheetId="3">{#N/A,#N/A,FALSE,"Plan1";#N/A,#N/A,FALSE,"Plan2"}</definedName>
    <definedName name="vvcbnb" localSheetId="8">{#N/A,#N/A,FALSE,"Plan1";#N/A,#N/A,FALSE,"Plan2"}</definedName>
    <definedName name="vvcbnb" localSheetId="5">{#N/A,#N/A,FALSE,"Plan1";#N/A,#N/A,FALSE,"Plan2"}</definedName>
    <definedName name="vvcbnb" localSheetId="4">{#N/A,#N/A,FALSE,"Plan1";#N/A,#N/A,FALSE,"Plan2"}</definedName>
    <definedName name="vvcbnb" localSheetId="13">{#N/A,#N/A,FALSE,"Plan1";#N/A,#N/A,FALSE,"Plan2"}</definedName>
    <definedName name="vvcbnb" localSheetId="17">{#N/A,#N/A,FALSE,"Plan1";#N/A,#N/A,FALSE,"Plan2"}</definedName>
    <definedName name="vvcbnb" localSheetId="0">{#N/A,#N/A,FALSE,"Plan1";#N/A,#N/A,FALSE,"Plan2"}</definedName>
    <definedName name="vvcbnb" localSheetId="19">{#N/A,#N/A,FALSE,"Plan1";#N/A,#N/A,FALSE,"Plan2"}</definedName>
    <definedName name="vvcbnb" localSheetId="16">{#N/A,#N/A,FALSE,"Plan1";#N/A,#N/A,FALSE,"Plan2"}</definedName>
    <definedName name="vvcbnb" localSheetId="18">{#N/A,#N/A,FALSE,"Plan1";#N/A,#N/A,FALSE,"Plan2"}</definedName>
    <definedName name="vvcbnb" localSheetId="10">{#N/A,#N/A,FALSE,"Plan1";#N/A,#N/A,FALSE,"Plan2"}</definedName>
    <definedName name="vvcbnb">{#N/A,#N/A,FALSE,"Plan1";#N/A,#N/A,FALSE,"Plan2"}</definedName>
    <definedName name="vvvvv" localSheetId="9">{"Econ Consolidado",#N/A,FALSE,"Econ Consol";"Fluxo de Caixa",#N/A,FALSE,"Fluxo Caixa";"Investimentos",#N/A,FALSE,"Investimentos"}</definedName>
    <definedName name="vvvvv" localSheetId="6">{"Econ Consolidado",#N/A,FALSE,"Econ Consol";"Fluxo de Caixa",#N/A,FALSE,"Fluxo Caixa";"Investimentos",#N/A,FALSE,"Investimentos"}</definedName>
    <definedName name="vvvvv" localSheetId="3">{"Econ Consolidado",#N/A,FALSE,"Econ Consol";"Fluxo de Caixa",#N/A,FALSE,"Fluxo Caixa";"Investimentos",#N/A,FALSE,"Investimentos"}</definedName>
    <definedName name="vvvvv" localSheetId="8">{"Econ Consolidado",#N/A,FALSE,"Econ Consol";"Fluxo de Caixa",#N/A,FALSE,"Fluxo Caixa";"Investimentos",#N/A,FALSE,"Investimentos"}</definedName>
    <definedName name="vvvvv" localSheetId="5">{"Econ Consolidado",#N/A,FALSE,"Econ Consol";"Fluxo de Caixa",#N/A,FALSE,"Fluxo Caixa";"Investimentos",#N/A,FALSE,"Investimentos"}</definedName>
    <definedName name="vvvvv" localSheetId="4">{"Econ Consolidado",#N/A,FALSE,"Econ Consol";"Fluxo de Caixa",#N/A,FALSE,"Fluxo Caixa";"Investimentos",#N/A,FALSE,"Investimentos"}</definedName>
    <definedName name="vvvvv" localSheetId="13">{"Econ Consolidado",#N/A,FALSE,"Econ Consol";"Fluxo de Caixa",#N/A,FALSE,"Fluxo Caixa";"Investimentos",#N/A,FALSE,"Investimentos"}</definedName>
    <definedName name="vvvvv" localSheetId="17">{"Econ Consolidado",#N/A,FALSE,"Econ Consol";"Fluxo de Caixa",#N/A,FALSE,"Fluxo Caixa";"Investimentos",#N/A,FALSE,"Investimentos"}</definedName>
    <definedName name="vvvvv" localSheetId="0">{"Econ Consolidado",#N/A,FALSE,"Econ Consol";"Fluxo de Caixa",#N/A,FALSE,"Fluxo Caixa";"Investimentos",#N/A,FALSE,"Investimentos"}</definedName>
    <definedName name="vvvvv" localSheetId="19">{"Econ Consolidado",#N/A,FALSE,"Econ Consol";"Fluxo de Caixa",#N/A,FALSE,"Fluxo Caixa";"Investimentos",#N/A,FALSE,"Investimentos"}</definedName>
    <definedName name="vvvvv" localSheetId="16">{"Econ Consolidado",#N/A,FALSE,"Econ Consol";"Fluxo de Caixa",#N/A,FALSE,"Fluxo Caixa";"Investimentos",#N/A,FALSE,"Investimentos"}</definedName>
    <definedName name="vvvvv" localSheetId="18">{"Econ Consolidado",#N/A,FALSE,"Econ Consol";"Fluxo de Caixa",#N/A,FALSE,"Fluxo Caixa";"Investimentos",#N/A,FALSE,"Investimentos"}</definedName>
    <definedName name="vvvvv" localSheetId="10">{"Econ Consolidado",#N/A,FALSE,"Econ Consol";"Fluxo de Caixa",#N/A,FALSE,"Fluxo Caixa";"Investimentos",#N/A,FALSE,"Investimentos"}</definedName>
    <definedName name="vvvvv">{"Econ Consolidado",#N/A,FALSE,"Econ Consol";"Fluxo de Caixa",#N/A,FALSE,"Fluxo Caixa";"Investimentos",#N/A,FALSE,"Investimentos"}</definedName>
    <definedName name="vvvvvv" localSheetId="9">{#N/A,#N/A,FALSE,"Plan1";#N/A,#N/A,FALSE,"Plan2"}</definedName>
    <definedName name="vvvvvv" localSheetId="6">{#N/A,#N/A,FALSE,"Plan1";#N/A,#N/A,FALSE,"Plan2"}</definedName>
    <definedName name="vvvvvv" localSheetId="3">{#N/A,#N/A,FALSE,"Plan1";#N/A,#N/A,FALSE,"Plan2"}</definedName>
    <definedName name="vvvvvv" localSheetId="8">{#N/A,#N/A,FALSE,"Plan1";#N/A,#N/A,FALSE,"Plan2"}</definedName>
    <definedName name="vvvvvv" localSheetId="5">{#N/A,#N/A,FALSE,"Plan1";#N/A,#N/A,FALSE,"Plan2"}</definedName>
    <definedName name="vvvvvv" localSheetId="4">{#N/A,#N/A,FALSE,"Plan1";#N/A,#N/A,FALSE,"Plan2"}</definedName>
    <definedName name="vvvvvv" localSheetId="13">{#N/A,#N/A,FALSE,"Plan1";#N/A,#N/A,FALSE,"Plan2"}</definedName>
    <definedName name="vvvvvv" localSheetId="17">{#N/A,#N/A,FALSE,"Plan1";#N/A,#N/A,FALSE,"Plan2"}</definedName>
    <definedName name="vvvvvv" localSheetId="0">{#N/A,#N/A,FALSE,"Plan1";#N/A,#N/A,FALSE,"Plan2"}</definedName>
    <definedName name="vvvvvv" localSheetId="19">{#N/A,#N/A,FALSE,"Plan1";#N/A,#N/A,FALSE,"Plan2"}</definedName>
    <definedName name="vvvvvv" localSheetId="16">{#N/A,#N/A,FALSE,"Plan1";#N/A,#N/A,FALSE,"Plan2"}</definedName>
    <definedName name="vvvvvv" localSheetId="18">{#N/A,#N/A,FALSE,"Plan1";#N/A,#N/A,FALSE,"Plan2"}</definedName>
    <definedName name="vvvvvv" localSheetId="10">{#N/A,#N/A,FALSE,"Plan1";#N/A,#N/A,FALSE,"Plan2"}</definedName>
    <definedName name="vvvvvv">{#N/A,#N/A,FALSE,"Plan1";#N/A,#N/A,FALSE,"Plan2"}</definedName>
    <definedName name="vvvvvvvvvvvvvvvvv" localSheetId="9">{"HW",#N/A,FALSE,"1998"}</definedName>
    <definedName name="vvvvvvvvvvvvvvvvv" localSheetId="6">{"HW",#N/A,FALSE,"1998"}</definedName>
    <definedName name="vvvvvvvvvvvvvvvvv" localSheetId="3">{"HW",#N/A,FALSE,"1998"}</definedName>
    <definedName name="vvvvvvvvvvvvvvvvv" localSheetId="8">{"HW",#N/A,FALSE,"1998"}</definedName>
    <definedName name="vvvvvvvvvvvvvvvvv" localSheetId="5">{"HW",#N/A,FALSE,"1998"}</definedName>
    <definedName name="vvvvvvvvvvvvvvvvv" localSheetId="4">{"HW",#N/A,FALSE,"1998"}</definedName>
    <definedName name="vvvvvvvvvvvvvvvvv" localSheetId="13">{"HW",#N/A,FALSE,"1998"}</definedName>
    <definedName name="vvvvvvvvvvvvvvvvv" localSheetId="17">{"HW",#N/A,FALSE,"1998"}</definedName>
    <definedName name="vvvvvvvvvvvvvvvvv" localSheetId="0">{"HW",#N/A,FALSE,"1998"}</definedName>
    <definedName name="vvvvvvvvvvvvvvvvv" localSheetId="19">{"HW",#N/A,FALSE,"1998"}</definedName>
    <definedName name="vvvvvvvvvvvvvvvvv" localSheetId="16">{"HW",#N/A,FALSE,"1998"}</definedName>
    <definedName name="vvvvvvvvvvvvvvvvv" localSheetId="18">{"HW",#N/A,FALSE,"1998"}</definedName>
    <definedName name="vvvvvvvvvvvvvvvvv" localSheetId="10">{"HW",#N/A,FALSE,"1998"}</definedName>
    <definedName name="vvvvvvvvvvvvvvvvv">{"HW",#N/A,FALSE,"1998"}</definedName>
    <definedName name="VX" localSheetId="3">#REF!</definedName>
    <definedName name="VX" localSheetId="5">#REF!</definedName>
    <definedName name="VX" localSheetId="13">#REF!</definedName>
    <definedName name="VX" localSheetId="26">#REF!</definedName>
    <definedName name="VX" localSheetId="0">#REF!</definedName>
    <definedName name="VX">#REF!</definedName>
    <definedName name="w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5">#REF!</definedName>
    <definedName name="w" localSheetId="13">#REF!</definedName>
    <definedName name="w" localSheetId="17">#REF!</definedName>
    <definedName name="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3">#REF!</definedName>
    <definedName name="wacc" localSheetId="8">#REF!</definedName>
    <definedName name="wacc" localSheetId="5">#REF!</definedName>
    <definedName name="wacc" localSheetId="13">#REF!</definedName>
    <definedName name="wacc" localSheetId="26">#REF!</definedName>
    <definedName name="wacc">#REF!</definedName>
    <definedName name="wadalrdjlaev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3">#REF!</definedName>
    <definedName name="wdewr" localSheetId="5">#REF!</definedName>
    <definedName name="wdewr" localSheetId="13">#REF!</definedName>
    <definedName name="wdewr" localSheetId="26">#REF!</definedName>
    <definedName name="wdewr" localSheetId="0">#REF!</definedName>
    <definedName name="wdewr">#REF!</definedName>
    <definedName name="WE" localSheetId="13">#REF!</definedName>
    <definedName name="WE" localSheetId="0">#REF!</definedName>
    <definedName name="WE">#REF!</definedName>
    <definedName name="weki_9701.xls" localSheetId="13">#REF!</definedName>
    <definedName name="weki_9701.xls">#REF!</definedName>
    <definedName name="wekir9701.xls" localSheetId="13">#REF!</definedName>
    <definedName name="wekir9701.xls">#REF!</definedName>
    <definedName name="werw4tr" localSheetId="9">{#N/A,#N/A,FALSE,"Plan1";#N/A,#N/A,FALSE,"Plan2"}</definedName>
    <definedName name="werw4tr" localSheetId="6">{#N/A,#N/A,FALSE,"Plan1";#N/A,#N/A,FALSE,"Plan2"}</definedName>
    <definedName name="werw4tr" localSheetId="3">{#N/A,#N/A,FALSE,"Plan1";#N/A,#N/A,FALSE,"Plan2"}</definedName>
    <definedName name="werw4tr" localSheetId="8">{#N/A,#N/A,FALSE,"Plan1";#N/A,#N/A,FALSE,"Plan2"}</definedName>
    <definedName name="werw4tr" localSheetId="5">{#N/A,#N/A,FALSE,"Plan1";#N/A,#N/A,FALSE,"Plan2"}</definedName>
    <definedName name="werw4tr" localSheetId="4">{#N/A,#N/A,FALSE,"Plan1";#N/A,#N/A,FALSE,"Plan2"}</definedName>
    <definedName name="werw4tr" localSheetId="13">{#N/A,#N/A,FALSE,"Plan1";#N/A,#N/A,FALSE,"Plan2"}</definedName>
    <definedName name="werw4tr" localSheetId="17">{#N/A,#N/A,FALSE,"Plan1";#N/A,#N/A,FALSE,"Plan2"}</definedName>
    <definedName name="werw4tr" localSheetId="0">{#N/A,#N/A,FALSE,"Plan1";#N/A,#N/A,FALSE,"Plan2"}</definedName>
    <definedName name="werw4tr" localSheetId="19">{#N/A,#N/A,FALSE,"Plan1";#N/A,#N/A,FALSE,"Plan2"}</definedName>
    <definedName name="werw4tr" localSheetId="16">{#N/A,#N/A,FALSE,"Plan1";#N/A,#N/A,FALSE,"Plan2"}</definedName>
    <definedName name="werw4tr" localSheetId="18">{#N/A,#N/A,FALSE,"Plan1";#N/A,#N/A,FALSE,"Plan2"}</definedName>
    <definedName name="werw4tr" localSheetId="10">{#N/A,#N/A,FALSE,"Plan1";#N/A,#N/A,FALSE,"Plan2"}</definedName>
    <definedName name="werw4tr">{#N/A,#N/A,FALSE,"Plan1";#N/A,#N/A,FALSE,"Plan2"}</definedName>
    <definedName name="wetoedjtkdr" localSheetId="9">{#N/A,#N/A,FALSE,"Plan1";#N/A,#N/A,FALSE,"Plan2"}</definedName>
    <definedName name="wetoedjtkdr" localSheetId="6">{#N/A,#N/A,FALSE,"Plan1";#N/A,#N/A,FALSE,"Plan2"}</definedName>
    <definedName name="wetoedjtkdr" localSheetId="3">{#N/A,#N/A,FALSE,"Plan1";#N/A,#N/A,FALSE,"Plan2"}</definedName>
    <definedName name="wetoedjtkdr" localSheetId="8">{#N/A,#N/A,FALSE,"Plan1";#N/A,#N/A,FALSE,"Plan2"}</definedName>
    <definedName name="wetoedjtkdr" localSheetId="5">{#N/A,#N/A,FALSE,"Plan1";#N/A,#N/A,FALSE,"Plan2"}</definedName>
    <definedName name="wetoedjtkdr" localSheetId="4">{#N/A,#N/A,FALSE,"Plan1";#N/A,#N/A,FALSE,"Plan2"}</definedName>
    <definedName name="wetoedjtkdr" localSheetId="13">{#N/A,#N/A,FALSE,"Plan1";#N/A,#N/A,FALSE,"Plan2"}</definedName>
    <definedName name="wetoedjtkdr" localSheetId="17">{#N/A,#N/A,FALSE,"Plan1";#N/A,#N/A,FALSE,"Plan2"}</definedName>
    <definedName name="wetoedjtkdr" localSheetId="0">{#N/A,#N/A,FALSE,"Plan1";#N/A,#N/A,FALSE,"Plan2"}</definedName>
    <definedName name="wetoedjtkdr" localSheetId="19">{#N/A,#N/A,FALSE,"Plan1";#N/A,#N/A,FALSE,"Plan2"}</definedName>
    <definedName name="wetoedjtkdr" localSheetId="16">{#N/A,#N/A,FALSE,"Plan1";#N/A,#N/A,FALSE,"Plan2"}</definedName>
    <definedName name="wetoedjtkdr" localSheetId="18">{#N/A,#N/A,FALSE,"Plan1";#N/A,#N/A,FALSE,"Plan2"}</definedName>
    <definedName name="wetoedjtkdr" localSheetId="10">{#N/A,#N/A,FALSE,"Plan1";#N/A,#N/A,FALSE,"Plan2"}</definedName>
    <definedName name="wetoedjtkdr">{#N/A,#N/A,FALSE,"Plan1";#N/A,#N/A,FALSE,"Plan2"}</definedName>
    <definedName name="WHATS" localSheetId="9">{"'Edit'!$A$1:$V$2277"}</definedName>
    <definedName name="WHATS" localSheetId="6">{"'Edit'!$A$1:$V$2277"}</definedName>
    <definedName name="WHATS" localSheetId="3">{"'Edit'!$A$1:$V$2277"}</definedName>
    <definedName name="WHATS" localSheetId="8">{"'Edit'!$A$1:$V$2277"}</definedName>
    <definedName name="WHATS" localSheetId="5">{"'Edit'!$A$1:$V$2277"}</definedName>
    <definedName name="WHATS" localSheetId="4">{"'Edit'!$A$1:$V$2277"}</definedName>
    <definedName name="WHATS" localSheetId="13">{"'Edit'!$A$1:$V$2277"}</definedName>
    <definedName name="WHATS" localSheetId="17">{"'Edit'!$A$1:$V$2277"}</definedName>
    <definedName name="WHATS" localSheetId="0">{"'Edit'!$A$1:$V$2277"}</definedName>
    <definedName name="WHATS" localSheetId="19">{"'Edit'!$A$1:$V$2277"}</definedName>
    <definedName name="WHATS" localSheetId="16">{"'Edit'!$A$1:$V$2277"}</definedName>
    <definedName name="WHATS" localSheetId="18">{"'Edit'!$A$1:$V$2277"}</definedName>
    <definedName name="WHATS" localSheetId="10">{"'Edit'!$A$1:$V$2277"}</definedName>
    <definedName name="WHATS">{"'Edit'!$A$1:$V$2277"}</definedName>
    <definedName name="win.VESSEL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3">#REF!</definedName>
    <definedName name="WITENS" localSheetId="5">#REF!</definedName>
    <definedName name="WITENS" localSheetId="13">#REF!</definedName>
    <definedName name="WITENS" localSheetId="26">#REF!</definedName>
    <definedName name="WITENS">#REF!</definedName>
    <definedName name="WKJHIR" localSheetId="9">{#N/A,#N/A,FALSE,"Plan1";#N/A,#N/A,FALSE,"Plan2"}</definedName>
    <definedName name="WKJHIR" localSheetId="6">{#N/A,#N/A,FALSE,"Plan1";#N/A,#N/A,FALSE,"Plan2"}</definedName>
    <definedName name="WKJHIR" localSheetId="3">{#N/A,#N/A,FALSE,"Plan1";#N/A,#N/A,FALSE,"Plan2"}</definedName>
    <definedName name="WKJHIR" localSheetId="8">{#N/A,#N/A,FALSE,"Plan1";#N/A,#N/A,FALSE,"Plan2"}</definedName>
    <definedName name="WKJHIR" localSheetId="5">{#N/A,#N/A,FALSE,"Plan1";#N/A,#N/A,FALSE,"Plan2"}</definedName>
    <definedName name="WKJHIR" localSheetId="4">{#N/A,#N/A,FALSE,"Plan1";#N/A,#N/A,FALSE,"Plan2"}</definedName>
    <definedName name="WKJHIR" localSheetId="13">{#N/A,#N/A,FALSE,"Plan1";#N/A,#N/A,FALSE,"Plan2"}</definedName>
    <definedName name="WKJHIR" localSheetId="17">{#N/A,#N/A,FALSE,"Plan1";#N/A,#N/A,FALSE,"Plan2"}</definedName>
    <definedName name="WKJHIR" localSheetId="0">{#N/A,#N/A,FALSE,"Plan1";#N/A,#N/A,FALSE,"Plan2"}</definedName>
    <definedName name="WKJHIR" localSheetId="19">{#N/A,#N/A,FALSE,"Plan1";#N/A,#N/A,FALSE,"Plan2"}</definedName>
    <definedName name="WKJHIR" localSheetId="16">{#N/A,#N/A,FALSE,"Plan1";#N/A,#N/A,FALSE,"Plan2"}</definedName>
    <definedName name="WKJHIR" localSheetId="18">{#N/A,#N/A,FALSE,"Plan1";#N/A,#N/A,FALSE,"Plan2"}</definedName>
    <definedName name="WKJHIR" localSheetId="10">{#N/A,#N/A,FALSE,"Plan1";#N/A,#N/A,FALSE,"Plan2"}</definedName>
    <definedName name="WKJHIR">{#N/A,#N/A,FALSE,"Plan1";#N/A,#N/A,FALSE,"Plan2"}</definedName>
    <definedName name="WLQ" localSheetId="9">{#N/A,#N/A,FALSE,"명세표"}</definedName>
    <definedName name="WLQ" localSheetId="6">{#N/A,#N/A,FALSE,"명세표"}</definedName>
    <definedName name="WLQ" localSheetId="3">{#N/A,#N/A,FALSE,"명세표"}</definedName>
    <definedName name="WLQ" localSheetId="8">{#N/A,#N/A,FALSE,"명세표"}</definedName>
    <definedName name="WLQ" localSheetId="5">{#N/A,#N/A,FALSE,"명세표"}</definedName>
    <definedName name="WLQ" localSheetId="4">{#N/A,#N/A,FALSE,"명세표"}</definedName>
    <definedName name="WLQ" localSheetId="13">{#N/A,#N/A,FALSE,"명세표"}</definedName>
    <definedName name="WLQ" localSheetId="17">{#N/A,#N/A,FALSE,"명세표"}</definedName>
    <definedName name="WLQ" localSheetId="0">{#N/A,#N/A,FALSE,"명세표"}</definedName>
    <definedName name="WLQ" localSheetId="19">{#N/A,#N/A,FALSE,"명세표"}</definedName>
    <definedName name="WLQ" localSheetId="16">{#N/A,#N/A,FALSE,"명세표"}</definedName>
    <definedName name="WLQ" localSheetId="18">{#N/A,#N/A,FALSE,"명세표"}</definedName>
    <definedName name="WLQ" localSheetId="10">{#N/A,#N/A,FALSE,"명세표"}</definedName>
    <definedName name="WLQ">{#N/A,#N/A,FALSE,"명세표"}</definedName>
    <definedName name="WNMLOCAL" localSheetId="3">#REF!</definedName>
    <definedName name="WNMLOCAL" localSheetId="5">#REF!</definedName>
    <definedName name="WNMLOCAL" localSheetId="13">#REF!</definedName>
    <definedName name="WNMLOCAL" localSheetId="26">#REF!</definedName>
    <definedName name="WNMLOCAL">#REF!</definedName>
    <definedName name="WNMMUN" localSheetId="3">#REF!</definedName>
    <definedName name="WNMMUN" localSheetId="5">#REF!</definedName>
    <definedName name="WNMMUN" localSheetId="13">#REF!</definedName>
    <definedName name="WNMMUN" localSheetId="26">#REF!</definedName>
    <definedName name="WNMMUN">#REF!</definedName>
    <definedName name="WNMSERV" localSheetId="3">#REF!</definedName>
    <definedName name="WNMSERV" localSheetId="5">#REF!</definedName>
    <definedName name="WNMSERV" localSheetId="13">#REF!</definedName>
    <definedName name="WNMSERV" localSheetId="26">#REF!</definedName>
    <definedName name="WNMSERV">#REF!</definedName>
    <definedName name="worl_cdi" localSheetId="3">#REF!</definedName>
    <definedName name="worl_cdi" localSheetId="5">#REF!</definedName>
    <definedName name="worl_cdi" localSheetId="13">#REF!</definedName>
    <definedName name="worl_cdi" localSheetId="26">#REF!</definedName>
    <definedName name="worl_cdi">#REF!</definedName>
    <definedName name="worl_hist" localSheetId="3">#REF!</definedName>
    <definedName name="worl_hist" localSheetId="5">#REF!</definedName>
    <definedName name="worl_hist" localSheetId="13">#REF!</definedName>
    <definedName name="worl_hist" localSheetId="26">#REF!</definedName>
    <definedName name="worl_hist">#REF!</definedName>
    <definedName name="worl_uss" localSheetId="3">#REF!</definedName>
    <definedName name="worl_uss" localSheetId="5">#REF!</definedName>
    <definedName name="worl_uss" localSheetId="13">#REF!</definedName>
    <definedName name="worl_uss" localSheetId="26">#REF!</definedName>
    <definedName name="worl_uss">#REF!</definedName>
    <definedName name="WRITE" localSheetId="9">{#N/A,#N/A,FALSE,"CCTV"}</definedName>
    <definedName name="WRITE" localSheetId="6">{#N/A,#N/A,FALSE,"CCTV"}</definedName>
    <definedName name="WRITE" localSheetId="3">{#N/A,#N/A,FALSE,"CCTV"}</definedName>
    <definedName name="WRITE" localSheetId="8">{#N/A,#N/A,FALSE,"CCTV"}</definedName>
    <definedName name="WRITE" localSheetId="5">{#N/A,#N/A,FALSE,"CCTV"}</definedName>
    <definedName name="WRITE" localSheetId="4">{#N/A,#N/A,FALSE,"CCTV"}</definedName>
    <definedName name="WRITE" localSheetId="13">{#N/A,#N/A,FALSE,"CCTV"}</definedName>
    <definedName name="WRITE" localSheetId="17">{#N/A,#N/A,FALSE,"CCTV"}</definedName>
    <definedName name="WRITE" localSheetId="0">{#N/A,#N/A,FALSE,"CCTV"}</definedName>
    <definedName name="WRITE" localSheetId="19">{#N/A,#N/A,FALSE,"CCTV"}</definedName>
    <definedName name="WRITE" localSheetId="16">{#N/A,#N/A,FALSE,"CCTV"}</definedName>
    <definedName name="WRITE" localSheetId="18">{#N/A,#N/A,FALSE,"CCTV"}</definedName>
    <definedName name="WRITE" localSheetId="10">{#N/A,#N/A,FALSE,"CCTV"}</definedName>
    <definedName name="WRITE">{#N/A,#N/A,FALSE,"CCTV"}</definedName>
    <definedName name="wrn.BM." localSheetId="9">{#N/A,#N/A,FALSE,"CCTV"}</definedName>
    <definedName name="wrn.BM." localSheetId="6">{#N/A,#N/A,FALSE,"CCTV"}</definedName>
    <definedName name="wrn.BM." localSheetId="3">{#N/A,#N/A,FALSE,"CCTV"}</definedName>
    <definedName name="wrn.BM." localSheetId="8">{#N/A,#N/A,FALSE,"CCTV"}</definedName>
    <definedName name="wrn.BM." localSheetId="5">{#N/A,#N/A,FALSE,"CCTV"}</definedName>
    <definedName name="wrn.BM." localSheetId="4">{#N/A,#N/A,FALSE,"CCTV"}</definedName>
    <definedName name="wrn.BM." localSheetId="13">{#N/A,#N/A,FALSE,"CCTV"}</definedName>
    <definedName name="wrn.BM." localSheetId="17">{#N/A,#N/A,FALSE,"CCTV"}</definedName>
    <definedName name="wrn.BM." localSheetId="0">{#N/A,#N/A,FALSE,"CCTV"}</definedName>
    <definedName name="wrn.BM." localSheetId="19">{#N/A,#N/A,FALSE,"CCTV"}</definedName>
    <definedName name="wrn.BM." localSheetId="16">{#N/A,#N/A,FALSE,"CCTV"}</definedName>
    <definedName name="wrn.BM." localSheetId="18">{#N/A,#N/A,FALSE,"CCTV"}</definedName>
    <definedName name="wrn.BM." localSheetId="10">{#N/A,#N/A,FALSE,"CCTV"}</definedName>
    <definedName name="wrn.BM.">{#N/A,#N/A,FALSE,"CCTV"}</definedName>
    <definedName name="wrn.Brita98.xls." localSheetId="9">{#N/A,#N/A,TRUE,"Quinzena 01 à 15-04-98 "}</definedName>
    <definedName name="wrn.Brita98.xls." localSheetId="6">{#N/A,#N/A,TRUE,"Quinzena 01 à 15-04-98 "}</definedName>
    <definedName name="wrn.Brita98.xls." localSheetId="3">{#N/A,#N/A,TRUE,"Quinzena 01 à 15-04-98 "}</definedName>
    <definedName name="wrn.Brita98.xls." localSheetId="8">{#N/A,#N/A,TRUE,"Quinzena 01 à 15-04-98 "}</definedName>
    <definedName name="wrn.Brita98.xls." localSheetId="5">{#N/A,#N/A,TRUE,"Quinzena 01 à 15-04-98 "}</definedName>
    <definedName name="wrn.Brita98.xls." localSheetId="4">{#N/A,#N/A,TRUE,"Quinzena 01 à 15-04-98 "}</definedName>
    <definedName name="wrn.Brita98.xls." localSheetId="13">{#N/A,#N/A,TRUE,"Quinzena 01 à 15-04-98 "}</definedName>
    <definedName name="wrn.Brita98.xls." localSheetId="17">{#N/A,#N/A,TRUE,"Quinzena 01 à 15-04-98 "}</definedName>
    <definedName name="wrn.Brita98.xls." localSheetId="0">{#N/A,#N/A,TRUE,"Quinzena 01 à 15-04-98 "}</definedName>
    <definedName name="wrn.Brita98.xls." localSheetId="19">{#N/A,#N/A,TRUE,"Quinzena 01 à 15-04-98 "}</definedName>
    <definedName name="wrn.Brita98.xls." localSheetId="16">{#N/A,#N/A,TRUE,"Quinzena 01 à 15-04-98 "}</definedName>
    <definedName name="wrn.Brita98.xls." localSheetId="18">{#N/A,#N/A,TRUE,"Quinzena 01 à 15-04-98 "}</definedName>
    <definedName name="wrn.Brita98.xls." localSheetId="10">{#N/A,#N/A,TRUE,"Quinzena 01 à 15-04-98 "}</definedName>
    <definedName name="wrn.Brita98.xls.">{#N/A,#N/A,TRUE,"Quinzena 01 à 15-04-98 "}</definedName>
    <definedName name="wrn.Completo." localSheetId="9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6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3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8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4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3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7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9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6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8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9">{"EconCons",#N/A,TRUE,"Econômico - Consolidado";"CaixaCons",#N/A,TRUE,"Caixa - Consolidado";"InvestCons",#N/A,TRUE,"Invest Consolidado"}</definedName>
    <definedName name="wrn.Cons." localSheetId="6">{"EconCons",#N/A,TRUE,"Econômico - Consolidado";"CaixaCons",#N/A,TRUE,"Caixa - Consolidado";"InvestCons",#N/A,TRUE,"Invest Consolidado"}</definedName>
    <definedName name="wrn.Cons." localSheetId="3">{"EconCons",#N/A,TRUE,"Econômico - Consolidado";"CaixaCons",#N/A,TRUE,"Caixa - Consolidado";"InvestCons",#N/A,TRUE,"Invest Consolidado"}</definedName>
    <definedName name="wrn.Cons." localSheetId="8">{"EconCons",#N/A,TRUE,"Econômico - Consolidado";"CaixaCons",#N/A,TRUE,"Caixa - Consolidado";"InvestCons",#N/A,TRUE,"Invest Consolidado"}</definedName>
    <definedName name="wrn.Cons." localSheetId="5">{"EconCons",#N/A,TRUE,"Econômico - Consolidado";"CaixaCons",#N/A,TRUE,"Caixa - Consolidado";"InvestCons",#N/A,TRUE,"Invest Consolidado"}</definedName>
    <definedName name="wrn.Cons." localSheetId="4">{"EconCons",#N/A,TRUE,"Econômico - Consolidado";"CaixaCons",#N/A,TRUE,"Caixa - Consolidado";"InvestCons",#N/A,TRUE,"Invest Consolidado"}</definedName>
    <definedName name="wrn.Cons." localSheetId="13">{"EconCons",#N/A,TRUE,"Econômico - Consolidado";"CaixaCons",#N/A,TRUE,"Caixa - Consolidado";"InvestCons",#N/A,TRUE,"Invest Consolidado"}</definedName>
    <definedName name="wrn.Cons." localSheetId="17">{"EconCons",#N/A,TRUE,"Econômico - Consolidado";"CaixaCons",#N/A,TRUE,"Caixa - Consolidado";"InvestCons",#N/A,TRUE,"Invest Consolidado"}</definedName>
    <definedName name="wrn.Cons." localSheetId="0">{"EconCons",#N/A,TRUE,"Econômico - Consolidado";"CaixaCons",#N/A,TRUE,"Caixa - Consolidado";"InvestCons",#N/A,TRUE,"Invest Consolidado"}</definedName>
    <definedName name="wrn.Cons." localSheetId="19">{"EconCons",#N/A,TRUE,"Econômico - Consolidado";"CaixaCons",#N/A,TRUE,"Caixa - Consolidado";"InvestCons",#N/A,TRUE,"Invest Consolidado"}</definedName>
    <definedName name="wrn.Cons." localSheetId="16">{"EconCons",#N/A,TRUE,"Econômico - Consolidado";"CaixaCons",#N/A,TRUE,"Caixa - Consolidado";"InvestCons",#N/A,TRUE,"Invest Consolidado"}</definedName>
    <definedName name="wrn.Cons." localSheetId="18">{"EconCons",#N/A,TRUE,"Econômico - Consolidado";"CaixaCons",#N/A,TRUE,"Caixa - Consolidado";"InvestCons",#N/A,TRUE,"Invest Consolidado"}</definedName>
    <definedName name="wrn.Cons." localSheetId="10">{"EconCons",#N/A,TRUE,"Econômico - Consolidado";"CaixaCons",#N/A,TRUE,"Caixa - Consolidado";"InvestCons",#N/A,TRUE,"Invest Consolidado"}</definedName>
    <definedName name="wrn.Cons.">{"EconCons",#N/A,TRUE,"Econômico - Consolidado";"CaixaCons",#N/A,TRUE,"Caixa - Consolidado";"InvestCons",#N/A,TRUE,"Invest Consolidado"}</definedName>
    <definedName name="wrn.Consolidado." localSheetId="9">{"Econ Consolidado",#N/A,FALSE,"Econ Consol";"Fluxo de Caixa",#N/A,FALSE,"Fluxo Caixa";"Investimentos",#N/A,FALSE,"Investimentos"}</definedName>
    <definedName name="wrn.Consolidado." localSheetId="6">{"Econ Consolidado",#N/A,FALSE,"Econ Consol";"Fluxo de Caixa",#N/A,FALSE,"Fluxo Caixa";"Investimentos",#N/A,FALSE,"Investimentos"}</definedName>
    <definedName name="wrn.Consolidado." localSheetId="3">{"Econ Consolidado",#N/A,FALSE,"Econ Consol";"Fluxo de Caixa",#N/A,FALSE,"Fluxo Caixa";"Investimentos",#N/A,FALSE,"Investimentos"}</definedName>
    <definedName name="wrn.Consolidado." localSheetId="8">{"Econ Consolidado",#N/A,FALSE,"Econ Consol";"Fluxo de Caixa",#N/A,FALSE,"Fluxo Caixa";"Investimentos",#N/A,FALSE,"Investimentos"}</definedName>
    <definedName name="wrn.Consolidado." localSheetId="5">{"Econ Consolidado",#N/A,FALSE,"Econ Consol";"Fluxo de Caixa",#N/A,FALSE,"Fluxo Caixa";"Investimentos",#N/A,FALSE,"Investimentos"}</definedName>
    <definedName name="wrn.Consolidado." localSheetId="4">{"Econ Consolidado",#N/A,FALSE,"Econ Consol";"Fluxo de Caixa",#N/A,FALSE,"Fluxo Caixa";"Investimentos",#N/A,FALSE,"Investimentos"}</definedName>
    <definedName name="wrn.Consolidado." localSheetId="13">{"Econ Consolidado",#N/A,FALSE,"Econ Consol";"Fluxo de Caixa",#N/A,FALSE,"Fluxo Caixa";"Investimentos",#N/A,FALSE,"Investimentos"}</definedName>
    <definedName name="wrn.Consolidado." localSheetId="17">{"Econ Consolidado",#N/A,FALSE,"Econ Consol";"Fluxo de Caixa",#N/A,FALSE,"Fluxo Caixa";"Investimentos",#N/A,FALSE,"Investimentos"}</definedName>
    <definedName name="wrn.Consolidado." localSheetId="0">{"Econ Consolidado",#N/A,FALSE,"Econ Consol";"Fluxo de Caixa",#N/A,FALSE,"Fluxo Caixa";"Investimentos",#N/A,FALSE,"Investimentos"}</definedName>
    <definedName name="wrn.Consolidado." localSheetId="19">{"Econ Consolidado",#N/A,FALSE,"Econ Consol";"Fluxo de Caixa",#N/A,FALSE,"Fluxo Caixa";"Investimentos",#N/A,FALSE,"Investimentos"}</definedName>
    <definedName name="wrn.Consolidado." localSheetId="16">{"Econ Consolidado",#N/A,FALSE,"Econ Consol";"Fluxo de Caixa",#N/A,FALSE,"Fluxo Caixa";"Investimentos",#N/A,FALSE,"Investimentos"}</definedName>
    <definedName name="wrn.Consolidado." localSheetId="18">{"Econ Consolidado",#N/A,FALSE,"Econ Consol";"Fluxo de Caixa",#N/A,FALSE,"Fluxo Caixa";"Investimentos",#N/A,FALSE,"Investimentos"}</definedName>
    <definedName name="wrn.Consolidado." localSheetId="10">{"Econ Consolidado",#N/A,FALSE,"Econ Consol";"Fluxo de Caixa",#N/A,FALSE,"Fluxo Caixa";"Investimentos",#N/A,FALSE,"Investimentos"}</definedName>
    <definedName name="wrn.Consolidado.">{"Econ Consolidado",#N/A,FALSE,"Econ Consol";"Fluxo de Caixa",#N/A,FALSE,"Fluxo Caixa";"Investimentos",#N/A,FALSE,"Investimentos"}</definedName>
    <definedName name="wrn.GERAL." localSheetId="9">{#N/A,#N/A,FALSE,"ET-CAPA";#N/A,#N/A,FALSE,"ET-PAG1";#N/A,#N/A,FALSE,"ET-PAG2";#N/A,#N/A,FALSE,"ET-PAG3";#N/A,#N/A,FALSE,"ET-PAG4";#N/A,#N/A,FALSE,"ET-PAG5"}</definedName>
    <definedName name="wrn.GERAL." localSheetId="2">{#N/A,#N/A,FALSE,"ET-CAPA";#N/A,#N/A,FALSE,"ET-PAG1";#N/A,#N/A,FALSE,"ET-PAG2";#N/A,#N/A,FALSE,"ET-PAG3";#N/A,#N/A,FALSE,"ET-PAG4";#N/A,#N/A,FALSE,"ET-PAG5"}</definedName>
    <definedName name="wrn.GERAL." localSheetId="6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8">{#N/A,#N/A,FALSE,"ET-CAPA";#N/A,#N/A,FALSE,"ET-PAG1";#N/A,#N/A,FALSE,"ET-PAG2";#N/A,#N/A,FALSE,"ET-PAG3";#N/A,#N/A,FALSE,"ET-PAG4";#N/A,#N/A,FALSE,"ET-PAG5"}</definedName>
    <definedName name="wrn.GERAL." localSheetId="5">{#N/A,#N/A,FALSE,"ET-CAPA";#N/A,#N/A,FALSE,"ET-PAG1";#N/A,#N/A,FALSE,"ET-PAG2";#N/A,#N/A,FALSE,"ET-PAG3";#N/A,#N/A,FALSE,"ET-PAG4";#N/A,#N/A,FALSE,"ET-PAG5"}</definedName>
    <definedName name="wrn.GERAL." localSheetId="4">{#N/A,#N/A,FALSE,"ET-CAPA";#N/A,#N/A,FALSE,"ET-PAG1";#N/A,#N/A,FALSE,"ET-PAG2";#N/A,#N/A,FALSE,"ET-PAG3";#N/A,#N/A,FALSE,"ET-PAG4";#N/A,#N/A,FALSE,"ET-PAG5"}</definedName>
    <definedName name="wrn.GERAL." localSheetId="13">{#N/A,#N/A,FALSE,"ET-CAPA";#N/A,#N/A,FALSE,"ET-PAG1";#N/A,#N/A,FALSE,"ET-PAG2";#N/A,#N/A,FALSE,"ET-PAG3";#N/A,#N/A,FALSE,"ET-PAG4";#N/A,#N/A,FALSE,"ET-PAG5"}</definedName>
    <definedName name="wrn.GERAL." localSheetId="17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 localSheetId="19">{#N/A,#N/A,FALSE,"ET-CAPA";#N/A,#N/A,FALSE,"ET-PAG1";#N/A,#N/A,FALSE,"ET-PAG2";#N/A,#N/A,FALSE,"ET-PAG3";#N/A,#N/A,FALSE,"ET-PAG4";#N/A,#N/A,FALSE,"ET-PAG5"}</definedName>
    <definedName name="wrn.GERAL." localSheetId="16">{#N/A,#N/A,FALSE,"ET-CAPA";#N/A,#N/A,FALSE,"ET-PAG1";#N/A,#N/A,FALSE,"ET-PAG2";#N/A,#N/A,FALSE,"ET-PAG3";#N/A,#N/A,FALSE,"ET-PAG4";#N/A,#N/A,FALSE,"ET-PAG5"}</definedName>
    <definedName name="wrn.GERAL." localSheetId="18">{#N/A,#N/A,FALSE,"ET-CAPA";#N/A,#N/A,FALSE,"ET-PAG1";#N/A,#N/A,FALSE,"ET-PAG2";#N/A,#N/A,FALSE,"ET-PAG3";#N/A,#N/A,FALSE,"ET-PAG4";#N/A,#N/A,FALSE,"ET-PAG5"}</definedName>
    <definedName name="wrn.GERAL." localSheetId="10">{#N/A,#N/A,FALSE,"ET-CAPA";#N/A,#N/A,FALSE,"ET-PAG1";#N/A,#N/A,FALSE,"ET-PAG2";#N/A,#N/A,FALSE,"ET-PAG3";#N/A,#N/A,FALSE,"ET-PAG4";#N/A,#N/A,FALSE,"ET-PAG5"}</definedName>
    <definedName name="wrn.GERAL." localSheetId="15">{#N/A,#N/A,FALSE,"ET-CAPA";#N/A,#N/A,FALSE,"ET-PAG1";#N/A,#N/A,FALSE,"ET-PAG2";#N/A,#N/A,FALSE,"ET-PAG3";#N/A,#N/A,FALSE,"ET-PAG4";#N/A,#N/A,FALSE,"ET-PAG5"}</definedName>
    <definedName name="wrn.GERAL." localSheetId="14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wrn.HAGE." localSheetId="9">{#N/A,#N/A,FALSE,"cdi";#N/A,#N/A,FALSE,"debent";#N/A,#N/A,FALSE,"fdos";#N/A,#N/A,FALSE,"resumo"}</definedName>
    <definedName name="wrn.HAGE." localSheetId="6">{#N/A,#N/A,FALSE,"cdi";#N/A,#N/A,FALSE,"debent";#N/A,#N/A,FALSE,"fdos";#N/A,#N/A,FALSE,"resumo"}</definedName>
    <definedName name="wrn.HAGE." localSheetId="3">{#N/A,#N/A,FALSE,"cdi";#N/A,#N/A,FALSE,"debent";#N/A,#N/A,FALSE,"fdos";#N/A,#N/A,FALSE,"resumo"}</definedName>
    <definedName name="wrn.HAGE." localSheetId="8">{#N/A,#N/A,FALSE,"cdi";#N/A,#N/A,FALSE,"debent";#N/A,#N/A,FALSE,"fdos";#N/A,#N/A,FALSE,"resumo"}</definedName>
    <definedName name="wrn.HAGE." localSheetId="5">{#N/A,#N/A,FALSE,"cdi";#N/A,#N/A,FALSE,"debent";#N/A,#N/A,FALSE,"fdos";#N/A,#N/A,FALSE,"resumo"}</definedName>
    <definedName name="wrn.HAGE." localSheetId="4">{#N/A,#N/A,FALSE,"cdi";#N/A,#N/A,FALSE,"debent";#N/A,#N/A,FALSE,"fdos";#N/A,#N/A,FALSE,"resumo"}</definedName>
    <definedName name="wrn.HAGE." localSheetId="13">{#N/A,#N/A,FALSE,"cdi";#N/A,#N/A,FALSE,"debent";#N/A,#N/A,FALSE,"fdos";#N/A,#N/A,FALSE,"resumo"}</definedName>
    <definedName name="wrn.HAGE." localSheetId="17">{#N/A,#N/A,FALSE,"cdi";#N/A,#N/A,FALSE,"debent";#N/A,#N/A,FALSE,"fdos";#N/A,#N/A,FALSE,"resumo"}</definedName>
    <definedName name="wrn.HAGE." localSheetId="0">{#N/A,#N/A,FALSE,"cdi";#N/A,#N/A,FALSE,"debent";#N/A,#N/A,FALSE,"fdos";#N/A,#N/A,FALSE,"resumo"}</definedName>
    <definedName name="wrn.HAGE." localSheetId="19">{#N/A,#N/A,FALSE,"cdi";#N/A,#N/A,FALSE,"debent";#N/A,#N/A,FALSE,"fdos";#N/A,#N/A,FALSE,"resumo"}</definedName>
    <definedName name="wrn.HAGE." localSheetId="16">{#N/A,#N/A,FALSE,"cdi";#N/A,#N/A,FALSE,"debent";#N/A,#N/A,FALSE,"fdos";#N/A,#N/A,FALSE,"resumo"}</definedName>
    <definedName name="wrn.HAGE." localSheetId="18">{#N/A,#N/A,FALSE,"cdi";#N/A,#N/A,FALSE,"debent";#N/A,#N/A,FALSE,"fdos";#N/A,#N/A,FALSE,"resumo"}</definedName>
    <definedName name="wrn.HAGE." localSheetId="10">{#N/A,#N/A,FALSE,"cdi";#N/A,#N/A,FALSE,"debent";#N/A,#N/A,FALSE,"fdos";#N/A,#N/A,FALSE,"resumo"}</definedName>
    <definedName name="wrn.HAGE.">{#N/A,#N/A,FALSE,"cdi";#N/A,#N/A,FALSE,"debent";#N/A,#N/A,FALSE,"fdos";#N/A,#N/A,FALSE,"resumo"}</definedName>
    <definedName name="wrn.HAGE01" localSheetId="9">{#N/A,#N/A,FALSE,"cdi";#N/A,#N/A,FALSE,"debent";#N/A,#N/A,FALSE,"fdos";#N/A,#N/A,FALSE,"resumo"}</definedName>
    <definedName name="wrn.HAGE01" localSheetId="6">{#N/A,#N/A,FALSE,"cdi";#N/A,#N/A,FALSE,"debent";#N/A,#N/A,FALSE,"fdos";#N/A,#N/A,FALSE,"resumo"}</definedName>
    <definedName name="wrn.HAGE01" localSheetId="3">{#N/A,#N/A,FALSE,"cdi";#N/A,#N/A,FALSE,"debent";#N/A,#N/A,FALSE,"fdos";#N/A,#N/A,FALSE,"resumo"}</definedName>
    <definedName name="wrn.HAGE01" localSheetId="8">{#N/A,#N/A,FALSE,"cdi";#N/A,#N/A,FALSE,"debent";#N/A,#N/A,FALSE,"fdos";#N/A,#N/A,FALSE,"resumo"}</definedName>
    <definedName name="wrn.HAGE01" localSheetId="5">{#N/A,#N/A,FALSE,"cdi";#N/A,#N/A,FALSE,"debent";#N/A,#N/A,FALSE,"fdos";#N/A,#N/A,FALSE,"resumo"}</definedName>
    <definedName name="wrn.HAGE01" localSheetId="4">{#N/A,#N/A,FALSE,"cdi";#N/A,#N/A,FALSE,"debent";#N/A,#N/A,FALSE,"fdos";#N/A,#N/A,FALSE,"resumo"}</definedName>
    <definedName name="wrn.HAGE01" localSheetId="13">{#N/A,#N/A,FALSE,"cdi";#N/A,#N/A,FALSE,"debent";#N/A,#N/A,FALSE,"fdos";#N/A,#N/A,FALSE,"resumo"}</definedName>
    <definedName name="wrn.HAGE01" localSheetId="17">{#N/A,#N/A,FALSE,"cdi";#N/A,#N/A,FALSE,"debent";#N/A,#N/A,FALSE,"fdos";#N/A,#N/A,FALSE,"resumo"}</definedName>
    <definedName name="wrn.HAGE01" localSheetId="0">{#N/A,#N/A,FALSE,"cdi";#N/A,#N/A,FALSE,"debent";#N/A,#N/A,FALSE,"fdos";#N/A,#N/A,FALSE,"resumo"}</definedName>
    <definedName name="wrn.HAGE01" localSheetId="19">{#N/A,#N/A,FALSE,"cdi";#N/A,#N/A,FALSE,"debent";#N/A,#N/A,FALSE,"fdos";#N/A,#N/A,FALSE,"resumo"}</definedName>
    <definedName name="wrn.HAGE01" localSheetId="16">{#N/A,#N/A,FALSE,"cdi";#N/A,#N/A,FALSE,"debent";#N/A,#N/A,FALSE,"fdos";#N/A,#N/A,FALSE,"resumo"}</definedName>
    <definedName name="wrn.HAGE01" localSheetId="18">{#N/A,#N/A,FALSE,"cdi";#N/A,#N/A,FALSE,"debent";#N/A,#N/A,FALSE,"fdos";#N/A,#N/A,FALSE,"resumo"}</definedName>
    <definedName name="wrn.HAGE01" localSheetId="10">{#N/A,#N/A,FALSE,"cdi";#N/A,#N/A,FALSE,"debent";#N/A,#N/A,FALSE,"fdos";#N/A,#N/A,FALSE,"resumo"}</definedName>
    <definedName name="wrn.HAGE01">{#N/A,#N/A,FALSE,"cdi";#N/A,#N/A,FALSE,"debent";#N/A,#N/A,FALSE,"fdos";#N/A,#N/A,FALSE,"resumo"}</definedName>
    <definedName name="wrn.HW." localSheetId="9">{"HW",#N/A,FALSE,"1998"}</definedName>
    <definedName name="wrn.HW." localSheetId="6">{"HW",#N/A,FALSE,"1998"}</definedName>
    <definedName name="wrn.HW." localSheetId="3">{"HW",#N/A,FALSE,"1998"}</definedName>
    <definedName name="wrn.HW." localSheetId="8">{"HW",#N/A,FALSE,"1998"}</definedName>
    <definedName name="wrn.HW." localSheetId="5">{"HW",#N/A,FALSE,"1998"}</definedName>
    <definedName name="wrn.HW." localSheetId="4">{"HW",#N/A,FALSE,"1998"}</definedName>
    <definedName name="wrn.HW." localSheetId="13">{"HW",#N/A,FALSE,"1998"}</definedName>
    <definedName name="wrn.HW." localSheetId="17">{"HW",#N/A,FALSE,"1998"}</definedName>
    <definedName name="wrn.HW." localSheetId="0">{"HW",#N/A,FALSE,"1998"}</definedName>
    <definedName name="wrn.HW." localSheetId="19">{"HW",#N/A,FALSE,"1998"}</definedName>
    <definedName name="wrn.HW." localSheetId="16">{"HW",#N/A,FALSE,"1998"}</definedName>
    <definedName name="wrn.HW." localSheetId="18">{"HW",#N/A,FALSE,"1998"}</definedName>
    <definedName name="wrn.HW." localSheetId="10">{"HW",#N/A,FALSE,"1998"}</definedName>
    <definedName name="wrn.HW.">{"HW",#N/A,FALSE,"1998"}</definedName>
    <definedName name="wrn.imp_flx." localSheetId="9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6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3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8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4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3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7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9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6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8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0">{#N/A,#N/A,FALSE,"CONSOLID";#N/A,#N/A,FALSE,"CIMENTO";#N/A,#N/A,FALSE,"METALURGIA";#N/A,#N/A,FALSE,"PAPEL";#N/A,#N/A,FALSE,"QUÍMICA";#N/A,#N/A,FALSE,"AGROINDL";#N/A,#N/A,FALSE,"OUTROS";#N/A,#N/A,FALSE,"REAL_ORCADO"}</definedName>
    <definedName name="wrn.imp_flx.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9">{#N/A,#N/A,FALSE,"Plan1";#N/A,#N/A,FALSE,"Plan2"}</definedName>
    <definedName name="wrn.IMPRESSO." localSheetId="6">{#N/A,#N/A,FALSE,"Plan1";#N/A,#N/A,FALSE,"Plan2"}</definedName>
    <definedName name="wrn.IMPRESSO." localSheetId="3">{#N/A,#N/A,FALSE,"Plan1";#N/A,#N/A,FALSE,"Plan2"}</definedName>
    <definedName name="wrn.IMPRESSO." localSheetId="8">{#N/A,#N/A,FALSE,"Plan1";#N/A,#N/A,FALSE,"Plan2"}</definedName>
    <definedName name="wrn.IMPRESSO." localSheetId="5">{#N/A,#N/A,FALSE,"Plan1";#N/A,#N/A,FALSE,"Plan2"}</definedName>
    <definedName name="wrn.IMPRESSO." localSheetId="4">{#N/A,#N/A,FALSE,"Plan1";#N/A,#N/A,FALSE,"Plan2"}</definedName>
    <definedName name="wrn.IMPRESSO." localSheetId="13">{#N/A,#N/A,FALSE,"Plan1";#N/A,#N/A,FALSE,"Plan2"}</definedName>
    <definedName name="wrn.IMPRESSO." localSheetId="17">{#N/A,#N/A,FALSE,"Plan1";#N/A,#N/A,FALSE,"Plan2"}</definedName>
    <definedName name="wrn.IMPRESSO." localSheetId="0">{#N/A,#N/A,FALSE,"Plan1";#N/A,#N/A,FALSE,"Plan2"}</definedName>
    <definedName name="wrn.IMPRESSO." localSheetId="19">{#N/A,#N/A,FALSE,"Plan1";#N/A,#N/A,FALSE,"Plan2"}</definedName>
    <definedName name="wrn.IMPRESSO." localSheetId="16">{#N/A,#N/A,FALSE,"Plan1";#N/A,#N/A,FALSE,"Plan2"}</definedName>
    <definedName name="wrn.IMPRESSO." localSheetId="18">{#N/A,#N/A,FALSE,"Plan1";#N/A,#N/A,FALSE,"Plan2"}</definedName>
    <definedName name="wrn.IMPRESSO." localSheetId="10">{#N/A,#N/A,FALSE,"Plan1";#N/A,#N/A,FALSE,"Plan2"}</definedName>
    <definedName name="wrn.IMPRESSO.">{#N/A,#N/A,FALSE,"Plan1";#N/A,#N/A,FALSE,"Plan2"}</definedName>
    <definedName name="wrn.Imprimir." localSheetId="9">{"tabela",#N/A,FALSE,"Tabela";"decoração",#N/A,FALSE,"Decor.";"Informações",#N/A,FALSE,"Inform."}</definedName>
    <definedName name="wrn.Imprimir." localSheetId="6">{"tabela",#N/A,FALSE,"Tabela";"decoração",#N/A,FALSE,"Decor.";"Informações",#N/A,FALSE,"Inform."}</definedName>
    <definedName name="wrn.Imprimir." localSheetId="3">{"tabela",#N/A,FALSE,"Tabela";"decoração",#N/A,FALSE,"Decor.";"Informações",#N/A,FALSE,"Inform."}</definedName>
    <definedName name="wrn.Imprimir." localSheetId="8">{"tabela",#N/A,FALSE,"Tabela";"decoração",#N/A,FALSE,"Decor.";"Informações",#N/A,FALSE,"Inform."}</definedName>
    <definedName name="wrn.Imprimir." localSheetId="5">{"tabela",#N/A,FALSE,"Tabela";"decoração",#N/A,FALSE,"Decor.";"Informações",#N/A,FALSE,"Inform."}</definedName>
    <definedName name="wrn.Imprimir." localSheetId="4">{"tabela",#N/A,FALSE,"Tabela";"decoração",#N/A,FALSE,"Decor.";"Informações",#N/A,FALSE,"Inform."}</definedName>
    <definedName name="wrn.Imprimir." localSheetId="13">{"tabela",#N/A,FALSE,"Tabela";"decoração",#N/A,FALSE,"Decor.";"Informações",#N/A,FALSE,"Inform."}</definedName>
    <definedName name="wrn.Imprimir." localSheetId="17">{"tabela",#N/A,FALSE,"Tabela";"decoração",#N/A,FALSE,"Decor.";"Informações",#N/A,FALSE,"Inform."}</definedName>
    <definedName name="wrn.Imprimir." localSheetId="0">{"tabela",#N/A,FALSE,"Tabela";"decoração",#N/A,FALSE,"Decor.";"Informações",#N/A,FALSE,"Inform."}</definedName>
    <definedName name="wrn.Imprimir." localSheetId="19">{"tabela",#N/A,FALSE,"Tabela";"decoração",#N/A,FALSE,"Decor.";"Informações",#N/A,FALSE,"Inform."}</definedName>
    <definedName name="wrn.Imprimir." localSheetId="16">{"tabela",#N/A,FALSE,"Tabela";"decoração",#N/A,FALSE,"Decor.";"Informações",#N/A,FALSE,"Inform."}</definedName>
    <definedName name="wrn.Imprimir." localSheetId="18">{"tabela",#N/A,FALSE,"Tabela";"decoração",#N/A,FALSE,"Decor.";"Informações",#N/A,FALSE,"Inform."}</definedName>
    <definedName name="wrn.Imprimir." localSheetId="10">{"tabela",#N/A,FALSE,"Tabela";"decoração",#N/A,FALSE,"Decor.";"Informações",#N/A,FALSE,"Inform."}</definedName>
    <definedName name="wrn.Imprimir.">{"tabela",#N/A,FALSE,"Tabela";"decoração",#N/A,FALSE,"Decor.";"Informações",#N/A,FALSE,"Inform."}</definedName>
    <definedName name="wrn.LPU._.MG." localSheetId="9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6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3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5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4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3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7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9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6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8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9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6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3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5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4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3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7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9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6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8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9">{#N/A,#N/A,FALSE,"ALVENARIA";#N/A,#N/A,FALSE,"BLOCOS";#N/A,#N/A,FALSE,"CINTAS";#N/A,#N/A,FALSE,"CORTINA";#N/A,#N/A,FALSE,"LAJES";#N/A,#N/A,FALSE,"PILARES";#N/A,#N/A,FALSE,"VIGAS"}</definedName>
    <definedName name="wrn.mode_lev.xls." localSheetId="10">{#N/A,#N/A,FALSE,"ALVENARIA";#N/A,#N/A,FALSE,"BLOCOS";#N/A,#N/A,FALSE,"CINTAS";#N/A,#N/A,FALSE,"CORTINA";#N/A,#N/A,FALSE,"LAJES";#N/A,#N/A,FALSE,"PILARES";#N/A,#N/A,FALSE,"VIGAS"}</definedName>
    <definedName name="wrn.mode_lev.xls.">{#N/A,#N/A,FALSE,"ALVENARIA";#N/A,#N/A,FALSE,"BLOCOS";#N/A,#N/A,FALSE,"CINTAS";#N/A,#N/A,FALSE,"CORTINA";#N/A,#N/A,FALSE,"LAJES";#N/A,#N/A,FALSE,"PILARES";#N/A,#N/A,FALSE,"VIGAS"}</definedName>
    <definedName name="wrn.Month._.Report._.Package." localSheetId="9">{#N/A,#N/A,FALSE,"Global Wls Trend";#N/A,#N/A,FALSE,"Region Trend";#N/A,#N/A,FALSE,"PBU Trend"}</definedName>
    <definedName name="wrn.Month._.Report._.Package." localSheetId="6">{#N/A,#N/A,FALSE,"Global Wls Trend";#N/A,#N/A,FALSE,"Region Trend";#N/A,#N/A,FALSE,"PBU Trend"}</definedName>
    <definedName name="wrn.Month._.Report._.Package." localSheetId="3">{#N/A,#N/A,FALSE,"Global Wls Trend";#N/A,#N/A,FALSE,"Region Trend";#N/A,#N/A,FALSE,"PBU Trend"}</definedName>
    <definedName name="wrn.Month._.Report._.Package." localSheetId="8">{#N/A,#N/A,FALSE,"Global Wls Trend";#N/A,#N/A,FALSE,"Region Trend";#N/A,#N/A,FALSE,"PBU Trend"}</definedName>
    <definedName name="wrn.Month._.Report._.Package." localSheetId="5">{#N/A,#N/A,FALSE,"Global Wls Trend";#N/A,#N/A,FALSE,"Region Trend";#N/A,#N/A,FALSE,"PBU Trend"}</definedName>
    <definedName name="wrn.Month._.Report._.Package." localSheetId="4">{#N/A,#N/A,FALSE,"Global Wls Trend";#N/A,#N/A,FALSE,"Region Trend";#N/A,#N/A,FALSE,"PBU Trend"}</definedName>
    <definedName name="wrn.Month._.Report._.Package." localSheetId="13">{#N/A,#N/A,FALSE,"Global Wls Trend";#N/A,#N/A,FALSE,"Region Trend";#N/A,#N/A,FALSE,"PBU Trend"}</definedName>
    <definedName name="wrn.Month._.Report._.Package." localSheetId="17">{#N/A,#N/A,FALSE,"Global Wls Trend";#N/A,#N/A,FALSE,"Region Trend";#N/A,#N/A,FALSE,"PBU Trend"}</definedName>
    <definedName name="wrn.Month._.Report._.Package." localSheetId="0">{#N/A,#N/A,FALSE,"Global Wls Trend";#N/A,#N/A,FALSE,"Region Trend";#N/A,#N/A,FALSE,"PBU Trend"}</definedName>
    <definedName name="wrn.Month._.Report._.Package." localSheetId="19">{#N/A,#N/A,FALSE,"Global Wls Trend";#N/A,#N/A,FALSE,"Region Trend";#N/A,#N/A,FALSE,"PBU Trend"}</definedName>
    <definedName name="wrn.Month._.Report._.Package." localSheetId="16">{#N/A,#N/A,FALSE,"Global Wls Trend";#N/A,#N/A,FALSE,"Region Trend";#N/A,#N/A,FALSE,"PBU Trend"}</definedName>
    <definedName name="wrn.Month._.Report._.Package." localSheetId="18">{#N/A,#N/A,FALSE,"Global Wls Trend";#N/A,#N/A,FALSE,"Region Trend";#N/A,#N/A,FALSE,"PBU Trend"}</definedName>
    <definedName name="wrn.Month._.Report._.Package." localSheetId="10">{#N/A,#N/A,FALSE,"Global Wls Trend";#N/A,#N/A,FALSE,"Region Trend";#N/A,#N/A,FALSE,"PBU Trend"}</definedName>
    <definedName name="wrn.Month._.Report._.Package.">{#N/A,#N/A,FALSE,"Global Wls Trend";#N/A,#N/A,FALSE,"Region Trend";#N/A,#N/A,FALSE,"PBU Trend"}</definedName>
    <definedName name="wrn.Monthly._.Report._.Package." localSheetId="9">{#N/A,#N/A,FALSE,"Global by BU";#N/A,#N/A,FALSE,"U.S. by BU";#N/A,#N/A,FALSE,"Canada by BU";#N/A,#N/A,FALSE,"Europe by BU";#N/A,#N/A,FALSE,"Asia by BU";#N/A,#N/A,FALSE,"Cala by BU"}</definedName>
    <definedName name="wrn.Monthly._.Report._.Package." localSheetId="6">{#N/A,#N/A,FALSE,"Global by BU";#N/A,#N/A,FALSE,"U.S. by BU";#N/A,#N/A,FALSE,"Canada by BU";#N/A,#N/A,FALSE,"Europe by BU";#N/A,#N/A,FALSE,"Asia by BU";#N/A,#N/A,FALSE,"Cala by BU"}</definedName>
    <definedName name="wrn.Monthly._.Report._.Package." localSheetId="3">{#N/A,#N/A,FALSE,"Global by BU";#N/A,#N/A,FALSE,"U.S. by BU";#N/A,#N/A,FALSE,"Canada by BU";#N/A,#N/A,FALSE,"Europe by BU";#N/A,#N/A,FALSE,"Asia by BU";#N/A,#N/A,FALSE,"Cala by BU"}</definedName>
    <definedName name="wrn.Monthly._.Report._.Package." localSheetId="8">{#N/A,#N/A,FALSE,"Global by BU";#N/A,#N/A,FALSE,"U.S. by BU";#N/A,#N/A,FALSE,"Canada by BU";#N/A,#N/A,FALSE,"Europe by BU";#N/A,#N/A,FALSE,"Asia by BU";#N/A,#N/A,FALSE,"Cala by BU"}</definedName>
    <definedName name="wrn.Monthly._.Report._.Package." localSheetId="5">{#N/A,#N/A,FALSE,"Global by BU";#N/A,#N/A,FALSE,"U.S. by BU";#N/A,#N/A,FALSE,"Canada by BU";#N/A,#N/A,FALSE,"Europe by BU";#N/A,#N/A,FALSE,"Asia by BU";#N/A,#N/A,FALSE,"Cala by BU"}</definedName>
    <definedName name="wrn.Monthly._.Report._.Package." localSheetId="4">{#N/A,#N/A,FALSE,"Global by BU";#N/A,#N/A,FALSE,"U.S. by BU";#N/A,#N/A,FALSE,"Canada by BU";#N/A,#N/A,FALSE,"Europe by BU";#N/A,#N/A,FALSE,"Asia by BU";#N/A,#N/A,FALSE,"Cala by BU"}</definedName>
    <definedName name="wrn.Monthly._.Report._.Package." localSheetId="13">{#N/A,#N/A,FALSE,"Global by BU";#N/A,#N/A,FALSE,"U.S. by BU";#N/A,#N/A,FALSE,"Canada by BU";#N/A,#N/A,FALSE,"Europe by BU";#N/A,#N/A,FALSE,"Asia by BU";#N/A,#N/A,FALSE,"Cala by BU"}</definedName>
    <definedName name="wrn.Monthly._.Report._.Package." localSheetId="17">{#N/A,#N/A,FALSE,"Global by BU";#N/A,#N/A,FALSE,"U.S. by BU";#N/A,#N/A,FALSE,"Canada by BU";#N/A,#N/A,FALSE,"Europe by BU";#N/A,#N/A,FALSE,"Asia by BU";#N/A,#N/A,FALSE,"Cala by BU"}</definedName>
    <definedName name="wrn.Monthly._.Report._.Package." localSheetId="0">{#N/A,#N/A,FALSE,"Global by BU";#N/A,#N/A,FALSE,"U.S. by BU";#N/A,#N/A,FALSE,"Canada by BU";#N/A,#N/A,FALSE,"Europe by BU";#N/A,#N/A,FALSE,"Asia by BU";#N/A,#N/A,FALSE,"Cala by BU"}</definedName>
    <definedName name="wrn.Monthly._.Report._.Package." localSheetId="19">{#N/A,#N/A,FALSE,"Global by BU";#N/A,#N/A,FALSE,"U.S. by BU";#N/A,#N/A,FALSE,"Canada by BU";#N/A,#N/A,FALSE,"Europe by BU";#N/A,#N/A,FALSE,"Asia by BU";#N/A,#N/A,FALSE,"Cala by BU"}</definedName>
    <definedName name="wrn.Monthly._.Report._.Package." localSheetId="16">{#N/A,#N/A,FALSE,"Global by BU";#N/A,#N/A,FALSE,"U.S. by BU";#N/A,#N/A,FALSE,"Canada by BU";#N/A,#N/A,FALSE,"Europe by BU";#N/A,#N/A,FALSE,"Asia by BU";#N/A,#N/A,FALSE,"Cala by BU"}</definedName>
    <definedName name="wrn.Monthly._.Report._.Package." localSheetId="18">{#N/A,#N/A,FALSE,"Global by BU";#N/A,#N/A,FALSE,"U.S. by BU";#N/A,#N/A,FALSE,"Canada by BU";#N/A,#N/A,FALSE,"Europe by BU";#N/A,#N/A,FALSE,"Asia by BU";#N/A,#N/A,FALSE,"Cala by BU"}</definedName>
    <definedName name="wrn.Monthly._.Report._.Package." localSheetId="10">{#N/A,#N/A,FALSE,"Global by BU";#N/A,#N/A,FALSE,"U.S. by BU";#N/A,#N/A,FALSE,"Canada by BU";#N/A,#N/A,FALSE,"Europe by BU";#N/A,#N/A,FALSE,"Asia by BU";#N/A,#N/A,FALSE,"Cala by BU"}</definedName>
    <definedName name="wrn.Monthly._.Report._.Package.">{#N/A,#N/A,FALSE,"Global by BU";#N/A,#N/A,FALSE,"U.S. by BU";#N/A,#N/A,FALSE,"Canada by BU";#N/A,#N/A,FALSE,"Europe by BU";#N/A,#N/A,FALSE,"Asia by BU";#N/A,#N/A,FALSE,"Cala by BU"}</definedName>
    <definedName name="wrn.PENDENCIAS.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9">{#N/A,#N/A,FALSE,"F-01"}</definedName>
    <definedName name="wrn.Planiha._.de._.Medição._.F._.01." localSheetId="6">{#N/A,#N/A,FALSE,"F-01"}</definedName>
    <definedName name="wrn.Planiha._.de._.Medição._.F._.01." localSheetId="3">{#N/A,#N/A,FALSE,"F-01"}</definedName>
    <definedName name="wrn.Planiha._.de._.Medição._.F._.01." localSheetId="8">{#N/A,#N/A,FALSE,"F-01"}</definedName>
    <definedName name="wrn.Planiha._.de._.Medição._.F._.01." localSheetId="5">{#N/A,#N/A,FALSE,"F-01"}</definedName>
    <definedName name="wrn.Planiha._.de._.Medição._.F._.01." localSheetId="4">{#N/A,#N/A,FALSE,"F-01"}</definedName>
    <definedName name="wrn.Planiha._.de._.Medição._.F._.01." localSheetId="13">{#N/A,#N/A,FALSE,"F-01"}</definedName>
    <definedName name="wrn.Planiha._.de._.Medição._.F._.01." localSheetId="17">{#N/A,#N/A,FALSE,"F-01"}</definedName>
    <definedName name="wrn.Planiha._.de._.Medição._.F._.01." localSheetId="0">{#N/A,#N/A,FALSE,"F-01"}</definedName>
    <definedName name="wrn.Planiha._.de._.Medição._.F._.01." localSheetId="19">{#N/A,#N/A,FALSE,"F-01"}</definedName>
    <definedName name="wrn.Planiha._.de._.Medição._.F._.01." localSheetId="16">{#N/A,#N/A,FALSE,"F-01"}</definedName>
    <definedName name="wrn.Planiha._.de._.Medição._.F._.01." localSheetId="18">{#N/A,#N/A,FALSE,"F-01"}</definedName>
    <definedName name="wrn.Planiha._.de._.Medição._.F._.01." localSheetId="10">{#N/A,#N/A,FALSE,"F-01"}</definedName>
    <definedName name="wrn.Planiha._.de._.Medição._.F._.01.">{#N/A,#N/A,FALSE,"F-01"}</definedName>
    <definedName name="wrn.Planiha._.de._.Medição._.F._.01._1" localSheetId="9">{#N/A,#N/A,FALSE,"F-01"}</definedName>
    <definedName name="wrn.Planiha._.de._.Medição._.F._.01._1" localSheetId="6">{#N/A,#N/A,FALSE,"F-01"}</definedName>
    <definedName name="wrn.Planiha._.de._.Medição._.F._.01._1" localSheetId="3">{#N/A,#N/A,FALSE,"F-01"}</definedName>
    <definedName name="wrn.Planiha._.de._.Medição._.F._.01._1" localSheetId="8">{#N/A,#N/A,FALSE,"F-01"}</definedName>
    <definedName name="wrn.Planiha._.de._.Medição._.F._.01._1" localSheetId="5">{#N/A,#N/A,FALSE,"F-01"}</definedName>
    <definedName name="wrn.Planiha._.de._.Medição._.F._.01._1" localSheetId="4">{#N/A,#N/A,FALSE,"F-01"}</definedName>
    <definedName name="wrn.Planiha._.de._.Medição._.F._.01._1" localSheetId="13">{#N/A,#N/A,FALSE,"F-01"}</definedName>
    <definedName name="wrn.Planiha._.de._.Medição._.F._.01._1" localSheetId="17">{#N/A,#N/A,FALSE,"F-01"}</definedName>
    <definedName name="wrn.Planiha._.de._.Medição._.F._.01._1" localSheetId="0">{#N/A,#N/A,FALSE,"F-01"}</definedName>
    <definedName name="wrn.Planiha._.de._.Medição._.F._.01._1" localSheetId="19">{#N/A,#N/A,FALSE,"F-01"}</definedName>
    <definedName name="wrn.Planiha._.de._.Medição._.F._.01._1" localSheetId="16">{#N/A,#N/A,FALSE,"F-01"}</definedName>
    <definedName name="wrn.Planiha._.de._.Medição._.F._.01._1" localSheetId="18">{#N/A,#N/A,FALSE,"F-01"}</definedName>
    <definedName name="wrn.Planiha._.de._.Medição._.F._.01._1" localSheetId="10">{#N/A,#N/A,FALSE,"F-01"}</definedName>
    <definedName name="wrn.Planiha._.de._.Medição._.F._.01._1">{#N/A,#N/A,FALSE,"F-01"}</definedName>
    <definedName name="wrn.Planilha_de_Medição_F_02" localSheetId="9">{#N/A,#N/A,FALSE,"F-01"}</definedName>
    <definedName name="wrn.Planilha_de_Medição_F_02" localSheetId="6">{#N/A,#N/A,FALSE,"F-01"}</definedName>
    <definedName name="wrn.Planilha_de_Medição_F_02" localSheetId="3">{#N/A,#N/A,FALSE,"F-01"}</definedName>
    <definedName name="wrn.Planilha_de_Medição_F_02" localSheetId="8">{#N/A,#N/A,FALSE,"F-01"}</definedName>
    <definedName name="wrn.Planilha_de_Medição_F_02" localSheetId="5">{#N/A,#N/A,FALSE,"F-01"}</definedName>
    <definedName name="wrn.Planilha_de_Medição_F_02" localSheetId="4">{#N/A,#N/A,FALSE,"F-01"}</definedName>
    <definedName name="wrn.Planilha_de_Medição_F_02" localSheetId="13">{#N/A,#N/A,FALSE,"F-01"}</definedName>
    <definedName name="wrn.Planilha_de_Medição_F_02" localSheetId="17">{#N/A,#N/A,FALSE,"F-01"}</definedName>
    <definedName name="wrn.Planilha_de_Medição_F_02" localSheetId="0">{#N/A,#N/A,FALSE,"F-01"}</definedName>
    <definedName name="wrn.Planilha_de_Medição_F_02" localSheetId="19">{#N/A,#N/A,FALSE,"F-01"}</definedName>
    <definedName name="wrn.Planilha_de_Medição_F_02" localSheetId="16">{#N/A,#N/A,FALSE,"F-01"}</definedName>
    <definedName name="wrn.Planilha_de_Medição_F_02" localSheetId="18">{#N/A,#N/A,FALSE,"F-01"}</definedName>
    <definedName name="wrn.Planilha_de_Medição_F_02" localSheetId="10">{#N/A,#N/A,FALSE,"F-01"}</definedName>
    <definedName name="wrn.Planilha_de_Medição_F_02">{#N/A,#N/A,FALSE,"F-01"}</definedName>
    <definedName name="wrn.print._.all." localSheetId="9">{#N/A,#N/A,FALSE,"$170M Cash";#N/A,#N/A,FALSE,"$250M Cash";#N/A,#N/A,FALSE,"$325M Cash"}</definedName>
    <definedName name="wrn.print._.all." localSheetId="6">{#N/A,#N/A,FALSE,"$170M Cash";#N/A,#N/A,FALSE,"$250M Cash";#N/A,#N/A,FALSE,"$325M Cash"}</definedName>
    <definedName name="wrn.print._.all." localSheetId="3">{#N/A,#N/A,FALSE,"$170M Cash";#N/A,#N/A,FALSE,"$250M Cash";#N/A,#N/A,FALSE,"$325M Cash"}</definedName>
    <definedName name="wrn.print._.all." localSheetId="8">{#N/A,#N/A,FALSE,"$170M Cash";#N/A,#N/A,FALSE,"$250M Cash";#N/A,#N/A,FALSE,"$325M Cash"}</definedName>
    <definedName name="wrn.print._.all." localSheetId="5">{#N/A,#N/A,FALSE,"$170M Cash";#N/A,#N/A,FALSE,"$250M Cash";#N/A,#N/A,FALSE,"$325M Cash"}</definedName>
    <definedName name="wrn.print._.all." localSheetId="4">{#N/A,#N/A,FALSE,"$170M Cash";#N/A,#N/A,FALSE,"$250M Cash";#N/A,#N/A,FALSE,"$325M Cash"}</definedName>
    <definedName name="wrn.print._.all." localSheetId="13">{#N/A,#N/A,FALSE,"$170M Cash";#N/A,#N/A,FALSE,"$250M Cash";#N/A,#N/A,FALSE,"$325M Cash"}</definedName>
    <definedName name="wrn.print._.all." localSheetId="17">{#N/A,#N/A,FALSE,"$170M Cash";#N/A,#N/A,FALSE,"$250M Cash";#N/A,#N/A,FALSE,"$325M Cash"}</definedName>
    <definedName name="wrn.print._.all." localSheetId="0">{#N/A,#N/A,FALSE,"$170M Cash";#N/A,#N/A,FALSE,"$250M Cash";#N/A,#N/A,FALSE,"$325M Cash"}</definedName>
    <definedName name="wrn.print._.all." localSheetId="19">{#N/A,#N/A,FALSE,"$170M Cash";#N/A,#N/A,FALSE,"$250M Cash";#N/A,#N/A,FALSE,"$325M Cash"}</definedName>
    <definedName name="wrn.print._.all." localSheetId="16">{#N/A,#N/A,FALSE,"$170M Cash";#N/A,#N/A,FALSE,"$250M Cash";#N/A,#N/A,FALSE,"$325M Cash"}</definedName>
    <definedName name="wrn.print._.all." localSheetId="18">{#N/A,#N/A,FALSE,"$170M Cash";#N/A,#N/A,FALSE,"$250M Cash";#N/A,#N/A,FALSE,"$325M Cash"}</definedName>
    <definedName name="wrn.print._.all." localSheetId="10">{#N/A,#N/A,FALSE,"$170M Cash";#N/A,#N/A,FALSE,"$250M Cash";#N/A,#N/A,FALSE,"$325M Cash"}</definedName>
    <definedName name="wrn.print._.all.">{#N/A,#N/A,FALSE,"$170M Cash";#N/A,#N/A,FALSE,"$250M Cash";#N/A,#N/A,FALSE,"$325M Cash"}</definedName>
    <definedName name="wrn.PrintAll." localSheetId="9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6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3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5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4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3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7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9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6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8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9">{#N/A,#N/A,FALSE,"Sheet1";#N/A,#N/A,FALSE,"Sheet2";#N/A,#N/A,FALSE,"Sheet3"}</definedName>
    <definedName name="wrn.PrintCurr." localSheetId="6">{#N/A,#N/A,FALSE,"Sheet1";#N/A,#N/A,FALSE,"Sheet2";#N/A,#N/A,FALSE,"Sheet3"}</definedName>
    <definedName name="wrn.PrintCurr." localSheetId="3">{#N/A,#N/A,FALSE,"Sheet1";#N/A,#N/A,FALSE,"Sheet2";#N/A,#N/A,FALSE,"Sheet3"}</definedName>
    <definedName name="wrn.PrintCurr." localSheetId="8">{#N/A,#N/A,FALSE,"Sheet1";#N/A,#N/A,FALSE,"Sheet2";#N/A,#N/A,FALSE,"Sheet3"}</definedName>
    <definedName name="wrn.PrintCurr." localSheetId="5">{#N/A,#N/A,FALSE,"Sheet1";#N/A,#N/A,FALSE,"Sheet2";#N/A,#N/A,FALSE,"Sheet3"}</definedName>
    <definedName name="wrn.PrintCurr." localSheetId="4">{#N/A,#N/A,FALSE,"Sheet1";#N/A,#N/A,FALSE,"Sheet2";#N/A,#N/A,FALSE,"Sheet3"}</definedName>
    <definedName name="wrn.PrintCurr." localSheetId="13">{#N/A,#N/A,FALSE,"Sheet1";#N/A,#N/A,FALSE,"Sheet2";#N/A,#N/A,FALSE,"Sheet3"}</definedName>
    <definedName name="wrn.PrintCurr." localSheetId="17">{#N/A,#N/A,FALSE,"Sheet1";#N/A,#N/A,FALSE,"Sheet2";#N/A,#N/A,FALSE,"Sheet3"}</definedName>
    <definedName name="wrn.PrintCurr." localSheetId="0">{#N/A,#N/A,FALSE,"Sheet1";#N/A,#N/A,FALSE,"Sheet2";#N/A,#N/A,FALSE,"Sheet3"}</definedName>
    <definedName name="wrn.PrintCurr." localSheetId="19">{#N/A,#N/A,FALSE,"Sheet1";#N/A,#N/A,FALSE,"Sheet2";#N/A,#N/A,FALSE,"Sheet3"}</definedName>
    <definedName name="wrn.PrintCurr." localSheetId="16">{#N/A,#N/A,FALSE,"Sheet1";#N/A,#N/A,FALSE,"Sheet2";#N/A,#N/A,FALSE,"Sheet3"}</definedName>
    <definedName name="wrn.PrintCurr." localSheetId="18">{#N/A,#N/A,FALSE,"Sheet1";#N/A,#N/A,FALSE,"Sheet2";#N/A,#N/A,FALSE,"Sheet3"}</definedName>
    <definedName name="wrn.PrintCurr." localSheetId="10">{#N/A,#N/A,FALSE,"Sheet1";#N/A,#N/A,FALSE,"Sheet2";#N/A,#N/A,FALSE,"Sheet3"}</definedName>
    <definedName name="wrn.PrintCurr.">{#N/A,#N/A,FALSE,"Sheet1";#N/A,#N/A,FALSE,"Sheet2";#N/A,#N/A,FALSE,"Sheet3"}</definedName>
    <definedName name="wrn.PrintPrev1." localSheetId="9">{#N/A,#N/A,FALSE,"Sheet4";#N/A,#N/A,FALSE,"Sheet5";#N/A,#N/A,FALSE,"Sheet6"}</definedName>
    <definedName name="wrn.PrintPrev1." localSheetId="6">{#N/A,#N/A,FALSE,"Sheet4";#N/A,#N/A,FALSE,"Sheet5";#N/A,#N/A,FALSE,"Sheet6"}</definedName>
    <definedName name="wrn.PrintPrev1." localSheetId="3">{#N/A,#N/A,FALSE,"Sheet4";#N/A,#N/A,FALSE,"Sheet5";#N/A,#N/A,FALSE,"Sheet6"}</definedName>
    <definedName name="wrn.PrintPrev1." localSheetId="8">{#N/A,#N/A,FALSE,"Sheet4";#N/A,#N/A,FALSE,"Sheet5";#N/A,#N/A,FALSE,"Sheet6"}</definedName>
    <definedName name="wrn.PrintPrev1." localSheetId="5">{#N/A,#N/A,FALSE,"Sheet4";#N/A,#N/A,FALSE,"Sheet5";#N/A,#N/A,FALSE,"Sheet6"}</definedName>
    <definedName name="wrn.PrintPrev1." localSheetId="4">{#N/A,#N/A,FALSE,"Sheet4";#N/A,#N/A,FALSE,"Sheet5";#N/A,#N/A,FALSE,"Sheet6"}</definedName>
    <definedName name="wrn.PrintPrev1." localSheetId="13">{#N/A,#N/A,FALSE,"Sheet4";#N/A,#N/A,FALSE,"Sheet5";#N/A,#N/A,FALSE,"Sheet6"}</definedName>
    <definedName name="wrn.PrintPrev1." localSheetId="17">{#N/A,#N/A,FALSE,"Sheet4";#N/A,#N/A,FALSE,"Sheet5";#N/A,#N/A,FALSE,"Sheet6"}</definedName>
    <definedName name="wrn.PrintPrev1." localSheetId="0">{#N/A,#N/A,FALSE,"Sheet4";#N/A,#N/A,FALSE,"Sheet5";#N/A,#N/A,FALSE,"Sheet6"}</definedName>
    <definedName name="wrn.PrintPrev1." localSheetId="19">{#N/A,#N/A,FALSE,"Sheet4";#N/A,#N/A,FALSE,"Sheet5";#N/A,#N/A,FALSE,"Sheet6"}</definedName>
    <definedName name="wrn.PrintPrev1." localSheetId="16">{#N/A,#N/A,FALSE,"Sheet4";#N/A,#N/A,FALSE,"Sheet5";#N/A,#N/A,FALSE,"Sheet6"}</definedName>
    <definedName name="wrn.PrintPrev1." localSheetId="18">{#N/A,#N/A,FALSE,"Sheet4";#N/A,#N/A,FALSE,"Sheet5";#N/A,#N/A,FALSE,"Sheet6"}</definedName>
    <definedName name="wrn.PrintPrev1." localSheetId="10">{#N/A,#N/A,FALSE,"Sheet4";#N/A,#N/A,FALSE,"Sheet5";#N/A,#N/A,FALSE,"Sheet6"}</definedName>
    <definedName name="wrn.PrintPrev1.">{#N/A,#N/A,FALSE,"Sheet4";#N/A,#N/A,FALSE,"Sheet5";#N/A,#N/A,FALSE,"Sheet6"}</definedName>
    <definedName name="wrn.PrintPrev2." localSheetId="9">{#N/A,#N/A,FALSE,"Sheet7";#N/A,#N/A,FALSE,"Sheet8";#N/A,#N/A,FALSE,"Sheet9"}</definedName>
    <definedName name="wrn.PrintPrev2." localSheetId="6">{#N/A,#N/A,FALSE,"Sheet7";#N/A,#N/A,FALSE,"Sheet8";#N/A,#N/A,FALSE,"Sheet9"}</definedName>
    <definedName name="wrn.PrintPrev2." localSheetId="3">{#N/A,#N/A,FALSE,"Sheet7";#N/A,#N/A,FALSE,"Sheet8";#N/A,#N/A,FALSE,"Sheet9"}</definedName>
    <definedName name="wrn.PrintPrev2." localSheetId="8">{#N/A,#N/A,FALSE,"Sheet7";#N/A,#N/A,FALSE,"Sheet8";#N/A,#N/A,FALSE,"Sheet9"}</definedName>
    <definedName name="wrn.PrintPrev2." localSheetId="5">{#N/A,#N/A,FALSE,"Sheet7";#N/A,#N/A,FALSE,"Sheet8";#N/A,#N/A,FALSE,"Sheet9"}</definedName>
    <definedName name="wrn.PrintPrev2." localSheetId="4">{#N/A,#N/A,FALSE,"Sheet7";#N/A,#N/A,FALSE,"Sheet8";#N/A,#N/A,FALSE,"Sheet9"}</definedName>
    <definedName name="wrn.PrintPrev2." localSheetId="13">{#N/A,#N/A,FALSE,"Sheet7";#N/A,#N/A,FALSE,"Sheet8";#N/A,#N/A,FALSE,"Sheet9"}</definedName>
    <definedName name="wrn.PrintPrev2." localSheetId="17">{#N/A,#N/A,FALSE,"Sheet7";#N/A,#N/A,FALSE,"Sheet8";#N/A,#N/A,FALSE,"Sheet9"}</definedName>
    <definedName name="wrn.PrintPrev2." localSheetId="0">{#N/A,#N/A,FALSE,"Sheet7";#N/A,#N/A,FALSE,"Sheet8";#N/A,#N/A,FALSE,"Sheet9"}</definedName>
    <definedName name="wrn.PrintPrev2." localSheetId="19">{#N/A,#N/A,FALSE,"Sheet7";#N/A,#N/A,FALSE,"Sheet8";#N/A,#N/A,FALSE,"Sheet9"}</definedName>
    <definedName name="wrn.PrintPrev2." localSheetId="16">{#N/A,#N/A,FALSE,"Sheet7";#N/A,#N/A,FALSE,"Sheet8";#N/A,#N/A,FALSE,"Sheet9"}</definedName>
    <definedName name="wrn.PrintPrev2." localSheetId="18">{#N/A,#N/A,FALSE,"Sheet7";#N/A,#N/A,FALSE,"Sheet8";#N/A,#N/A,FALSE,"Sheet9"}</definedName>
    <definedName name="wrn.PrintPrev2." localSheetId="10">{#N/A,#N/A,FALSE,"Sheet7";#N/A,#N/A,FALSE,"Sheet8";#N/A,#N/A,FALSE,"Sheet9"}</definedName>
    <definedName name="wrn.PrintPrev2.">{#N/A,#N/A,FALSE,"Sheet7";#N/A,#N/A,FALSE,"Sheet8";#N/A,#N/A,FALSE,"Sheet9"}</definedName>
    <definedName name="wrn.Quadros._.relatório." localSheetId="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6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3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4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3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7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6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9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6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3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5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4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3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7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9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6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8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0">{#N/A,#N/A,FALSE,"표지";#N/A,#N/A,FALSE,"목차";#N/A,#N/A,FALSE,"내용1";#N/A,#N/A,FALSE,"내용2";#N/A,#N/A,FALSE,"결론";#N/A,#N/A,FALSE,"첨부";#N/A,#N/A,FALSE,"진공도달시간";#N/A,#N/A,FALSE,"배가스속도"}</definedName>
    <definedName name="wrn.REPORT.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9">{#N/A,#N/A,FALSE,"TABLE"}</definedName>
    <definedName name="wrn.STAFFS." localSheetId="6">{#N/A,#N/A,FALSE,"TABLE"}</definedName>
    <definedName name="wrn.STAFFS." localSheetId="3">{#N/A,#N/A,FALSE,"TABLE"}</definedName>
    <definedName name="wrn.STAFFS." localSheetId="8">{#N/A,#N/A,FALSE,"TABLE"}</definedName>
    <definedName name="wrn.STAFFS." localSheetId="5">{#N/A,#N/A,FALSE,"TABLE"}</definedName>
    <definedName name="wrn.STAFFS." localSheetId="4">{#N/A,#N/A,FALSE,"TABLE"}</definedName>
    <definedName name="wrn.STAFFS." localSheetId="13">{#N/A,#N/A,FALSE,"TABLE"}</definedName>
    <definedName name="wrn.STAFFS." localSheetId="17">{#N/A,#N/A,FALSE,"TABLE"}</definedName>
    <definedName name="wrn.STAFFS." localSheetId="0">{#N/A,#N/A,FALSE,"TABLE"}</definedName>
    <definedName name="wrn.STAFFS." localSheetId="19">{#N/A,#N/A,FALSE,"TABLE"}</definedName>
    <definedName name="wrn.STAFFS." localSheetId="16">{#N/A,#N/A,FALSE,"TABLE"}</definedName>
    <definedName name="wrn.STAFFS." localSheetId="18">{#N/A,#N/A,FALSE,"TABLE"}</definedName>
    <definedName name="wrn.STAFFS." localSheetId="10">{#N/A,#N/A,FALSE,"TABLE"}</definedName>
    <definedName name="wrn.STAFFS.">{#N/A,#N/A,FALSE,"TABLE"}</definedName>
    <definedName name="wrn.TERCEIRO.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7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4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3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7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6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9">{#N/A,#N/A,FALSE,"명세표"}</definedName>
    <definedName name="wrn.test1." localSheetId="6">{#N/A,#N/A,FALSE,"명세표"}</definedName>
    <definedName name="wrn.test1." localSheetId="3">{#N/A,#N/A,FALSE,"명세표"}</definedName>
    <definedName name="wrn.test1." localSheetId="8">{#N/A,#N/A,FALSE,"명세표"}</definedName>
    <definedName name="wrn.test1." localSheetId="5">{#N/A,#N/A,FALSE,"명세표"}</definedName>
    <definedName name="wrn.test1." localSheetId="4">{#N/A,#N/A,FALSE,"명세표"}</definedName>
    <definedName name="wrn.test1." localSheetId="13">{#N/A,#N/A,FALSE,"명세표"}</definedName>
    <definedName name="wrn.test1." localSheetId="17">{#N/A,#N/A,FALSE,"명세표"}</definedName>
    <definedName name="wrn.test1." localSheetId="0">{#N/A,#N/A,FALSE,"명세표"}</definedName>
    <definedName name="wrn.test1." localSheetId="19">{#N/A,#N/A,FALSE,"명세표"}</definedName>
    <definedName name="wrn.test1." localSheetId="16">{#N/A,#N/A,FALSE,"명세표"}</definedName>
    <definedName name="wrn.test1." localSheetId="18">{#N/A,#N/A,FALSE,"명세표"}</definedName>
    <definedName name="wrn.test1." localSheetId="10">{#N/A,#N/A,FALSE,"명세표"}</definedName>
    <definedName name="wrn.test1.">{#N/A,#N/A,FALSE,"명세표"}</definedName>
    <definedName name="wrn.Unidades." localSheetId="9">{"Rio Branco",#N/A,FALSE,"Rio Branco";"Itajaí",#N/A,FALSE,"Itajaí";"Pinheiro Machado",#N/A,FALSE,"PMachado";"Esteio",#N/A,FALSE,"Esteio"}</definedName>
    <definedName name="wrn.Unidades." localSheetId="6">{"Rio Branco",#N/A,FALSE,"Rio Branco";"Itajaí",#N/A,FALSE,"Itajaí";"Pinheiro Machado",#N/A,FALSE,"PMachado";"Esteio",#N/A,FALSE,"Esteio"}</definedName>
    <definedName name="wrn.Unidades." localSheetId="3">{"Rio Branco",#N/A,FALSE,"Rio Branco";"Itajaí",#N/A,FALSE,"Itajaí";"Pinheiro Machado",#N/A,FALSE,"PMachado";"Esteio",#N/A,FALSE,"Esteio"}</definedName>
    <definedName name="wrn.Unidades." localSheetId="8">{"Rio Branco",#N/A,FALSE,"Rio Branco";"Itajaí",#N/A,FALSE,"Itajaí";"Pinheiro Machado",#N/A,FALSE,"PMachado";"Esteio",#N/A,FALSE,"Esteio"}</definedName>
    <definedName name="wrn.Unidades." localSheetId="5">{"Rio Branco",#N/A,FALSE,"Rio Branco";"Itajaí",#N/A,FALSE,"Itajaí";"Pinheiro Machado",#N/A,FALSE,"PMachado";"Esteio",#N/A,FALSE,"Esteio"}</definedName>
    <definedName name="wrn.Unidades." localSheetId="4">{"Rio Branco",#N/A,FALSE,"Rio Branco";"Itajaí",#N/A,FALSE,"Itajaí";"Pinheiro Machado",#N/A,FALSE,"PMachado";"Esteio",#N/A,FALSE,"Esteio"}</definedName>
    <definedName name="wrn.Unidades." localSheetId="13">{"Rio Branco",#N/A,FALSE,"Rio Branco";"Itajaí",#N/A,FALSE,"Itajaí";"Pinheiro Machado",#N/A,FALSE,"PMachado";"Esteio",#N/A,FALSE,"Esteio"}</definedName>
    <definedName name="wrn.Unidades." localSheetId="17">{"Rio Branco",#N/A,FALSE,"Rio Branco";"Itajaí",#N/A,FALSE,"Itajaí";"Pinheiro Machado",#N/A,FALSE,"PMachado";"Esteio",#N/A,FALSE,"Esteio"}</definedName>
    <definedName name="wrn.Unidades." localSheetId="0">{"Rio Branco",#N/A,FALSE,"Rio Branco";"Itajaí",#N/A,FALSE,"Itajaí";"Pinheiro Machado",#N/A,FALSE,"PMachado";"Esteio",#N/A,FALSE,"Esteio"}</definedName>
    <definedName name="wrn.Unidades." localSheetId="19">{"Rio Branco",#N/A,FALSE,"Rio Branco";"Itajaí",#N/A,FALSE,"Itajaí";"Pinheiro Machado",#N/A,FALSE,"PMachado";"Esteio",#N/A,FALSE,"Esteio"}</definedName>
    <definedName name="wrn.Unidades." localSheetId="16">{"Rio Branco",#N/A,FALSE,"Rio Branco";"Itajaí",#N/A,FALSE,"Itajaí";"Pinheiro Machado",#N/A,FALSE,"PMachado";"Esteio",#N/A,FALSE,"Esteio"}</definedName>
    <definedName name="wrn.Unidades." localSheetId="18">{"Rio Branco",#N/A,FALSE,"Rio Branco";"Itajaí",#N/A,FALSE,"Itajaí";"Pinheiro Machado",#N/A,FALSE,"PMachado";"Esteio",#N/A,FALSE,"Esteio"}</definedName>
    <definedName name="wrn.Unidades." localSheetId="10">{"Rio Branco",#N/A,FALSE,"Rio Branco";"Itajaí",#N/A,FALSE,"Itajaí";"Pinheiro Machado",#N/A,FALSE,"PMachado";"Esteio",#N/A,FALSE,"Esteio"}</definedName>
    <definedName name="wrn.Unidades.">{"Rio Branco",#N/A,FALSE,"Rio Branco";"Itajaí",#N/A,FALSE,"Itajaí";"Pinheiro Machado",#N/A,FALSE,"PMachado";"Esteio",#N/A,FALSE,"Esteio"}</definedName>
    <definedName name="wrn.VESSEL및N2._.구입사양서.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9">{#N/A,#N/A,FALSE,"Sheet1";#N/A,#N/A,FALSE,"Sheet2";#N/A,#N/A,FALSE,"TAB96-1"}</definedName>
    <definedName name="wrn.견적." localSheetId="6">{#N/A,#N/A,FALSE,"Sheet1";#N/A,#N/A,FALSE,"Sheet2";#N/A,#N/A,FALSE,"TAB96-1"}</definedName>
    <definedName name="wrn.견적." localSheetId="3">{#N/A,#N/A,FALSE,"Sheet1";#N/A,#N/A,FALSE,"Sheet2";#N/A,#N/A,FALSE,"TAB96-1"}</definedName>
    <definedName name="wrn.견적." localSheetId="8">{#N/A,#N/A,FALSE,"Sheet1";#N/A,#N/A,FALSE,"Sheet2";#N/A,#N/A,FALSE,"TAB96-1"}</definedName>
    <definedName name="wrn.견적." localSheetId="5">{#N/A,#N/A,FALSE,"Sheet1";#N/A,#N/A,FALSE,"Sheet2";#N/A,#N/A,FALSE,"TAB96-1"}</definedName>
    <definedName name="wrn.견적." localSheetId="4">{#N/A,#N/A,FALSE,"Sheet1";#N/A,#N/A,FALSE,"Sheet2";#N/A,#N/A,FALSE,"TAB96-1"}</definedName>
    <definedName name="wrn.견적." localSheetId="13">{#N/A,#N/A,FALSE,"Sheet1";#N/A,#N/A,FALSE,"Sheet2";#N/A,#N/A,FALSE,"TAB96-1"}</definedName>
    <definedName name="wrn.견적." localSheetId="17">{#N/A,#N/A,FALSE,"Sheet1";#N/A,#N/A,FALSE,"Sheet2";#N/A,#N/A,FALSE,"TAB96-1"}</definedName>
    <definedName name="wrn.견적." localSheetId="0">{#N/A,#N/A,FALSE,"Sheet1";#N/A,#N/A,FALSE,"Sheet2";#N/A,#N/A,FALSE,"TAB96-1"}</definedName>
    <definedName name="wrn.견적." localSheetId="19">{#N/A,#N/A,FALSE,"Sheet1";#N/A,#N/A,FALSE,"Sheet2";#N/A,#N/A,FALSE,"TAB96-1"}</definedName>
    <definedName name="wrn.견적." localSheetId="16">{#N/A,#N/A,FALSE,"Sheet1";#N/A,#N/A,FALSE,"Sheet2";#N/A,#N/A,FALSE,"TAB96-1"}</definedName>
    <definedName name="wrn.견적." localSheetId="18">{#N/A,#N/A,FALSE,"Sheet1";#N/A,#N/A,FALSE,"Sheet2";#N/A,#N/A,FALSE,"TAB96-1"}</definedName>
    <definedName name="wrn.견적." localSheetId="10">{#N/A,#N/A,FALSE,"Sheet1";#N/A,#N/A,FALSE,"Sheet2";#N/A,#N/A,FALSE,"TAB96-1"}</definedName>
    <definedName name="wrn.견적.">{#N/A,#N/A,FALSE,"Sheet1";#N/A,#N/A,FALSE,"Sheet2";#N/A,#N/A,FALSE,"TAB96-1"}</definedName>
    <definedName name="wrn.보호계전기." localSheetId="9">{#N/A,#N/A,FALSE,"ENG'G(보호계전기)"}</definedName>
    <definedName name="wrn.보호계전기." localSheetId="6">{#N/A,#N/A,FALSE,"ENG'G(보호계전기)"}</definedName>
    <definedName name="wrn.보호계전기." localSheetId="3">{#N/A,#N/A,FALSE,"ENG'G(보호계전기)"}</definedName>
    <definedName name="wrn.보호계전기." localSheetId="8">{#N/A,#N/A,FALSE,"ENG'G(보호계전기)"}</definedName>
    <definedName name="wrn.보호계전기." localSheetId="5">{#N/A,#N/A,FALSE,"ENG'G(보호계전기)"}</definedName>
    <definedName name="wrn.보호계전기." localSheetId="4">{#N/A,#N/A,FALSE,"ENG'G(보호계전기)"}</definedName>
    <definedName name="wrn.보호계전기." localSheetId="13">{#N/A,#N/A,FALSE,"ENG'G(보호계전기)"}</definedName>
    <definedName name="wrn.보호계전기." localSheetId="17">{#N/A,#N/A,FALSE,"ENG'G(보호계전기)"}</definedName>
    <definedName name="wrn.보호계전기." localSheetId="0">{#N/A,#N/A,FALSE,"ENG'G(보호계전기)"}</definedName>
    <definedName name="wrn.보호계전기." localSheetId="19">{#N/A,#N/A,FALSE,"ENG'G(보호계전기)"}</definedName>
    <definedName name="wrn.보호계전기." localSheetId="16">{#N/A,#N/A,FALSE,"ENG'G(보호계전기)"}</definedName>
    <definedName name="wrn.보호계전기." localSheetId="18">{#N/A,#N/A,FALSE,"ENG'G(보호계전기)"}</definedName>
    <definedName name="wrn.보호계전기." localSheetId="10">{#N/A,#N/A,FALSE,"ENG'G(보호계전기)"}</definedName>
    <definedName name="wrn.보호계전기.">{#N/A,#N/A,FALSE,"ENG'G(보호계전기)"}</definedName>
    <definedName name="wrn.현장._.NCR._.분석." localSheetId="9">{#N/A,#N/A,FALSE,"현장 NCR 분석";#N/A,#N/A,FALSE,"현장품질감사";#N/A,#N/A,FALSE,"현장품질감사"}</definedName>
    <definedName name="wrn.현장._.NCR._.분석." localSheetId="6">{#N/A,#N/A,FALSE,"현장 NCR 분석";#N/A,#N/A,FALSE,"현장품질감사";#N/A,#N/A,FALSE,"현장품질감사"}</definedName>
    <definedName name="wrn.현장._.NCR._.분석." localSheetId="3">{#N/A,#N/A,FALSE,"현장 NCR 분석";#N/A,#N/A,FALSE,"현장품질감사";#N/A,#N/A,FALSE,"현장품질감사"}</definedName>
    <definedName name="wrn.현장._.NCR._.분석." localSheetId="8">{#N/A,#N/A,FALSE,"현장 NCR 분석";#N/A,#N/A,FALSE,"현장품질감사";#N/A,#N/A,FALSE,"현장품질감사"}</definedName>
    <definedName name="wrn.현장._.NCR._.분석." localSheetId="5">{#N/A,#N/A,FALSE,"현장 NCR 분석";#N/A,#N/A,FALSE,"현장품질감사";#N/A,#N/A,FALSE,"현장품질감사"}</definedName>
    <definedName name="wrn.현장._.NCR._.분석." localSheetId="4">{#N/A,#N/A,FALSE,"현장 NCR 분석";#N/A,#N/A,FALSE,"현장품질감사";#N/A,#N/A,FALSE,"현장품질감사"}</definedName>
    <definedName name="wrn.현장._.NCR._.분석." localSheetId="13">{#N/A,#N/A,FALSE,"현장 NCR 분석";#N/A,#N/A,FALSE,"현장품질감사";#N/A,#N/A,FALSE,"현장품질감사"}</definedName>
    <definedName name="wrn.현장._.NCR._.분석." localSheetId="17">{#N/A,#N/A,FALSE,"현장 NCR 분석";#N/A,#N/A,FALSE,"현장품질감사";#N/A,#N/A,FALSE,"현장품질감사"}</definedName>
    <definedName name="wrn.현장._.NCR._.분석." localSheetId="0">{#N/A,#N/A,FALSE,"현장 NCR 분석";#N/A,#N/A,FALSE,"현장품질감사";#N/A,#N/A,FALSE,"현장품질감사"}</definedName>
    <definedName name="wrn.현장._.NCR._.분석." localSheetId="19">{#N/A,#N/A,FALSE,"현장 NCR 분석";#N/A,#N/A,FALSE,"현장품질감사";#N/A,#N/A,FALSE,"현장품질감사"}</definedName>
    <definedName name="wrn.현장._.NCR._.분석." localSheetId="16">{#N/A,#N/A,FALSE,"현장 NCR 분석";#N/A,#N/A,FALSE,"현장품질감사";#N/A,#N/A,FALSE,"현장품질감사"}</definedName>
    <definedName name="wrn.현장._.NCR._.분석." localSheetId="18">{#N/A,#N/A,FALSE,"현장 NCR 분석";#N/A,#N/A,FALSE,"현장품질감사";#N/A,#N/A,FALSE,"현장품질감사"}</definedName>
    <definedName name="wrn.현장._.NCR._.분석." localSheetId="10">{#N/A,#N/A,FALSE,"현장 NCR 분석";#N/A,#N/A,FALSE,"현장품질감사";#N/A,#N/A,FALSE,"현장품질감사"}</definedName>
    <definedName name="wrn.현장._.NCR._.분석.">{#N/A,#N/A,FALSE,"현장 NCR 분석";#N/A,#N/A,FALSE,"현장품질감사";#N/A,#N/A,FALSE,"현장품질감사"}</definedName>
    <definedName name="wrn1.Cons." localSheetId="9">{"EconCons",#N/A,TRUE,"Econômico - Consolidado";"CaixaCons",#N/A,TRUE,"Caixa - Consolidado";"InvestCons",#N/A,TRUE,"Invest Consolidado"}</definedName>
    <definedName name="wrn1.Cons." localSheetId="6">{"EconCons",#N/A,TRUE,"Econômico - Consolidado";"CaixaCons",#N/A,TRUE,"Caixa - Consolidado";"InvestCons",#N/A,TRUE,"Invest Consolidado"}</definedName>
    <definedName name="wrn1.Cons." localSheetId="3">{"EconCons",#N/A,TRUE,"Econômico - Consolidado";"CaixaCons",#N/A,TRUE,"Caixa - Consolidado";"InvestCons",#N/A,TRUE,"Invest Consolidado"}</definedName>
    <definedName name="wrn1.Cons." localSheetId="8">{"EconCons",#N/A,TRUE,"Econômico - Consolidado";"CaixaCons",#N/A,TRUE,"Caixa - Consolidado";"InvestCons",#N/A,TRUE,"Invest Consolidado"}</definedName>
    <definedName name="wrn1.Cons." localSheetId="5">{"EconCons",#N/A,TRUE,"Econômico - Consolidado";"CaixaCons",#N/A,TRUE,"Caixa - Consolidado";"InvestCons",#N/A,TRUE,"Invest Consolidado"}</definedName>
    <definedName name="wrn1.Cons." localSheetId="4">{"EconCons",#N/A,TRUE,"Econômico - Consolidado";"CaixaCons",#N/A,TRUE,"Caixa - Consolidado";"InvestCons",#N/A,TRUE,"Invest Consolidado"}</definedName>
    <definedName name="wrn1.Cons." localSheetId="13">{"EconCons",#N/A,TRUE,"Econômico - Consolidado";"CaixaCons",#N/A,TRUE,"Caixa - Consolidado";"InvestCons",#N/A,TRUE,"Invest Consolidado"}</definedName>
    <definedName name="wrn1.Cons." localSheetId="17">{"EconCons",#N/A,TRUE,"Econômico - Consolidado";"CaixaCons",#N/A,TRUE,"Caixa - Consolidado";"InvestCons",#N/A,TRUE,"Invest Consolidado"}</definedName>
    <definedName name="wrn1.Cons." localSheetId="0">{"EconCons",#N/A,TRUE,"Econômico - Consolidado";"CaixaCons",#N/A,TRUE,"Caixa - Consolidado";"InvestCons",#N/A,TRUE,"Invest Consolidado"}</definedName>
    <definedName name="wrn1.Cons." localSheetId="19">{"EconCons",#N/A,TRUE,"Econômico - Consolidado";"CaixaCons",#N/A,TRUE,"Caixa - Consolidado";"InvestCons",#N/A,TRUE,"Invest Consolidado"}</definedName>
    <definedName name="wrn1.Cons." localSheetId="16">{"EconCons",#N/A,TRUE,"Econômico - Consolidado";"CaixaCons",#N/A,TRUE,"Caixa - Consolidado";"InvestCons",#N/A,TRUE,"Invest Consolidado"}</definedName>
    <definedName name="wrn1.Cons." localSheetId="18">{"EconCons",#N/A,TRUE,"Econômico - Consolidado";"CaixaCons",#N/A,TRUE,"Caixa - Consolidado";"InvestCons",#N/A,TRUE,"Invest Consolidado"}</definedName>
    <definedName name="wrn1.Cons." localSheetId="10">{"EconCons",#N/A,TRUE,"Econômico - Consolidado";"CaixaCons",#N/A,TRUE,"Caixa - Consolidado";"InvestCons",#N/A,TRUE,"Invest Consolidado"}</definedName>
    <definedName name="wrn1.Cons.">{"EconCons",#N/A,TRUE,"Econômico - Consolidado";"CaixaCons",#N/A,TRUE,"Caixa - Consolidado";"InvestCons",#N/A,TRUE,"Invest Consolidado"}</definedName>
    <definedName name="wrn1.print._.all." localSheetId="9">{#N/A,#N/A,FALSE,"$170M Cash";#N/A,#N/A,FALSE,"$250M Cash";#N/A,#N/A,FALSE,"$325M Cash"}</definedName>
    <definedName name="wrn1.print._.all." localSheetId="6">{#N/A,#N/A,FALSE,"$170M Cash";#N/A,#N/A,FALSE,"$250M Cash";#N/A,#N/A,FALSE,"$325M Cash"}</definedName>
    <definedName name="wrn1.print._.all." localSheetId="3">{#N/A,#N/A,FALSE,"$170M Cash";#N/A,#N/A,FALSE,"$250M Cash";#N/A,#N/A,FALSE,"$325M Cash"}</definedName>
    <definedName name="wrn1.print._.all." localSheetId="8">{#N/A,#N/A,FALSE,"$170M Cash";#N/A,#N/A,FALSE,"$250M Cash";#N/A,#N/A,FALSE,"$325M Cash"}</definedName>
    <definedName name="wrn1.print._.all." localSheetId="5">{#N/A,#N/A,FALSE,"$170M Cash";#N/A,#N/A,FALSE,"$250M Cash";#N/A,#N/A,FALSE,"$325M Cash"}</definedName>
    <definedName name="wrn1.print._.all." localSheetId="4">{#N/A,#N/A,FALSE,"$170M Cash";#N/A,#N/A,FALSE,"$250M Cash";#N/A,#N/A,FALSE,"$325M Cash"}</definedName>
    <definedName name="wrn1.print._.all." localSheetId="13">{#N/A,#N/A,FALSE,"$170M Cash";#N/A,#N/A,FALSE,"$250M Cash";#N/A,#N/A,FALSE,"$325M Cash"}</definedName>
    <definedName name="wrn1.print._.all." localSheetId="17">{#N/A,#N/A,FALSE,"$170M Cash";#N/A,#N/A,FALSE,"$250M Cash";#N/A,#N/A,FALSE,"$325M Cash"}</definedName>
    <definedName name="wrn1.print._.all." localSheetId="0">{#N/A,#N/A,FALSE,"$170M Cash";#N/A,#N/A,FALSE,"$250M Cash";#N/A,#N/A,FALSE,"$325M Cash"}</definedName>
    <definedName name="wrn1.print._.all." localSheetId="19">{#N/A,#N/A,FALSE,"$170M Cash";#N/A,#N/A,FALSE,"$250M Cash";#N/A,#N/A,FALSE,"$325M Cash"}</definedName>
    <definedName name="wrn1.print._.all." localSheetId="16">{#N/A,#N/A,FALSE,"$170M Cash";#N/A,#N/A,FALSE,"$250M Cash";#N/A,#N/A,FALSE,"$325M Cash"}</definedName>
    <definedName name="wrn1.print._.all." localSheetId="18">{#N/A,#N/A,FALSE,"$170M Cash";#N/A,#N/A,FALSE,"$250M Cash";#N/A,#N/A,FALSE,"$325M Cash"}</definedName>
    <definedName name="wrn1.print._.all." localSheetId="10">{#N/A,#N/A,FALSE,"$170M Cash";#N/A,#N/A,FALSE,"$250M Cash";#N/A,#N/A,FALSE,"$325M Cash"}</definedName>
    <definedName name="wrn1.print._.all.">{#N/A,#N/A,FALSE,"$170M Cash";#N/A,#N/A,FALSE,"$250M Cash";#N/A,#N/A,FALSE,"$325M Cash"}</definedName>
    <definedName name="WRS" localSheetId="9">{"'장비'!$A$3:$M$12"}</definedName>
    <definedName name="WRS" localSheetId="6">{"'장비'!$A$3:$M$12"}</definedName>
    <definedName name="WRS" localSheetId="3">{"'장비'!$A$3:$M$12"}</definedName>
    <definedName name="WRS" localSheetId="8">{"'장비'!$A$3:$M$12"}</definedName>
    <definedName name="WRS" localSheetId="5">{"'장비'!$A$3:$M$12"}</definedName>
    <definedName name="WRS" localSheetId="4">{"'장비'!$A$3:$M$12"}</definedName>
    <definedName name="WRS" localSheetId="13">{"'장비'!$A$3:$M$12"}</definedName>
    <definedName name="WRS" localSheetId="17">{"'장비'!$A$3:$M$12"}</definedName>
    <definedName name="WRS" localSheetId="0">{"'장비'!$A$3:$M$12"}</definedName>
    <definedName name="WRS" localSheetId="19">{"'장비'!$A$3:$M$12"}</definedName>
    <definedName name="WRS" localSheetId="16">{"'장비'!$A$3:$M$12"}</definedName>
    <definedName name="WRS" localSheetId="18">{"'장비'!$A$3:$M$12"}</definedName>
    <definedName name="WRS" localSheetId="10">{"'장비'!$A$3:$M$12"}</definedName>
    <definedName name="WRS">{"'장비'!$A$3:$M$12"}</definedName>
    <definedName name="wrt" localSheetId="9">{#N/A,#N/A,FALSE,"$170M Cash";#N/A,#N/A,FALSE,"$250M Cash";#N/A,#N/A,FALSE,"$325M Cash"}</definedName>
    <definedName name="wrt" localSheetId="6">{#N/A,#N/A,FALSE,"$170M Cash";#N/A,#N/A,FALSE,"$250M Cash";#N/A,#N/A,FALSE,"$325M Cash"}</definedName>
    <definedName name="wrt" localSheetId="3">{#N/A,#N/A,FALSE,"$170M Cash";#N/A,#N/A,FALSE,"$250M Cash";#N/A,#N/A,FALSE,"$325M Cash"}</definedName>
    <definedName name="wrt" localSheetId="8">{#N/A,#N/A,FALSE,"$170M Cash";#N/A,#N/A,FALSE,"$250M Cash";#N/A,#N/A,FALSE,"$325M Cash"}</definedName>
    <definedName name="wrt" localSheetId="5">{#N/A,#N/A,FALSE,"$170M Cash";#N/A,#N/A,FALSE,"$250M Cash";#N/A,#N/A,FALSE,"$325M Cash"}</definedName>
    <definedName name="wrt" localSheetId="4">{#N/A,#N/A,FALSE,"$170M Cash";#N/A,#N/A,FALSE,"$250M Cash";#N/A,#N/A,FALSE,"$325M Cash"}</definedName>
    <definedName name="wrt" localSheetId="13">{#N/A,#N/A,FALSE,"$170M Cash";#N/A,#N/A,FALSE,"$250M Cash";#N/A,#N/A,FALSE,"$325M Cash"}</definedName>
    <definedName name="wrt" localSheetId="17">{#N/A,#N/A,FALSE,"$170M Cash";#N/A,#N/A,FALSE,"$250M Cash";#N/A,#N/A,FALSE,"$325M Cash"}</definedName>
    <definedName name="wrt" localSheetId="0">{#N/A,#N/A,FALSE,"$170M Cash";#N/A,#N/A,FALSE,"$250M Cash";#N/A,#N/A,FALSE,"$325M Cash"}</definedName>
    <definedName name="wrt" localSheetId="19">{#N/A,#N/A,FALSE,"$170M Cash";#N/A,#N/A,FALSE,"$250M Cash";#N/A,#N/A,FALSE,"$325M Cash"}</definedName>
    <definedName name="wrt" localSheetId="16">{#N/A,#N/A,FALSE,"$170M Cash";#N/A,#N/A,FALSE,"$250M Cash";#N/A,#N/A,FALSE,"$325M Cash"}</definedName>
    <definedName name="wrt" localSheetId="18">{#N/A,#N/A,FALSE,"$170M Cash";#N/A,#N/A,FALSE,"$250M Cash";#N/A,#N/A,FALSE,"$325M Cash"}</definedName>
    <definedName name="wrt" localSheetId="10">{#N/A,#N/A,FALSE,"$170M Cash";#N/A,#N/A,FALSE,"$250M Cash";#N/A,#N/A,FALSE,"$325M Cash"}</definedName>
    <definedName name="wrt">{#N/A,#N/A,FALSE,"$170M Cash";#N/A,#N/A,FALSE,"$250M Cash";#N/A,#N/A,FALSE,"$325M Cash"}</definedName>
    <definedName name="wvu.PLANILHA2.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5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4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3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7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6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8">#REF!</definedName>
    <definedName name="X" localSheetId="5">#REF!</definedName>
    <definedName name="X" localSheetId="13">#REF!</definedName>
    <definedName name="X" localSheetId="26">#REF!</definedName>
    <definedName name="X">#REF!</definedName>
    <definedName name="XALFA" localSheetId="3">#REF!</definedName>
    <definedName name="XALFA" localSheetId="5">#REF!</definedName>
    <definedName name="XALFA" localSheetId="13">#REF!</definedName>
    <definedName name="XALFA" localSheetId="26">#REF!</definedName>
    <definedName name="XALFA">#REF!</definedName>
    <definedName name="XC" localSheetId="3">#REF!</definedName>
    <definedName name="XC" localSheetId="5">#REF!</definedName>
    <definedName name="XC" localSheetId="13">#REF!</definedName>
    <definedName name="XC" localSheetId="26">#REF!</definedName>
    <definedName name="XC">#REF!</definedName>
    <definedName name="xcfrt" localSheetId="9">{#N/A,#N/A,FALSE,"Plan1";#N/A,#N/A,FALSE,"Plan2"}</definedName>
    <definedName name="xcfrt" localSheetId="6">{#N/A,#N/A,FALSE,"Plan1";#N/A,#N/A,FALSE,"Plan2"}</definedName>
    <definedName name="xcfrt" localSheetId="3">{#N/A,#N/A,FALSE,"Plan1";#N/A,#N/A,FALSE,"Plan2"}</definedName>
    <definedName name="xcfrt" localSheetId="8">{#N/A,#N/A,FALSE,"Plan1";#N/A,#N/A,FALSE,"Plan2"}</definedName>
    <definedName name="xcfrt" localSheetId="5">{#N/A,#N/A,FALSE,"Plan1";#N/A,#N/A,FALSE,"Plan2"}</definedName>
    <definedName name="xcfrt" localSheetId="4">{#N/A,#N/A,FALSE,"Plan1";#N/A,#N/A,FALSE,"Plan2"}</definedName>
    <definedName name="xcfrt" localSheetId="13">{#N/A,#N/A,FALSE,"Plan1";#N/A,#N/A,FALSE,"Plan2"}</definedName>
    <definedName name="xcfrt" localSheetId="17">{#N/A,#N/A,FALSE,"Plan1";#N/A,#N/A,FALSE,"Plan2"}</definedName>
    <definedName name="xcfrt" localSheetId="0">{#N/A,#N/A,FALSE,"Plan1";#N/A,#N/A,FALSE,"Plan2"}</definedName>
    <definedName name="xcfrt" localSheetId="19">{#N/A,#N/A,FALSE,"Plan1";#N/A,#N/A,FALSE,"Plan2"}</definedName>
    <definedName name="xcfrt" localSheetId="16">{#N/A,#N/A,FALSE,"Plan1";#N/A,#N/A,FALSE,"Plan2"}</definedName>
    <definedName name="xcfrt" localSheetId="18">{#N/A,#N/A,FALSE,"Plan1";#N/A,#N/A,FALSE,"Plan2"}</definedName>
    <definedName name="xcfrt" localSheetId="10">{#N/A,#N/A,FALSE,"Plan1";#N/A,#N/A,FALSE,"Plan2"}</definedName>
    <definedName name="xcfrt">{#N/A,#N/A,FALSE,"Plan1";#N/A,#N/A,FALSE,"Plan2"}</definedName>
    <definedName name="xcgjkfghf" localSheetId="9">{#N/A,#N/A,FALSE,"Plan1";#N/A,#N/A,FALSE,"Plan2"}</definedName>
    <definedName name="xcgjkfghf" localSheetId="6">{#N/A,#N/A,FALSE,"Plan1";#N/A,#N/A,FALSE,"Plan2"}</definedName>
    <definedName name="xcgjkfghf" localSheetId="3">{#N/A,#N/A,FALSE,"Plan1";#N/A,#N/A,FALSE,"Plan2"}</definedName>
    <definedName name="xcgjkfghf" localSheetId="8">{#N/A,#N/A,FALSE,"Plan1";#N/A,#N/A,FALSE,"Plan2"}</definedName>
    <definedName name="xcgjkfghf" localSheetId="5">{#N/A,#N/A,FALSE,"Plan1";#N/A,#N/A,FALSE,"Plan2"}</definedName>
    <definedName name="xcgjkfghf" localSheetId="4">{#N/A,#N/A,FALSE,"Plan1";#N/A,#N/A,FALSE,"Plan2"}</definedName>
    <definedName name="xcgjkfghf" localSheetId="13">{#N/A,#N/A,FALSE,"Plan1";#N/A,#N/A,FALSE,"Plan2"}</definedName>
    <definedName name="xcgjkfghf" localSheetId="17">{#N/A,#N/A,FALSE,"Plan1";#N/A,#N/A,FALSE,"Plan2"}</definedName>
    <definedName name="xcgjkfghf" localSheetId="0">{#N/A,#N/A,FALSE,"Plan1";#N/A,#N/A,FALSE,"Plan2"}</definedName>
    <definedName name="xcgjkfghf" localSheetId="19">{#N/A,#N/A,FALSE,"Plan1";#N/A,#N/A,FALSE,"Plan2"}</definedName>
    <definedName name="xcgjkfghf" localSheetId="16">{#N/A,#N/A,FALSE,"Plan1";#N/A,#N/A,FALSE,"Plan2"}</definedName>
    <definedName name="xcgjkfghf" localSheetId="18">{#N/A,#N/A,FALSE,"Plan1";#N/A,#N/A,FALSE,"Plan2"}</definedName>
    <definedName name="xcgjkfghf" localSheetId="10">{#N/A,#N/A,FALSE,"Plan1";#N/A,#N/A,FALSE,"Plan2"}</definedName>
    <definedName name="xcgjkfghf">{#N/A,#N/A,FALSE,"Plan1";#N/A,#N/A,FALSE,"Plan2"}</definedName>
    <definedName name="XCGJKVHFDG" localSheetId="9">{#N/A,#N/A,FALSE,"Plan1";#N/A,#N/A,FALSE,"Plan2"}</definedName>
    <definedName name="XCGJKVHFDG" localSheetId="6">{#N/A,#N/A,FALSE,"Plan1";#N/A,#N/A,FALSE,"Plan2"}</definedName>
    <definedName name="XCGJKVHFDG" localSheetId="3">{#N/A,#N/A,FALSE,"Plan1";#N/A,#N/A,FALSE,"Plan2"}</definedName>
    <definedName name="XCGJKVHFDG" localSheetId="8">{#N/A,#N/A,FALSE,"Plan1";#N/A,#N/A,FALSE,"Plan2"}</definedName>
    <definedName name="XCGJKVHFDG" localSheetId="5">{#N/A,#N/A,FALSE,"Plan1";#N/A,#N/A,FALSE,"Plan2"}</definedName>
    <definedName name="XCGJKVHFDG" localSheetId="4">{#N/A,#N/A,FALSE,"Plan1";#N/A,#N/A,FALSE,"Plan2"}</definedName>
    <definedName name="XCGJKVHFDG" localSheetId="13">{#N/A,#N/A,FALSE,"Plan1";#N/A,#N/A,FALSE,"Plan2"}</definedName>
    <definedName name="XCGJKVHFDG" localSheetId="17">{#N/A,#N/A,FALSE,"Plan1";#N/A,#N/A,FALSE,"Plan2"}</definedName>
    <definedName name="XCGJKVHFDG" localSheetId="0">{#N/A,#N/A,FALSE,"Plan1";#N/A,#N/A,FALSE,"Plan2"}</definedName>
    <definedName name="XCGJKVHFDG" localSheetId="19">{#N/A,#N/A,FALSE,"Plan1";#N/A,#N/A,FALSE,"Plan2"}</definedName>
    <definedName name="XCGJKVHFDG" localSheetId="16">{#N/A,#N/A,FALSE,"Plan1";#N/A,#N/A,FALSE,"Plan2"}</definedName>
    <definedName name="XCGJKVHFDG" localSheetId="18">{#N/A,#N/A,FALSE,"Plan1";#N/A,#N/A,FALSE,"Plan2"}</definedName>
    <definedName name="XCGJKVHFDG" localSheetId="10">{#N/A,#N/A,FALSE,"Plan1";#N/A,#N/A,FALSE,"Plan2"}</definedName>
    <definedName name="XCGJKVHFDG">{#N/A,#N/A,FALSE,"Plan1";#N/A,#N/A,FALSE,"Plan2"}</definedName>
    <definedName name="xcgtrty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3">#REF!</definedName>
    <definedName name="XCI" localSheetId="8">#REF!</definedName>
    <definedName name="XCI" localSheetId="5">#REF!</definedName>
    <definedName name="XCI" localSheetId="13">#REF!</definedName>
    <definedName name="XCI" localSheetId="26">#REF!</definedName>
    <definedName name="XCI">#REF!</definedName>
    <definedName name="XCII" localSheetId="3">#REF!</definedName>
    <definedName name="XCII" localSheetId="5">#REF!</definedName>
    <definedName name="XCII" localSheetId="13">#REF!</definedName>
    <definedName name="XCII" localSheetId="26">#REF!</definedName>
    <definedName name="XCII">#REF!</definedName>
    <definedName name="XCIII" localSheetId="3">#REF!</definedName>
    <definedName name="XCIII" localSheetId="5">#REF!</definedName>
    <definedName name="XCIII" localSheetId="13">#REF!</definedName>
    <definedName name="XCIII" localSheetId="26">#REF!</definedName>
    <definedName name="XCIII">#REF!</definedName>
    <definedName name="XCIV" localSheetId="3">#REF!</definedName>
    <definedName name="XCIV" localSheetId="5">#REF!</definedName>
    <definedName name="XCIV" localSheetId="13">#REF!</definedName>
    <definedName name="XCIV" localSheetId="26">#REF!</definedName>
    <definedName name="XCIV">#REF!</definedName>
    <definedName name="XCIX" localSheetId="3">#REF!</definedName>
    <definedName name="XCIX" localSheetId="5">#REF!</definedName>
    <definedName name="XCIX" localSheetId="13">#REF!</definedName>
    <definedName name="XCIX" localSheetId="26">#REF!</definedName>
    <definedName name="XCIX">#REF!</definedName>
    <definedName name="xçl" localSheetId="9">{#N/A,#N/A,FALSE,"Plan1";#N/A,#N/A,FALSE,"Plan2"}</definedName>
    <definedName name="xçl" localSheetId="6">{#N/A,#N/A,FALSE,"Plan1";#N/A,#N/A,FALSE,"Plan2"}</definedName>
    <definedName name="xçl" localSheetId="3">{#N/A,#N/A,FALSE,"Plan1";#N/A,#N/A,FALSE,"Plan2"}</definedName>
    <definedName name="xçl" localSheetId="8">{#N/A,#N/A,FALSE,"Plan1";#N/A,#N/A,FALSE,"Plan2"}</definedName>
    <definedName name="xçl" localSheetId="5">{#N/A,#N/A,FALSE,"Plan1";#N/A,#N/A,FALSE,"Plan2"}</definedName>
    <definedName name="xçl" localSheetId="4">{#N/A,#N/A,FALSE,"Plan1";#N/A,#N/A,FALSE,"Plan2"}</definedName>
    <definedName name="xçl" localSheetId="13">{#N/A,#N/A,FALSE,"Plan1";#N/A,#N/A,FALSE,"Plan2"}</definedName>
    <definedName name="xçl" localSheetId="17">{#N/A,#N/A,FALSE,"Plan1";#N/A,#N/A,FALSE,"Plan2"}</definedName>
    <definedName name="xçl" localSheetId="0">{#N/A,#N/A,FALSE,"Plan1";#N/A,#N/A,FALSE,"Plan2"}</definedName>
    <definedName name="xçl" localSheetId="19">{#N/A,#N/A,FALSE,"Plan1";#N/A,#N/A,FALSE,"Plan2"}</definedName>
    <definedName name="xçl" localSheetId="16">{#N/A,#N/A,FALSE,"Plan1";#N/A,#N/A,FALSE,"Plan2"}</definedName>
    <definedName name="xçl" localSheetId="18">{#N/A,#N/A,FALSE,"Plan1";#N/A,#N/A,FALSE,"Plan2"}</definedName>
    <definedName name="xçl" localSheetId="10">{#N/A,#N/A,FALSE,"Plan1";#N/A,#N/A,FALSE,"Plan2"}</definedName>
    <definedName name="xçl">{#N/A,#N/A,FALSE,"Plan1";#N/A,#N/A,FALSE,"Plan2"}</definedName>
    <definedName name="xcndj" localSheetId="9">{#N/A,#N/A,FALSE,"Plan1";#N/A,#N/A,FALSE,"Plan2"}</definedName>
    <definedName name="xcndj" localSheetId="6">{#N/A,#N/A,FALSE,"Plan1";#N/A,#N/A,FALSE,"Plan2"}</definedName>
    <definedName name="xcndj" localSheetId="3">{#N/A,#N/A,FALSE,"Plan1";#N/A,#N/A,FALSE,"Plan2"}</definedName>
    <definedName name="xcndj" localSheetId="8">{#N/A,#N/A,FALSE,"Plan1";#N/A,#N/A,FALSE,"Plan2"}</definedName>
    <definedName name="xcndj" localSheetId="5">{#N/A,#N/A,FALSE,"Plan1";#N/A,#N/A,FALSE,"Plan2"}</definedName>
    <definedName name="xcndj" localSheetId="4">{#N/A,#N/A,FALSE,"Plan1";#N/A,#N/A,FALSE,"Plan2"}</definedName>
    <definedName name="xcndj" localSheetId="13">{#N/A,#N/A,FALSE,"Plan1";#N/A,#N/A,FALSE,"Plan2"}</definedName>
    <definedName name="xcndj" localSheetId="17">{#N/A,#N/A,FALSE,"Plan1";#N/A,#N/A,FALSE,"Plan2"}</definedName>
    <definedName name="xcndj" localSheetId="0">{#N/A,#N/A,FALSE,"Plan1";#N/A,#N/A,FALSE,"Plan2"}</definedName>
    <definedName name="xcndj" localSheetId="19">{#N/A,#N/A,FALSE,"Plan1";#N/A,#N/A,FALSE,"Plan2"}</definedName>
    <definedName name="xcndj" localSheetId="16">{#N/A,#N/A,FALSE,"Plan1";#N/A,#N/A,FALSE,"Plan2"}</definedName>
    <definedName name="xcndj" localSheetId="18">{#N/A,#N/A,FALSE,"Plan1";#N/A,#N/A,FALSE,"Plan2"}</definedName>
    <definedName name="xcndj" localSheetId="10">{#N/A,#N/A,FALSE,"Plan1";#N/A,#N/A,FALSE,"Plan2"}</definedName>
    <definedName name="xcndj">{#N/A,#N/A,FALSE,"Plan1";#N/A,#N/A,FALSE,"Plan2"}</definedName>
    <definedName name="XCV" localSheetId="3">#REF!</definedName>
    <definedName name="XCV" localSheetId="8">#REF!</definedName>
    <definedName name="XCV" localSheetId="5">#REF!</definedName>
    <definedName name="XCV" localSheetId="13">#REF!</definedName>
    <definedName name="XCV" localSheetId="26">#REF!</definedName>
    <definedName name="XCV">#REF!</definedName>
    <definedName name="XCVGGT" localSheetId="9">{#N/A,#N/A,FALSE,"Plan1";#N/A,#N/A,FALSE,"Plan2"}</definedName>
    <definedName name="XCVGGT" localSheetId="6">{#N/A,#N/A,FALSE,"Plan1";#N/A,#N/A,FALSE,"Plan2"}</definedName>
    <definedName name="XCVGGT" localSheetId="3">{#N/A,#N/A,FALSE,"Plan1";#N/A,#N/A,FALSE,"Plan2"}</definedName>
    <definedName name="XCVGGT" localSheetId="8">{#N/A,#N/A,FALSE,"Plan1";#N/A,#N/A,FALSE,"Plan2"}</definedName>
    <definedName name="XCVGGT" localSheetId="5">{#N/A,#N/A,FALSE,"Plan1";#N/A,#N/A,FALSE,"Plan2"}</definedName>
    <definedName name="XCVGGT" localSheetId="4">{#N/A,#N/A,FALSE,"Plan1";#N/A,#N/A,FALSE,"Plan2"}</definedName>
    <definedName name="XCVGGT" localSheetId="13">{#N/A,#N/A,FALSE,"Plan1";#N/A,#N/A,FALSE,"Plan2"}</definedName>
    <definedName name="XCVGGT" localSheetId="17">{#N/A,#N/A,FALSE,"Plan1";#N/A,#N/A,FALSE,"Plan2"}</definedName>
    <definedName name="XCVGGT" localSheetId="0">{#N/A,#N/A,FALSE,"Plan1";#N/A,#N/A,FALSE,"Plan2"}</definedName>
    <definedName name="XCVGGT" localSheetId="19">{#N/A,#N/A,FALSE,"Plan1";#N/A,#N/A,FALSE,"Plan2"}</definedName>
    <definedName name="XCVGGT" localSheetId="16">{#N/A,#N/A,FALSE,"Plan1";#N/A,#N/A,FALSE,"Plan2"}</definedName>
    <definedName name="XCVGGT" localSheetId="18">{#N/A,#N/A,FALSE,"Plan1";#N/A,#N/A,FALSE,"Plan2"}</definedName>
    <definedName name="XCVGGT" localSheetId="10">{#N/A,#N/A,FALSE,"Plan1";#N/A,#N/A,FALSE,"Plan2"}</definedName>
    <definedName name="XCVGGT">{#N/A,#N/A,FALSE,"Plan1";#N/A,#N/A,FALSE,"Plan2"}</definedName>
    <definedName name="XCVI" localSheetId="3">#REF!</definedName>
    <definedName name="XCVI" localSheetId="8">#REF!</definedName>
    <definedName name="XCVI" localSheetId="5">#REF!</definedName>
    <definedName name="XCVI" localSheetId="13">#REF!</definedName>
    <definedName name="XCVI" localSheetId="26">#REF!</definedName>
    <definedName name="XCVI">#REF!</definedName>
    <definedName name="XCVII" localSheetId="3">#REF!</definedName>
    <definedName name="XCVII" localSheetId="5">#REF!</definedName>
    <definedName name="XCVII" localSheetId="13">#REF!</definedName>
    <definedName name="XCVII" localSheetId="26">#REF!</definedName>
    <definedName name="XCVII">#REF!</definedName>
    <definedName name="XCVIII" localSheetId="3">#REF!</definedName>
    <definedName name="XCVIII" localSheetId="5">#REF!</definedName>
    <definedName name="XCVIII" localSheetId="13">#REF!</definedName>
    <definedName name="XCVIII" localSheetId="26">#REF!</definedName>
    <definedName name="XCVIII">#REF!</definedName>
    <definedName name="xcvrg" localSheetId="9">{#N/A,#N/A,FALSE,"Plan1";#N/A,#N/A,FALSE,"Plan2"}</definedName>
    <definedName name="xcvrg" localSheetId="6">{#N/A,#N/A,FALSE,"Plan1";#N/A,#N/A,FALSE,"Plan2"}</definedName>
    <definedName name="xcvrg" localSheetId="3">{#N/A,#N/A,FALSE,"Plan1";#N/A,#N/A,FALSE,"Plan2"}</definedName>
    <definedName name="xcvrg" localSheetId="8">{#N/A,#N/A,FALSE,"Plan1";#N/A,#N/A,FALSE,"Plan2"}</definedName>
    <definedName name="xcvrg" localSheetId="5">{#N/A,#N/A,FALSE,"Plan1";#N/A,#N/A,FALSE,"Plan2"}</definedName>
    <definedName name="xcvrg" localSheetId="4">{#N/A,#N/A,FALSE,"Plan1";#N/A,#N/A,FALSE,"Plan2"}</definedName>
    <definedName name="xcvrg" localSheetId="13">{#N/A,#N/A,FALSE,"Plan1";#N/A,#N/A,FALSE,"Plan2"}</definedName>
    <definedName name="xcvrg" localSheetId="17">{#N/A,#N/A,FALSE,"Plan1";#N/A,#N/A,FALSE,"Plan2"}</definedName>
    <definedName name="xcvrg" localSheetId="0">{#N/A,#N/A,FALSE,"Plan1";#N/A,#N/A,FALSE,"Plan2"}</definedName>
    <definedName name="xcvrg" localSheetId="19">{#N/A,#N/A,FALSE,"Plan1";#N/A,#N/A,FALSE,"Plan2"}</definedName>
    <definedName name="xcvrg" localSheetId="16">{#N/A,#N/A,FALSE,"Plan1";#N/A,#N/A,FALSE,"Plan2"}</definedName>
    <definedName name="xcvrg" localSheetId="18">{#N/A,#N/A,FALSE,"Plan1";#N/A,#N/A,FALSE,"Plan2"}</definedName>
    <definedName name="xcvrg" localSheetId="10">{#N/A,#N/A,FALSE,"Plan1";#N/A,#N/A,FALSE,"Plan2"}</definedName>
    <definedName name="xcvrg">{#N/A,#N/A,FALSE,"Plan1";#N/A,#N/A,FALSE,"Plan2"}</definedName>
    <definedName name="XDATA" localSheetId="3">#REF!</definedName>
    <definedName name="XDATA" localSheetId="5">#REF!</definedName>
    <definedName name="XDATA" localSheetId="13">#REF!</definedName>
    <definedName name="XDATA" localSheetId="26">#REF!</definedName>
    <definedName name="XDATA">#REF!</definedName>
    <definedName name="xdfe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9">{#N/A,#N/A,FALSE,"Plan1";#N/A,#N/A,FALSE,"Plan2"}</definedName>
    <definedName name="xdgtyhyt" localSheetId="6">{#N/A,#N/A,FALSE,"Plan1";#N/A,#N/A,FALSE,"Plan2"}</definedName>
    <definedName name="xdgtyhyt" localSheetId="3">{#N/A,#N/A,FALSE,"Plan1";#N/A,#N/A,FALSE,"Plan2"}</definedName>
    <definedName name="xdgtyhyt" localSheetId="8">{#N/A,#N/A,FALSE,"Plan1";#N/A,#N/A,FALSE,"Plan2"}</definedName>
    <definedName name="xdgtyhyt" localSheetId="5">{#N/A,#N/A,FALSE,"Plan1";#N/A,#N/A,FALSE,"Plan2"}</definedName>
    <definedName name="xdgtyhyt" localSheetId="4">{#N/A,#N/A,FALSE,"Plan1";#N/A,#N/A,FALSE,"Plan2"}</definedName>
    <definedName name="xdgtyhyt" localSheetId="13">{#N/A,#N/A,FALSE,"Plan1";#N/A,#N/A,FALSE,"Plan2"}</definedName>
    <definedName name="xdgtyhyt" localSheetId="17">{#N/A,#N/A,FALSE,"Plan1";#N/A,#N/A,FALSE,"Plan2"}</definedName>
    <definedName name="xdgtyhyt" localSheetId="0">{#N/A,#N/A,FALSE,"Plan1";#N/A,#N/A,FALSE,"Plan2"}</definedName>
    <definedName name="xdgtyhyt" localSheetId="19">{#N/A,#N/A,FALSE,"Plan1";#N/A,#N/A,FALSE,"Plan2"}</definedName>
    <definedName name="xdgtyhyt" localSheetId="16">{#N/A,#N/A,FALSE,"Plan1";#N/A,#N/A,FALSE,"Plan2"}</definedName>
    <definedName name="xdgtyhyt" localSheetId="18">{#N/A,#N/A,FALSE,"Plan1";#N/A,#N/A,FALSE,"Plan2"}</definedName>
    <definedName name="xdgtyhyt" localSheetId="10">{#N/A,#N/A,FALSE,"Plan1";#N/A,#N/A,FALSE,"Plan2"}</definedName>
    <definedName name="xdgtyhyt">{#N/A,#N/A,FALSE,"Plan1";#N/A,#N/A,FALSE,"Plan2"}</definedName>
    <definedName name="xfdlfj" localSheetId="9">{#N/A,#N/A,FALSE,"Plan1";#N/A,#N/A,FALSE,"Plan2"}</definedName>
    <definedName name="xfdlfj" localSheetId="6">{#N/A,#N/A,FALSE,"Plan1";#N/A,#N/A,FALSE,"Plan2"}</definedName>
    <definedName name="xfdlfj" localSheetId="3">{#N/A,#N/A,FALSE,"Plan1";#N/A,#N/A,FALSE,"Plan2"}</definedName>
    <definedName name="xfdlfj" localSheetId="8">{#N/A,#N/A,FALSE,"Plan1";#N/A,#N/A,FALSE,"Plan2"}</definedName>
    <definedName name="xfdlfj" localSheetId="5">{#N/A,#N/A,FALSE,"Plan1";#N/A,#N/A,FALSE,"Plan2"}</definedName>
    <definedName name="xfdlfj" localSheetId="4">{#N/A,#N/A,FALSE,"Plan1";#N/A,#N/A,FALSE,"Plan2"}</definedName>
    <definedName name="xfdlfj" localSheetId="13">{#N/A,#N/A,FALSE,"Plan1";#N/A,#N/A,FALSE,"Plan2"}</definedName>
    <definedName name="xfdlfj" localSheetId="17">{#N/A,#N/A,FALSE,"Plan1";#N/A,#N/A,FALSE,"Plan2"}</definedName>
    <definedName name="xfdlfj" localSheetId="0">{#N/A,#N/A,FALSE,"Plan1";#N/A,#N/A,FALSE,"Plan2"}</definedName>
    <definedName name="xfdlfj" localSheetId="19">{#N/A,#N/A,FALSE,"Plan1";#N/A,#N/A,FALSE,"Plan2"}</definedName>
    <definedName name="xfdlfj" localSheetId="16">{#N/A,#N/A,FALSE,"Plan1";#N/A,#N/A,FALSE,"Plan2"}</definedName>
    <definedName name="xfdlfj" localSheetId="18">{#N/A,#N/A,FALSE,"Plan1";#N/A,#N/A,FALSE,"Plan2"}</definedName>
    <definedName name="xfdlfj" localSheetId="10">{#N/A,#N/A,FALSE,"Plan1";#N/A,#N/A,FALSE,"Plan2"}</definedName>
    <definedName name="xfdlfj">{#N/A,#N/A,FALSE,"Plan1";#N/A,#N/A,FALSE,"Plan2"}</definedName>
    <definedName name="xfdxfdf" localSheetId="9">{#N/A,#N/A,FALSE,"Plan1";#N/A,#N/A,FALSE,"Plan2"}</definedName>
    <definedName name="xfdxfdf" localSheetId="6">{#N/A,#N/A,FALSE,"Plan1";#N/A,#N/A,FALSE,"Plan2"}</definedName>
    <definedName name="xfdxfdf" localSheetId="3">{#N/A,#N/A,FALSE,"Plan1";#N/A,#N/A,FALSE,"Plan2"}</definedName>
    <definedName name="xfdxfdf" localSheetId="8">{#N/A,#N/A,FALSE,"Plan1";#N/A,#N/A,FALSE,"Plan2"}</definedName>
    <definedName name="xfdxfdf" localSheetId="5">{#N/A,#N/A,FALSE,"Plan1";#N/A,#N/A,FALSE,"Plan2"}</definedName>
    <definedName name="xfdxfdf" localSheetId="4">{#N/A,#N/A,FALSE,"Plan1";#N/A,#N/A,FALSE,"Plan2"}</definedName>
    <definedName name="xfdxfdf" localSheetId="13">{#N/A,#N/A,FALSE,"Plan1";#N/A,#N/A,FALSE,"Plan2"}</definedName>
    <definedName name="xfdxfdf" localSheetId="17">{#N/A,#N/A,FALSE,"Plan1";#N/A,#N/A,FALSE,"Plan2"}</definedName>
    <definedName name="xfdxfdf" localSheetId="0">{#N/A,#N/A,FALSE,"Plan1";#N/A,#N/A,FALSE,"Plan2"}</definedName>
    <definedName name="xfdxfdf" localSheetId="19">{#N/A,#N/A,FALSE,"Plan1";#N/A,#N/A,FALSE,"Plan2"}</definedName>
    <definedName name="xfdxfdf" localSheetId="16">{#N/A,#N/A,FALSE,"Plan1";#N/A,#N/A,FALSE,"Plan2"}</definedName>
    <definedName name="xfdxfdf" localSheetId="18">{#N/A,#N/A,FALSE,"Plan1";#N/A,#N/A,FALSE,"Plan2"}</definedName>
    <definedName name="xfdxfdf" localSheetId="10">{#N/A,#N/A,FALSE,"Plan1";#N/A,#N/A,FALSE,"Plan2"}</definedName>
    <definedName name="xfdxfdf">{#N/A,#N/A,FALSE,"Plan1";#N/A,#N/A,FALSE,"Plan2"}</definedName>
    <definedName name="XFJKLDJKLG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9">{#N/A,#N/A,FALSE,"Plan1";#N/A,#N/A,FALSE,"Plan2"}</definedName>
    <definedName name="xfrty" localSheetId="6">{#N/A,#N/A,FALSE,"Plan1";#N/A,#N/A,FALSE,"Plan2"}</definedName>
    <definedName name="xfrty" localSheetId="3">{#N/A,#N/A,FALSE,"Plan1";#N/A,#N/A,FALSE,"Plan2"}</definedName>
    <definedName name="xfrty" localSheetId="8">{#N/A,#N/A,FALSE,"Plan1";#N/A,#N/A,FALSE,"Plan2"}</definedName>
    <definedName name="xfrty" localSheetId="5">{#N/A,#N/A,FALSE,"Plan1";#N/A,#N/A,FALSE,"Plan2"}</definedName>
    <definedName name="xfrty" localSheetId="4">{#N/A,#N/A,FALSE,"Plan1";#N/A,#N/A,FALSE,"Plan2"}</definedName>
    <definedName name="xfrty" localSheetId="13">{#N/A,#N/A,FALSE,"Plan1";#N/A,#N/A,FALSE,"Plan2"}</definedName>
    <definedName name="xfrty" localSheetId="17">{#N/A,#N/A,FALSE,"Plan1";#N/A,#N/A,FALSE,"Plan2"}</definedName>
    <definedName name="xfrty" localSheetId="0">{#N/A,#N/A,FALSE,"Plan1";#N/A,#N/A,FALSE,"Plan2"}</definedName>
    <definedName name="xfrty" localSheetId="19">{#N/A,#N/A,FALSE,"Plan1";#N/A,#N/A,FALSE,"Plan2"}</definedName>
    <definedName name="xfrty" localSheetId="16">{#N/A,#N/A,FALSE,"Plan1";#N/A,#N/A,FALSE,"Plan2"}</definedName>
    <definedName name="xfrty" localSheetId="18">{#N/A,#N/A,FALSE,"Plan1";#N/A,#N/A,FALSE,"Plan2"}</definedName>
    <definedName name="xfrty" localSheetId="10">{#N/A,#N/A,FALSE,"Plan1";#N/A,#N/A,FALSE,"Plan2"}</definedName>
    <definedName name="xfrty">{#N/A,#N/A,FALSE,"Plan1";#N/A,#N/A,FALSE,"Plan2"}</definedName>
    <definedName name="X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9">{"Econ Consolidado",#N/A,FALSE,"Econ Consol";"Fluxo de Caixa",#N/A,FALSE,"Fluxo Caixa";"Investimentos",#N/A,FALSE,"Investimentos"}</definedName>
    <definedName name="xfvchdhhd" localSheetId="6">{"Econ Consolidado",#N/A,FALSE,"Econ Consol";"Fluxo de Caixa",#N/A,FALSE,"Fluxo Caixa";"Investimentos",#N/A,FALSE,"Investimentos"}</definedName>
    <definedName name="xfvchdhhd" localSheetId="3">{"Econ Consolidado",#N/A,FALSE,"Econ Consol";"Fluxo de Caixa",#N/A,FALSE,"Fluxo Caixa";"Investimentos",#N/A,FALSE,"Investimentos"}</definedName>
    <definedName name="xfvchdhhd" localSheetId="8">{"Econ Consolidado",#N/A,FALSE,"Econ Consol";"Fluxo de Caixa",#N/A,FALSE,"Fluxo Caixa";"Investimentos",#N/A,FALSE,"Investimentos"}</definedName>
    <definedName name="xfvchdhhd" localSheetId="5">{"Econ Consolidado",#N/A,FALSE,"Econ Consol";"Fluxo de Caixa",#N/A,FALSE,"Fluxo Caixa";"Investimentos",#N/A,FALSE,"Investimentos"}</definedName>
    <definedName name="xfvchdhhd" localSheetId="4">{"Econ Consolidado",#N/A,FALSE,"Econ Consol";"Fluxo de Caixa",#N/A,FALSE,"Fluxo Caixa";"Investimentos",#N/A,FALSE,"Investimentos"}</definedName>
    <definedName name="xfvchdhhd" localSheetId="13">{"Econ Consolidado",#N/A,FALSE,"Econ Consol";"Fluxo de Caixa",#N/A,FALSE,"Fluxo Caixa";"Investimentos",#N/A,FALSE,"Investimentos"}</definedName>
    <definedName name="xfvchdhhd" localSheetId="17">{"Econ Consolidado",#N/A,FALSE,"Econ Consol";"Fluxo de Caixa",#N/A,FALSE,"Fluxo Caixa";"Investimentos",#N/A,FALSE,"Investimentos"}</definedName>
    <definedName name="xfvchdhhd" localSheetId="0">{"Econ Consolidado",#N/A,FALSE,"Econ Consol";"Fluxo de Caixa",#N/A,FALSE,"Fluxo Caixa";"Investimentos",#N/A,FALSE,"Investimentos"}</definedName>
    <definedName name="xfvchdhhd" localSheetId="19">{"Econ Consolidado",#N/A,FALSE,"Econ Consol";"Fluxo de Caixa",#N/A,FALSE,"Fluxo Caixa";"Investimentos",#N/A,FALSE,"Investimentos"}</definedName>
    <definedName name="xfvchdhhd" localSheetId="16">{"Econ Consolidado",#N/A,FALSE,"Econ Consol";"Fluxo de Caixa",#N/A,FALSE,"Fluxo Caixa";"Investimentos",#N/A,FALSE,"Investimentos"}</definedName>
    <definedName name="xfvchdhhd" localSheetId="18">{"Econ Consolidado",#N/A,FALSE,"Econ Consol";"Fluxo de Caixa",#N/A,FALSE,"Fluxo Caixa";"Investimentos",#N/A,FALSE,"Investimentos"}</definedName>
    <definedName name="xfvchdhhd" localSheetId="10">{"Econ Consolidado",#N/A,FALSE,"Econ Consol";"Fluxo de Caixa",#N/A,FALSE,"Fluxo Caixa";"Investimentos",#N/A,FALSE,"Investimentos"}</definedName>
    <definedName name="xfvchdhhd">{"Econ Consolidado",#N/A,FALSE,"Econ Consol";"Fluxo de Caixa",#N/A,FALSE,"Fluxo Caixa";"Investimentos",#N/A,FALSE,"Investimentos"}</definedName>
    <definedName name="xfvgcfgt" localSheetId="9">{#N/A,#N/A,FALSE,"Plan1";#N/A,#N/A,FALSE,"Plan2"}</definedName>
    <definedName name="xfvgcfgt" localSheetId="6">{#N/A,#N/A,FALSE,"Plan1";#N/A,#N/A,FALSE,"Plan2"}</definedName>
    <definedName name="xfvgcfgt" localSheetId="3">{#N/A,#N/A,FALSE,"Plan1";#N/A,#N/A,FALSE,"Plan2"}</definedName>
    <definedName name="xfvgcfgt" localSheetId="8">{#N/A,#N/A,FALSE,"Plan1";#N/A,#N/A,FALSE,"Plan2"}</definedName>
    <definedName name="xfvgcfgt" localSheetId="5">{#N/A,#N/A,FALSE,"Plan1";#N/A,#N/A,FALSE,"Plan2"}</definedName>
    <definedName name="xfvgcfgt" localSheetId="4">{#N/A,#N/A,FALSE,"Plan1";#N/A,#N/A,FALSE,"Plan2"}</definedName>
    <definedName name="xfvgcfgt" localSheetId="13">{#N/A,#N/A,FALSE,"Plan1";#N/A,#N/A,FALSE,"Plan2"}</definedName>
    <definedName name="xfvgcfgt" localSheetId="17">{#N/A,#N/A,FALSE,"Plan1";#N/A,#N/A,FALSE,"Plan2"}</definedName>
    <definedName name="xfvgcfgt" localSheetId="0">{#N/A,#N/A,FALSE,"Plan1";#N/A,#N/A,FALSE,"Plan2"}</definedName>
    <definedName name="xfvgcfgt" localSheetId="19">{#N/A,#N/A,FALSE,"Plan1";#N/A,#N/A,FALSE,"Plan2"}</definedName>
    <definedName name="xfvgcfgt" localSheetId="16">{#N/A,#N/A,FALSE,"Plan1";#N/A,#N/A,FALSE,"Plan2"}</definedName>
    <definedName name="xfvgcfgt" localSheetId="18">{#N/A,#N/A,FALSE,"Plan1";#N/A,#N/A,FALSE,"Plan2"}</definedName>
    <definedName name="xfvgcfgt" localSheetId="10">{#N/A,#N/A,FALSE,"Plan1";#N/A,#N/A,FALSE,"Plan2"}</definedName>
    <definedName name="xfvgcfgt">{#N/A,#N/A,FALSE,"Plan1";#N/A,#N/A,FALSE,"Plan2"}</definedName>
    <definedName name="xgrg" localSheetId="9">{#N/A,#N/A,FALSE,"Plan1";#N/A,#N/A,FALSE,"Plan2"}</definedName>
    <definedName name="xgrg" localSheetId="6">{#N/A,#N/A,FALSE,"Plan1";#N/A,#N/A,FALSE,"Plan2"}</definedName>
    <definedName name="xgrg" localSheetId="3">{#N/A,#N/A,FALSE,"Plan1";#N/A,#N/A,FALSE,"Plan2"}</definedName>
    <definedName name="xgrg" localSheetId="8">{#N/A,#N/A,FALSE,"Plan1";#N/A,#N/A,FALSE,"Plan2"}</definedName>
    <definedName name="xgrg" localSheetId="5">{#N/A,#N/A,FALSE,"Plan1";#N/A,#N/A,FALSE,"Plan2"}</definedName>
    <definedName name="xgrg" localSheetId="4">{#N/A,#N/A,FALSE,"Plan1";#N/A,#N/A,FALSE,"Plan2"}</definedName>
    <definedName name="xgrg" localSheetId="13">{#N/A,#N/A,FALSE,"Plan1";#N/A,#N/A,FALSE,"Plan2"}</definedName>
    <definedName name="xgrg" localSheetId="17">{#N/A,#N/A,FALSE,"Plan1";#N/A,#N/A,FALSE,"Plan2"}</definedName>
    <definedName name="xgrg" localSheetId="0">{#N/A,#N/A,FALSE,"Plan1";#N/A,#N/A,FALSE,"Plan2"}</definedName>
    <definedName name="xgrg" localSheetId="19">{#N/A,#N/A,FALSE,"Plan1";#N/A,#N/A,FALSE,"Plan2"}</definedName>
    <definedName name="xgrg" localSheetId="16">{#N/A,#N/A,FALSE,"Plan1";#N/A,#N/A,FALSE,"Plan2"}</definedName>
    <definedName name="xgrg" localSheetId="18">{#N/A,#N/A,FALSE,"Plan1";#N/A,#N/A,FALSE,"Plan2"}</definedName>
    <definedName name="xgrg" localSheetId="10">{#N/A,#N/A,FALSE,"Plan1";#N/A,#N/A,FALSE,"Plan2"}</definedName>
    <definedName name="xgrg">{#N/A,#N/A,FALSE,"Plan1";#N/A,#N/A,FALSE,"Plan2"}</definedName>
    <definedName name="XI" localSheetId="3">#REF!</definedName>
    <definedName name="XI" localSheetId="8">#REF!</definedName>
    <definedName name="XI" localSheetId="5">#REF!</definedName>
    <definedName name="XI" localSheetId="13">#REF!</definedName>
    <definedName name="XI" localSheetId="26">#REF!</definedName>
    <definedName name="XI">#REF!</definedName>
    <definedName name="XII" localSheetId="3">#REF!</definedName>
    <definedName name="XII" localSheetId="5">#REF!</definedName>
    <definedName name="XII" localSheetId="13">#REF!</definedName>
    <definedName name="XII" localSheetId="26">#REF!</definedName>
    <definedName name="XII">#REF!</definedName>
    <definedName name="XIII" localSheetId="3">#REF!</definedName>
    <definedName name="XIII" localSheetId="5">#REF!</definedName>
    <definedName name="XIII" localSheetId="13">#REF!</definedName>
    <definedName name="XIII" localSheetId="26">#REF!</definedName>
    <definedName name="XIII">#REF!</definedName>
    <definedName name="XITEM" localSheetId="3">#REF!</definedName>
    <definedName name="XITEM" localSheetId="5">#REF!</definedName>
    <definedName name="XITEM" localSheetId="13">#REF!</definedName>
    <definedName name="XITEM" localSheetId="26">#REF!</definedName>
    <definedName name="XITEM">#REF!</definedName>
    <definedName name="XIV" localSheetId="3">#REF!</definedName>
    <definedName name="XIV" localSheetId="5">#REF!</definedName>
    <definedName name="XIV" localSheetId="13">#REF!</definedName>
    <definedName name="XIV" localSheetId="26">#REF!</definedName>
    <definedName name="XIV">#REF!</definedName>
    <definedName name="XLOC" localSheetId="3">#REF!</definedName>
    <definedName name="XLOC" localSheetId="5">#REF!</definedName>
    <definedName name="XLOC" localSheetId="13">#REF!</definedName>
    <definedName name="XLOC" localSheetId="26">#REF!</definedName>
    <definedName name="XLOC">#REF!</definedName>
    <definedName name="xmght" localSheetId="9">{#N/A,#N/A,FALSE,"Plan1";#N/A,#N/A,FALSE,"Plan2"}</definedName>
    <definedName name="xmght" localSheetId="6">{#N/A,#N/A,FALSE,"Plan1";#N/A,#N/A,FALSE,"Plan2"}</definedName>
    <definedName name="xmght" localSheetId="3">{#N/A,#N/A,FALSE,"Plan1";#N/A,#N/A,FALSE,"Plan2"}</definedName>
    <definedName name="xmght" localSheetId="8">{#N/A,#N/A,FALSE,"Plan1";#N/A,#N/A,FALSE,"Plan2"}</definedName>
    <definedName name="xmght" localSheetId="5">{#N/A,#N/A,FALSE,"Plan1";#N/A,#N/A,FALSE,"Plan2"}</definedName>
    <definedName name="xmght" localSheetId="4">{#N/A,#N/A,FALSE,"Plan1";#N/A,#N/A,FALSE,"Plan2"}</definedName>
    <definedName name="xmght" localSheetId="13">{#N/A,#N/A,FALSE,"Plan1";#N/A,#N/A,FALSE,"Plan2"}</definedName>
    <definedName name="xmght" localSheetId="17">{#N/A,#N/A,FALSE,"Plan1";#N/A,#N/A,FALSE,"Plan2"}</definedName>
    <definedName name="xmght" localSheetId="0">{#N/A,#N/A,FALSE,"Plan1";#N/A,#N/A,FALSE,"Plan2"}</definedName>
    <definedName name="xmght" localSheetId="19">{#N/A,#N/A,FALSE,"Plan1";#N/A,#N/A,FALSE,"Plan2"}</definedName>
    <definedName name="xmght" localSheetId="16">{#N/A,#N/A,FALSE,"Plan1";#N/A,#N/A,FALSE,"Plan2"}</definedName>
    <definedName name="xmght" localSheetId="18">{#N/A,#N/A,FALSE,"Plan1";#N/A,#N/A,FALSE,"Plan2"}</definedName>
    <definedName name="xmght" localSheetId="10">{#N/A,#N/A,FALSE,"Plan1";#N/A,#N/A,FALSE,"Plan2"}</definedName>
    <definedName name="xmght">{#N/A,#N/A,FALSE,"Plan1";#N/A,#N/A,FALSE,"Plan2"}</definedName>
    <definedName name="xnInforme_quantos_bebedouros____bebqt__if_bebqt__0__xlQt.bebedouros_invalida___ENTER_p_reinformar__xresp__branch_rqtderv" localSheetId="3">#REF!</definedName>
    <definedName name="xnInforme_quantos_bebedouros____bebqt__if_bebqt__0__xlQt.bebedouros_invalida___ENTER_p_reinformar__xresp__branch_rqtderv" localSheetId="5">#REF!</definedName>
    <definedName name="xnInforme_quantos_bebedouros____bebqt__if_bebqt__0__xlQt.bebedouros_invalida___ENTER_p_reinformar__xresp__branch_rqtderv" localSheetId="13">#REF!</definedName>
    <definedName name="xnInforme_quantos_bebedouros____bebqt__if_bebqt__0__xlQt.bebedouros_invalida___ENTER_p_reinformar__xresp__branch_rqtderv" localSheetId="26">#REF!</definedName>
    <definedName name="xnInforme_quantos_bebedouros____bebqt__if_bebqt__0__xlQt.bebedouros_invalida___ENTER_p_reinformar__xresp__branch_rqtderv">#REF!</definedName>
    <definedName name="XNUCOPIAS" localSheetId="3">#REF!</definedName>
    <definedName name="XNUCOPIAS" localSheetId="5">#REF!</definedName>
    <definedName name="XNUCOPIAS" localSheetId="13">#REF!</definedName>
    <definedName name="XNUCOPIAS" localSheetId="26">#REF!</definedName>
    <definedName name="XNUCOPIAS">#REF!</definedName>
    <definedName name="xo" localSheetId="9">{#N/A,#N/A,FALSE,"Global by BU";#N/A,#N/A,FALSE,"U.S. by BU";#N/A,#N/A,FALSE,"Canada by BU";#N/A,#N/A,FALSE,"Europe by BU";#N/A,#N/A,FALSE,"Asia by BU";#N/A,#N/A,FALSE,"Cala by BU"}</definedName>
    <definedName name="xo" localSheetId="6">{#N/A,#N/A,FALSE,"Global by BU";#N/A,#N/A,FALSE,"U.S. by BU";#N/A,#N/A,FALSE,"Canada by BU";#N/A,#N/A,FALSE,"Europe by BU";#N/A,#N/A,FALSE,"Asia by BU";#N/A,#N/A,FALSE,"Cala by BU"}</definedName>
    <definedName name="xo" localSheetId="3">{#N/A,#N/A,FALSE,"Global by BU";#N/A,#N/A,FALSE,"U.S. by BU";#N/A,#N/A,FALSE,"Canada by BU";#N/A,#N/A,FALSE,"Europe by BU";#N/A,#N/A,FALSE,"Asia by BU";#N/A,#N/A,FALSE,"Cala by BU"}</definedName>
    <definedName name="xo" localSheetId="8">{#N/A,#N/A,FALSE,"Global by BU";#N/A,#N/A,FALSE,"U.S. by BU";#N/A,#N/A,FALSE,"Canada by BU";#N/A,#N/A,FALSE,"Europe by BU";#N/A,#N/A,FALSE,"Asia by BU";#N/A,#N/A,FALSE,"Cala by BU"}</definedName>
    <definedName name="xo" localSheetId="5">{#N/A,#N/A,FALSE,"Global by BU";#N/A,#N/A,FALSE,"U.S. by BU";#N/A,#N/A,FALSE,"Canada by BU";#N/A,#N/A,FALSE,"Europe by BU";#N/A,#N/A,FALSE,"Asia by BU";#N/A,#N/A,FALSE,"Cala by BU"}</definedName>
    <definedName name="xo" localSheetId="4">{#N/A,#N/A,FALSE,"Global by BU";#N/A,#N/A,FALSE,"U.S. by BU";#N/A,#N/A,FALSE,"Canada by BU";#N/A,#N/A,FALSE,"Europe by BU";#N/A,#N/A,FALSE,"Asia by BU";#N/A,#N/A,FALSE,"Cala by BU"}</definedName>
    <definedName name="xo" localSheetId="13">{#N/A,#N/A,FALSE,"Global by BU";#N/A,#N/A,FALSE,"U.S. by BU";#N/A,#N/A,FALSE,"Canada by BU";#N/A,#N/A,FALSE,"Europe by BU";#N/A,#N/A,FALSE,"Asia by BU";#N/A,#N/A,FALSE,"Cala by BU"}</definedName>
    <definedName name="xo" localSheetId="17">{#N/A,#N/A,FALSE,"Global by BU";#N/A,#N/A,FALSE,"U.S. by BU";#N/A,#N/A,FALSE,"Canada by BU";#N/A,#N/A,FALSE,"Europe by BU";#N/A,#N/A,FALSE,"Asia by BU";#N/A,#N/A,FALSE,"Cala by BU"}</definedName>
    <definedName name="xo" localSheetId="0">{#N/A,#N/A,FALSE,"Global by BU";#N/A,#N/A,FALSE,"U.S. by BU";#N/A,#N/A,FALSE,"Canada by BU";#N/A,#N/A,FALSE,"Europe by BU";#N/A,#N/A,FALSE,"Asia by BU";#N/A,#N/A,FALSE,"Cala by BU"}</definedName>
    <definedName name="xo" localSheetId="19">{#N/A,#N/A,FALSE,"Global by BU";#N/A,#N/A,FALSE,"U.S. by BU";#N/A,#N/A,FALSE,"Canada by BU";#N/A,#N/A,FALSE,"Europe by BU";#N/A,#N/A,FALSE,"Asia by BU";#N/A,#N/A,FALSE,"Cala by BU"}</definedName>
    <definedName name="xo" localSheetId="16">{#N/A,#N/A,FALSE,"Global by BU";#N/A,#N/A,FALSE,"U.S. by BU";#N/A,#N/A,FALSE,"Canada by BU";#N/A,#N/A,FALSE,"Europe by BU";#N/A,#N/A,FALSE,"Asia by BU";#N/A,#N/A,FALSE,"Cala by BU"}</definedName>
    <definedName name="xo" localSheetId="18">{#N/A,#N/A,FALSE,"Global by BU";#N/A,#N/A,FALSE,"U.S. by BU";#N/A,#N/A,FALSE,"Canada by BU";#N/A,#N/A,FALSE,"Europe by BU";#N/A,#N/A,FALSE,"Asia by BU";#N/A,#N/A,FALSE,"Cala by BU"}</definedName>
    <definedName name="xo" localSheetId="10">{#N/A,#N/A,FALSE,"Global by BU";#N/A,#N/A,FALSE,"U.S. by BU";#N/A,#N/A,FALSE,"Canada by BU";#N/A,#N/A,FALSE,"Europe by BU";#N/A,#N/A,FALSE,"Asia by BU";#N/A,#N/A,FALSE,"Cala by BU"}</definedName>
    <definedName name="xo">{#N/A,#N/A,FALSE,"Global by BU";#N/A,#N/A,FALSE,"U.S. by BU";#N/A,#N/A,FALSE,"Canada by BU";#N/A,#N/A,FALSE,"Europe by BU";#N/A,#N/A,FALSE,"Asia by BU";#N/A,#N/A,FALSE,"Cala by BU"}</definedName>
    <definedName name="XREF_COLUMN_1" localSheetId="3">#REF!</definedName>
    <definedName name="XREF_COLUMN_1" localSheetId="5">#REF!</definedName>
    <definedName name="XREF_COLUMN_1" localSheetId="13">#REF!</definedName>
    <definedName name="XREF_COLUMN_1" localSheetId="26">#REF!</definedName>
    <definedName name="XREF_COLUMN_1" localSheetId="0">#REF!</definedName>
    <definedName name="XREF_COLUMN_1">#REF!</definedName>
    <definedName name="XREF_COLUMN_2" localSheetId="3">#REF!</definedName>
    <definedName name="XREF_COLUMN_2" localSheetId="5">#REF!</definedName>
    <definedName name="XREF_COLUMN_2" localSheetId="13">#REF!</definedName>
    <definedName name="XREF_COLUMN_2" localSheetId="26">#REF!</definedName>
    <definedName name="XREF_COLUMN_2" localSheetId="0">#REF!</definedName>
    <definedName name="XREF_COLUMN_2">#REF!</definedName>
    <definedName name="XREF_COLUMN_3" localSheetId="3">#REF!</definedName>
    <definedName name="XREF_COLUMN_3" localSheetId="13">#REF!</definedName>
    <definedName name="XREF_COLUMN_3">#REF!</definedName>
    <definedName name="XREF_COLUMN_4" localSheetId="3">#REF!</definedName>
    <definedName name="XREF_COLUMN_4" localSheetId="13">#REF!</definedName>
    <definedName name="XREF_COLUMN_4">#REF!</definedName>
    <definedName name="XRefColumnsCount">1</definedName>
    <definedName name="XRefCopy2" localSheetId="3">#REF!</definedName>
    <definedName name="XRefCopy2" localSheetId="8">#REF!</definedName>
    <definedName name="XRefCopy2" localSheetId="5">#REF!</definedName>
    <definedName name="XRefCopy2" localSheetId="13">#REF!</definedName>
    <definedName name="XRefCopy2" localSheetId="26">#REF!</definedName>
    <definedName name="XRefCopy2">#REF!</definedName>
    <definedName name="XRefCopy3Row" localSheetId="3">#REF!</definedName>
    <definedName name="XRefCopy3Row" localSheetId="5">#REF!</definedName>
    <definedName name="XRefCopy3Row" localSheetId="13">#REF!</definedName>
    <definedName name="XRefCopy3Row" localSheetId="26">#REF!</definedName>
    <definedName name="XRefCopy3Row" localSheetId="0">#REF!</definedName>
    <definedName name="XRefCopy3Row">#REF!</definedName>
    <definedName name="XRefCopy4Row" localSheetId="13">#REF!</definedName>
    <definedName name="XRefCopy4Row">#REF!</definedName>
    <definedName name="XRefCopy6" localSheetId="13">#REF!</definedName>
    <definedName name="XRefCopy6">#REF!</definedName>
    <definedName name="XRefCopyRangeCount">1</definedName>
    <definedName name="XRefPaste2" localSheetId="3">#REF!</definedName>
    <definedName name="XRefPaste2" localSheetId="8">#REF!</definedName>
    <definedName name="XRefPaste2" localSheetId="5">#REF!</definedName>
    <definedName name="XRefPaste2" localSheetId="13">#REF!</definedName>
    <definedName name="XRefPaste2" localSheetId="26">#REF!</definedName>
    <definedName name="XRefPaste2">#REF!</definedName>
    <definedName name="XRefPaste4" localSheetId="3">#REF!</definedName>
    <definedName name="XRefPaste4" localSheetId="5">#REF!</definedName>
    <definedName name="XRefPaste4" localSheetId="13">#REF!</definedName>
    <definedName name="XRefPaste4" localSheetId="26">#REF!</definedName>
    <definedName name="XRefPaste4">#REF!</definedName>
    <definedName name="XRefPaste5" localSheetId="13">#REF!</definedName>
    <definedName name="XRefPaste5">#REF!</definedName>
    <definedName name="XRefPaste6" localSheetId="13">#REF!</definedName>
    <definedName name="XRefPaste6">#REF!</definedName>
    <definedName name="XRefPaste7Row" localSheetId="13">#REF!</definedName>
    <definedName name="XRefPaste7Row">#REF!</definedName>
    <definedName name="XRefPasteRangeCount">1</definedName>
    <definedName name="XRESP" localSheetId="3">#REF!</definedName>
    <definedName name="XRESP" localSheetId="5">#REF!</definedName>
    <definedName name="XRESP" localSheetId="13">#REF!</definedName>
    <definedName name="XRESP" localSheetId="26">#REF!</definedName>
    <definedName name="XRESP">#REF!</definedName>
    <definedName name="XTITRES" localSheetId="3">#REF!</definedName>
    <definedName name="XTITRES" localSheetId="5">#REF!</definedName>
    <definedName name="XTITRES" localSheetId="13">#REF!</definedName>
    <definedName name="XTITRES" localSheetId="26">#REF!</definedName>
    <definedName name="XTITRES">#REF!</definedName>
    <definedName name="XV" localSheetId="3">#REF!</definedName>
    <definedName name="XV" localSheetId="5">#REF!</definedName>
    <definedName name="XV" localSheetId="13">#REF!</definedName>
    <definedName name="XV" localSheetId="26">#REF!</definedName>
    <definedName name="XV">#REF!</definedName>
    <definedName name="xx" localSheetId="3">#REF!</definedName>
    <definedName name="XX" localSheetId="5">#REF!</definedName>
    <definedName name="XX" localSheetId="13">#REF!</definedName>
    <definedName name="xx" localSheetId="26">#REF!</definedName>
    <definedName name="xx" localSheetId="0">#REF!</definedName>
    <definedName name="XX">#REF!</definedName>
    <definedName name="XXI" localSheetId="3">#REF!</definedName>
    <definedName name="XXI" localSheetId="5">#REF!</definedName>
    <definedName name="XXI" localSheetId="13">#REF!</definedName>
    <definedName name="XXI" localSheetId="26">#REF!</definedName>
    <definedName name="XXI">#REF!</definedName>
    <definedName name="XXII" localSheetId="3">#REF!</definedName>
    <definedName name="XXII" localSheetId="5">#REF!</definedName>
    <definedName name="XXII" localSheetId="13">#REF!</definedName>
    <definedName name="XXII" localSheetId="26">#REF!</definedName>
    <definedName name="XXII">#REF!</definedName>
    <definedName name="XXIII" localSheetId="3">#REF!</definedName>
    <definedName name="XXIII" localSheetId="5">#REF!</definedName>
    <definedName name="XXIII" localSheetId="13">#REF!</definedName>
    <definedName name="XXIII" localSheetId="26">#REF!</definedName>
    <definedName name="XXIII">#REF!</definedName>
    <definedName name="XXIV" localSheetId="3">#REF!</definedName>
    <definedName name="XXIV" localSheetId="5">#REF!</definedName>
    <definedName name="XXIV" localSheetId="13">#REF!</definedName>
    <definedName name="XXIV" localSheetId="26">#REF!</definedName>
    <definedName name="XXIV">#REF!</definedName>
    <definedName name="XXV" localSheetId="3">#REF!</definedName>
    <definedName name="XXV" localSheetId="5">#REF!</definedName>
    <definedName name="XXV" localSheetId="13">#REF!</definedName>
    <definedName name="XXV" localSheetId="26">#REF!</definedName>
    <definedName name="XXV">#REF!</definedName>
    <definedName name="xxx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5">#REF!</definedName>
    <definedName name="XXX" localSheetId="13">#REF!</definedName>
    <definedName name="XXX" localSheetId="17">#REF!</definedName>
    <definedName name="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 localSheetId="3">#REF!</definedName>
    <definedName name="XXXI" localSheetId="8">#REF!</definedName>
    <definedName name="XXXI" localSheetId="5">#REF!</definedName>
    <definedName name="XXXI" localSheetId="13">#REF!</definedName>
    <definedName name="XXXI" localSheetId="26">#REF!</definedName>
    <definedName name="XXXI">#REF!</definedName>
    <definedName name="XXXII" localSheetId="3">#REF!</definedName>
    <definedName name="XXXII" localSheetId="5">#REF!</definedName>
    <definedName name="XXXII" localSheetId="13">#REF!</definedName>
    <definedName name="XXXII" localSheetId="26">#REF!</definedName>
    <definedName name="XXXII">#REF!</definedName>
    <definedName name="XXXIII" localSheetId="3">#REF!</definedName>
    <definedName name="XXXIII" localSheetId="5">#REF!</definedName>
    <definedName name="XXXIII" localSheetId="13">#REF!</definedName>
    <definedName name="XXXIII" localSheetId="26">#REF!</definedName>
    <definedName name="XXXIII">#REF!</definedName>
    <definedName name="XXXIV" localSheetId="3">#REF!</definedName>
    <definedName name="XXXIV" localSheetId="5">#REF!</definedName>
    <definedName name="XXXIV" localSheetId="13">#REF!</definedName>
    <definedName name="XXXIV" localSheetId="26">#REF!</definedName>
    <definedName name="XXXIV">#REF!</definedName>
    <definedName name="XXXIX" localSheetId="3">#REF!</definedName>
    <definedName name="XXXIX" localSheetId="5">#REF!</definedName>
    <definedName name="XXXIX" localSheetId="13">#REF!</definedName>
    <definedName name="XXXIX" localSheetId="26">#REF!</definedName>
    <definedName name="XXXIX">#REF!</definedName>
    <definedName name="XXXV" localSheetId="3">#REF!</definedName>
    <definedName name="XXXV" localSheetId="5">#REF!</definedName>
    <definedName name="XXXV" localSheetId="13">#REF!</definedName>
    <definedName name="XXXV" localSheetId="26">#REF!</definedName>
    <definedName name="XXXV">#REF!</definedName>
    <definedName name="XXXVI" localSheetId="3">#REF!</definedName>
    <definedName name="XXXVI" localSheetId="5">#REF!</definedName>
    <definedName name="XXXVI" localSheetId="13">#REF!</definedName>
    <definedName name="XXXVI" localSheetId="26">#REF!</definedName>
    <definedName name="XXXVI">#REF!</definedName>
    <definedName name="XXXVII" localSheetId="3">#REF!</definedName>
    <definedName name="XXXVII" localSheetId="5">#REF!</definedName>
    <definedName name="XXXVII" localSheetId="13">#REF!</definedName>
    <definedName name="XXXVII" localSheetId="26">#REF!</definedName>
    <definedName name="XXXVII">#REF!</definedName>
    <definedName name="XXXVIII" localSheetId="3">#REF!</definedName>
    <definedName name="XXXVIII" localSheetId="5">#REF!</definedName>
    <definedName name="XXXVIII" localSheetId="13">#REF!</definedName>
    <definedName name="XXXVIII" localSheetId="26">#REF!</definedName>
    <definedName name="XXXVIII">#REF!</definedName>
    <definedName name="xxxx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6">#REF!</definedName>
    <definedName name="xxxx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">#REF!</definedName>
    <definedName name="xxxx" localSheetId="8">#REF!</definedName>
    <definedName name="xxxx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1">#REF!</definedName>
    <definedName name="xxxx" localSheetId="13">#REF!</definedName>
    <definedName name="xxxx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26">#REF!</definedName>
    <definedName name="xxxx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4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3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7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6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6">{"'Edit'!$A$1:$V$2277"}</definedName>
    <definedName name="xxxxxxxxxxxx" localSheetId="8">{"'Edit'!$A$1:$V$2277"}</definedName>
    <definedName name="xxxxxxxxxxxx" localSheetId="5">#REF!</definedName>
    <definedName name="xxxxxxxxxxxx" localSheetId="13">#REF!</definedName>
    <definedName name="xxxxxxxxxxxx" localSheetId="0">{"'Edit'!$A$1:$V$2277"}</definedName>
    <definedName name="xxxxxxxxxxxx" localSheetId="19">{"'Edit'!$A$1:$V$2277"}</definedName>
    <definedName name="xxxxxxxxxxxx">#REF!</definedName>
    <definedName name="xxxxxxxxxxxxxx" localSheetId="9">{#N/A,#N/A,FALSE,"Plan1";#N/A,#N/A,FALSE,"Plan2"}</definedName>
    <definedName name="xxxxxxxxxxxxxx" localSheetId="6">{#N/A,#N/A,FALSE,"Plan1";#N/A,#N/A,FALSE,"Plan2"}</definedName>
    <definedName name="xxxxxxxxxxxxxx" localSheetId="3">{#N/A,#N/A,FALSE,"Plan1";#N/A,#N/A,FALSE,"Plan2"}</definedName>
    <definedName name="xxxxxxxxxxxxxx" localSheetId="8">{#N/A,#N/A,FALSE,"Plan1";#N/A,#N/A,FALSE,"Plan2"}</definedName>
    <definedName name="xxxxxxxxxxxxxx" localSheetId="5">{#N/A,#N/A,FALSE,"Plan1";#N/A,#N/A,FALSE,"Plan2"}</definedName>
    <definedName name="xxxxxxxxxxxxxx" localSheetId="4">{#N/A,#N/A,FALSE,"Plan1";#N/A,#N/A,FALSE,"Plan2"}</definedName>
    <definedName name="xxxxxxxxxxxxxx" localSheetId="13">{#N/A,#N/A,FALSE,"Plan1";#N/A,#N/A,FALSE,"Plan2"}</definedName>
    <definedName name="xxxxxxxxxxxxxx" localSheetId="17">{#N/A,#N/A,FALSE,"Plan1";#N/A,#N/A,FALSE,"Plan2"}</definedName>
    <definedName name="xxxxxxxxxxxxxx" localSheetId="0">{#N/A,#N/A,FALSE,"Plan1";#N/A,#N/A,FALSE,"Plan2"}</definedName>
    <definedName name="xxxxxxxxxxxxxx" localSheetId="19">{#N/A,#N/A,FALSE,"Plan1";#N/A,#N/A,FALSE,"Plan2"}</definedName>
    <definedName name="xxxxxxxxxxxxxx" localSheetId="16">{#N/A,#N/A,FALSE,"Plan1";#N/A,#N/A,FALSE,"Plan2"}</definedName>
    <definedName name="xxxxxxxxxxxxxx" localSheetId="18">{#N/A,#N/A,FALSE,"Plan1";#N/A,#N/A,FALSE,"Plan2"}</definedName>
    <definedName name="xxxxxxxxxxxxxx" localSheetId="10">{#N/A,#N/A,FALSE,"Plan1";#N/A,#N/A,FALSE,"Plan2"}</definedName>
    <definedName name="xxxxxxxxxxxxxx">{#N/A,#N/A,FALSE,"Plan1";#N/A,#N/A,FALSE,"Plan2"}</definedName>
    <definedName name="xzfrt" localSheetId="9">{#N/A,#N/A,FALSE,"Plan1";#N/A,#N/A,FALSE,"Plan2"}</definedName>
    <definedName name="xzfrt" localSheetId="6">{#N/A,#N/A,FALSE,"Plan1";#N/A,#N/A,FALSE,"Plan2"}</definedName>
    <definedName name="xzfrt" localSheetId="3">{#N/A,#N/A,FALSE,"Plan1";#N/A,#N/A,FALSE,"Plan2"}</definedName>
    <definedName name="xzfrt" localSheetId="8">{#N/A,#N/A,FALSE,"Plan1";#N/A,#N/A,FALSE,"Plan2"}</definedName>
    <definedName name="xzfrt" localSheetId="5">{#N/A,#N/A,FALSE,"Plan1";#N/A,#N/A,FALSE,"Plan2"}</definedName>
    <definedName name="xzfrt" localSheetId="4">{#N/A,#N/A,FALSE,"Plan1";#N/A,#N/A,FALSE,"Plan2"}</definedName>
    <definedName name="xzfrt" localSheetId="13">{#N/A,#N/A,FALSE,"Plan1";#N/A,#N/A,FALSE,"Plan2"}</definedName>
    <definedName name="xzfrt" localSheetId="17">{#N/A,#N/A,FALSE,"Plan1";#N/A,#N/A,FALSE,"Plan2"}</definedName>
    <definedName name="xzfrt" localSheetId="0">{#N/A,#N/A,FALSE,"Plan1";#N/A,#N/A,FALSE,"Plan2"}</definedName>
    <definedName name="xzfrt" localSheetId="19">{#N/A,#N/A,FALSE,"Plan1";#N/A,#N/A,FALSE,"Plan2"}</definedName>
    <definedName name="xzfrt" localSheetId="16">{#N/A,#N/A,FALSE,"Plan1";#N/A,#N/A,FALSE,"Plan2"}</definedName>
    <definedName name="xzfrt" localSheetId="18">{#N/A,#N/A,FALSE,"Plan1";#N/A,#N/A,FALSE,"Plan2"}</definedName>
    <definedName name="xzfrt" localSheetId="10">{#N/A,#N/A,FALSE,"Plan1";#N/A,#N/A,FALSE,"Plan2"}</definedName>
    <definedName name="xzfrt">{#N/A,#N/A,FALSE,"Plan1";#N/A,#N/A,FALSE,"Plan2"}</definedName>
    <definedName name="yeitrtged" localSheetId="9">{#N/A,#N/A,FALSE,"Plan1";#N/A,#N/A,FALSE,"Plan2"}</definedName>
    <definedName name="yeitrtged" localSheetId="6">{#N/A,#N/A,FALSE,"Plan1";#N/A,#N/A,FALSE,"Plan2"}</definedName>
    <definedName name="yeitrtged" localSheetId="3">{#N/A,#N/A,FALSE,"Plan1";#N/A,#N/A,FALSE,"Plan2"}</definedName>
    <definedName name="yeitrtged" localSheetId="8">{#N/A,#N/A,FALSE,"Plan1";#N/A,#N/A,FALSE,"Plan2"}</definedName>
    <definedName name="yeitrtged" localSheetId="5">{#N/A,#N/A,FALSE,"Plan1";#N/A,#N/A,FALSE,"Plan2"}</definedName>
    <definedName name="yeitrtged" localSheetId="4">{#N/A,#N/A,FALSE,"Plan1";#N/A,#N/A,FALSE,"Plan2"}</definedName>
    <definedName name="yeitrtged" localSheetId="13">{#N/A,#N/A,FALSE,"Plan1";#N/A,#N/A,FALSE,"Plan2"}</definedName>
    <definedName name="yeitrtged" localSheetId="17">{#N/A,#N/A,FALSE,"Plan1";#N/A,#N/A,FALSE,"Plan2"}</definedName>
    <definedName name="yeitrtged" localSheetId="0">{#N/A,#N/A,FALSE,"Plan1";#N/A,#N/A,FALSE,"Plan2"}</definedName>
    <definedName name="yeitrtged" localSheetId="19">{#N/A,#N/A,FALSE,"Plan1";#N/A,#N/A,FALSE,"Plan2"}</definedName>
    <definedName name="yeitrtged" localSheetId="16">{#N/A,#N/A,FALSE,"Plan1";#N/A,#N/A,FALSE,"Plan2"}</definedName>
    <definedName name="yeitrtged" localSheetId="18">{#N/A,#N/A,FALSE,"Plan1";#N/A,#N/A,FALSE,"Plan2"}</definedName>
    <definedName name="yeitrtged" localSheetId="10">{#N/A,#N/A,FALSE,"Plan1";#N/A,#N/A,FALSE,"Plan2"}</definedName>
    <definedName name="yeitrtged">{#N/A,#N/A,FALSE,"Plan1";#N/A,#N/A,FALSE,"Plan2"}</definedName>
    <definedName name="yhdfiuygrui" localSheetId="9">{#N/A,#N/A,FALSE,"Plan1";#N/A,#N/A,FALSE,"Plan2"}</definedName>
    <definedName name="yhdfiuygrui" localSheetId="6">{#N/A,#N/A,FALSE,"Plan1";#N/A,#N/A,FALSE,"Plan2"}</definedName>
    <definedName name="yhdfiuygrui" localSheetId="3">{#N/A,#N/A,FALSE,"Plan1";#N/A,#N/A,FALSE,"Plan2"}</definedName>
    <definedName name="yhdfiuygrui" localSheetId="8">{#N/A,#N/A,FALSE,"Plan1";#N/A,#N/A,FALSE,"Plan2"}</definedName>
    <definedName name="yhdfiuygrui" localSheetId="5">{#N/A,#N/A,FALSE,"Plan1";#N/A,#N/A,FALSE,"Plan2"}</definedName>
    <definedName name="yhdfiuygrui" localSheetId="4">{#N/A,#N/A,FALSE,"Plan1";#N/A,#N/A,FALSE,"Plan2"}</definedName>
    <definedName name="yhdfiuygrui" localSheetId="13">{#N/A,#N/A,FALSE,"Plan1";#N/A,#N/A,FALSE,"Plan2"}</definedName>
    <definedName name="yhdfiuygrui" localSheetId="17">{#N/A,#N/A,FALSE,"Plan1";#N/A,#N/A,FALSE,"Plan2"}</definedName>
    <definedName name="yhdfiuygrui" localSheetId="0">{#N/A,#N/A,FALSE,"Plan1";#N/A,#N/A,FALSE,"Plan2"}</definedName>
    <definedName name="yhdfiuygrui" localSheetId="19">{#N/A,#N/A,FALSE,"Plan1";#N/A,#N/A,FALSE,"Plan2"}</definedName>
    <definedName name="yhdfiuygrui" localSheetId="16">{#N/A,#N/A,FALSE,"Plan1";#N/A,#N/A,FALSE,"Plan2"}</definedName>
    <definedName name="yhdfiuygrui" localSheetId="18">{#N/A,#N/A,FALSE,"Plan1";#N/A,#N/A,FALSE,"Plan2"}</definedName>
    <definedName name="yhdfiuygrui" localSheetId="10">{#N/A,#N/A,FALSE,"Plan1";#N/A,#N/A,FALSE,"Plan2"}</definedName>
    <definedName name="yhdfiuygrui">{#N/A,#N/A,FALSE,"Plan1";#N/A,#N/A,FALSE,"Plan2"}</definedName>
    <definedName name="YRGUYDRIY" localSheetId="9">{"Econ Consolidado",#N/A,FALSE,"Econ Consol";"Fluxo de Caixa",#N/A,FALSE,"Fluxo Caixa";"Investimentos",#N/A,FALSE,"Investimentos"}</definedName>
    <definedName name="YRGUYDRIY" localSheetId="6">{"Econ Consolidado",#N/A,FALSE,"Econ Consol";"Fluxo de Caixa",#N/A,FALSE,"Fluxo Caixa";"Investimentos",#N/A,FALSE,"Investimentos"}</definedName>
    <definedName name="YRGUYDRIY" localSheetId="3">{"Econ Consolidado",#N/A,FALSE,"Econ Consol";"Fluxo de Caixa",#N/A,FALSE,"Fluxo Caixa";"Investimentos",#N/A,FALSE,"Investimentos"}</definedName>
    <definedName name="YRGUYDRIY" localSheetId="8">{"Econ Consolidado",#N/A,FALSE,"Econ Consol";"Fluxo de Caixa",#N/A,FALSE,"Fluxo Caixa";"Investimentos",#N/A,FALSE,"Investimentos"}</definedName>
    <definedName name="YRGUYDRIY" localSheetId="5">{"Econ Consolidado",#N/A,FALSE,"Econ Consol";"Fluxo de Caixa",#N/A,FALSE,"Fluxo Caixa";"Investimentos",#N/A,FALSE,"Investimentos"}</definedName>
    <definedName name="YRGUYDRIY" localSheetId="4">{"Econ Consolidado",#N/A,FALSE,"Econ Consol";"Fluxo de Caixa",#N/A,FALSE,"Fluxo Caixa";"Investimentos",#N/A,FALSE,"Investimentos"}</definedName>
    <definedName name="YRGUYDRIY" localSheetId="13">{"Econ Consolidado",#N/A,FALSE,"Econ Consol";"Fluxo de Caixa",#N/A,FALSE,"Fluxo Caixa";"Investimentos",#N/A,FALSE,"Investimentos"}</definedName>
    <definedName name="YRGUYDRIY" localSheetId="17">{"Econ Consolidado",#N/A,FALSE,"Econ Consol";"Fluxo de Caixa",#N/A,FALSE,"Fluxo Caixa";"Investimentos",#N/A,FALSE,"Investimentos"}</definedName>
    <definedName name="YRGUYDRIY" localSheetId="0">{"Econ Consolidado",#N/A,FALSE,"Econ Consol";"Fluxo de Caixa",#N/A,FALSE,"Fluxo Caixa";"Investimentos",#N/A,FALSE,"Investimentos"}</definedName>
    <definedName name="YRGUYDRIY" localSheetId="19">{"Econ Consolidado",#N/A,FALSE,"Econ Consol";"Fluxo de Caixa",#N/A,FALSE,"Fluxo Caixa";"Investimentos",#N/A,FALSE,"Investimentos"}</definedName>
    <definedName name="YRGUYDRIY" localSheetId="16">{"Econ Consolidado",#N/A,FALSE,"Econ Consol";"Fluxo de Caixa",#N/A,FALSE,"Fluxo Caixa";"Investimentos",#N/A,FALSE,"Investimentos"}</definedName>
    <definedName name="YRGUYDRIY" localSheetId="18">{"Econ Consolidado",#N/A,FALSE,"Econ Consol";"Fluxo de Caixa",#N/A,FALSE,"Fluxo Caixa";"Investimentos",#N/A,FALSE,"Investimentos"}</definedName>
    <definedName name="YRGUYDRIY" localSheetId="10">{"Econ Consolidado",#N/A,FALSE,"Econ Consol";"Fluxo de Caixa",#N/A,FALSE,"Fluxo Caixa";"Investimentos",#N/A,FALSE,"Investimentos"}</definedName>
    <definedName name="YRGUYDRIY">{"Econ Consolidado",#N/A,FALSE,"Econ Consol";"Fluxo de Caixa",#N/A,FALSE,"Fluxo Caixa";"Investimentos",#N/A,FALSE,"Investimentos"}</definedName>
    <definedName name="ytdju" localSheetId="3">#REF!</definedName>
    <definedName name="ytdju" localSheetId="5">#REF!</definedName>
    <definedName name="ytdju" localSheetId="13">#REF!</definedName>
    <definedName name="ytdju" localSheetId="26">#REF!</definedName>
    <definedName name="ytdju">#REF!</definedName>
    <definedName name="yuegursdmksf" localSheetId="9">{#N/A,#N/A,FALSE,"Plan1";#N/A,#N/A,FALSE,"Plan2"}</definedName>
    <definedName name="yuegursdmksf" localSheetId="6">{#N/A,#N/A,FALSE,"Plan1";#N/A,#N/A,FALSE,"Plan2"}</definedName>
    <definedName name="yuegursdmksf" localSheetId="3">{#N/A,#N/A,FALSE,"Plan1";#N/A,#N/A,FALSE,"Plan2"}</definedName>
    <definedName name="yuegursdmksf" localSheetId="8">{#N/A,#N/A,FALSE,"Plan1";#N/A,#N/A,FALSE,"Plan2"}</definedName>
    <definedName name="yuegursdmksf" localSheetId="5">{#N/A,#N/A,FALSE,"Plan1";#N/A,#N/A,FALSE,"Plan2"}</definedName>
    <definedName name="yuegursdmksf" localSheetId="4">{#N/A,#N/A,FALSE,"Plan1";#N/A,#N/A,FALSE,"Plan2"}</definedName>
    <definedName name="yuegursdmksf" localSheetId="13">{#N/A,#N/A,FALSE,"Plan1";#N/A,#N/A,FALSE,"Plan2"}</definedName>
    <definedName name="yuegursdmksf" localSheetId="17">{#N/A,#N/A,FALSE,"Plan1";#N/A,#N/A,FALSE,"Plan2"}</definedName>
    <definedName name="yuegursdmksf" localSheetId="0">{#N/A,#N/A,FALSE,"Plan1";#N/A,#N/A,FALSE,"Plan2"}</definedName>
    <definedName name="yuegursdmksf" localSheetId="19">{#N/A,#N/A,FALSE,"Plan1";#N/A,#N/A,FALSE,"Plan2"}</definedName>
    <definedName name="yuegursdmksf" localSheetId="16">{#N/A,#N/A,FALSE,"Plan1";#N/A,#N/A,FALSE,"Plan2"}</definedName>
    <definedName name="yuegursdmksf" localSheetId="18">{#N/A,#N/A,FALSE,"Plan1";#N/A,#N/A,FALSE,"Plan2"}</definedName>
    <definedName name="yuegursdmksf" localSheetId="10">{#N/A,#N/A,FALSE,"Plan1";#N/A,#N/A,FALSE,"Plan2"}</definedName>
    <definedName name="yuegursdmksf">{#N/A,#N/A,FALSE,"Plan1";#N/A,#N/A,FALSE,"Plan2"}</definedName>
    <definedName name="yuekl4fr" localSheetId="9">{#N/A,#N/A,FALSE,"Plan1";#N/A,#N/A,FALSE,"Plan2"}</definedName>
    <definedName name="yuekl4fr" localSheetId="6">{#N/A,#N/A,FALSE,"Plan1";#N/A,#N/A,FALSE,"Plan2"}</definedName>
    <definedName name="yuekl4fr" localSheetId="3">{#N/A,#N/A,FALSE,"Plan1";#N/A,#N/A,FALSE,"Plan2"}</definedName>
    <definedName name="yuekl4fr" localSheetId="8">{#N/A,#N/A,FALSE,"Plan1";#N/A,#N/A,FALSE,"Plan2"}</definedName>
    <definedName name="yuekl4fr" localSheetId="5">{#N/A,#N/A,FALSE,"Plan1";#N/A,#N/A,FALSE,"Plan2"}</definedName>
    <definedName name="yuekl4fr" localSheetId="4">{#N/A,#N/A,FALSE,"Plan1";#N/A,#N/A,FALSE,"Plan2"}</definedName>
    <definedName name="yuekl4fr" localSheetId="13">{#N/A,#N/A,FALSE,"Plan1";#N/A,#N/A,FALSE,"Plan2"}</definedName>
    <definedName name="yuekl4fr" localSheetId="17">{#N/A,#N/A,FALSE,"Plan1";#N/A,#N/A,FALSE,"Plan2"}</definedName>
    <definedName name="yuekl4fr" localSheetId="0">{#N/A,#N/A,FALSE,"Plan1";#N/A,#N/A,FALSE,"Plan2"}</definedName>
    <definedName name="yuekl4fr" localSheetId="19">{#N/A,#N/A,FALSE,"Plan1";#N/A,#N/A,FALSE,"Plan2"}</definedName>
    <definedName name="yuekl4fr" localSheetId="16">{#N/A,#N/A,FALSE,"Plan1";#N/A,#N/A,FALSE,"Plan2"}</definedName>
    <definedName name="yuekl4fr" localSheetId="18">{#N/A,#N/A,FALSE,"Plan1";#N/A,#N/A,FALSE,"Plan2"}</definedName>
    <definedName name="yuekl4fr" localSheetId="10">{#N/A,#N/A,FALSE,"Plan1";#N/A,#N/A,FALSE,"Plan2"}</definedName>
    <definedName name="yuekl4fr">{#N/A,#N/A,FALSE,"Plan1";#N/A,#N/A,FALSE,"Plan2"}</definedName>
    <definedName name="yureytuyrea" localSheetId="9">{#N/A,#N/A,FALSE,"Plan1";#N/A,#N/A,FALSE,"Plan2"}</definedName>
    <definedName name="yureytuyrea" localSheetId="6">{#N/A,#N/A,FALSE,"Plan1";#N/A,#N/A,FALSE,"Plan2"}</definedName>
    <definedName name="yureytuyrea" localSheetId="3">{#N/A,#N/A,FALSE,"Plan1";#N/A,#N/A,FALSE,"Plan2"}</definedName>
    <definedName name="yureytuyrea" localSheetId="8">{#N/A,#N/A,FALSE,"Plan1";#N/A,#N/A,FALSE,"Plan2"}</definedName>
    <definedName name="yureytuyrea" localSheetId="5">{#N/A,#N/A,FALSE,"Plan1";#N/A,#N/A,FALSE,"Plan2"}</definedName>
    <definedName name="yureytuyrea" localSheetId="4">{#N/A,#N/A,FALSE,"Plan1";#N/A,#N/A,FALSE,"Plan2"}</definedName>
    <definedName name="yureytuyrea" localSheetId="13">{#N/A,#N/A,FALSE,"Plan1";#N/A,#N/A,FALSE,"Plan2"}</definedName>
    <definedName name="yureytuyrea" localSheetId="17">{#N/A,#N/A,FALSE,"Plan1";#N/A,#N/A,FALSE,"Plan2"}</definedName>
    <definedName name="yureytuyrea" localSheetId="0">{#N/A,#N/A,FALSE,"Plan1";#N/A,#N/A,FALSE,"Plan2"}</definedName>
    <definedName name="yureytuyrea" localSheetId="19">{#N/A,#N/A,FALSE,"Plan1";#N/A,#N/A,FALSE,"Plan2"}</definedName>
    <definedName name="yureytuyrea" localSheetId="16">{#N/A,#N/A,FALSE,"Plan1";#N/A,#N/A,FALSE,"Plan2"}</definedName>
    <definedName name="yureytuyrea" localSheetId="18">{#N/A,#N/A,FALSE,"Plan1";#N/A,#N/A,FALSE,"Plan2"}</definedName>
    <definedName name="yureytuyrea" localSheetId="10">{#N/A,#N/A,FALSE,"Plan1";#N/A,#N/A,FALSE,"Plan2"}</definedName>
    <definedName name="yureytuyrea">{#N/A,#N/A,FALSE,"Plan1";#N/A,#N/A,FALSE,"Plan2"}</definedName>
    <definedName name="z" localSheetId="9">{"'Estimativa de Lançamento-JAN'!$A$1:$AI$85"}</definedName>
    <definedName name="z" localSheetId="6">{"'Estimativa de Lançamento-JAN'!$A$1:$AI$85"}</definedName>
    <definedName name="z" localSheetId="3">{"'Estimativa de Lançamento-JAN'!$A$1:$AI$85"}</definedName>
    <definedName name="z" localSheetId="8">{"'Estimativa de Lançamento-JAN'!$A$1:$AI$85"}</definedName>
    <definedName name="z" localSheetId="5">{"'Estimativa de Lançamento-JAN'!$A$1:$AI$85"}</definedName>
    <definedName name="z" localSheetId="4">{"'Estimativa de Lançamento-JAN'!$A$1:$AI$85"}</definedName>
    <definedName name="z" localSheetId="13">{"'Estimativa de Lançamento-JAN'!$A$1:$AI$85"}</definedName>
    <definedName name="z" localSheetId="17">{"'Estimativa de Lançamento-JAN'!$A$1:$AI$85"}</definedName>
    <definedName name="z" localSheetId="0">{"'Estimativa de Lançamento-JAN'!$A$1:$AI$85"}</definedName>
    <definedName name="z" localSheetId="19">{"'Estimativa de Lançamento-JAN'!$A$1:$AI$85"}</definedName>
    <definedName name="z" localSheetId="16">{"'Estimativa de Lançamento-JAN'!$A$1:$AI$85"}</definedName>
    <definedName name="z" localSheetId="18">{"'Estimativa de Lançamento-JAN'!$A$1:$AI$85"}</definedName>
    <definedName name="z" localSheetId="10">{"'Estimativa de Lançamento-JAN'!$A$1:$AI$85"}</definedName>
    <definedName name="z">{"'Estimativa de Lançamento-JAN'!$A$1:$AI$85"}</definedName>
    <definedName name="Z_0DB407A0_1449_11D8_ADD1_0060083A646F_.wvu.PrintArea" localSheetId="13">#REF!</definedName>
    <definedName name="Z_0DB407A0_1449_11D8_ADD1_0060083A646F_.wvu.PrintArea">#REF!</definedName>
    <definedName name="Z_15697660_066E_11D5_AF15_00010242ED40_.wvu.PrintArea" localSheetId="3">#REF!</definedName>
    <definedName name="Z_15697660_066E_11D5_AF15_00010242ED40_.wvu.PrintArea" localSheetId="5">#REF!</definedName>
    <definedName name="Z_15697660_066E_11D5_AF15_00010242ED40_.wvu.PrintArea" localSheetId="13">#REF!</definedName>
    <definedName name="Z_15697660_066E_11D5_AF15_00010242ED40_.wvu.PrintArea" localSheetId="26">#REF!</definedName>
    <definedName name="Z_15697660_066E_11D5_AF15_00010242ED40_.wvu.PrintArea" localSheetId="0">#REF!</definedName>
    <definedName name="Z_15697660_066E_11D5_AF15_00010242ED40_.wvu.PrintArea">#REF!</definedName>
    <definedName name="Z_15697660_066E_11D5_AF15_00010242ED40_.wvu.PrintTitles" localSheetId="13">#REF!</definedName>
    <definedName name="Z_15697660_066E_11D5_AF15_00010242ED40_.wvu.PrintTitles">#REF!</definedName>
    <definedName name="Z_15697660_066E_11D5_AF15_00010242ED40_.wvu.Rows" localSheetId="13">#REF!</definedName>
    <definedName name="Z_15697660_066E_11D5_AF15_00010242ED40_.wvu.Rows">#REF!</definedName>
    <definedName name="Z_4CA4BF7C_65C1_4E25_8563_22DF58586D2C_.wvu.PrintArea" localSheetId="13">#REF!</definedName>
    <definedName name="Z_4CA4BF7C_65C1_4E25_8563_22DF58586D2C_.wvu.PrintArea">#REF!</definedName>
    <definedName name="Z_4CA4BF7C_65C1_4E25_8563_22DF58586D2C_.wvu.PrintTitles" localSheetId="13">#REF!</definedName>
    <definedName name="Z_4CA4BF7C_65C1_4E25_8563_22DF58586D2C_.wvu.PrintTitles">#REF!</definedName>
    <definedName name="Z_4CA4BF7C_65C1_4E25_8563_22DF58586D2C_.wvu.Rows" localSheetId="13">#REF!</definedName>
    <definedName name="Z_4CA4BF7C_65C1_4E25_8563_22DF58586D2C_.wvu.Rows">#REF!</definedName>
    <definedName name="Z_60DF8B29_1C1F_4B50_BDA8_B8E0C7DD04C3_.wvu.Cols" localSheetId="6">#REF!,#REF!</definedName>
    <definedName name="Z_60DF8B29_1C1F_4B50_BDA8_B8E0C7DD04C3_.wvu.Cols" localSheetId="4">#REF!,#REF!</definedName>
    <definedName name="Z_60DF8B29_1C1F_4B50_BDA8_B8E0C7DD04C3_.wvu.Cols" localSheetId="13">#REF!,#REF!</definedName>
    <definedName name="Z_60DF8B29_1C1F_4B50_BDA8_B8E0C7DD04C3_.wvu.Cols" localSheetId="0">#REF!,#REF!</definedName>
    <definedName name="Z_60DF8B29_1C1F_4B50_BDA8_B8E0C7DD04C3_.wvu.Cols" localSheetId="19">#REF!,#REF!</definedName>
    <definedName name="Z_60DF8B29_1C1F_4B50_BDA8_B8E0C7DD04C3_.wvu.Cols">#REF!,#REF!</definedName>
    <definedName name="Z_9066F505_4944_4582_AAF9_B40B49D59413_.wvu.PrintArea" localSheetId="13">#REF!</definedName>
    <definedName name="Z_9066F505_4944_4582_AAF9_B40B49D59413_.wvu.PrintArea">#REF!</definedName>
    <definedName name="Z_9066F505_4944_4582_AAF9_B40B49D59413_.wvu.PrintTitles" localSheetId="13">#REF!</definedName>
    <definedName name="Z_9066F505_4944_4582_AAF9_B40B49D59413_.wvu.PrintTitles">#REF!</definedName>
    <definedName name="Z_9066F505_4944_4582_AAF9_B40B49D59413_.wvu.Rows" localSheetId="13">#REF!</definedName>
    <definedName name="Z_9066F505_4944_4582_AAF9_B40B49D59413_.wvu.Rows">#REF!</definedName>
    <definedName name="Z_ACE528A7_3516_429C_8E77_FA07F86ED2D8_.wvu.Cols" localSheetId="13">#REF!</definedName>
    <definedName name="Z_ACE528A7_3516_429C_8E77_FA07F86ED2D8_.wvu.Cols">#REF!</definedName>
    <definedName name="Z_B3255642_8A6B_11D5_916F_005004920FCB_.wvu.PrintTitles" localSheetId="13">#REF!</definedName>
    <definedName name="Z_B3255642_8A6B_11D5_916F_005004920FCB_.wvu.PrintTitles">#REF!</definedName>
    <definedName name="Z_E3FFE9E0_6C4F_4FB4_A56E_FBE96871B5C8_.wvu.Cols" localSheetId="6">#REF!,#REF!</definedName>
    <definedName name="Z_E3FFE9E0_6C4F_4FB4_A56E_FBE96871B5C8_.wvu.Cols" localSheetId="4">#REF!,#REF!</definedName>
    <definedName name="Z_E3FFE9E0_6C4F_4FB4_A56E_FBE96871B5C8_.wvu.Cols" localSheetId="13">#REF!,#REF!</definedName>
    <definedName name="Z_E3FFE9E0_6C4F_4FB4_A56E_FBE96871B5C8_.wvu.Cols" localSheetId="0">#REF!,#REF!</definedName>
    <definedName name="Z_E3FFE9E0_6C4F_4FB4_A56E_FBE96871B5C8_.wvu.Cols" localSheetId="19">#REF!,#REF!</definedName>
    <definedName name="Z_E3FFE9E0_6C4F_4FB4_A56E_FBE96871B5C8_.wvu.Cols">#REF!,#REF!</definedName>
    <definedName name="Z_F2145668_4090_4220_8C3C_9C4DCC7A01D1_.wvu.Cols" localSheetId="13">#REF!</definedName>
    <definedName name="Z_F2145668_4090_4220_8C3C_9C4DCC7A01D1_.wvu.Cols">#REF!</definedName>
    <definedName name="zcdçskld" localSheetId="9">{#N/A,#N/A,FALSE,"Plan1";#N/A,#N/A,FALSE,"Plan2"}</definedName>
    <definedName name="zcdçskld" localSheetId="6">{#N/A,#N/A,FALSE,"Plan1";#N/A,#N/A,FALSE,"Plan2"}</definedName>
    <definedName name="zcdçskld" localSheetId="3">{#N/A,#N/A,FALSE,"Plan1";#N/A,#N/A,FALSE,"Plan2"}</definedName>
    <definedName name="zcdçskld" localSheetId="8">{#N/A,#N/A,FALSE,"Plan1";#N/A,#N/A,FALSE,"Plan2"}</definedName>
    <definedName name="zcdçskld" localSheetId="5">{#N/A,#N/A,FALSE,"Plan1";#N/A,#N/A,FALSE,"Plan2"}</definedName>
    <definedName name="zcdçskld" localSheetId="4">{#N/A,#N/A,FALSE,"Plan1";#N/A,#N/A,FALSE,"Plan2"}</definedName>
    <definedName name="zcdçskld" localSheetId="13">{#N/A,#N/A,FALSE,"Plan1";#N/A,#N/A,FALSE,"Plan2"}</definedName>
    <definedName name="zcdçskld" localSheetId="17">{#N/A,#N/A,FALSE,"Plan1";#N/A,#N/A,FALSE,"Plan2"}</definedName>
    <definedName name="zcdçskld" localSheetId="0">{#N/A,#N/A,FALSE,"Plan1";#N/A,#N/A,FALSE,"Plan2"}</definedName>
    <definedName name="zcdçskld" localSheetId="19">{#N/A,#N/A,FALSE,"Plan1";#N/A,#N/A,FALSE,"Plan2"}</definedName>
    <definedName name="zcdçskld" localSheetId="16">{#N/A,#N/A,FALSE,"Plan1";#N/A,#N/A,FALSE,"Plan2"}</definedName>
    <definedName name="zcdçskld" localSheetId="18">{#N/A,#N/A,FALSE,"Plan1";#N/A,#N/A,FALSE,"Plan2"}</definedName>
    <definedName name="zcdçskld" localSheetId="10">{#N/A,#N/A,FALSE,"Plan1";#N/A,#N/A,FALSE,"Plan2"}</definedName>
    <definedName name="zcdçskld">{#N/A,#N/A,FALSE,"Plan1";#N/A,#N/A,FALSE,"Plan2"}</definedName>
    <definedName name="zcsdrfrt" localSheetId="9">{#N/A,#N/A,FALSE,"Plan1";#N/A,#N/A,FALSE,"Plan2"}</definedName>
    <definedName name="zcsdrfrt" localSheetId="6">{#N/A,#N/A,FALSE,"Plan1";#N/A,#N/A,FALSE,"Plan2"}</definedName>
    <definedName name="zcsdrfrt" localSheetId="3">{#N/A,#N/A,FALSE,"Plan1";#N/A,#N/A,FALSE,"Plan2"}</definedName>
    <definedName name="zcsdrfrt" localSheetId="8">{#N/A,#N/A,FALSE,"Plan1";#N/A,#N/A,FALSE,"Plan2"}</definedName>
    <definedName name="zcsdrfrt" localSheetId="5">{#N/A,#N/A,FALSE,"Plan1";#N/A,#N/A,FALSE,"Plan2"}</definedName>
    <definedName name="zcsdrfrt" localSheetId="4">{#N/A,#N/A,FALSE,"Plan1";#N/A,#N/A,FALSE,"Plan2"}</definedName>
    <definedName name="zcsdrfrt" localSheetId="13">{#N/A,#N/A,FALSE,"Plan1";#N/A,#N/A,FALSE,"Plan2"}</definedName>
    <definedName name="zcsdrfrt" localSheetId="17">{#N/A,#N/A,FALSE,"Plan1";#N/A,#N/A,FALSE,"Plan2"}</definedName>
    <definedName name="zcsdrfrt" localSheetId="0">{#N/A,#N/A,FALSE,"Plan1";#N/A,#N/A,FALSE,"Plan2"}</definedName>
    <definedName name="zcsdrfrt" localSheetId="19">{#N/A,#N/A,FALSE,"Plan1";#N/A,#N/A,FALSE,"Plan2"}</definedName>
    <definedName name="zcsdrfrt" localSheetId="16">{#N/A,#N/A,FALSE,"Plan1";#N/A,#N/A,FALSE,"Plan2"}</definedName>
    <definedName name="zcsdrfrt" localSheetId="18">{#N/A,#N/A,FALSE,"Plan1";#N/A,#N/A,FALSE,"Plan2"}</definedName>
    <definedName name="zcsdrfrt" localSheetId="10">{#N/A,#N/A,FALSE,"Plan1";#N/A,#N/A,FALSE,"Plan2"}</definedName>
    <definedName name="zcsdrfrt">{#N/A,#N/A,FALSE,"Plan1";#N/A,#N/A,FALSE,"Plan2"}</definedName>
    <definedName name="ZDRE" localSheetId="9">{#N/A,#N/A,FALSE,"Plan1";#N/A,#N/A,FALSE,"Plan2"}</definedName>
    <definedName name="ZDRE" localSheetId="6">{#N/A,#N/A,FALSE,"Plan1";#N/A,#N/A,FALSE,"Plan2"}</definedName>
    <definedName name="ZDRE" localSheetId="3">{#N/A,#N/A,FALSE,"Plan1";#N/A,#N/A,FALSE,"Plan2"}</definedName>
    <definedName name="ZDRE" localSheetId="8">{#N/A,#N/A,FALSE,"Plan1";#N/A,#N/A,FALSE,"Plan2"}</definedName>
    <definedName name="ZDRE" localSheetId="5">{#N/A,#N/A,FALSE,"Plan1";#N/A,#N/A,FALSE,"Plan2"}</definedName>
    <definedName name="ZDRE" localSheetId="4">{#N/A,#N/A,FALSE,"Plan1";#N/A,#N/A,FALSE,"Plan2"}</definedName>
    <definedName name="ZDRE" localSheetId="13">{#N/A,#N/A,FALSE,"Plan1";#N/A,#N/A,FALSE,"Plan2"}</definedName>
    <definedName name="ZDRE" localSheetId="17">{#N/A,#N/A,FALSE,"Plan1";#N/A,#N/A,FALSE,"Plan2"}</definedName>
    <definedName name="ZDRE" localSheetId="0">{#N/A,#N/A,FALSE,"Plan1";#N/A,#N/A,FALSE,"Plan2"}</definedName>
    <definedName name="ZDRE" localSheetId="19">{#N/A,#N/A,FALSE,"Plan1";#N/A,#N/A,FALSE,"Plan2"}</definedName>
    <definedName name="ZDRE" localSheetId="16">{#N/A,#N/A,FALSE,"Plan1";#N/A,#N/A,FALSE,"Plan2"}</definedName>
    <definedName name="ZDRE" localSheetId="18">{#N/A,#N/A,FALSE,"Plan1";#N/A,#N/A,FALSE,"Plan2"}</definedName>
    <definedName name="ZDRE" localSheetId="10">{#N/A,#N/A,FALSE,"Plan1";#N/A,#N/A,FALSE,"Plan2"}</definedName>
    <definedName name="ZDRE">{#N/A,#N/A,FALSE,"Plan1";#N/A,#N/A,FALSE,"Plan2"}</definedName>
    <definedName name="ZEZE" localSheetId="3">#REF!</definedName>
    <definedName name="ZEZE" localSheetId="5">#REF!</definedName>
    <definedName name="ZEZE" localSheetId="13">#REF!</definedName>
    <definedName name="ZEZE" localSheetId="26">#REF!</definedName>
    <definedName name="ZEZE">#REF!</definedName>
    <definedName name="ZIN" localSheetId="3">#REF!</definedName>
    <definedName name="ZIN" localSheetId="5">#REF!</definedName>
    <definedName name="ZIN" localSheetId="13">#REF!</definedName>
    <definedName name="ZIN" localSheetId="26">#REF!</definedName>
    <definedName name="ZIN">#REF!</definedName>
    <definedName name="ZINS" localSheetId="3">#REF!</definedName>
    <definedName name="ZINS" localSheetId="5">#REF!</definedName>
    <definedName name="ZINS" localSheetId="13">#REF!</definedName>
    <definedName name="ZINS" localSheetId="26">#REF!</definedName>
    <definedName name="ZINS">#REF!</definedName>
    <definedName name="ZSADF" localSheetId="9">{#N/A,#N/A,FALSE,"Plan1";#N/A,#N/A,FALSE,"Plan2"}</definedName>
    <definedName name="ZSADF" localSheetId="6">{#N/A,#N/A,FALSE,"Plan1";#N/A,#N/A,FALSE,"Plan2"}</definedName>
    <definedName name="ZSADF" localSheetId="3">{#N/A,#N/A,FALSE,"Plan1";#N/A,#N/A,FALSE,"Plan2"}</definedName>
    <definedName name="ZSADF" localSheetId="8">{#N/A,#N/A,FALSE,"Plan1";#N/A,#N/A,FALSE,"Plan2"}</definedName>
    <definedName name="ZSADF" localSheetId="5">{#N/A,#N/A,FALSE,"Plan1";#N/A,#N/A,FALSE,"Plan2"}</definedName>
    <definedName name="ZSADF" localSheetId="4">{#N/A,#N/A,FALSE,"Plan1";#N/A,#N/A,FALSE,"Plan2"}</definedName>
    <definedName name="ZSADF" localSheetId="13">{#N/A,#N/A,FALSE,"Plan1";#N/A,#N/A,FALSE,"Plan2"}</definedName>
    <definedName name="ZSADF" localSheetId="17">{#N/A,#N/A,FALSE,"Plan1";#N/A,#N/A,FALSE,"Plan2"}</definedName>
    <definedName name="ZSADF" localSheetId="0">{#N/A,#N/A,FALSE,"Plan1";#N/A,#N/A,FALSE,"Plan2"}</definedName>
    <definedName name="ZSADF" localSheetId="19">{#N/A,#N/A,FALSE,"Plan1";#N/A,#N/A,FALSE,"Plan2"}</definedName>
    <definedName name="ZSADF" localSheetId="16">{#N/A,#N/A,FALSE,"Plan1";#N/A,#N/A,FALSE,"Plan2"}</definedName>
    <definedName name="ZSADF" localSheetId="18">{#N/A,#N/A,FALSE,"Plan1";#N/A,#N/A,FALSE,"Plan2"}</definedName>
    <definedName name="ZSADF" localSheetId="10">{#N/A,#N/A,FALSE,"Plan1";#N/A,#N/A,FALSE,"Plan2"}</definedName>
    <definedName name="ZSADF">{#N/A,#N/A,FALSE,"Plan1";#N/A,#N/A,FALSE,"Plan2"}</definedName>
    <definedName name="zsads" localSheetId="9">{#N/A,#N/A,FALSE,"Plan1";#N/A,#N/A,FALSE,"Plan2"}</definedName>
    <definedName name="zsads" localSheetId="6">{#N/A,#N/A,FALSE,"Plan1";#N/A,#N/A,FALSE,"Plan2"}</definedName>
    <definedName name="zsads" localSheetId="3">{#N/A,#N/A,FALSE,"Plan1";#N/A,#N/A,FALSE,"Plan2"}</definedName>
    <definedName name="zsads" localSheetId="8">{#N/A,#N/A,FALSE,"Plan1";#N/A,#N/A,FALSE,"Plan2"}</definedName>
    <definedName name="zsads" localSheetId="5">{#N/A,#N/A,FALSE,"Plan1";#N/A,#N/A,FALSE,"Plan2"}</definedName>
    <definedName name="zsads" localSheetId="4">{#N/A,#N/A,FALSE,"Plan1";#N/A,#N/A,FALSE,"Plan2"}</definedName>
    <definedName name="zsads" localSheetId="13">{#N/A,#N/A,FALSE,"Plan1";#N/A,#N/A,FALSE,"Plan2"}</definedName>
    <definedName name="zsads" localSheetId="17">{#N/A,#N/A,FALSE,"Plan1";#N/A,#N/A,FALSE,"Plan2"}</definedName>
    <definedName name="zsads" localSheetId="0">{#N/A,#N/A,FALSE,"Plan1";#N/A,#N/A,FALSE,"Plan2"}</definedName>
    <definedName name="zsads" localSheetId="19">{#N/A,#N/A,FALSE,"Plan1";#N/A,#N/A,FALSE,"Plan2"}</definedName>
    <definedName name="zsads" localSheetId="16">{#N/A,#N/A,FALSE,"Plan1";#N/A,#N/A,FALSE,"Plan2"}</definedName>
    <definedName name="zsads" localSheetId="18">{#N/A,#N/A,FALSE,"Plan1";#N/A,#N/A,FALSE,"Plan2"}</definedName>
    <definedName name="zsads" localSheetId="10">{#N/A,#N/A,FALSE,"Plan1";#N/A,#N/A,FALSE,"Plan2"}</definedName>
    <definedName name="zsads">{#N/A,#N/A,FALSE,"Plan1";#N/A,#N/A,FALSE,"Plan2"}</definedName>
    <definedName name="ZSDFSETR" localSheetId="3">#REF!</definedName>
    <definedName name="ZSDFSETR" localSheetId="5">#REF!</definedName>
    <definedName name="ZSDFSETR" localSheetId="13">#REF!</definedName>
    <definedName name="ZSDFSETR" localSheetId="26">#REF!</definedName>
    <definedName name="ZSDFSETR" localSheetId="0">#REF!</definedName>
    <definedName name="ZSDFSETR">#REF!</definedName>
    <definedName name="zsds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9">{#N/A,#N/A,FALSE,"Plan1";#N/A,#N/A,FALSE,"Plan2"}</definedName>
    <definedName name="zxccdf" localSheetId="6">{#N/A,#N/A,FALSE,"Plan1";#N/A,#N/A,FALSE,"Plan2"}</definedName>
    <definedName name="zxccdf" localSheetId="3">{#N/A,#N/A,FALSE,"Plan1";#N/A,#N/A,FALSE,"Plan2"}</definedName>
    <definedName name="zxccdf" localSheetId="8">{#N/A,#N/A,FALSE,"Plan1";#N/A,#N/A,FALSE,"Plan2"}</definedName>
    <definedName name="zxccdf" localSheetId="5">{#N/A,#N/A,FALSE,"Plan1";#N/A,#N/A,FALSE,"Plan2"}</definedName>
    <definedName name="zxccdf" localSheetId="4">{#N/A,#N/A,FALSE,"Plan1";#N/A,#N/A,FALSE,"Plan2"}</definedName>
    <definedName name="zxccdf" localSheetId="13">{#N/A,#N/A,FALSE,"Plan1";#N/A,#N/A,FALSE,"Plan2"}</definedName>
    <definedName name="zxccdf" localSheetId="17">{#N/A,#N/A,FALSE,"Plan1";#N/A,#N/A,FALSE,"Plan2"}</definedName>
    <definedName name="zxccdf" localSheetId="0">{#N/A,#N/A,FALSE,"Plan1";#N/A,#N/A,FALSE,"Plan2"}</definedName>
    <definedName name="zxccdf" localSheetId="19">{#N/A,#N/A,FALSE,"Plan1";#N/A,#N/A,FALSE,"Plan2"}</definedName>
    <definedName name="zxccdf" localSheetId="16">{#N/A,#N/A,FALSE,"Plan1";#N/A,#N/A,FALSE,"Plan2"}</definedName>
    <definedName name="zxccdf" localSheetId="18">{#N/A,#N/A,FALSE,"Plan1";#N/A,#N/A,FALSE,"Plan2"}</definedName>
    <definedName name="zxccdf" localSheetId="10">{#N/A,#N/A,FALSE,"Plan1";#N/A,#N/A,FALSE,"Plan2"}</definedName>
    <definedName name="zxccdf">{#N/A,#N/A,FALSE,"Plan1";#N/A,#N/A,FALSE,"Plan2"}</definedName>
    <definedName name="zxcdsf" localSheetId="3">#REF!</definedName>
    <definedName name="zxcdsf" localSheetId="5">#REF!</definedName>
    <definedName name="zxcdsf" localSheetId="13">#REF!</definedName>
    <definedName name="zxcdsf" localSheetId="26">#REF!</definedName>
    <definedName name="zxcdsf" localSheetId="0">#REF!</definedName>
    <definedName name="zxcdsf">#REF!</definedName>
    <definedName name="zxcfdstrrt" localSheetId="9">{#N/A,#N/A,FALSE,"Plan1";#N/A,#N/A,FALSE,"Plan2"}</definedName>
    <definedName name="zxcfdstrrt" localSheetId="6">{#N/A,#N/A,FALSE,"Plan1";#N/A,#N/A,FALSE,"Plan2"}</definedName>
    <definedName name="zxcfdstrrt" localSheetId="3">{#N/A,#N/A,FALSE,"Plan1";#N/A,#N/A,FALSE,"Plan2"}</definedName>
    <definedName name="zxcfdstrrt" localSheetId="8">{#N/A,#N/A,FALSE,"Plan1";#N/A,#N/A,FALSE,"Plan2"}</definedName>
    <definedName name="zxcfdstrrt" localSheetId="5">{#N/A,#N/A,FALSE,"Plan1";#N/A,#N/A,FALSE,"Plan2"}</definedName>
    <definedName name="zxcfdstrrt" localSheetId="4">{#N/A,#N/A,FALSE,"Plan1";#N/A,#N/A,FALSE,"Plan2"}</definedName>
    <definedName name="zxcfdstrrt" localSheetId="13">{#N/A,#N/A,FALSE,"Plan1";#N/A,#N/A,FALSE,"Plan2"}</definedName>
    <definedName name="zxcfdstrrt" localSheetId="17">{#N/A,#N/A,FALSE,"Plan1";#N/A,#N/A,FALSE,"Plan2"}</definedName>
    <definedName name="zxcfdstrrt" localSheetId="0">{#N/A,#N/A,FALSE,"Plan1";#N/A,#N/A,FALSE,"Plan2"}</definedName>
    <definedName name="zxcfdstrrt" localSheetId="19">{#N/A,#N/A,FALSE,"Plan1";#N/A,#N/A,FALSE,"Plan2"}</definedName>
    <definedName name="zxcfdstrrt" localSheetId="16">{#N/A,#N/A,FALSE,"Plan1";#N/A,#N/A,FALSE,"Plan2"}</definedName>
    <definedName name="zxcfdstrrt" localSheetId="18">{#N/A,#N/A,FALSE,"Plan1";#N/A,#N/A,FALSE,"Plan2"}</definedName>
    <definedName name="zxcfdstrrt" localSheetId="10">{#N/A,#N/A,FALSE,"Plan1";#N/A,#N/A,FALSE,"Plan2"}</definedName>
    <definedName name="zxcfdstrrt">{#N/A,#N/A,FALSE,"Plan1";#N/A,#N/A,FALSE,"Plan2"}</definedName>
    <definedName name="zxcx" localSheetId="9">{#N/A,#N/A,FALSE,"Plan1";#N/A,#N/A,FALSE,"Plan2"}</definedName>
    <definedName name="zxcx" localSheetId="6">{#N/A,#N/A,FALSE,"Plan1";#N/A,#N/A,FALSE,"Plan2"}</definedName>
    <definedName name="zxcx" localSheetId="3">{#N/A,#N/A,FALSE,"Plan1";#N/A,#N/A,FALSE,"Plan2"}</definedName>
    <definedName name="zxcx" localSheetId="8">{#N/A,#N/A,FALSE,"Plan1";#N/A,#N/A,FALSE,"Plan2"}</definedName>
    <definedName name="zxcx" localSheetId="5">{#N/A,#N/A,FALSE,"Plan1";#N/A,#N/A,FALSE,"Plan2"}</definedName>
    <definedName name="zxcx" localSheetId="4">{#N/A,#N/A,FALSE,"Plan1";#N/A,#N/A,FALSE,"Plan2"}</definedName>
    <definedName name="zxcx" localSheetId="13">{#N/A,#N/A,FALSE,"Plan1";#N/A,#N/A,FALSE,"Plan2"}</definedName>
    <definedName name="zxcx" localSheetId="17">{#N/A,#N/A,FALSE,"Plan1";#N/A,#N/A,FALSE,"Plan2"}</definedName>
    <definedName name="zxcx" localSheetId="0">{#N/A,#N/A,FALSE,"Plan1";#N/A,#N/A,FALSE,"Plan2"}</definedName>
    <definedName name="zxcx" localSheetId="19">{#N/A,#N/A,FALSE,"Plan1";#N/A,#N/A,FALSE,"Plan2"}</definedName>
    <definedName name="zxcx" localSheetId="16">{#N/A,#N/A,FALSE,"Plan1";#N/A,#N/A,FALSE,"Plan2"}</definedName>
    <definedName name="zxcx" localSheetId="18">{#N/A,#N/A,FALSE,"Plan1";#N/A,#N/A,FALSE,"Plan2"}</definedName>
    <definedName name="zxcx" localSheetId="10">{#N/A,#N/A,FALSE,"Plan1";#N/A,#N/A,FALSE,"Plan2"}</definedName>
    <definedName name="zxcx">{#N/A,#N/A,FALSE,"Plan1";#N/A,#N/A,FALSE,"Plan2"}</definedName>
    <definedName name="ZXFCR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5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4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3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7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6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9">{#N/A,#N/A,FALSE,"Plan1";#N/A,#N/A,FALSE,"Plan2"}</definedName>
    <definedName name="ZXFHDFRHDF" localSheetId="6">{#N/A,#N/A,FALSE,"Plan1";#N/A,#N/A,FALSE,"Plan2"}</definedName>
    <definedName name="ZXFHDFRHDF" localSheetId="3">{#N/A,#N/A,FALSE,"Plan1";#N/A,#N/A,FALSE,"Plan2"}</definedName>
    <definedName name="ZXFHDFRHDF" localSheetId="8">{#N/A,#N/A,FALSE,"Plan1";#N/A,#N/A,FALSE,"Plan2"}</definedName>
    <definedName name="ZXFHDFRHDF" localSheetId="5">{#N/A,#N/A,FALSE,"Plan1";#N/A,#N/A,FALSE,"Plan2"}</definedName>
    <definedName name="ZXFHDFRHDF" localSheetId="4">{#N/A,#N/A,FALSE,"Plan1";#N/A,#N/A,FALSE,"Plan2"}</definedName>
    <definedName name="ZXFHDFRHDF" localSheetId="13">{#N/A,#N/A,FALSE,"Plan1";#N/A,#N/A,FALSE,"Plan2"}</definedName>
    <definedName name="ZXFHDFRHDF" localSheetId="17">{#N/A,#N/A,FALSE,"Plan1";#N/A,#N/A,FALSE,"Plan2"}</definedName>
    <definedName name="ZXFHDFRHDF" localSheetId="0">{#N/A,#N/A,FALSE,"Plan1";#N/A,#N/A,FALSE,"Plan2"}</definedName>
    <definedName name="ZXFHDFRHDF" localSheetId="19">{#N/A,#N/A,FALSE,"Plan1";#N/A,#N/A,FALSE,"Plan2"}</definedName>
    <definedName name="ZXFHDFRHDF" localSheetId="16">{#N/A,#N/A,FALSE,"Plan1";#N/A,#N/A,FALSE,"Plan2"}</definedName>
    <definedName name="ZXFHDFRHDF" localSheetId="18">{#N/A,#N/A,FALSE,"Plan1";#N/A,#N/A,FALSE,"Plan2"}</definedName>
    <definedName name="ZXFHDFRHDF" localSheetId="10">{#N/A,#N/A,FALSE,"Plan1";#N/A,#N/A,FALSE,"Plan2"}</definedName>
    <definedName name="ZXFHDFRHDF">{#N/A,#N/A,FALSE,"Plan1";#N/A,#N/A,FALSE,"Plan2"}</definedName>
    <definedName name="ZZ" localSheetId="3">#REF!</definedName>
    <definedName name="ZZ" localSheetId="5">#REF!</definedName>
    <definedName name="ZZ" localSheetId="13">#REF!</definedName>
    <definedName name="ZZ" localSheetId="26">#REF!</definedName>
    <definedName name="ZZ">#REF!</definedName>
    <definedName name="zzdftr" localSheetId="9">{#N/A,#N/A,FALSE,"Plan1";#N/A,#N/A,FALSE,"Plan2"}</definedName>
    <definedName name="zzdftr" localSheetId="6">{#N/A,#N/A,FALSE,"Plan1";#N/A,#N/A,FALSE,"Plan2"}</definedName>
    <definedName name="zzdftr" localSheetId="3">{#N/A,#N/A,FALSE,"Plan1";#N/A,#N/A,FALSE,"Plan2"}</definedName>
    <definedName name="zzdftr" localSheetId="8">{#N/A,#N/A,FALSE,"Plan1";#N/A,#N/A,FALSE,"Plan2"}</definedName>
    <definedName name="zzdftr" localSheetId="5">{#N/A,#N/A,FALSE,"Plan1";#N/A,#N/A,FALSE,"Plan2"}</definedName>
    <definedName name="zzdftr" localSheetId="4">{#N/A,#N/A,FALSE,"Plan1";#N/A,#N/A,FALSE,"Plan2"}</definedName>
    <definedName name="zzdftr" localSheetId="13">{#N/A,#N/A,FALSE,"Plan1";#N/A,#N/A,FALSE,"Plan2"}</definedName>
    <definedName name="zzdftr" localSheetId="17">{#N/A,#N/A,FALSE,"Plan1";#N/A,#N/A,FALSE,"Plan2"}</definedName>
    <definedName name="zzdftr" localSheetId="0">{#N/A,#N/A,FALSE,"Plan1";#N/A,#N/A,FALSE,"Plan2"}</definedName>
    <definedName name="zzdftr" localSheetId="19">{#N/A,#N/A,FALSE,"Plan1";#N/A,#N/A,FALSE,"Plan2"}</definedName>
    <definedName name="zzdftr" localSheetId="16">{#N/A,#N/A,FALSE,"Plan1";#N/A,#N/A,FALSE,"Plan2"}</definedName>
    <definedName name="zzdftr" localSheetId="18">{#N/A,#N/A,FALSE,"Plan1";#N/A,#N/A,FALSE,"Plan2"}</definedName>
    <definedName name="zzdftr" localSheetId="10">{#N/A,#N/A,FALSE,"Plan1";#N/A,#N/A,FALSE,"Plan2"}</definedName>
    <definedName name="zzdftr">{#N/A,#N/A,FALSE,"Plan1";#N/A,#N/A,FALSE,"Plan2"}</definedName>
    <definedName name="zzz" localSheetId="6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5">#REF!</definedName>
    <definedName name="zzz" localSheetId="13">#REF!</definedName>
    <definedName name="zzz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9">{"'장비'!$A$3:$M$12"}</definedName>
    <definedName name="ㄱㄷㄱㄷㄱㄱㅎㄺㄷ" localSheetId="6">{"'장비'!$A$3:$M$12"}</definedName>
    <definedName name="ㄱㄷㄱㄷㄱㄱㅎㄺㄷ" localSheetId="3">{"'장비'!$A$3:$M$12"}</definedName>
    <definedName name="ㄱㄷㄱㄷㄱㄱㅎㄺㄷ" localSheetId="8">{"'장비'!$A$3:$M$12"}</definedName>
    <definedName name="ㄱㄷㄱㄷㄱㄱㅎㄺㄷ" localSheetId="5">{"'장비'!$A$3:$M$12"}</definedName>
    <definedName name="ㄱㄷㄱㄷㄱㄱㅎㄺㄷ" localSheetId="4">{"'장비'!$A$3:$M$12"}</definedName>
    <definedName name="ㄱㄷㄱㄷㄱㄱㅎㄺㄷ" localSheetId="13">{"'장비'!$A$3:$M$12"}</definedName>
    <definedName name="ㄱㄷㄱㄷㄱㄱㅎㄺㄷ" localSheetId="17">{"'장비'!$A$3:$M$12"}</definedName>
    <definedName name="ㄱㄷㄱㄷㄱㄱㅎㄺㄷ" localSheetId="0">{"'장비'!$A$3:$M$12"}</definedName>
    <definedName name="ㄱㄷㄱㄷㄱㄱㅎㄺㄷ" localSheetId="19">{"'장비'!$A$3:$M$12"}</definedName>
    <definedName name="ㄱㄷㄱㄷㄱㄱㅎㄺㄷ" localSheetId="16">{"'장비'!$A$3:$M$12"}</definedName>
    <definedName name="ㄱㄷㄱㄷㄱㄱㅎㄺㄷ" localSheetId="18">{"'장비'!$A$3:$M$12"}</definedName>
    <definedName name="ㄱㄷㄱㄷㄱㄱㅎㄺㄷ" localSheetId="10">{"'장비'!$A$3:$M$12"}</definedName>
    <definedName name="ㄱㄷㄱㄷㄱㄱㅎㄺㄷ">{"'장비'!$A$3:$M$12"}</definedName>
    <definedName name="가나다" localSheetId="13">#REF!</definedName>
    <definedName name="가나다">#REF!</definedName>
    <definedName name="검증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3">#REF!</definedName>
    <definedName name="견적조건" localSheetId="13">#REF!</definedName>
    <definedName name="견적조건" localSheetId="26">#REF!</definedName>
    <definedName name="견적조건" localSheetId="0">#REF!</definedName>
    <definedName name="견적조건">#REF!</definedName>
    <definedName name="계약고햔황2" localSheetId="3">#REF!</definedName>
    <definedName name="계약고햔황2" localSheetId="5">#REF!</definedName>
    <definedName name="계약고햔황2" localSheetId="13">#REF!</definedName>
    <definedName name="계약고햔황2" localSheetId="26">#REF!</definedName>
    <definedName name="계약고햔황2" localSheetId="0">#REF!</definedName>
    <definedName name="계약고햔황2">#REF!</definedName>
    <definedName name="계약고현황2" localSheetId="13">#REF!</definedName>
    <definedName name="계약고현황2" localSheetId="0">#REF!</definedName>
    <definedName name="계약고현황2">#REF!</definedName>
    <definedName name="고문" localSheetId="9">{#N/A,#N/A,FALSE,"현장 NCR 분석";#N/A,#N/A,FALSE,"현장품질감사";#N/A,#N/A,FALSE,"현장품질감사"}</definedName>
    <definedName name="고문" localSheetId="6">{#N/A,#N/A,FALSE,"현장 NCR 분석";#N/A,#N/A,FALSE,"현장품질감사";#N/A,#N/A,FALSE,"현장품질감사"}</definedName>
    <definedName name="고문" localSheetId="3">{#N/A,#N/A,FALSE,"현장 NCR 분석";#N/A,#N/A,FALSE,"현장품질감사";#N/A,#N/A,FALSE,"현장품질감사"}</definedName>
    <definedName name="고문" localSheetId="8">{#N/A,#N/A,FALSE,"현장 NCR 분석";#N/A,#N/A,FALSE,"현장품질감사";#N/A,#N/A,FALSE,"현장품질감사"}</definedName>
    <definedName name="고문" localSheetId="5">{#N/A,#N/A,FALSE,"현장 NCR 분석";#N/A,#N/A,FALSE,"현장품질감사";#N/A,#N/A,FALSE,"현장품질감사"}</definedName>
    <definedName name="고문" localSheetId="4">{#N/A,#N/A,FALSE,"현장 NCR 분석";#N/A,#N/A,FALSE,"현장품질감사";#N/A,#N/A,FALSE,"현장품질감사"}</definedName>
    <definedName name="고문" localSheetId="13">{#N/A,#N/A,FALSE,"현장 NCR 분석";#N/A,#N/A,FALSE,"현장품질감사";#N/A,#N/A,FALSE,"현장품질감사"}</definedName>
    <definedName name="고문" localSheetId="17">{#N/A,#N/A,FALSE,"현장 NCR 분석";#N/A,#N/A,FALSE,"현장품질감사";#N/A,#N/A,FALSE,"현장품질감사"}</definedName>
    <definedName name="고문" localSheetId="0">{#N/A,#N/A,FALSE,"현장 NCR 분석";#N/A,#N/A,FALSE,"현장품질감사";#N/A,#N/A,FALSE,"현장품질감사"}</definedName>
    <definedName name="고문" localSheetId="19">{#N/A,#N/A,FALSE,"현장 NCR 분석";#N/A,#N/A,FALSE,"현장품질감사";#N/A,#N/A,FALSE,"현장품질감사"}</definedName>
    <definedName name="고문" localSheetId="16">{#N/A,#N/A,FALSE,"현장 NCR 분석";#N/A,#N/A,FALSE,"현장품질감사";#N/A,#N/A,FALSE,"현장품질감사"}</definedName>
    <definedName name="고문" localSheetId="18">{#N/A,#N/A,FALSE,"현장 NCR 분석";#N/A,#N/A,FALSE,"현장품질감사";#N/A,#N/A,FALSE,"현장품질감사"}</definedName>
    <definedName name="고문" localSheetId="10">{#N/A,#N/A,FALSE,"현장 NCR 분석";#N/A,#N/A,FALSE,"현장품질감사";#N/A,#N/A,FALSE,"현장품질감사"}</definedName>
    <definedName name="고문">{#N/A,#N/A,FALSE,"현장 NCR 분석";#N/A,#N/A,FALSE,"현장품질감사";#N/A,#N/A,FALSE,"현장품질감사"}</definedName>
    <definedName name="고문2" localSheetId="9">{#N/A,#N/A,FALSE,"현장 NCR 분석";#N/A,#N/A,FALSE,"현장품질감사";#N/A,#N/A,FALSE,"현장품질감사"}</definedName>
    <definedName name="고문2" localSheetId="6">{#N/A,#N/A,FALSE,"현장 NCR 분석";#N/A,#N/A,FALSE,"현장품질감사";#N/A,#N/A,FALSE,"현장품질감사"}</definedName>
    <definedName name="고문2" localSheetId="3">{#N/A,#N/A,FALSE,"현장 NCR 분석";#N/A,#N/A,FALSE,"현장품질감사";#N/A,#N/A,FALSE,"현장품질감사"}</definedName>
    <definedName name="고문2" localSheetId="8">{#N/A,#N/A,FALSE,"현장 NCR 분석";#N/A,#N/A,FALSE,"현장품질감사";#N/A,#N/A,FALSE,"현장품질감사"}</definedName>
    <definedName name="고문2" localSheetId="5">{#N/A,#N/A,FALSE,"현장 NCR 분석";#N/A,#N/A,FALSE,"현장품질감사";#N/A,#N/A,FALSE,"현장품질감사"}</definedName>
    <definedName name="고문2" localSheetId="4">{#N/A,#N/A,FALSE,"현장 NCR 분석";#N/A,#N/A,FALSE,"현장품질감사";#N/A,#N/A,FALSE,"현장품질감사"}</definedName>
    <definedName name="고문2" localSheetId="13">{#N/A,#N/A,FALSE,"현장 NCR 분석";#N/A,#N/A,FALSE,"현장품질감사";#N/A,#N/A,FALSE,"현장품질감사"}</definedName>
    <definedName name="고문2" localSheetId="17">{#N/A,#N/A,FALSE,"현장 NCR 분석";#N/A,#N/A,FALSE,"현장품질감사";#N/A,#N/A,FALSE,"현장품질감사"}</definedName>
    <definedName name="고문2" localSheetId="0">{#N/A,#N/A,FALSE,"현장 NCR 분석";#N/A,#N/A,FALSE,"현장품질감사";#N/A,#N/A,FALSE,"현장품질감사"}</definedName>
    <definedName name="고문2" localSheetId="19">{#N/A,#N/A,FALSE,"현장 NCR 분석";#N/A,#N/A,FALSE,"현장품질감사";#N/A,#N/A,FALSE,"현장품질감사"}</definedName>
    <definedName name="고문2" localSheetId="16">{#N/A,#N/A,FALSE,"현장 NCR 분석";#N/A,#N/A,FALSE,"현장품질감사";#N/A,#N/A,FALSE,"현장품질감사"}</definedName>
    <definedName name="고문2" localSheetId="18">{#N/A,#N/A,FALSE,"현장 NCR 분석";#N/A,#N/A,FALSE,"현장품질감사";#N/A,#N/A,FALSE,"현장품질감사"}</definedName>
    <definedName name="고문2" localSheetId="10">{#N/A,#N/A,FALSE,"현장 NCR 분석";#N/A,#N/A,FALSE,"현장품질감사";#N/A,#N/A,FALSE,"현장품질감사"}</definedName>
    <definedName name="고문2">{#N/A,#N/A,FALSE,"현장 NCR 분석";#N/A,#N/A,FALSE,"현장품질감사";#N/A,#N/A,FALSE,"현장품질감사"}</definedName>
    <definedName name="공공공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9">{#N/A,#N/A,FALSE,"ENG'G(보호계전기)"}</definedName>
    <definedName name="공급구분표_수정" localSheetId="6">{#N/A,#N/A,FALSE,"ENG'G(보호계전기)"}</definedName>
    <definedName name="공급구분표_수정" localSheetId="3">{#N/A,#N/A,FALSE,"ENG'G(보호계전기)"}</definedName>
    <definedName name="공급구분표_수정" localSheetId="8">{#N/A,#N/A,FALSE,"ENG'G(보호계전기)"}</definedName>
    <definedName name="공급구분표_수정" localSheetId="5">{#N/A,#N/A,FALSE,"ENG'G(보호계전기)"}</definedName>
    <definedName name="공급구분표_수정" localSheetId="4">{#N/A,#N/A,FALSE,"ENG'G(보호계전기)"}</definedName>
    <definedName name="공급구분표_수정" localSheetId="13">{#N/A,#N/A,FALSE,"ENG'G(보호계전기)"}</definedName>
    <definedName name="공급구분표_수정" localSheetId="17">{#N/A,#N/A,FALSE,"ENG'G(보호계전기)"}</definedName>
    <definedName name="공급구분표_수정" localSheetId="0">{#N/A,#N/A,FALSE,"ENG'G(보호계전기)"}</definedName>
    <definedName name="공급구분표_수정" localSheetId="19">{#N/A,#N/A,FALSE,"ENG'G(보호계전기)"}</definedName>
    <definedName name="공급구분표_수정" localSheetId="16">{#N/A,#N/A,FALSE,"ENG'G(보호계전기)"}</definedName>
    <definedName name="공급구분표_수정" localSheetId="18">{#N/A,#N/A,FALSE,"ENG'G(보호계전기)"}</definedName>
    <definedName name="공급구분표_수정" localSheetId="10">{#N/A,#N/A,FALSE,"ENG'G(보호계전기)"}</definedName>
    <definedName name="공급구분표_수정">{#N/A,#N/A,FALSE,"ENG'G(보호계전기)"}</definedName>
    <definedName name="공급표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3">#REF!</definedName>
    <definedName name="ㄴㄴㄴㄴ" localSheetId="13">#REF!</definedName>
    <definedName name="ㄴㄴㄴㄴ" localSheetId="26">#REF!</definedName>
    <definedName name="ㄴㄴㄴㄴ" localSheetId="0">#REF!</definedName>
    <definedName name="ㄴㄴㄴㄴ">#REF!</definedName>
    <definedName name="내역" localSheetId="9">{#N/A,#N/A,FALSE,"CCTV"}</definedName>
    <definedName name="내역" localSheetId="6">{#N/A,#N/A,FALSE,"CCTV"}</definedName>
    <definedName name="내역" localSheetId="3">{#N/A,#N/A,FALSE,"CCTV"}</definedName>
    <definedName name="내역" localSheetId="8">{#N/A,#N/A,FALSE,"CCTV"}</definedName>
    <definedName name="내역" localSheetId="5">{#N/A,#N/A,FALSE,"CCTV"}</definedName>
    <definedName name="내역" localSheetId="4">{#N/A,#N/A,FALSE,"CCTV"}</definedName>
    <definedName name="내역" localSheetId="13">{#N/A,#N/A,FALSE,"CCTV"}</definedName>
    <definedName name="내역" localSheetId="17">{#N/A,#N/A,FALSE,"CCTV"}</definedName>
    <definedName name="내역" localSheetId="0">{#N/A,#N/A,FALSE,"CCTV"}</definedName>
    <definedName name="내역" localSheetId="19">{#N/A,#N/A,FALSE,"CCTV"}</definedName>
    <definedName name="내역" localSheetId="16">{#N/A,#N/A,FALSE,"CCTV"}</definedName>
    <definedName name="내역" localSheetId="18">{#N/A,#N/A,FALSE,"CCTV"}</definedName>
    <definedName name="내역" localSheetId="10">{#N/A,#N/A,FALSE,"CCTV"}</definedName>
    <definedName name="내역">{#N/A,#N/A,FALSE,"CCTV"}</definedName>
    <definedName name="ㄷㄳ" localSheetId="9">{"'장비'!$A$3:$M$12"}</definedName>
    <definedName name="ㄷㄳ" localSheetId="6">{"'장비'!$A$3:$M$12"}</definedName>
    <definedName name="ㄷㄳ" localSheetId="3">{"'장비'!$A$3:$M$12"}</definedName>
    <definedName name="ㄷㄳ" localSheetId="8">{"'장비'!$A$3:$M$12"}</definedName>
    <definedName name="ㄷㄳ" localSheetId="5">{"'장비'!$A$3:$M$12"}</definedName>
    <definedName name="ㄷㄳ" localSheetId="4">{"'장비'!$A$3:$M$12"}</definedName>
    <definedName name="ㄷㄳ" localSheetId="13">{"'장비'!$A$3:$M$12"}</definedName>
    <definedName name="ㄷㄳ" localSheetId="17">{"'장비'!$A$3:$M$12"}</definedName>
    <definedName name="ㄷㄳ" localSheetId="0">{"'장비'!$A$3:$M$12"}</definedName>
    <definedName name="ㄷㄳ" localSheetId="19">{"'장비'!$A$3:$M$12"}</definedName>
    <definedName name="ㄷㄳ" localSheetId="16">{"'장비'!$A$3:$M$12"}</definedName>
    <definedName name="ㄷㄳ" localSheetId="18">{"'장비'!$A$3:$M$12"}</definedName>
    <definedName name="ㄷㄳ" localSheetId="10">{"'장비'!$A$3:$M$12"}</definedName>
    <definedName name="ㄷㄳ">{"'장비'!$A$3:$M$12"}</definedName>
    <definedName name="ㄷㄷㄷㄷ" localSheetId="9">{"'장비'!$A$3:$M$12"}</definedName>
    <definedName name="ㄷㄷㄷㄷ" localSheetId="6">{"'장비'!$A$3:$M$12"}</definedName>
    <definedName name="ㄷㄷㄷㄷ" localSheetId="3">{"'장비'!$A$3:$M$12"}</definedName>
    <definedName name="ㄷㄷㄷㄷ" localSheetId="8">{"'장비'!$A$3:$M$12"}</definedName>
    <definedName name="ㄷㄷㄷㄷ" localSheetId="5">{"'장비'!$A$3:$M$12"}</definedName>
    <definedName name="ㄷㄷㄷㄷ" localSheetId="4">{"'장비'!$A$3:$M$12"}</definedName>
    <definedName name="ㄷㄷㄷㄷ" localSheetId="13">{"'장비'!$A$3:$M$12"}</definedName>
    <definedName name="ㄷㄷㄷㄷ" localSheetId="17">{"'장비'!$A$3:$M$12"}</definedName>
    <definedName name="ㄷㄷㄷㄷ" localSheetId="0">{"'장비'!$A$3:$M$12"}</definedName>
    <definedName name="ㄷㄷㄷㄷ" localSheetId="19">{"'장비'!$A$3:$M$12"}</definedName>
    <definedName name="ㄷㄷㄷㄷ" localSheetId="16">{"'장비'!$A$3:$M$12"}</definedName>
    <definedName name="ㄷㄷㄷㄷ" localSheetId="18">{"'장비'!$A$3:$M$12"}</definedName>
    <definedName name="ㄷㄷㄷㄷ" localSheetId="10">{"'장비'!$A$3:$M$12"}</definedName>
    <definedName name="ㄷㄷㄷㄷ">{"'장비'!$A$3:$M$12"}</definedName>
    <definedName name="ㄷㅈㅂㄷ" localSheetId="9">{"'장비'!$A$3:$M$12"}</definedName>
    <definedName name="ㄷㅈㅂㄷ" localSheetId="6">{"'장비'!$A$3:$M$12"}</definedName>
    <definedName name="ㄷㅈㅂㄷ" localSheetId="3">{"'장비'!$A$3:$M$12"}</definedName>
    <definedName name="ㄷㅈㅂㄷ" localSheetId="8">{"'장비'!$A$3:$M$12"}</definedName>
    <definedName name="ㄷㅈㅂㄷ" localSheetId="5">{"'장비'!$A$3:$M$12"}</definedName>
    <definedName name="ㄷㅈㅂㄷ" localSheetId="4">{"'장비'!$A$3:$M$12"}</definedName>
    <definedName name="ㄷㅈㅂㄷ" localSheetId="13">{"'장비'!$A$3:$M$12"}</definedName>
    <definedName name="ㄷㅈㅂㄷ" localSheetId="17">{"'장비'!$A$3:$M$12"}</definedName>
    <definedName name="ㄷㅈㅂㄷ" localSheetId="0">{"'장비'!$A$3:$M$12"}</definedName>
    <definedName name="ㄷㅈㅂㄷ" localSheetId="19">{"'장비'!$A$3:$M$12"}</definedName>
    <definedName name="ㄷㅈㅂㄷ" localSheetId="16">{"'장비'!$A$3:$M$12"}</definedName>
    <definedName name="ㄷㅈㅂㄷ" localSheetId="18">{"'장비'!$A$3:$M$12"}</definedName>
    <definedName name="ㄷㅈㅂㄷ" localSheetId="10">{"'장비'!$A$3:$M$12"}</definedName>
    <definedName name="ㄷㅈㅂㄷ">{"'장비'!$A$3:$M$12"}</definedName>
    <definedName name="당초계획" localSheetId="13">#REF!</definedName>
    <definedName name="당초계획">#REF!</definedName>
    <definedName name="도면외주" localSheetId="13">#REF!</definedName>
    <definedName name="도면외주">#REF!</definedName>
    <definedName name="도면용역비" localSheetId="13">#REF!</definedName>
    <definedName name="도면용역비">#REF!</definedName>
    <definedName name="ㄹㄹ" localSheetId="9">{"'장비'!$A$3:$M$12"}</definedName>
    <definedName name="ㄹㄹ" localSheetId="6">{"'장비'!$A$3:$M$12"}</definedName>
    <definedName name="ㄹㄹ" localSheetId="3">{"'장비'!$A$3:$M$12"}</definedName>
    <definedName name="ㄹㄹ" localSheetId="8">{"'장비'!$A$3:$M$12"}</definedName>
    <definedName name="ㄹㄹ" localSheetId="5">{"'장비'!$A$3:$M$12"}</definedName>
    <definedName name="ㄹㄹ" localSheetId="4">{"'장비'!$A$3:$M$12"}</definedName>
    <definedName name="ㄹㄹ" localSheetId="13">{"'장비'!$A$3:$M$12"}</definedName>
    <definedName name="ㄹㄹ" localSheetId="17">{"'장비'!$A$3:$M$12"}</definedName>
    <definedName name="ㄹㄹ" localSheetId="0">{"'장비'!$A$3:$M$12"}</definedName>
    <definedName name="ㄹㄹ" localSheetId="19">{"'장비'!$A$3:$M$12"}</definedName>
    <definedName name="ㄹㄹ" localSheetId="16">{"'장비'!$A$3:$M$12"}</definedName>
    <definedName name="ㄹㄹ" localSheetId="18">{"'장비'!$A$3:$M$12"}</definedName>
    <definedName name="ㄹㄹ" localSheetId="10">{"'장비'!$A$3:$M$12"}</definedName>
    <definedName name="ㄹㄹ">{"'장비'!$A$3:$M$12"}</definedName>
    <definedName name="ㄹㄹㄹ" localSheetId="13">#REF!</definedName>
    <definedName name="ㄹㄹㄹ">#REF!</definedName>
    <definedName name="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9">{#N/A,#N/A,FALSE,"현장 NCR 분석";#N/A,#N/A,FALSE,"현장품질감사";#N/A,#N/A,FALSE,"현장품질감사"}</definedName>
    <definedName name="러러러" localSheetId="6">{#N/A,#N/A,FALSE,"현장 NCR 분석";#N/A,#N/A,FALSE,"현장품질감사";#N/A,#N/A,FALSE,"현장품질감사"}</definedName>
    <definedName name="러러러" localSheetId="3">{#N/A,#N/A,FALSE,"현장 NCR 분석";#N/A,#N/A,FALSE,"현장품질감사";#N/A,#N/A,FALSE,"현장품질감사"}</definedName>
    <definedName name="러러러" localSheetId="8">{#N/A,#N/A,FALSE,"현장 NCR 분석";#N/A,#N/A,FALSE,"현장품질감사";#N/A,#N/A,FALSE,"현장품질감사"}</definedName>
    <definedName name="러러러" localSheetId="5">{#N/A,#N/A,FALSE,"현장 NCR 분석";#N/A,#N/A,FALSE,"현장품질감사";#N/A,#N/A,FALSE,"현장품질감사"}</definedName>
    <definedName name="러러러" localSheetId="4">{#N/A,#N/A,FALSE,"현장 NCR 분석";#N/A,#N/A,FALSE,"현장품질감사";#N/A,#N/A,FALSE,"현장품질감사"}</definedName>
    <definedName name="러러러" localSheetId="13">{#N/A,#N/A,FALSE,"현장 NCR 분석";#N/A,#N/A,FALSE,"현장품질감사";#N/A,#N/A,FALSE,"현장품질감사"}</definedName>
    <definedName name="러러러" localSheetId="17">{#N/A,#N/A,FALSE,"현장 NCR 분석";#N/A,#N/A,FALSE,"현장품질감사";#N/A,#N/A,FALSE,"현장품질감사"}</definedName>
    <definedName name="러러러" localSheetId="0">{#N/A,#N/A,FALSE,"현장 NCR 분석";#N/A,#N/A,FALSE,"현장품질감사";#N/A,#N/A,FALSE,"현장품질감사"}</definedName>
    <definedName name="러러러" localSheetId="19">{#N/A,#N/A,FALSE,"현장 NCR 분석";#N/A,#N/A,FALSE,"현장품질감사";#N/A,#N/A,FALSE,"현장품질감사"}</definedName>
    <definedName name="러러러" localSheetId="16">{#N/A,#N/A,FALSE,"현장 NCR 분석";#N/A,#N/A,FALSE,"현장품질감사";#N/A,#N/A,FALSE,"현장품질감사"}</definedName>
    <definedName name="러러러" localSheetId="18">{#N/A,#N/A,FALSE,"현장 NCR 분석";#N/A,#N/A,FALSE,"현장품질감사";#N/A,#N/A,FALSE,"현장품질감사"}</definedName>
    <definedName name="러러러" localSheetId="10">{#N/A,#N/A,FALSE,"현장 NCR 분석";#N/A,#N/A,FALSE,"현장품질감사";#N/A,#N/A,FALSE,"현장품질감사"}</definedName>
    <definedName name="러러러">{#N/A,#N/A,FALSE,"현장 NCR 분석";#N/A,#N/A,FALSE,"현장품질감사";#N/A,#N/A,FALSE,"현장품질감사"}</definedName>
    <definedName name="ㅁ" localSheetId="9">{#N/A,#N/A,FALSE,"명세표"}</definedName>
    <definedName name="ㅁ" localSheetId="6">{#N/A,#N/A,FALSE,"명세표"}</definedName>
    <definedName name="ㅁ" localSheetId="3">{#N/A,#N/A,FALSE,"명세표"}</definedName>
    <definedName name="ㅁ" localSheetId="8">{#N/A,#N/A,FALSE,"명세표"}</definedName>
    <definedName name="ㅁ" localSheetId="5">{#N/A,#N/A,FALSE,"명세표"}</definedName>
    <definedName name="ㅁ" localSheetId="4">{#N/A,#N/A,FALSE,"명세표"}</definedName>
    <definedName name="ㅁ" localSheetId="13">{#N/A,#N/A,FALSE,"명세표"}</definedName>
    <definedName name="ㅁ" localSheetId="17">{#N/A,#N/A,FALSE,"명세표"}</definedName>
    <definedName name="ㅁ" localSheetId="0">{#N/A,#N/A,FALSE,"명세표"}</definedName>
    <definedName name="ㅁ" localSheetId="19">{#N/A,#N/A,FALSE,"명세표"}</definedName>
    <definedName name="ㅁ" localSheetId="16">{#N/A,#N/A,FALSE,"명세표"}</definedName>
    <definedName name="ㅁ" localSheetId="18">{#N/A,#N/A,FALSE,"명세표"}</definedName>
    <definedName name="ㅁ" localSheetId="10">{#N/A,#N/A,FALSE,"명세표"}</definedName>
    <definedName name="ㅁ">{#N/A,#N/A,FALSE,"명세표"}</definedName>
    <definedName name="ㅁㄱ해ㅜ5" localSheetId="3">#REF!</definedName>
    <definedName name="ㅁㄱ해ㅜ5" localSheetId="13">#REF!</definedName>
    <definedName name="ㅁㄱ해ㅜ5" localSheetId="26">#REF!</definedName>
    <definedName name="ㅁㄱ해ㅜ5" localSheetId="0">#REF!</definedName>
    <definedName name="ㅁㄱ해ㅜ5">#REF!</definedName>
    <definedName name="ㅁ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9">{#N/A,#N/A,FALSE,"명세표"}</definedName>
    <definedName name="ㅁㅁ" localSheetId="6">{#N/A,#N/A,FALSE,"명세표"}</definedName>
    <definedName name="ㅁㅁ" localSheetId="3">{#N/A,#N/A,FALSE,"명세표"}</definedName>
    <definedName name="ㅁㅁ" localSheetId="8">{#N/A,#N/A,FALSE,"명세표"}</definedName>
    <definedName name="ㅁㅁ" localSheetId="5">{#N/A,#N/A,FALSE,"명세표"}</definedName>
    <definedName name="ㅁㅁ" localSheetId="4">{#N/A,#N/A,FALSE,"명세표"}</definedName>
    <definedName name="ㅁㅁ" localSheetId="13">{#N/A,#N/A,FALSE,"명세표"}</definedName>
    <definedName name="ㅁㅁ" localSheetId="17">{#N/A,#N/A,FALSE,"명세표"}</definedName>
    <definedName name="ㅁㅁ" localSheetId="0">{#N/A,#N/A,FALSE,"명세표"}</definedName>
    <definedName name="ㅁㅁ" localSheetId="19">{#N/A,#N/A,FALSE,"명세표"}</definedName>
    <definedName name="ㅁㅁ" localSheetId="16">{#N/A,#N/A,FALSE,"명세표"}</definedName>
    <definedName name="ㅁㅁ" localSheetId="18">{#N/A,#N/A,FALSE,"명세표"}</definedName>
    <definedName name="ㅁㅁ" localSheetId="10">{#N/A,#N/A,FALSE,"명세표"}</definedName>
    <definedName name="ㅁㅁ">{#N/A,#N/A,FALSE,"명세표"}</definedName>
    <definedName name="ㅁㅁㅁ" localSheetId="3">#REF!</definedName>
    <definedName name="ㅁㅁㅁ" localSheetId="5">#REF!</definedName>
    <definedName name="ㅁㅁㅁ" localSheetId="13">#REF!</definedName>
    <definedName name="ㅁㅁㅁ" localSheetId="26">#REF!</definedName>
    <definedName name="ㅁㅁㅁ" localSheetId="0">#REF!</definedName>
    <definedName name="ㅁㅁㅁ">#REF!</definedName>
    <definedName name="ㅁㅁㅁㅁㅁㅁㅁㅁㅁㅁㅁㅁ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9">{#N/A,#N/A,FALSE,"명세표"}</definedName>
    <definedName name="머" localSheetId="6">{#N/A,#N/A,FALSE,"명세표"}</definedName>
    <definedName name="머" localSheetId="3">{#N/A,#N/A,FALSE,"명세표"}</definedName>
    <definedName name="머" localSheetId="8">{#N/A,#N/A,FALSE,"명세표"}</definedName>
    <definedName name="머" localSheetId="5">{#N/A,#N/A,FALSE,"명세표"}</definedName>
    <definedName name="머" localSheetId="4">{#N/A,#N/A,FALSE,"명세표"}</definedName>
    <definedName name="머" localSheetId="13">{#N/A,#N/A,FALSE,"명세표"}</definedName>
    <definedName name="머" localSheetId="17">{#N/A,#N/A,FALSE,"명세표"}</definedName>
    <definedName name="머" localSheetId="0">{#N/A,#N/A,FALSE,"명세표"}</definedName>
    <definedName name="머" localSheetId="19">{#N/A,#N/A,FALSE,"명세표"}</definedName>
    <definedName name="머" localSheetId="16">{#N/A,#N/A,FALSE,"명세표"}</definedName>
    <definedName name="머" localSheetId="18">{#N/A,#N/A,FALSE,"명세표"}</definedName>
    <definedName name="머" localSheetId="10">{#N/A,#N/A,FALSE,"명세표"}</definedName>
    <definedName name="머">{#N/A,#N/A,FALSE,"명세표"}</definedName>
    <definedName name="ㅂㅂㅂㅂ" localSheetId="9">{#N/A,#N/A,FALSE,"명세표"}</definedName>
    <definedName name="ㅂㅂㅂㅂ" localSheetId="6">{#N/A,#N/A,FALSE,"명세표"}</definedName>
    <definedName name="ㅂㅂㅂㅂ" localSheetId="3">{#N/A,#N/A,FALSE,"명세표"}</definedName>
    <definedName name="ㅂㅂㅂㅂ" localSheetId="8">{#N/A,#N/A,FALSE,"명세표"}</definedName>
    <definedName name="ㅂㅂㅂㅂ" localSheetId="5">{#N/A,#N/A,FALSE,"명세표"}</definedName>
    <definedName name="ㅂㅂㅂㅂ" localSheetId="4">{#N/A,#N/A,FALSE,"명세표"}</definedName>
    <definedName name="ㅂㅂㅂㅂ" localSheetId="13">{#N/A,#N/A,FALSE,"명세표"}</definedName>
    <definedName name="ㅂㅂㅂㅂ" localSheetId="17">{#N/A,#N/A,FALSE,"명세표"}</definedName>
    <definedName name="ㅂㅂㅂㅂ" localSheetId="0">{#N/A,#N/A,FALSE,"명세표"}</definedName>
    <definedName name="ㅂㅂㅂㅂ" localSheetId="19">{#N/A,#N/A,FALSE,"명세표"}</definedName>
    <definedName name="ㅂㅂㅂㅂ" localSheetId="16">{#N/A,#N/A,FALSE,"명세표"}</definedName>
    <definedName name="ㅂㅂㅂㅂ" localSheetId="18">{#N/A,#N/A,FALSE,"명세표"}</definedName>
    <definedName name="ㅂㅂㅂㅂ" localSheetId="10">{#N/A,#N/A,FALSE,"명세표"}</definedName>
    <definedName name="ㅂㅂㅂㅂ">{#N/A,#N/A,FALSE,"명세표"}</definedName>
    <definedName name="ㅂㅂㅂㅂㅂㅂㅂ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9">{"'장비'!$A$3:$M$12"}</definedName>
    <definedName name="ㅂㅈㄱㅂㅈㄷㄱ" localSheetId="6">{"'장비'!$A$3:$M$12"}</definedName>
    <definedName name="ㅂㅈㄱㅂㅈㄷㄱ" localSheetId="3">{"'장비'!$A$3:$M$12"}</definedName>
    <definedName name="ㅂㅈㄱㅂㅈㄷㄱ" localSheetId="8">{"'장비'!$A$3:$M$12"}</definedName>
    <definedName name="ㅂㅈㄱㅂㅈㄷㄱ" localSheetId="5">{"'장비'!$A$3:$M$12"}</definedName>
    <definedName name="ㅂㅈㄱㅂㅈㄷㄱ" localSheetId="4">{"'장비'!$A$3:$M$12"}</definedName>
    <definedName name="ㅂㅈㄱㅂㅈㄷㄱ" localSheetId="13">{"'장비'!$A$3:$M$12"}</definedName>
    <definedName name="ㅂㅈㄱㅂㅈㄷㄱ" localSheetId="17">{"'장비'!$A$3:$M$12"}</definedName>
    <definedName name="ㅂㅈㄱㅂㅈㄷㄱ" localSheetId="0">{"'장비'!$A$3:$M$12"}</definedName>
    <definedName name="ㅂㅈㄱㅂㅈㄷㄱ" localSheetId="19">{"'장비'!$A$3:$M$12"}</definedName>
    <definedName name="ㅂㅈㄱㅂㅈㄷㄱ" localSheetId="16">{"'장비'!$A$3:$M$12"}</definedName>
    <definedName name="ㅂㅈㄱㅂㅈㄷㄱ" localSheetId="18">{"'장비'!$A$3:$M$12"}</definedName>
    <definedName name="ㅂㅈㄱㅂㅈㄷㄱ" localSheetId="10">{"'장비'!$A$3:$M$12"}</definedName>
    <definedName name="ㅂㅈㄱㅂㅈㄷㄱ">{"'장비'!$A$3:$M$12"}</definedName>
    <definedName name="ㅂㅈㄷ" localSheetId="9">{"'장비'!$A$3:$M$12"}</definedName>
    <definedName name="ㅂㅈㄷ" localSheetId="6">{"'장비'!$A$3:$M$12"}</definedName>
    <definedName name="ㅂㅈㄷ" localSheetId="3">{"'장비'!$A$3:$M$12"}</definedName>
    <definedName name="ㅂㅈㄷ" localSheetId="8">{"'장비'!$A$3:$M$12"}</definedName>
    <definedName name="ㅂㅈㄷ" localSheetId="5">{"'장비'!$A$3:$M$12"}</definedName>
    <definedName name="ㅂㅈㄷ" localSheetId="4">{"'장비'!$A$3:$M$12"}</definedName>
    <definedName name="ㅂㅈㄷ" localSheetId="13">{"'장비'!$A$3:$M$12"}</definedName>
    <definedName name="ㅂㅈㄷ" localSheetId="17">{"'장비'!$A$3:$M$12"}</definedName>
    <definedName name="ㅂㅈㄷ" localSheetId="0">{"'장비'!$A$3:$M$12"}</definedName>
    <definedName name="ㅂㅈㄷ" localSheetId="19">{"'장비'!$A$3:$M$12"}</definedName>
    <definedName name="ㅂㅈㄷ" localSheetId="16">{"'장비'!$A$3:$M$12"}</definedName>
    <definedName name="ㅂㅈㄷ" localSheetId="18">{"'장비'!$A$3:$M$12"}</definedName>
    <definedName name="ㅂㅈㄷ" localSheetId="10">{"'장비'!$A$3:$M$12"}</definedName>
    <definedName name="ㅂㅈㄷ">{"'장비'!$A$3:$M$12"}</definedName>
    <definedName name="ㅂㅈㄷㄷㅂㅈㅈㅂ" localSheetId="9">{"'장비'!$A$3:$M$12"}</definedName>
    <definedName name="ㅂㅈㄷㄷㅂㅈㅈㅂ" localSheetId="6">{"'장비'!$A$3:$M$12"}</definedName>
    <definedName name="ㅂㅈㄷㄷㅂㅈㅈㅂ" localSheetId="3">{"'장비'!$A$3:$M$12"}</definedName>
    <definedName name="ㅂㅈㄷㄷㅂㅈㅈㅂ" localSheetId="8">{"'장비'!$A$3:$M$12"}</definedName>
    <definedName name="ㅂㅈㄷㄷㅂㅈㅈㅂ" localSheetId="5">{"'장비'!$A$3:$M$12"}</definedName>
    <definedName name="ㅂㅈㄷㄷㅂㅈㅈㅂ" localSheetId="4">{"'장비'!$A$3:$M$12"}</definedName>
    <definedName name="ㅂㅈㄷㄷㅂㅈㅈㅂ" localSheetId="13">{"'장비'!$A$3:$M$12"}</definedName>
    <definedName name="ㅂㅈㄷㄷㅂㅈㅈㅂ" localSheetId="17">{"'장비'!$A$3:$M$12"}</definedName>
    <definedName name="ㅂㅈㄷㄷㅂㅈㅈㅂ" localSheetId="0">{"'장비'!$A$3:$M$12"}</definedName>
    <definedName name="ㅂㅈㄷㄷㅂㅈㅈㅂ" localSheetId="19">{"'장비'!$A$3:$M$12"}</definedName>
    <definedName name="ㅂㅈㄷㄷㅂㅈㅈㅂ" localSheetId="16">{"'장비'!$A$3:$M$12"}</definedName>
    <definedName name="ㅂㅈㄷㄷㅂㅈㅈㅂ" localSheetId="18">{"'장비'!$A$3:$M$12"}</definedName>
    <definedName name="ㅂㅈㄷㄷㅂㅈㅈㅂ" localSheetId="10">{"'장비'!$A$3:$M$12"}</definedName>
    <definedName name="ㅂㅈㄷㄷㅂㅈㅈㅂ">{"'장비'!$A$3:$M$12"}</definedName>
    <definedName name="ㅂㅈㄷㅂㅈ" localSheetId="9">{"'장비'!$A$3:$M$12"}</definedName>
    <definedName name="ㅂㅈㄷㅂㅈ" localSheetId="6">{"'장비'!$A$3:$M$12"}</definedName>
    <definedName name="ㅂㅈㄷㅂㅈ" localSheetId="3">{"'장비'!$A$3:$M$12"}</definedName>
    <definedName name="ㅂㅈㄷㅂㅈ" localSheetId="8">{"'장비'!$A$3:$M$12"}</definedName>
    <definedName name="ㅂㅈㄷㅂㅈ" localSheetId="5">{"'장비'!$A$3:$M$12"}</definedName>
    <definedName name="ㅂㅈㄷㅂㅈ" localSheetId="4">{"'장비'!$A$3:$M$12"}</definedName>
    <definedName name="ㅂㅈㄷㅂㅈ" localSheetId="13">{"'장비'!$A$3:$M$12"}</definedName>
    <definedName name="ㅂㅈㄷㅂㅈ" localSheetId="17">{"'장비'!$A$3:$M$12"}</definedName>
    <definedName name="ㅂㅈㄷㅂㅈ" localSheetId="0">{"'장비'!$A$3:$M$12"}</definedName>
    <definedName name="ㅂㅈㄷㅂㅈ" localSheetId="19">{"'장비'!$A$3:$M$12"}</definedName>
    <definedName name="ㅂㅈㄷㅂㅈ" localSheetId="16">{"'장비'!$A$3:$M$12"}</definedName>
    <definedName name="ㅂㅈㄷㅂㅈ" localSheetId="18">{"'장비'!$A$3:$M$12"}</definedName>
    <definedName name="ㅂㅈㄷㅂㅈ" localSheetId="10">{"'장비'!$A$3:$M$12"}</definedName>
    <definedName name="ㅂㅈㄷㅂㅈ">{"'장비'!$A$3:$M$12"}</definedName>
    <definedName name="ㅂㅈㄷㅂㅈㅈㅂㄷ" localSheetId="9">{"'장비'!$A$3:$M$12"}</definedName>
    <definedName name="ㅂㅈㄷㅂㅈㅈㅂㄷ" localSheetId="6">{"'장비'!$A$3:$M$12"}</definedName>
    <definedName name="ㅂㅈㄷㅂㅈㅈㅂㄷ" localSheetId="3">{"'장비'!$A$3:$M$12"}</definedName>
    <definedName name="ㅂㅈㄷㅂㅈㅈㅂㄷ" localSheetId="8">{"'장비'!$A$3:$M$12"}</definedName>
    <definedName name="ㅂㅈㄷㅂㅈㅈㅂㄷ" localSheetId="5">{"'장비'!$A$3:$M$12"}</definedName>
    <definedName name="ㅂㅈㄷㅂㅈㅈㅂㄷ" localSheetId="4">{"'장비'!$A$3:$M$12"}</definedName>
    <definedName name="ㅂㅈㄷㅂㅈㅈㅂㄷ" localSheetId="13">{"'장비'!$A$3:$M$12"}</definedName>
    <definedName name="ㅂㅈㄷㅂㅈㅈㅂㄷ" localSheetId="17">{"'장비'!$A$3:$M$12"}</definedName>
    <definedName name="ㅂㅈㄷㅂㅈㅈㅂㄷ" localSheetId="0">{"'장비'!$A$3:$M$12"}</definedName>
    <definedName name="ㅂㅈㄷㅂㅈㅈㅂㄷ" localSheetId="19">{"'장비'!$A$3:$M$12"}</definedName>
    <definedName name="ㅂㅈㄷㅂㅈㅈㅂㄷ" localSheetId="16">{"'장비'!$A$3:$M$12"}</definedName>
    <definedName name="ㅂㅈㄷㅂㅈㅈㅂㄷ" localSheetId="18">{"'장비'!$A$3:$M$12"}</definedName>
    <definedName name="ㅂㅈㄷㅂㅈㅈㅂㄷ" localSheetId="10">{"'장비'!$A$3:$M$12"}</definedName>
    <definedName name="ㅂㅈㄷㅂㅈㅈㅂㄷ">{"'장비'!$A$3:$M$12"}</definedName>
    <definedName name="ㅂㅈㄷㅈㅂㄷ" localSheetId="9">{"'장비'!$A$3:$M$12"}</definedName>
    <definedName name="ㅂㅈㄷㅈㅂㄷ" localSheetId="6">{"'장비'!$A$3:$M$12"}</definedName>
    <definedName name="ㅂㅈㄷㅈㅂㄷ" localSheetId="3">{"'장비'!$A$3:$M$12"}</definedName>
    <definedName name="ㅂㅈㄷㅈㅂㄷ" localSheetId="8">{"'장비'!$A$3:$M$12"}</definedName>
    <definedName name="ㅂㅈㄷㅈㅂㄷ" localSheetId="5">{"'장비'!$A$3:$M$12"}</definedName>
    <definedName name="ㅂㅈㄷㅈㅂㄷ" localSheetId="4">{"'장비'!$A$3:$M$12"}</definedName>
    <definedName name="ㅂㅈㄷㅈㅂㄷ" localSheetId="13">{"'장비'!$A$3:$M$12"}</definedName>
    <definedName name="ㅂㅈㄷㅈㅂㄷ" localSheetId="17">{"'장비'!$A$3:$M$12"}</definedName>
    <definedName name="ㅂㅈㄷㅈㅂㄷ" localSheetId="0">{"'장비'!$A$3:$M$12"}</definedName>
    <definedName name="ㅂㅈㄷㅈㅂㄷ" localSheetId="19">{"'장비'!$A$3:$M$12"}</definedName>
    <definedName name="ㅂㅈㄷㅈㅂㄷ" localSheetId="16">{"'장비'!$A$3:$M$12"}</definedName>
    <definedName name="ㅂㅈㄷㅈㅂㄷ" localSheetId="18">{"'장비'!$A$3:$M$12"}</definedName>
    <definedName name="ㅂㅈㄷㅈㅂㄷ" localSheetId="10">{"'장비'!$A$3:$M$12"}</definedName>
    <definedName name="ㅂㅈㄷㅈㅂㄷ">{"'장비'!$A$3:$M$12"}</definedName>
    <definedName name="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3">#REF!</definedName>
    <definedName name="보충" localSheetId="5">#REF!</definedName>
    <definedName name="보충" localSheetId="13">#REF!</definedName>
    <definedName name="보충" localSheetId="26">#REF!</definedName>
    <definedName name="보충" localSheetId="0">#REF!</definedName>
    <definedName name="보충">#REF!</definedName>
    <definedName name="보호" localSheetId="9">{#N/A,#N/A,FALSE,"ENG'G(보호계전기)"}</definedName>
    <definedName name="보호" localSheetId="6">{#N/A,#N/A,FALSE,"ENG'G(보호계전기)"}</definedName>
    <definedName name="보호" localSheetId="3">{#N/A,#N/A,FALSE,"ENG'G(보호계전기)"}</definedName>
    <definedName name="보호" localSheetId="8">{#N/A,#N/A,FALSE,"ENG'G(보호계전기)"}</definedName>
    <definedName name="보호" localSheetId="5">{#N/A,#N/A,FALSE,"ENG'G(보호계전기)"}</definedName>
    <definedName name="보호" localSheetId="4">{#N/A,#N/A,FALSE,"ENG'G(보호계전기)"}</definedName>
    <definedName name="보호" localSheetId="13">{#N/A,#N/A,FALSE,"ENG'G(보호계전기)"}</definedName>
    <definedName name="보호" localSheetId="17">{#N/A,#N/A,FALSE,"ENG'G(보호계전기)"}</definedName>
    <definedName name="보호" localSheetId="0">{#N/A,#N/A,FALSE,"ENG'G(보호계전기)"}</definedName>
    <definedName name="보호" localSheetId="19">{#N/A,#N/A,FALSE,"ENG'G(보호계전기)"}</definedName>
    <definedName name="보호" localSheetId="16">{#N/A,#N/A,FALSE,"ENG'G(보호계전기)"}</definedName>
    <definedName name="보호" localSheetId="18">{#N/A,#N/A,FALSE,"ENG'G(보호계전기)"}</definedName>
    <definedName name="보호" localSheetId="10">{#N/A,#N/A,FALSE,"ENG'G(보호계전기)"}</definedName>
    <definedName name="보호">{#N/A,#N/A,FALSE,"ENG'G(보호계전기)"}</definedName>
    <definedName name="본공사공정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3">#REF!</definedName>
    <definedName name="부대공사" localSheetId="5">#REF!</definedName>
    <definedName name="부대공사" localSheetId="13">#REF!</definedName>
    <definedName name="부대공사" localSheetId="26">#REF!</definedName>
    <definedName name="부대공사" localSheetId="0">#REF!</definedName>
    <definedName name="부대공사">#REF!</definedName>
    <definedName name="부손익" localSheetId="9">{#N/A,#N/A,FALSE,"현장 NCR 분석";#N/A,#N/A,FALSE,"현장품질감사";#N/A,#N/A,FALSE,"현장품질감사"}</definedName>
    <definedName name="부손익" localSheetId="6">{#N/A,#N/A,FALSE,"현장 NCR 분석";#N/A,#N/A,FALSE,"현장품질감사";#N/A,#N/A,FALSE,"현장품질감사"}</definedName>
    <definedName name="부손익" localSheetId="3">{#N/A,#N/A,FALSE,"현장 NCR 분석";#N/A,#N/A,FALSE,"현장품질감사";#N/A,#N/A,FALSE,"현장품질감사"}</definedName>
    <definedName name="부손익" localSheetId="8">{#N/A,#N/A,FALSE,"현장 NCR 분석";#N/A,#N/A,FALSE,"현장품질감사";#N/A,#N/A,FALSE,"현장품질감사"}</definedName>
    <definedName name="부손익" localSheetId="5">{#N/A,#N/A,FALSE,"현장 NCR 분석";#N/A,#N/A,FALSE,"현장품질감사";#N/A,#N/A,FALSE,"현장품질감사"}</definedName>
    <definedName name="부손익" localSheetId="4">{#N/A,#N/A,FALSE,"현장 NCR 분석";#N/A,#N/A,FALSE,"현장품질감사";#N/A,#N/A,FALSE,"현장품질감사"}</definedName>
    <definedName name="부손익" localSheetId="13">{#N/A,#N/A,FALSE,"현장 NCR 분석";#N/A,#N/A,FALSE,"현장품질감사";#N/A,#N/A,FALSE,"현장품질감사"}</definedName>
    <definedName name="부손익" localSheetId="17">{#N/A,#N/A,FALSE,"현장 NCR 분석";#N/A,#N/A,FALSE,"현장품질감사";#N/A,#N/A,FALSE,"현장품질감사"}</definedName>
    <definedName name="부손익" localSheetId="0">{#N/A,#N/A,FALSE,"현장 NCR 분석";#N/A,#N/A,FALSE,"현장품질감사";#N/A,#N/A,FALSE,"현장품질감사"}</definedName>
    <definedName name="부손익" localSheetId="19">{#N/A,#N/A,FALSE,"현장 NCR 분석";#N/A,#N/A,FALSE,"현장품질감사";#N/A,#N/A,FALSE,"현장품질감사"}</definedName>
    <definedName name="부손익" localSheetId="16">{#N/A,#N/A,FALSE,"현장 NCR 분석";#N/A,#N/A,FALSE,"현장품질감사";#N/A,#N/A,FALSE,"현장품질감사"}</definedName>
    <definedName name="부손익" localSheetId="18">{#N/A,#N/A,FALSE,"현장 NCR 분석";#N/A,#N/A,FALSE,"현장품질감사";#N/A,#N/A,FALSE,"현장품질감사"}</definedName>
    <definedName name="부손익" localSheetId="10">{#N/A,#N/A,FALSE,"현장 NCR 분석";#N/A,#N/A,FALSE,"현장품질감사";#N/A,#N/A,FALSE,"현장품질감사"}</definedName>
    <definedName name="부손익">{#N/A,#N/A,FALSE,"현장 NCR 분석";#N/A,#N/A,FALSE,"현장품질감사";#N/A,#N/A,FALSE,"현장품질감사"}</definedName>
    <definedName name="분야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9">{"'장비'!$A$3:$M$12"}</definedName>
    <definedName name="ㅅㄱㄱㄷ" localSheetId="6">{"'장비'!$A$3:$M$12"}</definedName>
    <definedName name="ㅅㄱㄱㄷ" localSheetId="3">{"'장비'!$A$3:$M$12"}</definedName>
    <definedName name="ㅅㄱㄱㄷ" localSheetId="8">{"'장비'!$A$3:$M$12"}</definedName>
    <definedName name="ㅅㄱㄱㄷ" localSheetId="5">{"'장비'!$A$3:$M$12"}</definedName>
    <definedName name="ㅅㄱㄱㄷ" localSheetId="4">{"'장비'!$A$3:$M$12"}</definedName>
    <definedName name="ㅅㄱㄱㄷ" localSheetId="13">{"'장비'!$A$3:$M$12"}</definedName>
    <definedName name="ㅅㄱㄱㄷ" localSheetId="17">{"'장비'!$A$3:$M$12"}</definedName>
    <definedName name="ㅅㄱㄱㄷ" localSheetId="0">{"'장비'!$A$3:$M$12"}</definedName>
    <definedName name="ㅅㄱㄱㄷ" localSheetId="19">{"'장비'!$A$3:$M$12"}</definedName>
    <definedName name="ㅅㄱㄱㄷ" localSheetId="16">{"'장비'!$A$3:$M$12"}</definedName>
    <definedName name="ㅅㄱㄱㄷ" localSheetId="18">{"'장비'!$A$3:$M$12"}</definedName>
    <definedName name="ㅅㄱㄱㄷ" localSheetId="10">{"'장비'!$A$3:$M$12"}</definedName>
    <definedName name="ㅅㄱㄱㄷ">{"'장비'!$A$3:$M$12"}</definedName>
    <definedName name="ㅅㅅㅅㅅㅅ" localSheetId="9">{"'장비'!$A$3:$M$12"}</definedName>
    <definedName name="ㅅㅅㅅㅅㅅ" localSheetId="6">{"'장비'!$A$3:$M$12"}</definedName>
    <definedName name="ㅅㅅㅅㅅㅅ" localSheetId="3">{"'장비'!$A$3:$M$12"}</definedName>
    <definedName name="ㅅㅅㅅㅅㅅ" localSheetId="8">{"'장비'!$A$3:$M$12"}</definedName>
    <definedName name="ㅅㅅㅅㅅㅅ" localSheetId="5">{"'장비'!$A$3:$M$12"}</definedName>
    <definedName name="ㅅㅅㅅㅅㅅ" localSheetId="4">{"'장비'!$A$3:$M$12"}</definedName>
    <definedName name="ㅅㅅㅅㅅㅅ" localSheetId="13">{"'장비'!$A$3:$M$12"}</definedName>
    <definedName name="ㅅㅅㅅㅅㅅ" localSheetId="17">{"'장비'!$A$3:$M$12"}</definedName>
    <definedName name="ㅅㅅㅅㅅㅅ" localSheetId="0">{"'장비'!$A$3:$M$12"}</definedName>
    <definedName name="ㅅㅅㅅㅅㅅ" localSheetId="19">{"'장비'!$A$3:$M$12"}</definedName>
    <definedName name="ㅅㅅㅅㅅㅅ" localSheetId="16">{"'장비'!$A$3:$M$12"}</definedName>
    <definedName name="ㅅㅅㅅㅅㅅ" localSheetId="18">{"'장비'!$A$3:$M$12"}</definedName>
    <definedName name="ㅅㅅㅅㅅㅅ" localSheetId="10">{"'장비'!$A$3:$M$12"}</definedName>
    <definedName name="ㅅㅅㅅㅅㅅ">{"'장비'!$A$3:$M$12"}</definedName>
    <definedName name="사업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3">#REF!</definedName>
    <definedName name="사업계획수정" localSheetId="5">#REF!</definedName>
    <definedName name="사업계획수정" localSheetId="13">#REF!</definedName>
    <definedName name="사업계획수정" localSheetId="26">#REF!</definedName>
    <definedName name="사업계획수정" localSheetId="0">#REF!</definedName>
    <definedName name="사업계획수정">#REF!</definedName>
    <definedName name="사업관리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3">#REF!</definedName>
    <definedName name="사업부양식2" localSheetId="5">#REF!</definedName>
    <definedName name="사업부양식2" localSheetId="13">#REF!</definedName>
    <definedName name="사업부양식2" localSheetId="26">#REF!</definedName>
    <definedName name="사업부양식2" localSheetId="0">#REF!</definedName>
    <definedName name="사업부양식2">#REF!</definedName>
    <definedName name="산출" localSheetId="13">#REF!</definedName>
    <definedName name="산출" localSheetId="0">#REF!</definedName>
    <definedName name="산출">#REF!</definedName>
    <definedName name="새안" localSheetId="9">{#N/A,#N/A,FALSE,"TABLE"}</definedName>
    <definedName name="새안" localSheetId="6">{#N/A,#N/A,FALSE,"TABLE"}</definedName>
    <definedName name="새안" localSheetId="3">{#N/A,#N/A,FALSE,"TABLE"}</definedName>
    <definedName name="새안" localSheetId="8">{#N/A,#N/A,FALSE,"TABLE"}</definedName>
    <definedName name="새안" localSheetId="5">{#N/A,#N/A,FALSE,"TABLE"}</definedName>
    <definedName name="새안" localSheetId="4">{#N/A,#N/A,FALSE,"TABLE"}</definedName>
    <definedName name="새안" localSheetId="13">{#N/A,#N/A,FALSE,"TABLE"}</definedName>
    <definedName name="새안" localSheetId="17">{#N/A,#N/A,FALSE,"TABLE"}</definedName>
    <definedName name="새안" localSheetId="0">{#N/A,#N/A,FALSE,"TABLE"}</definedName>
    <definedName name="새안" localSheetId="19">{#N/A,#N/A,FALSE,"TABLE"}</definedName>
    <definedName name="새안" localSheetId="16">{#N/A,#N/A,FALSE,"TABLE"}</definedName>
    <definedName name="새안" localSheetId="18">{#N/A,#N/A,FALSE,"TABLE"}</definedName>
    <definedName name="새안" localSheetId="10">{#N/A,#N/A,FALSE,"TABLE"}</definedName>
    <definedName name="새안">{#N/A,#N/A,FALSE,"TABLE"}</definedName>
    <definedName name="석항" localSheetId="9">{#N/A,#N/A,FALSE,"명세표"}</definedName>
    <definedName name="석항" localSheetId="6">{#N/A,#N/A,FALSE,"명세표"}</definedName>
    <definedName name="석항" localSheetId="3">{#N/A,#N/A,FALSE,"명세표"}</definedName>
    <definedName name="석항" localSheetId="8">{#N/A,#N/A,FALSE,"명세표"}</definedName>
    <definedName name="석항" localSheetId="5">{#N/A,#N/A,FALSE,"명세표"}</definedName>
    <definedName name="석항" localSheetId="4">{#N/A,#N/A,FALSE,"명세표"}</definedName>
    <definedName name="석항" localSheetId="13">{#N/A,#N/A,FALSE,"명세표"}</definedName>
    <definedName name="석항" localSheetId="17">{#N/A,#N/A,FALSE,"명세표"}</definedName>
    <definedName name="석항" localSheetId="0">{#N/A,#N/A,FALSE,"명세표"}</definedName>
    <definedName name="석항" localSheetId="19">{#N/A,#N/A,FALSE,"명세표"}</definedName>
    <definedName name="석항" localSheetId="16">{#N/A,#N/A,FALSE,"명세표"}</definedName>
    <definedName name="석항" localSheetId="18">{#N/A,#N/A,FALSE,"명세표"}</definedName>
    <definedName name="석항" localSheetId="10">{#N/A,#N/A,FALSE,"명세표"}</definedName>
    <definedName name="석항">{#N/A,#N/A,FALSE,"명세표"}</definedName>
    <definedName name="설계현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3">#REF!</definedName>
    <definedName name="손익계산서" localSheetId="5">#REF!</definedName>
    <definedName name="손익계산서" localSheetId="13">#REF!</definedName>
    <definedName name="손익계산서" localSheetId="26">#REF!</definedName>
    <definedName name="손익계산서" localSheetId="0">#REF!</definedName>
    <definedName name="손익계산서">#REF!</definedName>
    <definedName name="쇼ㅗㅎ로" localSheetId="9">{"'장비'!$A$3:$M$12"}</definedName>
    <definedName name="쇼ㅗㅎ로" localSheetId="6">{"'장비'!$A$3:$M$12"}</definedName>
    <definedName name="쇼ㅗㅎ로" localSheetId="3">{"'장비'!$A$3:$M$12"}</definedName>
    <definedName name="쇼ㅗㅎ로" localSheetId="8">{"'장비'!$A$3:$M$12"}</definedName>
    <definedName name="쇼ㅗㅎ로" localSheetId="5">{"'장비'!$A$3:$M$12"}</definedName>
    <definedName name="쇼ㅗㅎ로" localSheetId="4">{"'장비'!$A$3:$M$12"}</definedName>
    <definedName name="쇼ㅗㅎ로" localSheetId="13">{"'장비'!$A$3:$M$12"}</definedName>
    <definedName name="쇼ㅗㅎ로" localSheetId="17">{"'장비'!$A$3:$M$12"}</definedName>
    <definedName name="쇼ㅗㅎ로" localSheetId="0">{"'장비'!$A$3:$M$12"}</definedName>
    <definedName name="쇼ㅗㅎ로" localSheetId="19">{"'장비'!$A$3:$M$12"}</definedName>
    <definedName name="쇼ㅗㅎ로" localSheetId="16">{"'장비'!$A$3:$M$12"}</definedName>
    <definedName name="쇼ㅗㅎ로" localSheetId="18">{"'장비'!$A$3:$M$12"}</definedName>
    <definedName name="쇼ㅗㅎ로" localSheetId="10">{"'장비'!$A$3:$M$12"}</definedName>
    <definedName name="쇼ㅗㅎ로">{"'장비'!$A$3:$M$12"}</definedName>
    <definedName name="수" localSheetId="13">#REF!</definedName>
    <definedName name="수">#REF!</definedName>
    <definedName name="수당">#REF!</definedName>
    <definedName name="신설" localSheetId="9">{#N/A,#N/A,FALSE,"명세표"}</definedName>
    <definedName name="신설" localSheetId="6">{#N/A,#N/A,FALSE,"명세표"}</definedName>
    <definedName name="신설" localSheetId="3">{#N/A,#N/A,FALSE,"명세표"}</definedName>
    <definedName name="신설" localSheetId="8">{#N/A,#N/A,FALSE,"명세표"}</definedName>
    <definedName name="신설" localSheetId="5">{#N/A,#N/A,FALSE,"명세표"}</definedName>
    <definedName name="신설" localSheetId="4">{#N/A,#N/A,FALSE,"명세표"}</definedName>
    <definedName name="신설" localSheetId="13">{#N/A,#N/A,FALSE,"명세표"}</definedName>
    <definedName name="신설" localSheetId="17">{#N/A,#N/A,FALSE,"명세표"}</definedName>
    <definedName name="신설" localSheetId="0">{#N/A,#N/A,FALSE,"명세표"}</definedName>
    <definedName name="신설" localSheetId="19">{#N/A,#N/A,FALSE,"명세표"}</definedName>
    <definedName name="신설" localSheetId="16">{#N/A,#N/A,FALSE,"명세표"}</definedName>
    <definedName name="신설" localSheetId="18">{#N/A,#N/A,FALSE,"명세표"}</definedName>
    <definedName name="신설" localSheetId="10">{#N/A,#N/A,FALSE,"명세표"}</definedName>
    <definedName name="신설">{#N/A,#N/A,FALSE,"명세표"}</definedName>
    <definedName name="실적총괄1" localSheetId="3">#REF!</definedName>
    <definedName name="실적총괄1" localSheetId="5">#REF!</definedName>
    <definedName name="실적총괄1" localSheetId="13">#REF!</definedName>
    <definedName name="실적총괄1" localSheetId="26">#REF!</definedName>
    <definedName name="실적총괄1" localSheetId="0">#REF!</definedName>
    <definedName name="실적총괄1">#REF!</definedName>
    <definedName name="실총" localSheetId="13">#REF!</definedName>
    <definedName name="실총" localSheetId="0">#REF!</definedName>
    <definedName name="실총">#REF!</definedName>
    <definedName name="ㅇㄹㄹ" localSheetId="13">#REF!</definedName>
    <definedName name="ㅇㄹㄹ" localSheetId="0">#REF!</definedName>
    <definedName name="ㅇㄹㄹ">#REF!</definedName>
    <definedName name="ㅇㅇ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3">#REF!</definedName>
    <definedName name="ㅇㅇㅇㅇ" localSheetId="13">#REF!</definedName>
    <definedName name="ㅇㅇㅇㅇ" localSheetId="26">#REF!</definedName>
    <definedName name="ㅇㅇㅇㅇ" localSheetId="0">#REF!</definedName>
    <definedName name="ㅇㅇㅇㅇ">#REF!</definedName>
    <definedName name="양식변경12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3">#REF!</definedName>
    <definedName name="이월" localSheetId="5">#REF!</definedName>
    <definedName name="이월" localSheetId="13">#REF!</definedName>
    <definedName name="이월" localSheetId="26">#REF!</definedName>
    <definedName name="이월" localSheetId="0">#REF!</definedName>
    <definedName name="이월">#REF!</definedName>
    <definedName name="이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9">{#N/A,#N/A,FALSE,"명세표"}</definedName>
    <definedName name="ㅈ" localSheetId="6">{#N/A,#N/A,FALSE,"명세표"}</definedName>
    <definedName name="ㅈ" localSheetId="3">{#N/A,#N/A,FALSE,"명세표"}</definedName>
    <definedName name="ㅈ" localSheetId="8">{#N/A,#N/A,FALSE,"명세표"}</definedName>
    <definedName name="ㅈ" localSheetId="5">{#N/A,#N/A,FALSE,"명세표"}</definedName>
    <definedName name="ㅈ" localSheetId="4">{#N/A,#N/A,FALSE,"명세표"}</definedName>
    <definedName name="ㅈ" localSheetId="13">{#N/A,#N/A,FALSE,"명세표"}</definedName>
    <definedName name="ㅈ" localSheetId="17">{#N/A,#N/A,FALSE,"명세표"}</definedName>
    <definedName name="ㅈ" localSheetId="0">{#N/A,#N/A,FALSE,"명세표"}</definedName>
    <definedName name="ㅈ" localSheetId="19">{#N/A,#N/A,FALSE,"명세표"}</definedName>
    <definedName name="ㅈ" localSheetId="16">{#N/A,#N/A,FALSE,"명세표"}</definedName>
    <definedName name="ㅈ" localSheetId="18">{#N/A,#N/A,FALSE,"명세표"}</definedName>
    <definedName name="ㅈ" localSheetId="10">{#N/A,#N/A,FALSE,"명세표"}</definedName>
    <definedName name="ㅈ">{#N/A,#N/A,FALSE,"명세표"}</definedName>
    <definedName name="ㅈㅈㅈㅈ" localSheetId="9">{#N/A,#N/A,FALSE,"명세표"}</definedName>
    <definedName name="ㅈㅈㅈㅈ" localSheetId="6">{#N/A,#N/A,FALSE,"명세표"}</definedName>
    <definedName name="ㅈㅈㅈㅈ" localSheetId="3">{#N/A,#N/A,FALSE,"명세표"}</definedName>
    <definedName name="ㅈㅈㅈㅈ" localSheetId="8">{#N/A,#N/A,FALSE,"명세표"}</definedName>
    <definedName name="ㅈㅈㅈㅈ" localSheetId="5">{#N/A,#N/A,FALSE,"명세표"}</definedName>
    <definedName name="ㅈㅈㅈㅈ" localSheetId="4">{#N/A,#N/A,FALSE,"명세표"}</definedName>
    <definedName name="ㅈㅈㅈㅈ" localSheetId="13">{#N/A,#N/A,FALSE,"명세표"}</definedName>
    <definedName name="ㅈㅈㅈㅈ" localSheetId="17">{#N/A,#N/A,FALSE,"명세표"}</definedName>
    <definedName name="ㅈㅈㅈㅈ" localSheetId="0">{#N/A,#N/A,FALSE,"명세표"}</definedName>
    <definedName name="ㅈㅈㅈㅈ" localSheetId="19">{#N/A,#N/A,FALSE,"명세표"}</definedName>
    <definedName name="ㅈㅈㅈㅈ" localSheetId="16">{#N/A,#N/A,FALSE,"명세표"}</definedName>
    <definedName name="ㅈㅈㅈㅈ" localSheetId="18">{#N/A,#N/A,FALSE,"명세표"}</definedName>
    <definedName name="ㅈㅈㅈㅈ" localSheetId="10">{#N/A,#N/A,FALSE,"명세표"}</definedName>
    <definedName name="ㅈㅈㅈㅈ">{#N/A,#N/A,FALSE,"명세표"}</definedName>
    <definedName name="자미" localSheetId="9">{#N/A,#N/A,FALSE,"명세표"}</definedName>
    <definedName name="자미" localSheetId="6">{#N/A,#N/A,FALSE,"명세표"}</definedName>
    <definedName name="자미" localSheetId="3">{#N/A,#N/A,FALSE,"명세표"}</definedName>
    <definedName name="자미" localSheetId="8">{#N/A,#N/A,FALSE,"명세표"}</definedName>
    <definedName name="자미" localSheetId="5">{#N/A,#N/A,FALSE,"명세표"}</definedName>
    <definedName name="자미" localSheetId="4">{#N/A,#N/A,FALSE,"명세표"}</definedName>
    <definedName name="자미" localSheetId="13">{#N/A,#N/A,FALSE,"명세표"}</definedName>
    <definedName name="자미" localSheetId="17">{#N/A,#N/A,FALSE,"명세표"}</definedName>
    <definedName name="자미" localSheetId="0">{#N/A,#N/A,FALSE,"명세표"}</definedName>
    <definedName name="자미" localSheetId="19">{#N/A,#N/A,FALSE,"명세표"}</definedName>
    <definedName name="자미" localSheetId="16">{#N/A,#N/A,FALSE,"명세표"}</definedName>
    <definedName name="자미" localSheetId="18">{#N/A,#N/A,FALSE,"명세표"}</definedName>
    <definedName name="자미" localSheetId="10">{#N/A,#N/A,FALSE,"명세표"}</definedName>
    <definedName name="자미">{#N/A,#N/A,FALSE,"명세표"}</definedName>
    <definedName name="자운" localSheetId="3">#REF!</definedName>
    <definedName name="자운" localSheetId="5">#REF!</definedName>
    <definedName name="자운" localSheetId="13">#REF!</definedName>
    <definedName name="자운" localSheetId="26">#REF!</definedName>
    <definedName name="자운" localSheetId="0">#REF!</definedName>
    <definedName name="자운">#REF!</definedName>
    <definedName name="자재3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3">#REF!</definedName>
    <definedName name="전계장금액" localSheetId="5">#REF!</definedName>
    <definedName name="전계장금액" localSheetId="13">#REF!</definedName>
    <definedName name="전계장금액" localSheetId="26">#REF!</definedName>
    <definedName name="전계장금액" localSheetId="0">#REF!</definedName>
    <definedName name="전계장금액">#REF!</definedName>
    <definedName name="전기사양_SAMPL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3">#REF!</definedName>
    <definedName name="전선조장" localSheetId="5">#REF!</definedName>
    <definedName name="전선조장" localSheetId="13">#REF!</definedName>
    <definedName name="전선조장" localSheetId="26">#REF!</definedName>
    <definedName name="전선조장" localSheetId="0">#REF!</definedName>
    <definedName name="전선조장">#REF!</definedName>
    <definedName name="조직표현장" localSheetId="3">#REF!</definedName>
    <definedName name="조직표현장" localSheetId="5">#REF!</definedName>
    <definedName name="조직표현장" localSheetId="13">#REF!</definedName>
    <definedName name="조직표현장" localSheetId="26">#REF!</definedName>
    <definedName name="조직표현장" localSheetId="0">#REF!</definedName>
    <definedName name="조직표현장">#REF!</definedName>
    <definedName name="종합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9">{#N/A,#N/A,FALSE,"ENG'G(보호계전기)"}</definedName>
    <definedName name="중량비교검토" localSheetId="6">{#N/A,#N/A,FALSE,"ENG'G(보호계전기)"}</definedName>
    <definedName name="중량비교검토" localSheetId="3">{#N/A,#N/A,FALSE,"ENG'G(보호계전기)"}</definedName>
    <definedName name="중량비교검토" localSheetId="8">{#N/A,#N/A,FALSE,"ENG'G(보호계전기)"}</definedName>
    <definedName name="중량비교검토" localSheetId="5">{#N/A,#N/A,FALSE,"ENG'G(보호계전기)"}</definedName>
    <definedName name="중량비교검토" localSheetId="4">{#N/A,#N/A,FALSE,"ENG'G(보호계전기)"}</definedName>
    <definedName name="중량비교검토" localSheetId="13">{#N/A,#N/A,FALSE,"ENG'G(보호계전기)"}</definedName>
    <definedName name="중량비교검토" localSheetId="17">{#N/A,#N/A,FALSE,"ENG'G(보호계전기)"}</definedName>
    <definedName name="중량비교검토" localSheetId="0">{#N/A,#N/A,FALSE,"ENG'G(보호계전기)"}</definedName>
    <definedName name="중량비교검토" localSheetId="19">{#N/A,#N/A,FALSE,"ENG'G(보호계전기)"}</definedName>
    <definedName name="중량비교검토" localSheetId="16">{#N/A,#N/A,FALSE,"ENG'G(보호계전기)"}</definedName>
    <definedName name="중량비교검토" localSheetId="18">{#N/A,#N/A,FALSE,"ENG'G(보호계전기)"}</definedName>
    <definedName name="중량비교검토" localSheetId="10">{#N/A,#N/A,FALSE,"ENG'G(보호계전기)"}</definedName>
    <definedName name="중량비교검토">{#N/A,#N/A,FALSE,"ENG'G(보호계전기)"}</definedName>
    <definedName name="집계" localSheetId="9">{#N/A,#N/A,FALSE,"명세표"}</definedName>
    <definedName name="집계" localSheetId="6">{#N/A,#N/A,FALSE,"명세표"}</definedName>
    <definedName name="집계" localSheetId="3">{#N/A,#N/A,FALSE,"명세표"}</definedName>
    <definedName name="집계" localSheetId="8">{#N/A,#N/A,FALSE,"명세표"}</definedName>
    <definedName name="집계" localSheetId="5">{#N/A,#N/A,FALSE,"명세표"}</definedName>
    <definedName name="집계" localSheetId="4">{#N/A,#N/A,FALSE,"명세표"}</definedName>
    <definedName name="집계" localSheetId="13">{#N/A,#N/A,FALSE,"명세표"}</definedName>
    <definedName name="집계" localSheetId="17">{#N/A,#N/A,FALSE,"명세표"}</definedName>
    <definedName name="집계" localSheetId="0">{#N/A,#N/A,FALSE,"명세표"}</definedName>
    <definedName name="집계" localSheetId="19">{#N/A,#N/A,FALSE,"명세표"}</definedName>
    <definedName name="집계" localSheetId="16">{#N/A,#N/A,FALSE,"명세표"}</definedName>
    <definedName name="집계" localSheetId="18">{#N/A,#N/A,FALSE,"명세표"}</definedName>
    <definedName name="집계" localSheetId="10">{#N/A,#N/A,FALSE,"명세표"}</definedName>
    <definedName name="집계">{#N/A,#N/A,FALSE,"명세표"}</definedName>
    <definedName name="철골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9">{#N/A,#N/A,FALSE,"명세표"}</definedName>
    <definedName name="ㅋㅁ" localSheetId="6">{#N/A,#N/A,FALSE,"명세표"}</definedName>
    <definedName name="ㅋㅁ" localSheetId="3">{#N/A,#N/A,FALSE,"명세표"}</definedName>
    <definedName name="ㅋㅁ" localSheetId="8">{#N/A,#N/A,FALSE,"명세표"}</definedName>
    <definedName name="ㅋㅁ" localSheetId="5">{#N/A,#N/A,FALSE,"명세표"}</definedName>
    <definedName name="ㅋㅁ" localSheetId="4">{#N/A,#N/A,FALSE,"명세표"}</definedName>
    <definedName name="ㅋㅁ" localSheetId="13">{#N/A,#N/A,FALSE,"명세표"}</definedName>
    <definedName name="ㅋㅁ" localSheetId="17">{#N/A,#N/A,FALSE,"명세표"}</definedName>
    <definedName name="ㅋㅁ" localSheetId="0">{#N/A,#N/A,FALSE,"명세표"}</definedName>
    <definedName name="ㅋㅁ" localSheetId="19">{#N/A,#N/A,FALSE,"명세표"}</definedName>
    <definedName name="ㅋㅁ" localSheetId="16">{#N/A,#N/A,FALSE,"명세표"}</definedName>
    <definedName name="ㅋㅁ" localSheetId="18">{#N/A,#N/A,FALSE,"명세표"}</definedName>
    <definedName name="ㅋㅁ" localSheetId="10">{#N/A,#N/A,FALSE,"명세표"}</definedName>
    <definedName name="ㅋㅁ">{#N/A,#N/A,FALSE,"명세표"}</definedName>
    <definedName name="ㅋㅋㅋ" localSheetId="9">{#N/A,#N/A,FALSE,"명세표"}</definedName>
    <definedName name="ㅋㅋㅋ" localSheetId="6">{#N/A,#N/A,FALSE,"명세표"}</definedName>
    <definedName name="ㅋㅋㅋ" localSheetId="3">{#N/A,#N/A,FALSE,"명세표"}</definedName>
    <definedName name="ㅋㅋㅋ" localSheetId="8">{#N/A,#N/A,FALSE,"명세표"}</definedName>
    <definedName name="ㅋㅋㅋ" localSheetId="5">{#N/A,#N/A,FALSE,"명세표"}</definedName>
    <definedName name="ㅋㅋㅋ" localSheetId="4">{#N/A,#N/A,FALSE,"명세표"}</definedName>
    <definedName name="ㅋㅋㅋ" localSheetId="13">{#N/A,#N/A,FALSE,"명세표"}</definedName>
    <definedName name="ㅋㅋㅋ" localSheetId="17">{#N/A,#N/A,FALSE,"명세표"}</definedName>
    <definedName name="ㅋㅋㅋ" localSheetId="0">{#N/A,#N/A,FALSE,"명세표"}</definedName>
    <definedName name="ㅋㅋㅋ" localSheetId="19">{#N/A,#N/A,FALSE,"명세표"}</definedName>
    <definedName name="ㅋㅋㅋ" localSheetId="16">{#N/A,#N/A,FALSE,"명세표"}</definedName>
    <definedName name="ㅋㅋㅋ" localSheetId="18">{#N/A,#N/A,FALSE,"명세표"}</definedName>
    <definedName name="ㅋㅋㅋ" localSheetId="10">{#N/A,#N/A,FALSE,"명세표"}</definedName>
    <definedName name="ㅋㅋㅋ">{#N/A,#N/A,FALSE,"명세표"}</definedName>
    <definedName name="ㅌㅌ" localSheetId="9">{#N/A,#N/A,FALSE,"명세표"}</definedName>
    <definedName name="ㅌㅌ" localSheetId="6">{#N/A,#N/A,FALSE,"명세표"}</definedName>
    <definedName name="ㅌㅌ" localSheetId="3">{#N/A,#N/A,FALSE,"명세표"}</definedName>
    <definedName name="ㅌㅌ" localSheetId="8">{#N/A,#N/A,FALSE,"명세표"}</definedName>
    <definedName name="ㅌㅌ" localSheetId="5">{#N/A,#N/A,FALSE,"명세표"}</definedName>
    <definedName name="ㅌㅌ" localSheetId="4">{#N/A,#N/A,FALSE,"명세표"}</definedName>
    <definedName name="ㅌㅌ" localSheetId="13">{#N/A,#N/A,FALSE,"명세표"}</definedName>
    <definedName name="ㅌㅌ" localSheetId="17">{#N/A,#N/A,FALSE,"명세표"}</definedName>
    <definedName name="ㅌㅌ" localSheetId="0">{#N/A,#N/A,FALSE,"명세표"}</definedName>
    <definedName name="ㅌㅌ" localSheetId="19">{#N/A,#N/A,FALSE,"명세표"}</definedName>
    <definedName name="ㅌㅌ" localSheetId="16">{#N/A,#N/A,FALSE,"명세표"}</definedName>
    <definedName name="ㅌㅌ" localSheetId="18">{#N/A,#N/A,FALSE,"명세표"}</definedName>
    <definedName name="ㅌㅌ" localSheetId="10">{#N/A,#N/A,FALSE,"명세표"}</definedName>
    <definedName name="ㅌㅌ">{#N/A,#N/A,FALSE,"명세표"}</definedName>
    <definedName name="토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9">{"'장비'!$A$3:$M$12"}</definedName>
    <definedName name="ㅎㅎㅎㅎ" localSheetId="6">{"'장비'!$A$3:$M$12"}</definedName>
    <definedName name="ㅎㅎㅎㅎ" localSheetId="3">{"'장비'!$A$3:$M$12"}</definedName>
    <definedName name="ㅎㅎㅎㅎ" localSheetId="8">{"'장비'!$A$3:$M$12"}</definedName>
    <definedName name="ㅎㅎㅎㅎ" localSheetId="5">{"'장비'!$A$3:$M$12"}</definedName>
    <definedName name="ㅎㅎㅎㅎ" localSheetId="4">{"'장비'!$A$3:$M$12"}</definedName>
    <definedName name="ㅎㅎㅎㅎ" localSheetId="13">{"'장비'!$A$3:$M$12"}</definedName>
    <definedName name="ㅎㅎㅎㅎ" localSheetId="17">{"'장비'!$A$3:$M$12"}</definedName>
    <definedName name="ㅎㅎㅎㅎ" localSheetId="0">{"'장비'!$A$3:$M$12"}</definedName>
    <definedName name="ㅎㅎㅎㅎ" localSheetId="19">{"'장비'!$A$3:$M$12"}</definedName>
    <definedName name="ㅎㅎㅎㅎ" localSheetId="16">{"'장비'!$A$3:$M$12"}</definedName>
    <definedName name="ㅎㅎㅎㅎ" localSheetId="18">{"'장비'!$A$3:$M$12"}</definedName>
    <definedName name="ㅎㅎㅎㅎ" localSheetId="10">{"'장비'!$A$3:$M$12"}</definedName>
    <definedName name="ㅎㅎㅎㅎ">{"'장비'!$A$3:$M$12"}</definedName>
    <definedName name="하하하" localSheetId="9">{#N/A,#N/A,FALSE,"명세표"}</definedName>
    <definedName name="하하하" localSheetId="6">{#N/A,#N/A,FALSE,"명세표"}</definedName>
    <definedName name="하하하" localSheetId="3">{#N/A,#N/A,FALSE,"명세표"}</definedName>
    <definedName name="하하하" localSheetId="8">{#N/A,#N/A,FALSE,"명세표"}</definedName>
    <definedName name="하하하" localSheetId="5">{#N/A,#N/A,FALSE,"명세표"}</definedName>
    <definedName name="하하하" localSheetId="4">{#N/A,#N/A,FALSE,"명세표"}</definedName>
    <definedName name="하하하" localSheetId="13">{#N/A,#N/A,FALSE,"명세표"}</definedName>
    <definedName name="하하하" localSheetId="17">{#N/A,#N/A,FALSE,"명세표"}</definedName>
    <definedName name="하하하" localSheetId="0">{#N/A,#N/A,FALSE,"명세표"}</definedName>
    <definedName name="하하하" localSheetId="19">{#N/A,#N/A,FALSE,"명세표"}</definedName>
    <definedName name="하하하" localSheetId="16">{#N/A,#N/A,FALSE,"명세표"}</definedName>
    <definedName name="하하하" localSheetId="18">{#N/A,#N/A,FALSE,"명세표"}</definedName>
    <definedName name="하하하" localSheetId="10">{#N/A,#N/A,FALSE,"명세표"}</definedName>
    <definedName name="하하하">{#N/A,#N/A,FALSE,"명세표"}</definedName>
    <definedName name="한국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9">{#N/A,#N/A,FALSE,"명세표"}</definedName>
    <definedName name="호호호" localSheetId="6">{#N/A,#N/A,FALSE,"명세표"}</definedName>
    <definedName name="호호호" localSheetId="3">{#N/A,#N/A,FALSE,"명세표"}</definedName>
    <definedName name="호호호" localSheetId="8">{#N/A,#N/A,FALSE,"명세표"}</definedName>
    <definedName name="호호호" localSheetId="5">{#N/A,#N/A,FALSE,"명세표"}</definedName>
    <definedName name="호호호" localSheetId="4">{#N/A,#N/A,FALSE,"명세표"}</definedName>
    <definedName name="호호호" localSheetId="13">{#N/A,#N/A,FALSE,"명세표"}</definedName>
    <definedName name="호호호" localSheetId="17">{#N/A,#N/A,FALSE,"명세표"}</definedName>
    <definedName name="호호호" localSheetId="0">{#N/A,#N/A,FALSE,"명세표"}</definedName>
    <definedName name="호호호" localSheetId="19">{#N/A,#N/A,FALSE,"명세표"}</definedName>
    <definedName name="호호호" localSheetId="16">{#N/A,#N/A,FALSE,"명세표"}</definedName>
    <definedName name="호호호" localSheetId="18">{#N/A,#N/A,FALSE,"명세표"}</definedName>
    <definedName name="호호호" localSheetId="10">{#N/A,#N/A,FALSE,"명세표"}</definedName>
    <definedName name="호호호">{#N/A,#N/A,FALSE,"명세표"}</definedName>
    <definedName name="ㅏㅏㅏ" localSheetId="9">{#N/A,#N/A,FALSE,"명세표"}</definedName>
    <definedName name="ㅏㅏㅏ" localSheetId="6">{#N/A,#N/A,FALSE,"명세표"}</definedName>
    <definedName name="ㅏㅏㅏ" localSheetId="3">{#N/A,#N/A,FALSE,"명세표"}</definedName>
    <definedName name="ㅏㅏㅏ" localSheetId="8">{#N/A,#N/A,FALSE,"명세표"}</definedName>
    <definedName name="ㅏㅏㅏ" localSheetId="5">{#N/A,#N/A,FALSE,"명세표"}</definedName>
    <definedName name="ㅏㅏㅏ" localSheetId="4">{#N/A,#N/A,FALSE,"명세표"}</definedName>
    <definedName name="ㅏㅏㅏ" localSheetId="13">{#N/A,#N/A,FALSE,"명세표"}</definedName>
    <definedName name="ㅏㅏㅏ" localSheetId="17">{#N/A,#N/A,FALSE,"명세표"}</definedName>
    <definedName name="ㅏㅏㅏ" localSheetId="0">{#N/A,#N/A,FALSE,"명세표"}</definedName>
    <definedName name="ㅏㅏㅏ" localSheetId="19">{#N/A,#N/A,FALSE,"명세표"}</definedName>
    <definedName name="ㅏㅏㅏ" localSheetId="16">{#N/A,#N/A,FALSE,"명세표"}</definedName>
    <definedName name="ㅏㅏㅏ" localSheetId="18">{#N/A,#N/A,FALSE,"명세표"}</definedName>
    <definedName name="ㅏㅏㅏ" localSheetId="10">{#N/A,#N/A,FALSE,"명세표"}</definedName>
    <definedName name="ㅏㅏㅏ">{#N/A,#N/A,FALSE,"명세표"}</definedName>
    <definedName name="ㅔㅔ" localSheetId="9">{#N/A,#N/A,FALSE,"명세표"}</definedName>
    <definedName name="ㅔㅔ" localSheetId="6">{#N/A,#N/A,FALSE,"명세표"}</definedName>
    <definedName name="ㅔㅔ" localSheetId="3">{#N/A,#N/A,FALSE,"명세표"}</definedName>
    <definedName name="ㅔㅔ" localSheetId="8">{#N/A,#N/A,FALSE,"명세표"}</definedName>
    <definedName name="ㅔㅔ" localSheetId="5">{#N/A,#N/A,FALSE,"명세표"}</definedName>
    <definedName name="ㅔㅔ" localSheetId="4">{#N/A,#N/A,FALSE,"명세표"}</definedName>
    <definedName name="ㅔㅔ" localSheetId="13">{#N/A,#N/A,FALSE,"명세표"}</definedName>
    <definedName name="ㅔㅔ" localSheetId="17">{#N/A,#N/A,FALSE,"명세표"}</definedName>
    <definedName name="ㅔㅔ" localSheetId="0">{#N/A,#N/A,FALSE,"명세표"}</definedName>
    <definedName name="ㅔㅔ" localSheetId="19">{#N/A,#N/A,FALSE,"명세표"}</definedName>
    <definedName name="ㅔㅔ" localSheetId="16">{#N/A,#N/A,FALSE,"명세표"}</definedName>
    <definedName name="ㅔㅔ" localSheetId="18">{#N/A,#N/A,FALSE,"명세표"}</definedName>
    <definedName name="ㅔㅔ" localSheetId="10">{#N/A,#N/A,FALSE,"명세표"}</definedName>
    <definedName name="ㅔㅔ">{#N/A,#N/A,FALSE,"명세표"}</definedName>
    <definedName name="ㅔㅔㅔㅔㅔ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9">{"'장비'!$A$3:$M$12"}</definedName>
    <definedName name="ㅗ홓ㅎ로" localSheetId="6">{"'장비'!$A$3:$M$12"}</definedName>
    <definedName name="ㅗ홓ㅎ로" localSheetId="3">{"'장비'!$A$3:$M$12"}</definedName>
    <definedName name="ㅗ홓ㅎ로" localSheetId="8">{"'장비'!$A$3:$M$12"}</definedName>
    <definedName name="ㅗ홓ㅎ로" localSheetId="5">{"'장비'!$A$3:$M$12"}</definedName>
    <definedName name="ㅗ홓ㅎ로" localSheetId="4">{"'장비'!$A$3:$M$12"}</definedName>
    <definedName name="ㅗ홓ㅎ로" localSheetId="13">{"'장비'!$A$3:$M$12"}</definedName>
    <definedName name="ㅗ홓ㅎ로" localSheetId="17">{"'장비'!$A$3:$M$12"}</definedName>
    <definedName name="ㅗ홓ㅎ로" localSheetId="0">{"'장비'!$A$3:$M$12"}</definedName>
    <definedName name="ㅗ홓ㅎ로" localSheetId="19">{"'장비'!$A$3:$M$12"}</definedName>
    <definedName name="ㅗ홓ㅎ로" localSheetId="16">{"'장비'!$A$3:$M$12"}</definedName>
    <definedName name="ㅗ홓ㅎ로" localSheetId="18">{"'장비'!$A$3:$M$12"}</definedName>
    <definedName name="ㅗ홓ㅎ로" localSheetId="10">{"'장비'!$A$3:$M$12"}</definedName>
    <definedName name="ㅗ홓ㅎ로">{"'장비'!$A$3:$M$12"}</definedName>
    <definedName name="ㅗㅗ" localSheetId="9">{#N/A,#N/A,FALSE,"명세표"}</definedName>
    <definedName name="ㅗㅗ" localSheetId="6">{#N/A,#N/A,FALSE,"명세표"}</definedName>
    <definedName name="ㅗㅗ" localSheetId="3">{#N/A,#N/A,FALSE,"명세표"}</definedName>
    <definedName name="ㅗㅗ" localSheetId="8">{#N/A,#N/A,FALSE,"명세표"}</definedName>
    <definedName name="ㅗㅗ" localSheetId="5">{#N/A,#N/A,FALSE,"명세표"}</definedName>
    <definedName name="ㅗㅗ" localSheetId="4">{#N/A,#N/A,FALSE,"명세표"}</definedName>
    <definedName name="ㅗㅗ" localSheetId="13">{#N/A,#N/A,FALSE,"명세표"}</definedName>
    <definedName name="ㅗㅗ" localSheetId="17">{#N/A,#N/A,FALSE,"명세표"}</definedName>
    <definedName name="ㅗㅗ" localSheetId="0">{#N/A,#N/A,FALSE,"명세표"}</definedName>
    <definedName name="ㅗㅗ" localSheetId="19">{#N/A,#N/A,FALSE,"명세표"}</definedName>
    <definedName name="ㅗㅗ" localSheetId="16">{#N/A,#N/A,FALSE,"명세표"}</definedName>
    <definedName name="ㅗㅗ" localSheetId="18">{#N/A,#N/A,FALSE,"명세표"}</definedName>
    <definedName name="ㅗㅗ" localSheetId="10">{#N/A,#N/A,FALSE,"명세표"}</definedName>
    <definedName name="ㅗㅗ">{#N/A,#N/A,FALSE,"명세표"}</definedName>
    <definedName name="ㅗㅗㅗㅗㅗ" localSheetId="9">{"'장비'!$A$3:$M$12"}</definedName>
    <definedName name="ㅗㅗㅗㅗㅗ" localSheetId="6">{"'장비'!$A$3:$M$12"}</definedName>
    <definedName name="ㅗㅗㅗㅗㅗ" localSheetId="3">{"'장비'!$A$3:$M$12"}</definedName>
    <definedName name="ㅗㅗㅗㅗㅗ" localSheetId="8">{"'장비'!$A$3:$M$12"}</definedName>
    <definedName name="ㅗㅗㅗㅗㅗ" localSheetId="5">{"'장비'!$A$3:$M$12"}</definedName>
    <definedName name="ㅗㅗㅗㅗㅗ" localSheetId="4">{"'장비'!$A$3:$M$12"}</definedName>
    <definedName name="ㅗㅗㅗㅗㅗ" localSheetId="13">{"'장비'!$A$3:$M$12"}</definedName>
    <definedName name="ㅗㅗㅗㅗㅗ" localSheetId="17">{"'장비'!$A$3:$M$12"}</definedName>
    <definedName name="ㅗㅗㅗㅗㅗ" localSheetId="0">{"'장비'!$A$3:$M$12"}</definedName>
    <definedName name="ㅗㅗㅗㅗㅗ" localSheetId="19">{"'장비'!$A$3:$M$12"}</definedName>
    <definedName name="ㅗㅗㅗㅗㅗ" localSheetId="16">{"'장비'!$A$3:$M$12"}</definedName>
    <definedName name="ㅗㅗㅗㅗㅗ" localSheetId="18">{"'장비'!$A$3:$M$12"}</definedName>
    <definedName name="ㅗㅗㅗㅗㅗ" localSheetId="10">{"'장비'!$A$3:$M$12"}</definedName>
    <definedName name="ㅗㅗㅗㅗㅗ">{"'장비'!$A$3:$M$12"}</definedName>
    <definedName name="ㅛ" localSheetId="9">{"'장비'!$A$3:$M$12"}</definedName>
    <definedName name="ㅛ" localSheetId="6">{"'장비'!$A$3:$M$12"}</definedName>
    <definedName name="ㅛ" localSheetId="3">{"'장비'!$A$3:$M$12"}</definedName>
    <definedName name="ㅛ" localSheetId="8">{"'장비'!$A$3:$M$12"}</definedName>
    <definedName name="ㅛ" localSheetId="5">{"'장비'!$A$3:$M$12"}</definedName>
    <definedName name="ㅛ" localSheetId="4">{"'장비'!$A$3:$M$12"}</definedName>
    <definedName name="ㅛ" localSheetId="13">{"'장비'!$A$3:$M$12"}</definedName>
    <definedName name="ㅛ" localSheetId="17">{"'장비'!$A$3:$M$12"}</definedName>
    <definedName name="ㅛ" localSheetId="0">{"'장비'!$A$3:$M$12"}</definedName>
    <definedName name="ㅛ" localSheetId="19">{"'장비'!$A$3:$M$12"}</definedName>
    <definedName name="ㅛ" localSheetId="16">{"'장비'!$A$3:$M$12"}</definedName>
    <definedName name="ㅛ" localSheetId="18">{"'장비'!$A$3:$M$12"}</definedName>
    <definedName name="ㅛ" localSheetId="10">{"'장비'!$A$3:$M$12"}</definedName>
    <definedName name="ㅛ">{"'장비'!$A$3:$M$12"}</definedName>
    <definedName name="ㅛㅕㅛㅕㅛ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9">{"'장비'!$A$3:$M$12"}</definedName>
    <definedName name="ㅛㅛㅛ" localSheetId="6">{"'장비'!$A$3:$M$12"}</definedName>
    <definedName name="ㅛㅛㅛ" localSheetId="3">{"'장비'!$A$3:$M$12"}</definedName>
    <definedName name="ㅛㅛㅛ" localSheetId="8">{"'장비'!$A$3:$M$12"}</definedName>
    <definedName name="ㅛㅛㅛ" localSheetId="5">{"'장비'!$A$3:$M$12"}</definedName>
    <definedName name="ㅛㅛㅛ" localSheetId="4">{"'장비'!$A$3:$M$12"}</definedName>
    <definedName name="ㅛㅛㅛ" localSheetId="13">{"'장비'!$A$3:$M$12"}</definedName>
    <definedName name="ㅛㅛㅛ" localSheetId="17">{"'장비'!$A$3:$M$12"}</definedName>
    <definedName name="ㅛㅛㅛ" localSheetId="0">{"'장비'!$A$3:$M$12"}</definedName>
    <definedName name="ㅛㅛㅛ" localSheetId="19">{"'장비'!$A$3:$M$12"}</definedName>
    <definedName name="ㅛㅛㅛ" localSheetId="16">{"'장비'!$A$3:$M$12"}</definedName>
    <definedName name="ㅛㅛㅛ" localSheetId="18">{"'장비'!$A$3:$M$12"}</definedName>
    <definedName name="ㅛㅛㅛ" localSheetId="10">{"'장비'!$A$3:$M$12"}</definedName>
    <definedName name="ㅛㅛㅛ">{"'장비'!$A$3:$M$12"}</definedName>
    <definedName name="ㅜ" localSheetId="9">{#N/A,#N/A,FALSE,"명세표"}</definedName>
    <definedName name="ㅜ" localSheetId="6">{#N/A,#N/A,FALSE,"명세표"}</definedName>
    <definedName name="ㅜ" localSheetId="3">{#N/A,#N/A,FALSE,"명세표"}</definedName>
    <definedName name="ㅜ" localSheetId="8">{#N/A,#N/A,FALSE,"명세표"}</definedName>
    <definedName name="ㅜ" localSheetId="5">{#N/A,#N/A,FALSE,"명세표"}</definedName>
    <definedName name="ㅜ" localSheetId="4">{#N/A,#N/A,FALSE,"명세표"}</definedName>
    <definedName name="ㅜ" localSheetId="13">{#N/A,#N/A,FALSE,"명세표"}</definedName>
    <definedName name="ㅜ" localSheetId="17">{#N/A,#N/A,FALSE,"명세표"}</definedName>
    <definedName name="ㅜ" localSheetId="0">{#N/A,#N/A,FALSE,"명세표"}</definedName>
    <definedName name="ㅜ" localSheetId="19">{#N/A,#N/A,FALSE,"명세표"}</definedName>
    <definedName name="ㅜ" localSheetId="16">{#N/A,#N/A,FALSE,"명세표"}</definedName>
    <definedName name="ㅜ" localSheetId="18">{#N/A,#N/A,FALSE,"명세표"}</definedName>
    <definedName name="ㅜ" localSheetId="10">{#N/A,#N/A,FALSE,"명세표"}</definedName>
    <definedName name="ㅜ">{#N/A,#N/A,FALSE,"명세표"}</definedName>
    <definedName name="ㅠㅠ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5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4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3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7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6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9">{#N/A,#N/A,FALSE,"명세표"}</definedName>
    <definedName name="ㅡㅡ" localSheetId="6">{#N/A,#N/A,FALSE,"명세표"}</definedName>
    <definedName name="ㅡㅡ" localSheetId="3">{#N/A,#N/A,FALSE,"명세표"}</definedName>
    <definedName name="ㅡㅡ" localSheetId="8">{#N/A,#N/A,FALSE,"명세표"}</definedName>
    <definedName name="ㅡㅡ" localSheetId="5">{#N/A,#N/A,FALSE,"명세표"}</definedName>
    <definedName name="ㅡㅡ" localSheetId="4">{#N/A,#N/A,FALSE,"명세표"}</definedName>
    <definedName name="ㅡㅡ" localSheetId="13">{#N/A,#N/A,FALSE,"명세표"}</definedName>
    <definedName name="ㅡㅡ" localSheetId="17">{#N/A,#N/A,FALSE,"명세표"}</definedName>
    <definedName name="ㅡㅡ" localSheetId="0">{#N/A,#N/A,FALSE,"명세표"}</definedName>
    <definedName name="ㅡㅡ" localSheetId="19">{#N/A,#N/A,FALSE,"명세표"}</definedName>
    <definedName name="ㅡㅡ" localSheetId="16">{#N/A,#N/A,FALSE,"명세표"}</definedName>
    <definedName name="ㅡㅡ" localSheetId="18">{#N/A,#N/A,FALSE,"명세표"}</definedName>
    <definedName name="ㅡㅡ" localSheetId="10">{#N/A,#N/A,FALSE,"명세표"}</definedName>
    <definedName name="ㅡㅡ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4" roundtripDataChecksum="moQnxzLlEvSGsuHpbebw/dpfMOimbWCa3B9Ti0KY5Mw="/>
    </ext>
  </extLst>
</workbook>
</file>

<file path=xl/calcChain.xml><?xml version="1.0" encoding="utf-8"?>
<calcChain xmlns="http://schemas.openxmlformats.org/spreadsheetml/2006/main">
  <c r="M321" i="6" l="1"/>
  <c r="M268" i="6" l="1"/>
  <c r="F218" i="7"/>
  <c r="H218" i="7" s="1"/>
  <c r="F213" i="7"/>
  <c r="H213" i="7" s="1"/>
  <c r="F208" i="7"/>
  <c r="H208" i="7" s="1"/>
  <c r="F203" i="7"/>
  <c r="H203" i="7" s="1"/>
  <c r="F198" i="7"/>
  <c r="H198" i="7" s="1"/>
  <c r="F193" i="7"/>
  <c r="F188" i="7"/>
  <c r="H188" i="7"/>
  <c r="H193" i="7"/>
  <c r="A218" i="7"/>
  <c r="A213" i="7"/>
  <c r="A208" i="7"/>
  <c r="A203" i="7"/>
  <c r="A198" i="7"/>
  <c r="A193" i="7"/>
  <c r="A188" i="7"/>
  <c r="M175" i="6"/>
  <c r="Q172" i="6"/>
  <c r="Q173" i="6"/>
  <c r="M172" i="6" s="1"/>
  <c r="L108" i="6" l="1"/>
  <c r="L115" i="6" s="1"/>
  <c r="L107" i="6"/>
  <c r="L112" i="6" s="1"/>
  <c r="L104" i="6"/>
  <c r="L114" i="6" s="1"/>
  <c r="L105" i="6"/>
  <c r="L102" i="6"/>
  <c r="L100" i="6"/>
  <c r="L98" i="6"/>
  <c r="L96" i="6" s="1"/>
  <c r="L95" i="6"/>
  <c r="I571" i="14"/>
  <c r="I570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J103" i="22"/>
  <c r="C1" i="12"/>
  <c r="L113" i="6" l="1"/>
  <c r="H381" i="7"/>
  <c r="A381" i="7"/>
  <c r="H380" i="7"/>
  <c r="A380" i="7"/>
  <c r="H379" i="7"/>
  <c r="A379" i="7"/>
  <c r="H378" i="7"/>
  <c r="A378" i="7"/>
  <c r="C377" i="7"/>
  <c r="A377" i="7"/>
  <c r="C378" i="7" l="1"/>
  <c r="C379" i="7" l="1"/>
  <c r="C380" i="7" s="1"/>
  <c r="C381" i="7" l="1"/>
  <c r="C51" i="6" l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/>
  <c r="C145" i="6" s="1"/>
  <c r="C146" i="6" s="1"/>
  <c r="C147" i="6" s="1"/>
  <c r="C148" i="6" s="1"/>
  <c r="C149" i="6" s="1"/>
  <c r="C150" i="6" s="1"/>
  <c r="C151" i="6" s="1"/>
  <c r="C152" i="6" s="1"/>
  <c r="C153" i="6" s="1"/>
  <c r="C154" i="6" s="1"/>
  <c r="C155" i="6" s="1"/>
  <c r="C156" i="6"/>
  <c r="C157" i="6" s="1"/>
  <c r="C158" i="6" s="1"/>
  <c r="C159" i="6" s="1"/>
  <c r="C160" i="6" s="1"/>
  <c r="C161" i="6" s="1"/>
  <c r="C162" i="6"/>
  <c r="C163" i="6" s="1"/>
  <c r="C164" i="6" s="1"/>
  <c r="C165" i="6" s="1"/>
  <c r="C166" i="6" s="1"/>
  <c r="C167" i="6" s="1"/>
  <c r="C168" i="6" s="1"/>
  <c r="C169" i="6"/>
  <c r="C170" i="6" s="1"/>
  <c r="C171" i="6" s="1"/>
  <c r="C172" i="6" s="1"/>
  <c r="C176" i="6"/>
  <c r="C177" i="6" s="1"/>
  <c r="C178" i="6" s="1"/>
  <c r="C179" i="6" s="1"/>
  <c r="C180" i="6" s="1"/>
  <c r="C181" i="6" s="1"/>
  <c r="C182" i="6" s="1"/>
  <c r="C183" i="6" s="1"/>
  <c r="C184" i="6"/>
  <c r="C185" i="6" s="1"/>
  <c r="C186" i="6" s="1"/>
  <c r="C187" i="6" s="1"/>
  <c r="C188" i="6" s="1"/>
  <c r="C189" i="6" s="1"/>
  <c r="C190" i="6" s="1"/>
  <c r="C191" i="6" s="1"/>
  <c r="C192" i="6" s="1"/>
  <c r="C193" i="6" s="1"/>
  <c r="C194" i="6" s="1"/>
  <c r="C195" i="6" s="1"/>
  <c r="C196" i="6" s="1"/>
  <c r="C197" i="6" s="1"/>
  <c r="C198" i="6" s="1"/>
  <c r="C199" i="6" s="1"/>
  <c r="C200" i="6" s="1"/>
  <c r="C201" i="6" s="1"/>
  <c r="C202" i="6" s="1"/>
  <c r="C203" i="6" s="1"/>
  <c r="C204" i="6"/>
  <c r="C205" i="6" s="1"/>
  <c r="C206" i="6" s="1"/>
  <c r="C207" i="6" s="1"/>
  <c r="C208" i="6" s="1"/>
  <c r="C209" i="6" s="1"/>
  <c r="C210" i="6" s="1"/>
  <c r="C211" i="6" s="1"/>
  <c r="C212" i="6"/>
  <c r="C213" i="6" s="1"/>
  <c r="C214" i="6" s="1"/>
  <c r="C215" i="6" s="1"/>
  <c r="C216" i="6" s="1"/>
  <c r="C217" i="6" s="1"/>
  <c r="C218" i="6" s="1"/>
  <c r="C219" i="6" s="1"/>
  <c r="C220" i="6" s="1"/>
  <c r="C221" i="6" s="1"/>
  <c r="C222" i="6" s="1"/>
  <c r="C223" i="6" s="1"/>
  <c r="C224" i="6" s="1"/>
  <c r="C225" i="6" s="1"/>
  <c r="C226" i="6" s="1"/>
  <c r="C227" i="6" s="1"/>
  <c r="C228" i="6" s="1"/>
  <c r="C229" i="6" s="1"/>
  <c r="C230" i="6" s="1"/>
  <c r="C231" i="6" s="1"/>
  <c r="C232" i="6" s="1"/>
  <c r="C233" i="6" s="1"/>
  <c r="C234" i="6" s="1"/>
  <c r="C235" i="6" s="1"/>
  <c r="C236" i="6" s="1"/>
  <c r="C237" i="6"/>
  <c r="C238" i="6" s="1"/>
  <c r="C239" i="6" s="1"/>
  <c r="C240" i="6" s="1"/>
  <c r="C241" i="6" s="1"/>
  <c r="C242" i="6" s="1"/>
  <c r="C243" i="6" s="1"/>
  <c r="C244" i="6" s="1"/>
  <c r="C245" i="6" s="1"/>
  <c r="C246" i="6" s="1"/>
  <c r="C247" i="6" s="1"/>
  <c r="C248" i="6" s="1"/>
  <c r="C249" i="6" s="1"/>
  <c r="C250" i="6" s="1"/>
  <c r="C251" i="6" s="1"/>
  <c r="C252" i="6" s="1"/>
  <c r="C253" i="6" s="1"/>
  <c r="C254" i="6" s="1"/>
  <c r="C255" i="6" s="1"/>
  <c r="C256" i="6" s="1"/>
  <c r="C257" i="6" s="1"/>
  <c r="C258" i="6" s="1"/>
  <c r="C259" i="6"/>
  <c r="C260" i="6" s="1"/>
  <c r="C261" i="6" s="1"/>
  <c r="C262" i="6" s="1"/>
  <c r="C263" i="6" s="1"/>
  <c r="C264" i="6" s="1"/>
  <c r="C265" i="6" s="1"/>
  <c r="C266" i="6" s="1"/>
  <c r="C267" i="6" s="1"/>
  <c r="C268" i="6" s="1"/>
  <c r="C269" i="6" s="1"/>
  <c r="C270" i="6" s="1"/>
  <c r="C271" i="6" s="1"/>
  <c r="C272" i="6" s="1"/>
  <c r="C273" i="6" s="1"/>
  <c r="C274" i="6" s="1"/>
  <c r="C275" i="6" s="1"/>
  <c r="C276" i="6" s="1"/>
  <c r="C277" i="6" s="1"/>
  <c r="C278" i="6" s="1"/>
  <c r="C279" i="6" s="1"/>
  <c r="C280" i="6" s="1"/>
  <c r="C281" i="6" s="1"/>
  <c r="C282" i="6" s="1"/>
  <c r="C283" i="6" s="1"/>
  <c r="C284" i="6" s="1"/>
  <c r="C285" i="6" s="1"/>
  <c r="C286" i="6" s="1"/>
  <c r="C287" i="6" s="1"/>
  <c r="C288" i="6" s="1"/>
  <c r="C289" i="6" s="1"/>
  <c r="C290" i="6" s="1"/>
  <c r="C291" i="6" s="1"/>
  <c r="C292" i="6" s="1"/>
  <c r="C293" i="6" s="1"/>
  <c r="C294" i="6" s="1"/>
  <c r="C295" i="6" s="1"/>
  <c r="C296" i="6"/>
  <c r="C297" i="6" s="1"/>
  <c r="C298" i="6" s="1"/>
  <c r="C299" i="6" s="1"/>
  <c r="C300" i="6" s="1"/>
  <c r="C301" i="6" s="1"/>
  <c r="C302" i="6" s="1"/>
  <c r="C303" i="6" s="1"/>
  <c r="C304" i="6" s="1"/>
  <c r="C305" i="6" s="1"/>
  <c r="C306" i="6"/>
  <c r="C307" i="6" s="1"/>
  <c r="C308" i="6" s="1"/>
  <c r="C309" i="6" s="1"/>
  <c r="C310" i="6" s="1"/>
  <c r="C311" i="6" s="1"/>
  <c r="C312" i="6" s="1"/>
  <c r="C313" i="6" s="1"/>
  <c r="C314" i="6" s="1"/>
  <c r="C315" i="6" s="1"/>
  <c r="C316" i="6" s="1"/>
  <c r="C317" i="6" s="1"/>
  <c r="C326" i="6"/>
  <c r="C327" i="6" s="1"/>
  <c r="C328" i="6" s="1"/>
  <c r="C329" i="6" s="1"/>
  <c r="C330" i="6" s="1"/>
  <c r="C331" i="6" s="1"/>
  <c r="C332" i="6" s="1"/>
  <c r="C333" i="6" s="1"/>
  <c r="C334" i="6" s="1"/>
  <c r="C335" i="6" s="1"/>
  <c r="C336" i="6" s="1"/>
  <c r="C337" i="6" s="1"/>
  <c r="C338" i="6" s="1"/>
  <c r="C339" i="6" s="1"/>
  <c r="C340" i="6" s="1"/>
  <c r="C341" i="6" s="1"/>
  <c r="C342" i="6" s="1"/>
  <c r="C343" i="6" s="1"/>
  <c r="C344" i="6"/>
  <c r="C345" i="6" s="1"/>
  <c r="C346" i="6" s="1"/>
  <c r="C347" i="6" s="1"/>
  <c r="C348" i="6" s="1"/>
  <c r="C349" i="6" s="1"/>
  <c r="C350" i="6" s="1"/>
  <c r="C351" i="6" s="1"/>
  <c r="C352" i="6" s="1"/>
  <c r="C353" i="6" s="1"/>
  <c r="C354" i="6" s="1"/>
  <c r="C355" i="6" s="1"/>
  <c r="C356" i="6" s="1"/>
  <c r="C357" i="6" s="1"/>
  <c r="C358" i="6" s="1"/>
  <c r="C359" i="6" s="1"/>
  <c r="C360" i="6" s="1"/>
  <c r="C361" i="6" s="1"/>
  <c r="C362" i="6" s="1"/>
  <c r="C363" i="6" s="1"/>
  <c r="C364" i="6" s="1"/>
  <c r="C365" i="6" s="1"/>
  <c r="C366" i="6" s="1"/>
  <c r="C367" i="6" s="1"/>
  <c r="C368" i="6" s="1"/>
  <c r="C369" i="6" s="1"/>
  <c r="C370" i="6" s="1"/>
  <c r="C371" i="6" s="1"/>
  <c r="C372" i="6" s="1"/>
  <c r="C373" i="6" s="1"/>
  <c r="C374" i="6" s="1"/>
  <c r="C375" i="6" s="1"/>
  <c r="C376" i="6" s="1"/>
  <c r="C377" i="6" s="1"/>
  <c r="C378" i="6" s="1"/>
  <c r="C379" i="6" s="1"/>
  <c r="C380" i="6" s="1"/>
  <c r="C381" i="6" s="1"/>
  <c r="C382" i="6" s="1"/>
  <c r="C383" i="6" s="1"/>
  <c r="C384" i="6" s="1"/>
  <c r="C385" i="6" s="1"/>
  <c r="C386" i="6" s="1"/>
  <c r="C387" i="6" s="1"/>
  <c r="C388" i="6" s="1"/>
  <c r="C389" i="6" s="1"/>
  <c r="C390" i="6" s="1"/>
  <c r="C391" i="6" s="1"/>
  <c r="C392" i="6" s="1"/>
  <c r="C393" i="6" s="1"/>
  <c r="C394" i="6" s="1"/>
  <c r="C395" i="6" s="1"/>
  <c r="C396" i="6" s="1"/>
  <c r="C397" i="6" s="1"/>
  <c r="C398" i="6" s="1"/>
  <c r="C399" i="6" s="1"/>
  <c r="C400" i="6" s="1"/>
  <c r="C401" i="6" s="1"/>
  <c r="C402" i="6" s="1"/>
  <c r="C403" i="6" s="1"/>
  <c r="C404" i="6" s="1"/>
  <c r="C405" i="6" s="1"/>
  <c r="C406" i="6" s="1"/>
  <c r="C407" i="6" s="1"/>
  <c r="C408" i="6" s="1"/>
  <c r="C409" i="6" s="1"/>
  <c r="C410" i="6" s="1"/>
  <c r="C411" i="6" s="1"/>
  <c r="C412" i="6" s="1"/>
  <c r="C413" i="6" s="1"/>
  <c r="C414" i="6" s="1"/>
  <c r="C415" i="6" s="1"/>
  <c r="C416" i="6" s="1"/>
  <c r="C417" i="6" s="1"/>
  <c r="C418" i="6" s="1"/>
  <c r="C419" i="6" s="1"/>
  <c r="C420" i="6" s="1"/>
  <c r="C421" i="6" s="1"/>
  <c r="C422" i="6" s="1"/>
  <c r="C423" i="6" s="1"/>
  <c r="C424" i="6" s="1"/>
  <c r="C425" i="6" s="1"/>
  <c r="C426" i="6" s="1"/>
  <c r="C427" i="6" s="1"/>
  <c r="C428" i="6" s="1"/>
  <c r="C429" i="6" s="1"/>
  <c r="C430" i="6" s="1"/>
  <c r="C431" i="6" s="1"/>
  <c r="C432" i="6" s="1"/>
  <c r="C433" i="6" s="1"/>
  <c r="C434" i="6" s="1"/>
  <c r="C435" i="6" s="1"/>
  <c r="C436" i="6" s="1"/>
  <c r="C437" i="6" s="1"/>
  <c r="C438" i="6" s="1"/>
  <c r="C439" i="6" s="1"/>
  <c r="C440" i="6" s="1"/>
  <c r="C441" i="6" s="1"/>
  <c r="C442" i="6" s="1"/>
  <c r="C443" i="6" s="1"/>
  <c r="C444" i="6" s="1"/>
  <c r="C445" i="6" s="1"/>
  <c r="C446" i="6" s="1"/>
  <c r="C447" i="6" s="1"/>
  <c r="C448" i="6" s="1"/>
  <c r="C449" i="6" s="1"/>
  <c r="C450" i="6" s="1"/>
  <c r="C451" i="6" s="1"/>
  <c r="C452" i="6" s="1"/>
  <c r="C453" i="6" s="1"/>
  <c r="C454" i="6" s="1"/>
  <c r="C455" i="6" s="1"/>
  <c r="C456" i="6" s="1"/>
  <c r="C457" i="6" s="1"/>
  <c r="C458" i="6" s="1"/>
  <c r="C459" i="6" s="1"/>
  <c r="C460" i="6" s="1"/>
  <c r="C461" i="6" s="1"/>
  <c r="C462" i="6" s="1"/>
  <c r="C463" i="6" s="1"/>
  <c r="C464" i="6" s="1"/>
  <c r="C465" i="6" s="1"/>
  <c r="C466" i="6" s="1"/>
  <c r="C467" i="6" s="1"/>
  <c r="C468" i="6" s="1"/>
  <c r="C469" i="6" s="1"/>
  <c r="C470" i="6" s="1"/>
  <c r="C471" i="6" s="1"/>
  <c r="C472" i="6" s="1"/>
  <c r="C473" i="6" s="1"/>
  <c r="C474" i="6" s="1"/>
  <c r="C475" i="6" s="1"/>
  <c r="C476" i="6" s="1"/>
  <c r="C477" i="6" s="1"/>
  <c r="C478" i="6" s="1"/>
  <c r="C479" i="6" s="1"/>
  <c r="C480" i="6" s="1"/>
  <c r="C481" i="6" s="1"/>
  <c r="C482" i="6" s="1"/>
  <c r="C483" i="6" s="1"/>
  <c r="C484" i="6" s="1"/>
  <c r="C485" i="6" s="1"/>
  <c r="C486" i="6" s="1"/>
  <c r="C487" i="6" s="1"/>
  <c r="C488" i="6" s="1"/>
  <c r="C489" i="6" s="1"/>
  <c r="C490" i="6" s="1"/>
  <c r="C491" i="6" s="1"/>
  <c r="C492" i="6" s="1"/>
  <c r="C493" i="6" s="1"/>
  <c r="C494" i="6" s="1"/>
  <c r="C495" i="6" s="1"/>
  <c r="C496" i="6" s="1"/>
  <c r="C497" i="6" s="1"/>
  <c r="C498" i="6" s="1"/>
  <c r="C499" i="6" s="1"/>
  <c r="C500" i="6" s="1"/>
  <c r="C501" i="6" s="1"/>
  <c r="C502" i="6" s="1"/>
  <c r="C503" i="6" s="1"/>
  <c r="C504" i="6" s="1"/>
  <c r="C505" i="6" s="1"/>
  <c r="C506" i="6" s="1"/>
  <c r="C507" i="6" s="1"/>
  <c r="C508" i="6" s="1"/>
  <c r="C509" i="6" s="1"/>
  <c r="C510" i="6" s="1"/>
  <c r="C511" i="6" s="1"/>
  <c r="C512" i="6" s="1"/>
  <c r="C513" i="6" s="1"/>
  <c r="C514" i="6" s="1"/>
  <c r="C515" i="6" s="1"/>
  <c r="C516" i="6" s="1"/>
  <c r="C517" i="6" s="1"/>
  <c r="C518" i="6" s="1"/>
  <c r="C519" i="6" s="1"/>
  <c r="C520" i="6" s="1"/>
  <c r="C521" i="6" s="1"/>
  <c r="C522" i="6" s="1"/>
  <c r="C523" i="6" s="1"/>
  <c r="C524" i="6" s="1"/>
  <c r="C525" i="6" s="1"/>
  <c r="C526" i="6" s="1"/>
  <c r="C527" i="6" s="1"/>
  <c r="C528" i="6" s="1"/>
  <c r="C529" i="6" s="1"/>
  <c r="C530" i="6" s="1"/>
  <c r="C531" i="6" s="1"/>
  <c r="C532" i="6" s="1"/>
  <c r="C533" i="6" s="1"/>
  <c r="C534" i="6" s="1"/>
  <c r="C535" i="6" s="1"/>
  <c r="C536" i="6" s="1"/>
  <c r="C537" i="6" s="1"/>
  <c r="C538" i="6" s="1"/>
  <c r="C539" i="6" s="1"/>
  <c r="C540" i="6" s="1"/>
  <c r="C541" i="6" s="1"/>
  <c r="C542" i="6" s="1"/>
  <c r="C543" i="6" s="1"/>
  <c r="C544" i="6" s="1"/>
  <c r="C545" i="6" s="1"/>
  <c r="C546" i="6" s="1"/>
  <c r="C547" i="6" s="1"/>
  <c r="C548" i="6" s="1"/>
  <c r="C549" i="6" s="1"/>
  <c r="C550" i="6" s="1"/>
  <c r="C551" i="6" s="1"/>
  <c r="C552" i="6" s="1"/>
  <c r="C553" i="6" s="1"/>
  <c r="C554" i="6" s="1"/>
  <c r="C555" i="6" s="1"/>
  <c r="C556" i="6" s="1"/>
  <c r="C557" i="6" s="1"/>
  <c r="C558" i="6" s="1"/>
  <c r="C559" i="6" s="1"/>
  <c r="C560" i="6" s="1"/>
  <c r="C561" i="6" s="1"/>
  <c r="C562" i="6" s="1"/>
  <c r="C563" i="6" s="1"/>
  <c r="C564" i="6" s="1"/>
  <c r="C565" i="6" s="1"/>
  <c r="C566" i="6" s="1"/>
  <c r="C567" i="6" s="1"/>
  <c r="C568" i="6" s="1"/>
  <c r="C569" i="6" s="1"/>
  <c r="C570" i="6" s="1"/>
  <c r="C571" i="6" s="1"/>
  <c r="C572" i="6" s="1"/>
  <c r="C573" i="6" s="1"/>
  <c r="C574" i="6" s="1"/>
  <c r="C575" i="6" s="1"/>
  <c r="C576" i="6" s="1"/>
  <c r="C577" i="6" s="1"/>
  <c r="C578" i="6" s="1"/>
  <c r="C579" i="6" s="1"/>
  <c r="C580" i="6" s="1"/>
  <c r="C581" i="6" s="1"/>
  <c r="C582" i="6" s="1"/>
  <c r="C583" i="6" s="1"/>
  <c r="C584" i="6" s="1"/>
  <c r="C585" i="6" s="1"/>
  <c r="C586" i="6" s="1"/>
  <c r="C587" i="6" s="1"/>
  <c r="C588" i="6" s="1"/>
  <c r="C589" i="6" s="1"/>
  <c r="C590" i="6" s="1"/>
  <c r="C591" i="6" s="1"/>
  <c r="C592" i="6" s="1"/>
  <c r="C593" i="6" s="1"/>
  <c r="C594" i="6" s="1"/>
  <c r="C595" i="6" s="1"/>
  <c r="C596" i="6" s="1"/>
  <c r="C597" i="6" s="1"/>
  <c r="C598" i="6" s="1"/>
  <c r="C599" i="6" s="1"/>
  <c r="C600" i="6" s="1"/>
  <c r="C601" i="6" s="1"/>
  <c r="C602" i="6" s="1"/>
  <c r="C603" i="6" s="1"/>
  <c r="C604" i="6" s="1"/>
  <c r="C605" i="6" s="1"/>
  <c r="C606" i="6" s="1"/>
  <c r="C607" i="6" s="1"/>
  <c r="C608" i="6" s="1"/>
  <c r="C609" i="6" s="1"/>
  <c r="C610" i="6" s="1"/>
  <c r="C611" i="6" s="1"/>
  <c r="C612" i="6" s="1"/>
  <c r="C613" i="6" s="1"/>
  <c r="C614" i="6" s="1"/>
  <c r="C615" i="6" s="1"/>
  <c r="C616" i="6" s="1"/>
  <c r="C617" i="6" s="1"/>
  <c r="C618" i="6" s="1"/>
  <c r="C619" i="6" s="1"/>
  <c r="C620" i="6" s="1"/>
  <c r="C621" i="6" s="1"/>
  <c r="C622" i="6" s="1"/>
  <c r="C623" i="6" s="1"/>
  <c r="C624" i="6" s="1"/>
  <c r="C625" i="6" s="1"/>
  <c r="C626" i="6" s="1"/>
  <c r="C627" i="6" s="1"/>
  <c r="C628" i="6" s="1"/>
  <c r="C629" i="6" s="1"/>
  <c r="C630" i="6" s="1"/>
  <c r="C631" i="6" s="1"/>
  <c r="C632" i="6" s="1"/>
  <c r="C633" i="6" s="1"/>
  <c r="C634" i="6" s="1"/>
  <c r="C635" i="6" s="1"/>
  <c r="C636" i="6" s="1"/>
  <c r="C637" i="6" s="1"/>
  <c r="C638" i="6" s="1"/>
  <c r="C639" i="6" s="1"/>
  <c r="C640" i="6" s="1"/>
  <c r="C641" i="6" s="1"/>
  <c r="C642" i="6" s="1"/>
  <c r="C643" i="6" s="1"/>
  <c r="C644" i="6" s="1"/>
  <c r="C645" i="6" s="1"/>
  <c r="C646" i="6" s="1"/>
  <c r="C647" i="6" s="1"/>
  <c r="C648" i="6" s="1"/>
  <c r="C649" i="6" s="1"/>
  <c r="C650" i="6" s="1"/>
  <c r="C651" i="6" s="1"/>
  <c r="C652" i="6" s="1"/>
  <c r="C653" i="6" s="1"/>
  <c r="C654" i="6" s="1"/>
  <c r="C655" i="6" s="1"/>
  <c r="C656" i="6" s="1"/>
  <c r="C657" i="6" s="1"/>
  <c r="C658" i="6" s="1"/>
  <c r="C659" i="6" s="1"/>
  <c r="C660" i="6" s="1"/>
  <c r="C661" i="6" s="1"/>
  <c r="C662" i="6" s="1"/>
  <c r="C663" i="6" s="1"/>
  <c r="C664" i="6" s="1"/>
  <c r="C665" i="6" s="1"/>
  <c r="C666" i="6" s="1"/>
  <c r="C667" i="6" s="1"/>
  <c r="C668" i="6" s="1"/>
  <c r="C669" i="6" s="1"/>
  <c r="C670" i="6" s="1"/>
  <c r="C671" i="6" s="1"/>
  <c r="C672" i="6" s="1"/>
  <c r="C673" i="6" s="1"/>
  <c r="C674" i="6" s="1"/>
  <c r="C675" i="6" s="1"/>
  <c r="C676" i="6" s="1"/>
  <c r="C677" i="6" s="1"/>
  <c r="C678" i="6" s="1"/>
  <c r="C679" i="6" s="1"/>
  <c r="C680" i="6" s="1"/>
  <c r="C681" i="6" s="1"/>
  <c r="C682" i="6" s="1"/>
  <c r="C683" i="6" s="1"/>
  <c r="C684" i="6" s="1"/>
  <c r="C685" i="6" s="1"/>
  <c r="C686" i="6" s="1"/>
  <c r="C687" i="6" s="1"/>
  <c r="C688" i="6" s="1"/>
  <c r="C689" i="6" s="1"/>
  <c r="C690" i="6" s="1"/>
  <c r="C691" i="6" s="1"/>
  <c r="C692" i="6" s="1"/>
  <c r="C693" i="6" s="1"/>
  <c r="C694" i="6" s="1"/>
  <c r="C695" i="6" s="1"/>
  <c r="C696" i="6" s="1"/>
  <c r="C697" i="6" s="1"/>
  <c r="C698" i="6" s="1"/>
  <c r="C699" i="6" s="1"/>
  <c r="C700" i="6" s="1"/>
  <c r="C701" i="6" s="1"/>
  <c r="C702" i="6" s="1"/>
  <c r="C703" i="6" s="1"/>
  <c r="C704" i="6" s="1"/>
  <c r="C705" i="6" s="1"/>
  <c r="C706" i="6" s="1"/>
  <c r="C707" i="6" s="1"/>
  <c r="C708" i="6" s="1"/>
  <c r="C709" i="6" s="1"/>
  <c r="C710" i="6" s="1"/>
  <c r="C711" i="6" s="1"/>
  <c r="C712" i="6" s="1"/>
  <c r="C713" i="6" s="1"/>
  <c r="C714" i="6" s="1"/>
  <c r="C715" i="6" s="1"/>
  <c r="C716" i="6" s="1"/>
  <c r="C717" i="6" s="1"/>
  <c r="C718" i="6" s="1"/>
  <c r="C719" i="6" s="1"/>
  <c r="C720" i="6" s="1"/>
  <c r="C721" i="6" s="1"/>
  <c r="C722" i="6" s="1"/>
  <c r="C723" i="6" s="1"/>
  <c r="C724" i="6" s="1"/>
  <c r="C725" i="6" s="1"/>
  <c r="C726" i="6" s="1"/>
  <c r="C727" i="6" s="1"/>
  <c r="C728" i="6" s="1"/>
  <c r="C729" i="6" s="1"/>
  <c r="C730" i="6" s="1"/>
  <c r="C731" i="6" s="1"/>
  <c r="C732" i="6" s="1"/>
  <c r="C733" i="6" s="1"/>
  <c r="C734" i="6" s="1"/>
  <c r="C735" i="6" s="1"/>
  <c r="C736" i="6" s="1"/>
  <c r="C737" i="6" s="1"/>
  <c r="C738" i="6" s="1"/>
  <c r="C739" i="6" s="1"/>
  <c r="C740" i="6" s="1"/>
  <c r="C741" i="6" s="1"/>
  <c r="C742" i="6" s="1"/>
  <c r="C743" i="6" s="1"/>
  <c r="C744" i="6" s="1"/>
  <c r="C745" i="6" s="1"/>
  <c r="C746" i="6" s="1"/>
  <c r="C747" i="6" s="1"/>
  <c r="C748" i="6" s="1"/>
  <c r="C749" i="6" s="1"/>
  <c r="C750" i="6" s="1"/>
  <c r="C751" i="6" s="1"/>
  <c r="C752" i="6" s="1"/>
  <c r="C753" i="6" s="1"/>
  <c r="C754" i="6" s="1"/>
  <c r="C755" i="6" s="1"/>
  <c r="C756" i="6" s="1"/>
  <c r="C757" i="6" s="1"/>
  <c r="C758" i="6" s="1"/>
  <c r="C759" i="6" s="1"/>
  <c r="C760" i="6" s="1"/>
  <c r="C761" i="6" s="1"/>
  <c r="C762" i="6" s="1"/>
  <c r="C763" i="6" s="1"/>
  <c r="C764" i="6" s="1"/>
  <c r="C765" i="6" s="1"/>
  <c r="C766" i="6" s="1"/>
  <c r="C767" i="6" s="1"/>
  <c r="C768" i="6" s="1"/>
  <c r="C769" i="6" s="1"/>
  <c r="C770" i="6" s="1"/>
  <c r="C771" i="6" s="1"/>
  <c r="C772" i="6" s="1"/>
  <c r="C773" i="6" s="1"/>
  <c r="C774" i="6" s="1"/>
  <c r="C775" i="6" s="1"/>
  <c r="C776" i="6" s="1"/>
  <c r="C777" i="6" s="1"/>
  <c r="C778" i="6" s="1"/>
  <c r="C779" i="6" s="1"/>
  <c r="C780" i="6" s="1"/>
  <c r="C781" i="6" s="1"/>
  <c r="C782" i="6" s="1"/>
  <c r="C783" i="6" s="1"/>
  <c r="C784" i="6" s="1"/>
  <c r="C785" i="6" s="1"/>
  <c r="C786" i="6" s="1"/>
  <c r="C787" i="6" s="1"/>
  <c r="C788" i="6" s="1"/>
  <c r="C789" i="6" s="1"/>
  <c r="C790" i="6" s="1"/>
  <c r="C791" i="6" s="1"/>
  <c r="C792" i="6" s="1"/>
  <c r="C793" i="6" s="1"/>
  <c r="C794" i="6" s="1"/>
  <c r="C795" i="6" s="1"/>
  <c r="C796" i="6" s="1"/>
  <c r="C797" i="6" s="1"/>
  <c r="C798" i="6" s="1"/>
  <c r="C799" i="6" s="1"/>
  <c r="C800" i="6" s="1"/>
  <c r="C801" i="6" s="1"/>
  <c r="C802" i="6" s="1"/>
  <c r="C803" i="6" s="1"/>
  <c r="C804" i="6" s="1"/>
  <c r="C805" i="6" s="1"/>
  <c r="C806" i="6" s="1"/>
  <c r="C807" i="6" s="1"/>
  <c r="C808" i="6" s="1"/>
  <c r="C809" i="6" s="1"/>
  <c r="C810" i="6" s="1"/>
  <c r="C811" i="6" s="1"/>
  <c r="C812" i="6" s="1"/>
  <c r="C813" i="6" s="1"/>
  <c r="C814" i="6" s="1"/>
  <c r="C815" i="6" s="1"/>
  <c r="C816" i="6" s="1"/>
  <c r="C817" i="6" s="1"/>
  <c r="C818" i="6" s="1"/>
  <c r="C819" i="6" s="1"/>
  <c r="C820" i="6" s="1"/>
  <c r="C821" i="6" s="1"/>
  <c r="C822" i="6" s="1"/>
  <c r="C823" i="6" s="1"/>
  <c r="C824" i="6" s="1"/>
  <c r="C825" i="6" s="1"/>
  <c r="C826" i="6" s="1"/>
  <c r="C827" i="6" s="1"/>
  <c r="C828" i="6" s="1"/>
  <c r="C829" i="6" s="1"/>
  <c r="C830" i="6" s="1"/>
  <c r="C831" i="6" s="1"/>
  <c r="C832" i="6" s="1"/>
  <c r="C833" i="6" s="1"/>
  <c r="C834" i="6" s="1"/>
  <c r="C835" i="6" s="1"/>
  <c r="C836" i="6" s="1"/>
  <c r="C837" i="6" s="1"/>
  <c r="C838" i="6" s="1"/>
  <c r="C839" i="6" s="1"/>
  <c r="C840" i="6" s="1"/>
  <c r="C841" i="6" s="1"/>
  <c r="C842" i="6" s="1"/>
  <c r="C843" i="6" s="1"/>
  <c r="C844" i="6" s="1"/>
  <c r="C845" i="6" s="1"/>
  <c r="C846" i="6" s="1"/>
  <c r="C847" i="6" s="1"/>
  <c r="C848" i="6" s="1"/>
  <c r="C849" i="6" s="1"/>
  <c r="C850" i="6" s="1"/>
  <c r="C851" i="6" s="1"/>
  <c r="C852" i="6" s="1"/>
  <c r="C853" i="6" s="1"/>
  <c r="C854" i="6" s="1"/>
  <c r="C855" i="6" s="1"/>
  <c r="C856" i="6" s="1"/>
  <c r="C857" i="6" s="1"/>
  <c r="C858" i="6" s="1"/>
  <c r="C859" i="6" s="1"/>
  <c r="C860" i="6" s="1"/>
  <c r="C861" i="6" s="1"/>
  <c r="C862" i="6" s="1"/>
  <c r="C863" i="6" s="1"/>
  <c r="C864" i="6" s="1"/>
  <c r="C865" i="6" s="1"/>
  <c r="C866" i="6" s="1"/>
  <c r="C867" i="6" s="1"/>
  <c r="C868" i="6" s="1"/>
  <c r="C869" i="6" s="1"/>
  <c r="C870" i="6" s="1"/>
  <c r="C871" i="6" s="1"/>
  <c r="C872" i="6" s="1"/>
  <c r="C873" i="6" s="1"/>
  <c r="C874" i="6" s="1"/>
  <c r="C875" i="6" s="1"/>
  <c r="C876" i="6" s="1"/>
  <c r="C877" i="6" s="1"/>
  <c r="C878" i="6" s="1"/>
  <c r="C879" i="6" s="1"/>
  <c r="C880" i="6" s="1"/>
  <c r="C881" i="6" s="1"/>
  <c r="C882" i="6" s="1"/>
  <c r="C883" i="6" s="1"/>
  <c r="C884" i="6" s="1"/>
  <c r="C885" i="6" s="1"/>
  <c r="C886" i="6" s="1"/>
  <c r="C887" i="6" s="1"/>
  <c r="C888" i="6" s="1"/>
  <c r="C889" i="6" s="1"/>
  <c r="C890" i="6" s="1"/>
  <c r="C891" i="6" s="1"/>
  <c r="C892" i="6" s="1"/>
  <c r="C893" i="6" s="1"/>
  <c r="C894" i="6" s="1"/>
  <c r="C895" i="6" s="1"/>
  <c r="C896" i="6" s="1"/>
  <c r="C897" i="6" s="1"/>
  <c r="C898" i="6" s="1"/>
  <c r="C899" i="6" s="1"/>
  <c r="C900" i="6" s="1"/>
  <c r="C901" i="6" s="1"/>
  <c r="C902" i="6" s="1"/>
  <c r="C903" i="6" s="1"/>
  <c r="C904" i="6" s="1"/>
  <c r="C905" i="6" s="1"/>
  <c r="C906" i="6" s="1"/>
  <c r="C907" i="6" s="1"/>
  <c r="C908" i="6" s="1"/>
  <c r="C909" i="6" s="1"/>
  <c r="C910" i="6" s="1"/>
  <c r="C911" i="6" s="1"/>
  <c r="C912" i="6" s="1"/>
  <c r="C913" i="6" s="1"/>
  <c r="C914" i="6" s="1"/>
  <c r="C915" i="6" s="1"/>
  <c r="C916" i="6" s="1"/>
  <c r="C917" i="6" s="1"/>
  <c r="C918" i="6" s="1"/>
  <c r="C919" i="6" s="1"/>
  <c r="C920" i="6" s="1"/>
  <c r="C921" i="6" s="1"/>
  <c r="C922" i="6" s="1"/>
  <c r="C923" i="6" s="1"/>
  <c r="C924" i="6" s="1"/>
  <c r="C925" i="6" s="1"/>
  <c r="C926" i="6" s="1"/>
  <c r="C927" i="6" s="1"/>
  <c r="C928" i="6" s="1"/>
  <c r="C929" i="6" s="1"/>
  <c r="C930" i="6" s="1"/>
  <c r="C931" i="6" s="1"/>
  <c r="C932" i="6" s="1"/>
  <c r="C933" i="6" s="1"/>
  <c r="C934" i="6" s="1"/>
  <c r="C935" i="6" s="1"/>
  <c r="C936" i="6" s="1"/>
  <c r="C937" i="6" s="1"/>
  <c r="C938" i="6" s="1"/>
  <c r="C939" i="6" s="1"/>
  <c r="C940" i="6" s="1"/>
  <c r="C941" i="6" s="1"/>
  <c r="C942" i="6" s="1"/>
  <c r="C943" i="6" s="1"/>
  <c r="C944" i="6" s="1"/>
  <c r="C945" i="6" s="1"/>
  <c r="C946" i="6" s="1"/>
  <c r="C947" i="6" s="1"/>
  <c r="C948" i="6" s="1"/>
  <c r="C949" i="6" s="1"/>
  <c r="C950" i="6" s="1"/>
  <c r="C951" i="6" s="1"/>
  <c r="C952" i="6" s="1"/>
  <c r="C953" i="6" s="1"/>
  <c r="C954" i="6" s="1"/>
  <c r="C955" i="6" s="1"/>
  <c r="C956" i="6" s="1"/>
  <c r="C957" i="6" s="1"/>
  <c r="C958" i="6" s="1"/>
  <c r="C959" i="6" s="1"/>
  <c r="C960" i="6" s="1"/>
  <c r="C961" i="6" s="1"/>
  <c r="C962" i="6" s="1"/>
  <c r="C963" i="6" s="1"/>
  <c r="C964" i="6" s="1"/>
  <c r="C965" i="6" s="1"/>
  <c r="C966" i="6" s="1"/>
  <c r="C967" i="6" s="1"/>
  <c r="C968" i="6" s="1"/>
  <c r="C969" i="6" s="1"/>
  <c r="C970" i="6" s="1"/>
  <c r="C971" i="6" s="1"/>
  <c r="C972" i="6" s="1"/>
  <c r="C973" i="6" s="1"/>
  <c r="C974" i="6" s="1"/>
  <c r="C975" i="6" s="1"/>
  <c r="C976" i="6" s="1"/>
  <c r="C977" i="6" s="1"/>
  <c r="C978" i="6" s="1"/>
  <c r="C979" i="6" s="1"/>
  <c r="C980" i="6" s="1"/>
  <c r="C981" i="6" s="1"/>
  <c r="C982" i="6" s="1"/>
  <c r="C983" i="6" s="1"/>
  <c r="C984" i="6" s="1"/>
  <c r="C985" i="6" s="1"/>
  <c r="F87" i="29"/>
  <c r="F80" i="29"/>
  <c r="G80" i="29" s="1"/>
  <c r="F73" i="29"/>
  <c r="G73" i="29" s="1"/>
  <c r="F66" i="29"/>
  <c r="F35" i="29"/>
  <c r="F26" i="29"/>
  <c r="F20" i="29"/>
  <c r="M336" i="6"/>
  <c r="M338" i="6"/>
  <c r="C173" i="6" l="1"/>
  <c r="C174" i="6" s="1"/>
  <c r="C175" i="6" s="1"/>
  <c r="C318" i="6"/>
  <c r="C319" i="6" s="1"/>
  <c r="C320" i="6" s="1"/>
  <c r="C321" i="6" s="1"/>
  <c r="C322" i="6" s="1"/>
  <c r="C323" i="6" s="1"/>
  <c r="C324" i="6" s="1"/>
  <c r="C325" i="6" s="1"/>
  <c r="M72" i="6"/>
  <c r="M71" i="6" s="1"/>
  <c r="M22" i="2"/>
  <c r="L314" i="6" s="1"/>
  <c r="L325" i="6" s="1"/>
  <c r="H437" i="7"/>
  <c r="A437" i="7"/>
  <c r="H436" i="7"/>
  <c r="A436" i="7"/>
  <c r="H435" i="7"/>
  <c r="A435" i="7"/>
  <c r="H434" i="7"/>
  <c r="A434" i="7"/>
  <c r="H433" i="7"/>
  <c r="A433" i="7"/>
  <c r="C432" i="7"/>
  <c r="C433" i="7" s="1"/>
  <c r="A432" i="7"/>
  <c r="K3024" i="14"/>
  <c r="K3025" i="14" s="1"/>
  <c r="L323" i="6"/>
  <c r="C434" i="7" l="1"/>
  <c r="F449" i="7"/>
  <c r="C435" i="7" l="1"/>
  <c r="C436" i="7" l="1"/>
  <c r="C437" i="7" l="1"/>
  <c r="I1570" i="14" l="1"/>
  <c r="L291" i="6" s="1"/>
  <c r="L295" i="6" s="1"/>
  <c r="N266" i="6"/>
  <c r="N265" i="6"/>
  <c r="H424" i="7" l="1"/>
  <c r="A424" i="7"/>
  <c r="H423" i="7"/>
  <c r="A423" i="7"/>
  <c r="C422" i="7"/>
  <c r="A422" i="7"/>
  <c r="H421" i="7"/>
  <c r="A421" i="7"/>
  <c r="C420" i="7"/>
  <c r="A420" i="7"/>
  <c r="I2413" i="14"/>
  <c r="E2384" i="14"/>
  <c r="I2409" i="14"/>
  <c r="I2410" i="14"/>
  <c r="I2411" i="14"/>
  <c r="I2412" i="14"/>
  <c r="E2491" i="14"/>
  <c r="E2490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386" i="14"/>
  <c r="I2385" i="14"/>
  <c r="I2384" i="14"/>
  <c r="I2383" i="14"/>
  <c r="H415" i="7"/>
  <c r="A415" i="7"/>
  <c r="H414" i="7"/>
  <c r="A414" i="7"/>
  <c r="C413" i="7"/>
  <c r="A413" i="7"/>
  <c r="H412" i="7"/>
  <c r="A412" i="7"/>
  <c r="C411" i="7"/>
  <c r="A411" i="7"/>
  <c r="L242" i="6"/>
  <c r="L254" i="6" s="1"/>
  <c r="H409" i="7"/>
  <c r="A409" i="7"/>
  <c r="H408" i="7"/>
  <c r="A408" i="7"/>
  <c r="L240" i="6"/>
  <c r="L253" i="6" s="1"/>
  <c r="E239" i="6"/>
  <c r="E240" i="6" s="1"/>
  <c r="H402" i="7"/>
  <c r="A402" i="7"/>
  <c r="H401" i="7"/>
  <c r="A401" i="7"/>
  <c r="H400" i="7"/>
  <c r="A400" i="7"/>
  <c r="H399" i="7"/>
  <c r="A399" i="7"/>
  <c r="C398" i="7"/>
  <c r="A398" i="7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379" i="14"/>
  <c r="E226" i="6"/>
  <c r="E227" i="6" s="1"/>
  <c r="E228" i="6" s="1"/>
  <c r="E229" i="6" s="1"/>
  <c r="G357" i="7"/>
  <c r="F352" i="7"/>
  <c r="H352" i="7" s="1"/>
  <c r="F351" i="7"/>
  <c r="H351" i="7" s="1"/>
  <c r="F354" i="7"/>
  <c r="H354" i="7" s="1"/>
  <c r="F355" i="7"/>
  <c r="H355" i="7" s="1"/>
  <c r="A355" i="7"/>
  <c r="A354" i="7"/>
  <c r="C353" i="7"/>
  <c r="A353" i="7"/>
  <c r="A352" i="7"/>
  <c r="A351" i="7"/>
  <c r="C350" i="7"/>
  <c r="C351" i="7" s="1"/>
  <c r="C352" i="7" s="1"/>
  <c r="A350" i="7"/>
  <c r="I930" i="14"/>
  <c r="L217" i="6" s="1"/>
  <c r="I939" i="14"/>
  <c r="I940" i="14"/>
  <c r="I941" i="14"/>
  <c r="I928" i="14"/>
  <c r="I927" i="14"/>
  <c r="G329" i="7"/>
  <c r="H329" i="7" s="1"/>
  <c r="H330" i="7"/>
  <c r="A330" i="7"/>
  <c r="A329" i="7"/>
  <c r="C328" i="7"/>
  <c r="A328" i="7"/>
  <c r="I476" i="14"/>
  <c r="I477" i="14"/>
  <c r="I478" i="14"/>
  <c r="L198" i="6" s="1"/>
  <c r="I479" i="14"/>
  <c r="L200" i="6"/>
  <c r="L91" i="6"/>
  <c r="E196" i="6"/>
  <c r="E197" i="6" s="1"/>
  <c r="F299" i="7"/>
  <c r="H299" i="7" s="1"/>
  <c r="A299" i="7"/>
  <c r="C298" i="7"/>
  <c r="A298" i="7"/>
  <c r="N89" i="6"/>
  <c r="H246" i="7"/>
  <c r="A246" i="7"/>
  <c r="C245" i="7"/>
  <c r="A245" i="7"/>
  <c r="F241" i="7"/>
  <c r="F238" i="7"/>
  <c r="F235" i="7"/>
  <c r="F232" i="7"/>
  <c r="F229" i="7"/>
  <c r="F226" i="7"/>
  <c r="F297" i="7"/>
  <c r="H297" i="7" s="1"/>
  <c r="A297" i="7"/>
  <c r="C296" i="7"/>
  <c r="C297" i="7" s="1"/>
  <c r="A296" i="7"/>
  <c r="F295" i="7"/>
  <c r="F293" i="7"/>
  <c r="L181" i="6"/>
  <c r="N181" i="6" s="1"/>
  <c r="L183" i="6"/>
  <c r="L179" i="6"/>
  <c r="D4" i="28"/>
  <c r="D2" i="28"/>
  <c r="D1" i="28"/>
  <c r="H38" i="30"/>
  <c r="I38" i="30"/>
  <c r="J38" i="30"/>
  <c r="K38" i="30"/>
  <c r="L38" i="30"/>
  <c r="M38" i="30"/>
  <c r="N38" i="30"/>
  <c r="G38" i="30"/>
  <c r="H41" i="30"/>
  <c r="I41" i="30"/>
  <c r="J41" i="30"/>
  <c r="K41" i="30"/>
  <c r="L41" i="30"/>
  <c r="M41" i="30"/>
  <c r="N41" i="30"/>
  <c r="H42" i="30"/>
  <c r="I42" i="30"/>
  <c r="J42" i="30"/>
  <c r="K42" i="30"/>
  <c r="L42" i="30"/>
  <c r="M42" i="30"/>
  <c r="N42" i="30"/>
  <c r="G42" i="30"/>
  <c r="G41" i="30"/>
  <c r="H40" i="30"/>
  <c r="I40" i="30"/>
  <c r="J40" i="30"/>
  <c r="K40" i="30"/>
  <c r="L40" i="30"/>
  <c r="M40" i="30"/>
  <c r="N40" i="30"/>
  <c r="G40" i="30"/>
  <c r="H39" i="30"/>
  <c r="I39" i="30"/>
  <c r="J39" i="30"/>
  <c r="K39" i="30"/>
  <c r="L39" i="30"/>
  <c r="M39" i="30"/>
  <c r="N39" i="30"/>
  <c r="G39" i="30"/>
  <c r="H37" i="30"/>
  <c r="I37" i="30"/>
  <c r="J37" i="30"/>
  <c r="K37" i="30"/>
  <c r="L37" i="30"/>
  <c r="M37" i="30"/>
  <c r="N37" i="30"/>
  <c r="G37" i="30"/>
  <c r="L161" i="6"/>
  <c r="L155" i="6"/>
  <c r="L143" i="6"/>
  <c r="L127" i="6"/>
  <c r="I2381" i="14" l="1"/>
  <c r="I2416" i="14"/>
  <c r="L249" i="6" s="1"/>
  <c r="I2418" i="14"/>
  <c r="L250" i="6" s="1"/>
  <c r="L258" i="6" s="1"/>
  <c r="I2415" i="14"/>
  <c r="L248" i="6" s="1"/>
  <c r="I2417" i="14"/>
  <c r="L251" i="6" s="1"/>
  <c r="L257" i="6" s="1"/>
  <c r="C421" i="7"/>
  <c r="C423" i="7"/>
  <c r="C414" i="7"/>
  <c r="C412" i="7"/>
  <c r="I1411" i="14"/>
  <c r="L228" i="6" s="1"/>
  <c r="L235" i="6" s="1"/>
  <c r="N235" i="6" s="1"/>
  <c r="I1410" i="14"/>
  <c r="L227" i="6" s="1"/>
  <c r="I1412" i="14"/>
  <c r="L229" i="6" s="1"/>
  <c r="C399" i="7"/>
  <c r="C354" i="7"/>
  <c r="C329" i="7"/>
  <c r="E198" i="6"/>
  <c r="C299" i="7"/>
  <c r="C246" i="7"/>
  <c r="C424" i="7" l="1"/>
  <c r="C415" i="7"/>
  <c r="L236" i="6"/>
  <c r="C400" i="7"/>
  <c r="C355" i="7"/>
  <c r="C330" i="7"/>
  <c r="C401" i="7" l="1"/>
  <c r="C402" i="7" l="1"/>
  <c r="C403" i="7" l="1"/>
  <c r="L73" i="6" l="1"/>
  <c r="L71" i="6"/>
  <c r="L72" i="6" s="1"/>
  <c r="N72" i="6" s="1"/>
  <c r="L56" i="6"/>
  <c r="Q104" i="13"/>
  <c r="Q19" i="13"/>
  <c r="Q13" i="13"/>
  <c r="Q8" i="13"/>
  <c r="M94" i="11"/>
  <c r="O20" i="12"/>
  <c r="C160" i="7"/>
  <c r="A100" i="7" l="1"/>
  <c r="C100" i="7"/>
  <c r="C101" i="7" s="1"/>
  <c r="A101" i="7"/>
  <c r="H101" i="7"/>
  <c r="A102" i="7"/>
  <c r="H102" i="7"/>
  <c r="A103" i="7"/>
  <c r="H103" i="7"/>
  <c r="A104" i="7"/>
  <c r="F104" i="7"/>
  <c r="G104" i="7"/>
  <c r="A105" i="7"/>
  <c r="H105" i="7"/>
  <c r="A106" i="7"/>
  <c r="F106" i="7"/>
  <c r="G106" i="7"/>
  <c r="F118" i="7"/>
  <c r="H118" i="7" s="1"/>
  <c r="A118" i="7"/>
  <c r="F123" i="7"/>
  <c r="H123" i="7" s="1"/>
  <c r="A123" i="7"/>
  <c r="F128" i="7"/>
  <c r="H128" i="7" s="1"/>
  <c r="A128" i="7"/>
  <c r="F133" i="7"/>
  <c r="H133" i="7" s="1"/>
  <c r="A133" i="7"/>
  <c r="F138" i="7"/>
  <c r="H138" i="7" s="1"/>
  <c r="A138" i="7"/>
  <c r="F143" i="7"/>
  <c r="H143" i="7" s="1"/>
  <c r="A143" i="7"/>
  <c r="F148" i="7"/>
  <c r="H148" i="7" s="1"/>
  <c r="A148" i="7"/>
  <c r="F153" i="7"/>
  <c r="H153" i="7" s="1"/>
  <c r="H152" i="7"/>
  <c r="A152" i="7"/>
  <c r="A153" i="7"/>
  <c r="H151" i="7"/>
  <c r="A151" i="7"/>
  <c r="H150" i="7"/>
  <c r="A150" i="7"/>
  <c r="C149" i="7"/>
  <c r="A149" i="7"/>
  <c r="H147" i="7"/>
  <c r="A147" i="7"/>
  <c r="H146" i="7"/>
  <c r="A146" i="7"/>
  <c r="H145" i="7"/>
  <c r="A145" i="7"/>
  <c r="C144" i="7"/>
  <c r="C145" i="7" s="1"/>
  <c r="A144" i="7"/>
  <c r="H142" i="7"/>
  <c r="A142" i="7"/>
  <c r="H141" i="7"/>
  <c r="A141" i="7"/>
  <c r="H140" i="7"/>
  <c r="A140" i="7"/>
  <c r="C139" i="7"/>
  <c r="C140" i="7" s="1"/>
  <c r="A139" i="7"/>
  <c r="H137" i="7"/>
  <c r="A137" i="7"/>
  <c r="H136" i="7"/>
  <c r="A136" i="7"/>
  <c r="H135" i="7"/>
  <c r="A135" i="7"/>
  <c r="C134" i="7"/>
  <c r="A134" i="7"/>
  <c r="H132" i="7"/>
  <c r="A132" i="7"/>
  <c r="H131" i="7"/>
  <c r="A131" i="7"/>
  <c r="H130" i="7"/>
  <c r="A130" i="7"/>
  <c r="C129" i="7"/>
  <c r="A129" i="7"/>
  <c r="H127" i="7"/>
  <c r="A127" i="7"/>
  <c r="H126" i="7"/>
  <c r="A126" i="7"/>
  <c r="H125" i="7"/>
  <c r="A125" i="7"/>
  <c r="C124" i="7"/>
  <c r="C125" i="7" s="1"/>
  <c r="C126" i="7" s="1"/>
  <c r="C128" i="7" s="1"/>
  <c r="A124" i="7"/>
  <c r="H122" i="7"/>
  <c r="A122" i="7"/>
  <c r="H121" i="7"/>
  <c r="A121" i="7"/>
  <c r="H120" i="7"/>
  <c r="A120" i="7"/>
  <c r="C119" i="7"/>
  <c r="C120" i="7" s="1"/>
  <c r="A119" i="7"/>
  <c r="H117" i="7"/>
  <c r="A117" i="7"/>
  <c r="H116" i="7"/>
  <c r="A116" i="7"/>
  <c r="H115" i="7"/>
  <c r="A115" i="7"/>
  <c r="C114" i="7"/>
  <c r="A114" i="7"/>
  <c r="L50" i="6"/>
  <c r="F112" i="7"/>
  <c r="H112" i="7" s="1"/>
  <c r="F110" i="7"/>
  <c r="H110" i="7" s="1"/>
  <c r="F109" i="7"/>
  <c r="H109" i="7" s="1"/>
  <c r="F108" i="7"/>
  <c r="H108" i="7" s="1"/>
  <c r="G113" i="7"/>
  <c r="A113" i="7"/>
  <c r="A112" i="7"/>
  <c r="G111" i="7"/>
  <c r="A111" i="7"/>
  <c r="A110" i="7"/>
  <c r="A109" i="7"/>
  <c r="A108" i="7"/>
  <c r="C107" i="7"/>
  <c r="A107" i="7"/>
  <c r="H106" i="7" l="1"/>
  <c r="H104" i="7"/>
  <c r="C102" i="7"/>
  <c r="C150" i="7"/>
  <c r="C152" i="7" s="1"/>
  <c r="C108" i="7"/>
  <c r="C115" i="7"/>
  <c r="C146" i="7"/>
  <c r="C127" i="7"/>
  <c r="C130" i="7"/>
  <c r="C121" i="7"/>
  <c r="C135" i="7"/>
  <c r="C141" i="7"/>
  <c r="C103" i="7" l="1"/>
  <c r="C109" i="7"/>
  <c r="C131" i="7"/>
  <c r="C116" i="7"/>
  <c r="C136" i="7"/>
  <c r="C151" i="7"/>
  <c r="C122" i="7"/>
  <c r="C123" i="7"/>
  <c r="C142" i="7"/>
  <c r="C143" i="7"/>
  <c r="C147" i="7"/>
  <c r="C148" i="7"/>
  <c r="C104" i="7" l="1"/>
  <c r="C138" i="7"/>
  <c r="C137" i="7"/>
  <c r="C133" i="7"/>
  <c r="C132" i="7"/>
  <c r="C153" i="7"/>
  <c r="C117" i="7"/>
  <c r="C118" i="7"/>
  <c r="C110" i="7"/>
  <c r="C105" i="7" l="1"/>
  <c r="C111" i="7"/>
  <c r="C106" i="7" l="1"/>
  <c r="C112" i="7"/>
  <c r="C113" i="7" l="1"/>
  <c r="D9" i="6" l="1"/>
  <c r="D10" i="6" s="1"/>
  <c r="D11" i="6" s="1"/>
  <c r="D12" i="6" s="1"/>
  <c r="D13" i="6" s="1"/>
  <c r="D14" i="6" s="1"/>
  <c r="D15" i="6" s="1"/>
  <c r="D16" i="6" s="1"/>
  <c r="D17" i="6" s="1"/>
  <c r="D18" i="6" s="1"/>
  <c r="D19" i="6"/>
  <c r="D20" i="6" s="1"/>
  <c r="D21" i="6" s="1"/>
  <c r="D22" i="6" s="1"/>
  <c r="D23" i="6" s="1"/>
  <c r="D24" i="6" s="1"/>
  <c r="D25" i="6" s="1"/>
  <c r="D26" i="6" s="1"/>
  <c r="D27" i="6" s="1"/>
  <c r="D28" i="6" s="1"/>
  <c r="D29" i="6" s="1"/>
  <c r="D30" i="6" s="1"/>
  <c r="D31" i="6" s="1"/>
  <c r="D32" i="6" s="1"/>
  <c r="D33" i="6" s="1"/>
  <c r="D34" i="6"/>
  <c r="D35" i="6" s="1"/>
  <c r="D36" i="6" s="1"/>
  <c r="D37" i="6" s="1"/>
  <c r="D38" i="6" s="1"/>
  <c r="D39" i="6" s="1"/>
  <c r="D40" i="6" s="1"/>
  <c r="D41" i="6" s="1"/>
  <c r="D42" i="6" s="1"/>
  <c r="D43" i="6" s="1"/>
  <c r="D44" i="6" s="1"/>
  <c r="D45" i="6" s="1"/>
  <c r="D46" i="6" s="1"/>
  <c r="D47" i="6" s="1"/>
  <c r="D48" i="6" s="1"/>
  <c r="D49" i="6" s="1"/>
  <c r="D50" i="6" s="1"/>
  <c r="D51" i="6" s="1"/>
  <c r="D52" i="6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D70" i="6" s="1"/>
  <c r="D71" i="6" s="1"/>
  <c r="D77" i="6"/>
  <c r="D78" i="6" s="1"/>
  <c r="D79" i="6" s="1"/>
  <c r="D80" i="6" s="1"/>
  <c r="D81" i="6" s="1"/>
  <c r="D82" i="6" s="1"/>
  <c r="D83" i="6" s="1"/>
  <c r="D84" i="6" s="1"/>
  <c r="D85" i="6" s="1"/>
  <c r="D86" i="6" s="1"/>
  <c r="D87" i="6" s="1"/>
  <c r="D88" i="6" s="1"/>
  <c r="D93" i="6"/>
  <c r="D94" i="6" s="1"/>
  <c r="D95" i="6" s="1"/>
  <c r="D96" i="6" s="1"/>
  <c r="D97" i="6" s="1"/>
  <c r="D98" i="6" s="1"/>
  <c r="D99" i="6" s="1"/>
  <c r="D100" i="6" s="1"/>
  <c r="D101" i="6" s="1"/>
  <c r="D102" i="6" s="1"/>
  <c r="D103" i="6" s="1"/>
  <c r="D104" i="6" s="1"/>
  <c r="D105" i="6" s="1"/>
  <c r="D106" i="6" s="1"/>
  <c r="D107" i="6" s="1"/>
  <c r="D108" i="6" s="1"/>
  <c r="D109" i="6" s="1"/>
  <c r="D110" i="6" s="1"/>
  <c r="D111" i="6" s="1"/>
  <c r="D112" i="6" s="1"/>
  <c r="D113" i="6" s="1"/>
  <c r="D114" i="6" s="1"/>
  <c r="D115" i="6" s="1"/>
  <c r="D116" i="6" s="1"/>
  <c r="D117" i="6"/>
  <c r="D118" i="6" s="1"/>
  <c r="D119" i="6" s="1"/>
  <c r="D120" i="6" s="1"/>
  <c r="D121" i="6" s="1"/>
  <c r="D122" i="6" s="1"/>
  <c r="D123" i="6" s="1"/>
  <c r="D124" i="6" s="1"/>
  <c r="D125" i="6" s="1"/>
  <c r="D126" i="6" s="1"/>
  <c r="D127" i="6" s="1"/>
  <c r="D128" i="6" s="1"/>
  <c r="D129" i="6"/>
  <c r="D130" i="6" s="1"/>
  <c r="D131" i="6" s="1"/>
  <c r="D132" i="6" s="1"/>
  <c r="D133" i="6" s="1"/>
  <c r="D134" i="6" s="1"/>
  <c r="D135" i="6" s="1"/>
  <c r="D136" i="6" s="1"/>
  <c r="D137" i="6" s="1"/>
  <c r="D138" i="6" s="1"/>
  <c r="D139" i="6" s="1"/>
  <c r="D140" i="6" s="1"/>
  <c r="D141" i="6" s="1"/>
  <c r="D142" i="6" s="1"/>
  <c r="D143" i="6" s="1"/>
  <c r="D144" i="6" s="1"/>
  <c r="D145" i="6"/>
  <c r="D146" i="6" s="1"/>
  <c r="D147" i="6" s="1"/>
  <c r="D148" i="6" s="1"/>
  <c r="D149" i="6" s="1"/>
  <c r="D150" i="6" s="1"/>
  <c r="D151" i="6" s="1"/>
  <c r="D152" i="6" s="1"/>
  <c r="D153" i="6" s="1"/>
  <c r="D154" i="6" s="1"/>
  <c r="D155" i="6" s="1"/>
  <c r="D156" i="6" s="1"/>
  <c r="D157" i="6"/>
  <c r="D158" i="6" s="1"/>
  <c r="D159" i="6" s="1"/>
  <c r="D160" i="6" s="1"/>
  <c r="D161" i="6" s="1"/>
  <c r="D162" i="6" s="1"/>
  <c r="D163" i="6"/>
  <c r="D164" i="6" s="1"/>
  <c r="D165" i="6" s="1"/>
  <c r="D166" i="6" s="1"/>
  <c r="D167" i="6" s="1"/>
  <c r="D168" i="6" s="1"/>
  <c r="D169" i="6" s="1"/>
  <c r="D170" i="6"/>
  <c r="D171" i="6" s="1"/>
  <c r="D172" i="6" s="1"/>
  <c r="D177" i="6"/>
  <c r="D178" i="6" s="1"/>
  <c r="D179" i="6" s="1"/>
  <c r="D180" i="6" s="1"/>
  <c r="D185" i="6"/>
  <c r="D186" i="6" s="1"/>
  <c r="D187" i="6" s="1"/>
  <c r="D188" i="6" s="1"/>
  <c r="D189" i="6" s="1"/>
  <c r="D205" i="6"/>
  <c r="D206" i="6" s="1"/>
  <c r="D207" i="6" s="1"/>
  <c r="D208" i="6" s="1"/>
  <c r="D209" i="6" s="1"/>
  <c r="D210" i="6" s="1"/>
  <c r="D211" i="6" s="1"/>
  <c r="D212" i="6" s="1"/>
  <c r="D213" i="6"/>
  <c r="D214" i="6" s="1"/>
  <c r="D215" i="6" s="1"/>
  <c r="D216" i="6" s="1"/>
  <c r="D217" i="6" s="1"/>
  <c r="D218" i="6" s="1"/>
  <c r="D219" i="6" s="1"/>
  <c r="D220" i="6" s="1"/>
  <c r="D221" i="6" s="1"/>
  <c r="D238" i="6"/>
  <c r="D260" i="6"/>
  <c r="D261" i="6" s="1"/>
  <c r="D262" i="6" s="1"/>
  <c r="D263" i="6" s="1"/>
  <c r="D264" i="6" s="1"/>
  <c r="D275" i="6"/>
  <c r="D276" i="6" s="1"/>
  <c r="D277" i="6" s="1"/>
  <c r="D278" i="6" s="1"/>
  <c r="D279" i="6" s="1"/>
  <c r="D280" i="6" s="1"/>
  <c r="D281" i="6" s="1"/>
  <c r="D282" i="6" s="1"/>
  <c r="D283" i="6" s="1"/>
  <c r="D284" i="6" s="1"/>
  <c r="D285" i="6" s="1"/>
  <c r="D286" i="6" s="1"/>
  <c r="D287" i="6"/>
  <c r="D288" i="6" s="1"/>
  <c r="D289" i="6" s="1"/>
  <c r="D290" i="6" s="1"/>
  <c r="D291" i="6" s="1"/>
  <c r="D292" i="6" s="1"/>
  <c r="D293" i="6" s="1"/>
  <c r="D294" i="6" s="1"/>
  <c r="D295" i="6" s="1"/>
  <c r="D296" i="6" s="1"/>
  <c r="D297" i="6"/>
  <c r="D298" i="6" s="1"/>
  <c r="D299" i="6" s="1"/>
  <c r="D300" i="6" s="1"/>
  <c r="D301" i="6" s="1"/>
  <c r="D302" i="6" s="1"/>
  <c r="D303" i="6" s="1"/>
  <c r="D304" i="6" s="1"/>
  <c r="D305" i="6" s="1"/>
  <c r="D306" i="6" s="1"/>
  <c r="D307" i="6"/>
  <c r="D308" i="6" s="1"/>
  <c r="D309" i="6" s="1"/>
  <c r="D310" i="6" s="1"/>
  <c r="D311" i="6" s="1"/>
  <c r="D327" i="6"/>
  <c r="D328" i="6" s="1"/>
  <c r="D329" i="6" s="1"/>
  <c r="D330" i="6" s="1"/>
  <c r="D331" i="6" s="1"/>
  <c r="D332" i="6"/>
  <c r="D333" i="6" s="1"/>
  <c r="D334" i="6" s="1"/>
  <c r="D335" i="6" s="1"/>
  <c r="D336" i="6" s="1"/>
  <c r="D337" i="6" s="1"/>
  <c r="D338" i="6" s="1"/>
  <c r="D339" i="6" s="1"/>
  <c r="D340" i="6" s="1"/>
  <c r="D341" i="6" s="1"/>
  <c r="D342" i="6" s="1"/>
  <c r="D343" i="6" s="1"/>
  <c r="D344" i="6" s="1"/>
  <c r="D345" i="6"/>
  <c r="D346" i="6" s="1"/>
  <c r="D347" i="6" s="1"/>
  <c r="D348" i="6" s="1"/>
  <c r="D349" i="6" s="1"/>
  <c r="D350" i="6" s="1"/>
  <c r="D351" i="6" s="1"/>
  <c r="D352" i="6" s="1"/>
  <c r="D353" i="6" s="1"/>
  <c r="D354" i="6" s="1"/>
  <c r="D355" i="6" s="1"/>
  <c r="D356" i="6" s="1"/>
  <c r="D357" i="6" s="1"/>
  <c r="D358" i="6" s="1"/>
  <c r="D359" i="6" s="1"/>
  <c r="D360" i="6" s="1"/>
  <c r="D361" i="6" s="1"/>
  <c r="D362" i="6" s="1"/>
  <c r="D363" i="6" s="1"/>
  <c r="D364" i="6" s="1"/>
  <c r="D365" i="6" s="1"/>
  <c r="D366" i="6" s="1"/>
  <c r="D367" i="6" s="1"/>
  <c r="D368" i="6" s="1"/>
  <c r="D369" i="6" s="1"/>
  <c r="D370" i="6" s="1"/>
  <c r="D371" i="6" s="1"/>
  <c r="D372" i="6" s="1"/>
  <c r="D373" i="6" s="1"/>
  <c r="D374" i="6" s="1"/>
  <c r="D375" i="6" s="1"/>
  <c r="D376" i="6" s="1"/>
  <c r="D377" i="6" s="1"/>
  <c r="D378" i="6" s="1"/>
  <c r="D379" i="6" s="1"/>
  <c r="D380" i="6" s="1"/>
  <c r="D381" i="6" s="1"/>
  <c r="D382" i="6" s="1"/>
  <c r="D383" i="6" s="1"/>
  <c r="D384" i="6" s="1"/>
  <c r="D385" i="6" s="1"/>
  <c r="D386" i="6" s="1"/>
  <c r="D387" i="6" s="1"/>
  <c r="D388" i="6" s="1"/>
  <c r="D389" i="6" s="1"/>
  <c r="D390" i="6" s="1"/>
  <c r="D391" i="6" s="1"/>
  <c r="D392" i="6" s="1"/>
  <c r="D393" i="6" s="1"/>
  <c r="D394" i="6" s="1"/>
  <c r="D395" i="6" s="1"/>
  <c r="D396" i="6" s="1"/>
  <c r="D397" i="6" s="1"/>
  <c r="D398" i="6" s="1"/>
  <c r="D399" i="6" s="1"/>
  <c r="D400" i="6" s="1"/>
  <c r="D401" i="6" s="1"/>
  <c r="D402" i="6" s="1"/>
  <c r="D403" i="6" s="1"/>
  <c r="D404" i="6" s="1"/>
  <c r="D405" i="6" s="1"/>
  <c r="D406" i="6" s="1"/>
  <c r="D407" i="6" s="1"/>
  <c r="D408" i="6" s="1"/>
  <c r="D409" i="6" s="1"/>
  <c r="D410" i="6" s="1"/>
  <c r="D411" i="6" s="1"/>
  <c r="D412" i="6" s="1"/>
  <c r="D413" i="6" s="1"/>
  <c r="D414" i="6" s="1"/>
  <c r="D415" i="6" s="1"/>
  <c r="D416" i="6" s="1"/>
  <c r="D417" i="6" s="1"/>
  <c r="D418" i="6" s="1"/>
  <c r="D419" i="6" s="1"/>
  <c r="D420" i="6" s="1"/>
  <c r="D421" i="6" s="1"/>
  <c r="D422" i="6" s="1"/>
  <c r="D423" i="6" s="1"/>
  <c r="D424" i="6" s="1"/>
  <c r="D425" i="6" s="1"/>
  <c r="D426" i="6" s="1"/>
  <c r="D427" i="6" s="1"/>
  <c r="D428" i="6" s="1"/>
  <c r="D429" i="6" s="1"/>
  <c r="D430" i="6" s="1"/>
  <c r="D431" i="6" s="1"/>
  <c r="D432" i="6" s="1"/>
  <c r="D433" i="6" s="1"/>
  <c r="D434" i="6" s="1"/>
  <c r="D435" i="6" s="1"/>
  <c r="D436" i="6" s="1"/>
  <c r="D437" i="6" s="1"/>
  <c r="D438" i="6" s="1"/>
  <c r="D439" i="6" s="1"/>
  <c r="D440" i="6" s="1"/>
  <c r="D441" i="6" s="1"/>
  <c r="D442" i="6" s="1"/>
  <c r="D443" i="6" s="1"/>
  <c r="D444" i="6" s="1"/>
  <c r="D445" i="6" s="1"/>
  <c r="D446" i="6" s="1"/>
  <c r="D447" i="6" s="1"/>
  <c r="D448" i="6" s="1"/>
  <c r="D449" i="6" s="1"/>
  <c r="D450" i="6" s="1"/>
  <c r="D451" i="6" s="1"/>
  <c r="D452" i="6" s="1"/>
  <c r="D453" i="6" s="1"/>
  <c r="D454" i="6" s="1"/>
  <c r="D455" i="6" s="1"/>
  <c r="D456" i="6" s="1"/>
  <c r="D457" i="6" s="1"/>
  <c r="D458" i="6" s="1"/>
  <c r="D459" i="6" s="1"/>
  <c r="D460" i="6" s="1"/>
  <c r="D461" i="6" s="1"/>
  <c r="D462" i="6" s="1"/>
  <c r="D463" i="6" s="1"/>
  <c r="D464" i="6" s="1"/>
  <c r="D465" i="6" s="1"/>
  <c r="D466" i="6" s="1"/>
  <c r="D467" i="6" s="1"/>
  <c r="D468" i="6" s="1"/>
  <c r="D469" i="6" s="1"/>
  <c r="D470" i="6" s="1"/>
  <c r="D471" i="6" s="1"/>
  <c r="D472" i="6" s="1"/>
  <c r="D473" i="6" s="1"/>
  <c r="D474" i="6" s="1"/>
  <c r="D475" i="6" s="1"/>
  <c r="D476" i="6" s="1"/>
  <c r="D477" i="6" s="1"/>
  <c r="D478" i="6" s="1"/>
  <c r="D479" i="6" s="1"/>
  <c r="D480" i="6" s="1"/>
  <c r="D481" i="6" s="1"/>
  <c r="D482" i="6" s="1"/>
  <c r="D483" i="6" s="1"/>
  <c r="D484" i="6" s="1"/>
  <c r="D485" i="6" s="1"/>
  <c r="D486" i="6" s="1"/>
  <c r="D487" i="6" s="1"/>
  <c r="D488" i="6" s="1"/>
  <c r="D489" i="6" s="1"/>
  <c r="D490" i="6" s="1"/>
  <c r="D491" i="6" s="1"/>
  <c r="D492" i="6" s="1"/>
  <c r="D493" i="6" s="1"/>
  <c r="D494" i="6" s="1"/>
  <c r="D495" i="6" s="1"/>
  <c r="D496" i="6" s="1"/>
  <c r="D497" i="6" s="1"/>
  <c r="D498" i="6" s="1"/>
  <c r="D499" i="6" s="1"/>
  <c r="D500" i="6" s="1"/>
  <c r="D501" i="6" s="1"/>
  <c r="D502" i="6" s="1"/>
  <c r="D503" i="6" s="1"/>
  <c r="D504" i="6" s="1"/>
  <c r="D505" i="6" s="1"/>
  <c r="D506" i="6" s="1"/>
  <c r="D507" i="6" s="1"/>
  <c r="D508" i="6" s="1"/>
  <c r="D509" i="6" s="1"/>
  <c r="D510" i="6" s="1"/>
  <c r="D511" i="6" s="1"/>
  <c r="D512" i="6" s="1"/>
  <c r="D513" i="6" s="1"/>
  <c r="D514" i="6" s="1"/>
  <c r="D515" i="6" s="1"/>
  <c r="D516" i="6" s="1"/>
  <c r="D517" i="6" s="1"/>
  <c r="D518" i="6" s="1"/>
  <c r="D519" i="6" s="1"/>
  <c r="D520" i="6" s="1"/>
  <c r="D521" i="6" s="1"/>
  <c r="D522" i="6" s="1"/>
  <c r="D523" i="6" s="1"/>
  <c r="D524" i="6" s="1"/>
  <c r="D525" i="6" s="1"/>
  <c r="D526" i="6" s="1"/>
  <c r="D527" i="6" s="1"/>
  <c r="D528" i="6" s="1"/>
  <c r="D529" i="6" s="1"/>
  <c r="D530" i="6" s="1"/>
  <c r="D531" i="6" s="1"/>
  <c r="D532" i="6" s="1"/>
  <c r="D533" i="6" s="1"/>
  <c r="D534" i="6" s="1"/>
  <c r="D535" i="6" s="1"/>
  <c r="D536" i="6" s="1"/>
  <c r="D537" i="6" s="1"/>
  <c r="D538" i="6" s="1"/>
  <c r="D539" i="6" s="1"/>
  <c r="D540" i="6" s="1"/>
  <c r="D541" i="6" s="1"/>
  <c r="D542" i="6" s="1"/>
  <c r="D543" i="6" s="1"/>
  <c r="D544" i="6" s="1"/>
  <c r="D545" i="6" s="1"/>
  <c r="D546" i="6" s="1"/>
  <c r="D547" i="6" s="1"/>
  <c r="D548" i="6" s="1"/>
  <c r="D549" i="6" s="1"/>
  <c r="D550" i="6" s="1"/>
  <c r="D551" i="6" s="1"/>
  <c r="D552" i="6" s="1"/>
  <c r="D553" i="6" s="1"/>
  <c r="D554" i="6" s="1"/>
  <c r="D555" i="6" s="1"/>
  <c r="D556" i="6" s="1"/>
  <c r="D557" i="6" s="1"/>
  <c r="D558" i="6" s="1"/>
  <c r="D559" i="6" s="1"/>
  <c r="D560" i="6" s="1"/>
  <c r="D561" i="6" s="1"/>
  <c r="D562" i="6" s="1"/>
  <c r="D563" i="6" s="1"/>
  <c r="D564" i="6" s="1"/>
  <c r="D565" i="6" s="1"/>
  <c r="D566" i="6" s="1"/>
  <c r="D567" i="6" s="1"/>
  <c r="D568" i="6" s="1"/>
  <c r="D569" i="6" s="1"/>
  <c r="D570" i="6" s="1"/>
  <c r="D571" i="6" s="1"/>
  <c r="D572" i="6" s="1"/>
  <c r="D573" i="6" s="1"/>
  <c r="D574" i="6" s="1"/>
  <c r="D575" i="6" s="1"/>
  <c r="D576" i="6" s="1"/>
  <c r="D577" i="6" s="1"/>
  <c r="D578" i="6" s="1"/>
  <c r="D579" i="6" s="1"/>
  <c r="D580" i="6" s="1"/>
  <c r="D581" i="6" s="1"/>
  <c r="D582" i="6" s="1"/>
  <c r="D583" i="6" s="1"/>
  <c r="D584" i="6" s="1"/>
  <c r="D585" i="6" s="1"/>
  <c r="D586" i="6" s="1"/>
  <c r="D587" i="6" s="1"/>
  <c r="D588" i="6" s="1"/>
  <c r="D589" i="6" s="1"/>
  <c r="D590" i="6" s="1"/>
  <c r="D591" i="6" s="1"/>
  <c r="D592" i="6" s="1"/>
  <c r="D593" i="6" s="1"/>
  <c r="D594" i="6" s="1"/>
  <c r="D595" i="6" s="1"/>
  <c r="D596" i="6" s="1"/>
  <c r="D597" i="6" s="1"/>
  <c r="D598" i="6" s="1"/>
  <c r="D599" i="6" s="1"/>
  <c r="D600" i="6" s="1"/>
  <c r="D601" i="6" s="1"/>
  <c r="D602" i="6" s="1"/>
  <c r="D603" i="6" s="1"/>
  <c r="D604" i="6" s="1"/>
  <c r="D605" i="6" s="1"/>
  <c r="D606" i="6" s="1"/>
  <c r="D607" i="6" s="1"/>
  <c r="D608" i="6" s="1"/>
  <c r="D609" i="6" s="1"/>
  <c r="D610" i="6" s="1"/>
  <c r="D611" i="6" s="1"/>
  <c r="D612" i="6" s="1"/>
  <c r="D613" i="6" s="1"/>
  <c r="D614" i="6" s="1"/>
  <c r="D615" i="6" s="1"/>
  <c r="D616" i="6" s="1"/>
  <c r="D617" i="6" s="1"/>
  <c r="D618" i="6" s="1"/>
  <c r="D619" i="6" s="1"/>
  <c r="D620" i="6" s="1"/>
  <c r="D621" i="6" s="1"/>
  <c r="D622" i="6" s="1"/>
  <c r="D623" i="6" s="1"/>
  <c r="D624" i="6" s="1"/>
  <c r="D625" i="6" s="1"/>
  <c r="D626" i="6" s="1"/>
  <c r="D627" i="6" s="1"/>
  <c r="D628" i="6" s="1"/>
  <c r="D629" i="6" s="1"/>
  <c r="D630" i="6" s="1"/>
  <c r="D631" i="6" s="1"/>
  <c r="D632" i="6" s="1"/>
  <c r="D633" i="6" s="1"/>
  <c r="D634" i="6" s="1"/>
  <c r="D635" i="6" s="1"/>
  <c r="D636" i="6" s="1"/>
  <c r="D637" i="6" s="1"/>
  <c r="D638" i="6" s="1"/>
  <c r="D639" i="6" s="1"/>
  <c r="D640" i="6" s="1"/>
  <c r="D641" i="6" s="1"/>
  <c r="D642" i="6" s="1"/>
  <c r="D643" i="6" s="1"/>
  <c r="D644" i="6" s="1"/>
  <c r="D645" i="6" s="1"/>
  <c r="D646" i="6" s="1"/>
  <c r="D647" i="6" s="1"/>
  <c r="D648" i="6" s="1"/>
  <c r="D649" i="6" s="1"/>
  <c r="D650" i="6" s="1"/>
  <c r="D651" i="6" s="1"/>
  <c r="D652" i="6" s="1"/>
  <c r="D653" i="6" s="1"/>
  <c r="D654" i="6" s="1"/>
  <c r="D655" i="6" s="1"/>
  <c r="D656" i="6" s="1"/>
  <c r="D657" i="6" s="1"/>
  <c r="D658" i="6" s="1"/>
  <c r="D659" i="6" s="1"/>
  <c r="D660" i="6" s="1"/>
  <c r="D661" i="6" s="1"/>
  <c r="D662" i="6" s="1"/>
  <c r="D663" i="6" s="1"/>
  <c r="D664" i="6" s="1"/>
  <c r="D665" i="6" s="1"/>
  <c r="D666" i="6" s="1"/>
  <c r="D667" i="6" s="1"/>
  <c r="D668" i="6" s="1"/>
  <c r="D669" i="6" s="1"/>
  <c r="D670" i="6" s="1"/>
  <c r="D671" i="6" s="1"/>
  <c r="D672" i="6" s="1"/>
  <c r="D673" i="6" s="1"/>
  <c r="D674" i="6" s="1"/>
  <c r="D675" i="6" s="1"/>
  <c r="D676" i="6" s="1"/>
  <c r="D677" i="6" s="1"/>
  <c r="D678" i="6" s="1"/>
  <c r="D679" i="6" s="1"/>
  <c r="D680" i="6" s="1"/>
  <c r="D681" i="6" s="1"/>
  <c r="D682" i="6" s="1"/>
  <c r="D683" i="6" s="1"/>
  <c r="D684" i="6" s="1"/>
  <c r="D685" i="6" s="1"/>
  <c r="D686" i="6" s="1"/>
  <c r="D687" i="6" s="1"/>
  <c r="D688" i="6" s="1"/>
  <c r="D689" i="6" s="1"/>
  <c r="D690" i="6" s="1"/>
  <c r="D691" i="6" s="1"/>
  <c r="D692" i="6" s="1"/>
  <c r="D693" i="6" s="1"/>
  <c r="D694" i="6" s="1"/>
  <c r="D695" i="6" s="1"/>
  <c r="D696" i="6" s="1"/>
  <c r="D697" i="6" s="1"/>
  <c r="D698" i="6" s="1"/>
  <c r="D699" i="6" s="1"/>
  <c r="D700" i="6" s="1"/>
  <c r="D701" i="6" s="1"/>
  <c r="D702" i="6" s="1"/>
  <c r="D703" i="6" s="1"/>
  <c r="D704" i="6" s="1"/>
  <c r="D705" i="6" s="1"/>
  <c r="D706" i="6" s="1"/>
  <c r="D707" i="6" s="1"/>
  <c r="D708" i="6" s="1"/>
  <c r="D709" i="6" s="1"/>
  <c r="D710" i="6" s="1"/>
  <c r="D711" i="6" s="1"/>
  <c r="D712" i="6" s="1"/>
  <c r="D713" i="6" s="1"/>
  <c r="D714" i="6" s="1"/>
  <c r="D715" i="6" s="1"/>
  <c r="D716" i="6" s="1"/>
  <c r="D717" i="6" s="1"/>
  <c r="D718" i="6" s="1"/>
  <c r="D719" i="6" s="1"/>
  <c r="D720" i="6" s="1"/>
  <c r="D721" i="6" s="1"/>
  <c r="D722" i="6" s="1"/>
  <c r="D723" i="6" s="1"/>
  <c r="D724" i="6" s="1"/>
  <c r="D725" i="6" s="1"/>
  <c r="D726" i="6" s="1"/>
  <c r="D727" i="6" s="1"/>
  <c r="D728" i="6" s="1"/>
  <c r="D729" i="6" s="1"/>
  <c r="D730" i="6" s="1"/>
  <c r="D731" i="6" s="1"/>
  <c r="D732" i="6" s="1"/>
  <c r="D733" i="6" s="1"/>
  <c r="D734" i="6" s="1"/>
  <c r="D735" i="6" s="1"/>
  <c r="D736" i="6" s="1"/>
  <c r="D737" i="6" s="1"/>
  <c r="D738" i="6" s="1"/>
  <c r="D739" i="6" s="1"/>
  <c r="D740" i="6" s="1"/>
  <c r="D741" i="6" s="1"/>
  <c r="D742" i="6" s="1"/>
  <c r="D743" i="6" s="1"/>
  <c r="D744" i="6" s="1"/>
  <c r="D745" i="6" s="1"/>
  <c r="D746" i="6" s="1"/>
  <c r="D747" i="6" s="1"/>
  <c r="D748" i="6" s="1"/>
  <c r="D749" i="6" s="1"/>
  <c r="D750" i="6" s="1"/>
  <c r="D751" i="6" s="1"/>
  <c r="D752" i="6" s="1"/>
  <c r="D753" i="6" s="1"/>
  <c r="D754" i="6" s="1"/>
  <c r="D755" i="6" s="1"/>
  <c r="D756" i="6" s="1"/>
  <c r="D757" i="6" s="1"/>
  <c r="D758" i="6" s="1"/>
  <c r="D759" i="6" s="1"/>
  <c r="D760" i="6" s="1"/>
  <c r="D761" i="6" s="1"/>
  <c r="D762" i="6" s="1"/>
  <c r="D763" i="6" s="1"/>
  <c r="D764" i="6" s="1"/>
  <c r="D765" i="6" s="1"/>
  <c r="D766" i="6" s="1"/>
  <c r="D767" i="6" s="1"/>
  <c r="D768" i="6" s="1"/>
  <c r="D769" i="6" s="1"/>
  <c r="D770" i="6" s="1"/>
  <c r="D771" i="6" s="1"/>
  <c r="D772" i="6" s="1"/>
  <c r="D773" i="6" s="1"/>
  <c r="D774" i="6" s="1"/>
  <c r="D775" i="6" s="1"/>
  <c r="D776" i="6" s="1"/>
  <c r="D777" i="6" s="1"/>
  <c r="D778" i="6" s="1"/>
  <c r="D779" i="6" s="1"/>
  <c r="D780" i="6" s="1"/>
  <c r="D781" i="6" s="1"/>
  <c r="D782" i="6" s="1"/>
  <c r="D783" i="6" s="1"/>
  <c r="D784" i="6" s="1"/>
  <c r="D785" i="6" s="1"/>
  <c r="D786" i="6" s="1"/>
  <c r="D787" i="6" s="1"/>
  <c r="D788" i="6" s="1"/>
  <c r="D789" i="6" s="1"/>
  <c r="D790" i="6" s="1"/>
  <c r="D791" i="6" s="1"/>
  <c r="D792" i="6" s="1"/>
  <c r="D793" i="6" s="1"/>
  <c r="D794" i="6" s="1"/>
  <c r="D795" i="6" s="1"/>
  <c r="D796" i="6" s="1"/>
  <c r="D797" i="6" s="1"/>
  <c r="D798" i="6" s="1"/>
  <c r="D799" i="6" s="1"/>
  <c r="D800" i="6" s="1"/>
  <c r="D801" i="6" s="1"/>
  <c r="D802" i="6" s="1"/>
  <c r="D803" i="6" s="1"/>
  <c r="D804" i="6" s="1"/>
  <c r="D805" i="6" s="1"/>
  <c r="D806" i="6" s="1"/>
  <c r="D807" i="6" s="1"/>
  <c r="D808" i="6" s="1"/>
  <c r="D809" i="6" s="1"/>
  <c r="D810" i="6" s="1"/>
  <c r="D811" i="6" s="1"/>
  <c r="D812" i="6" s="1"/>
  <c r="D813" i="6" s="1"/>
  <c r="D814" i="6" s="1"/>
  <c r="D815" i="6" s="1"/>
  <c r="D816" i="6" s="1"/>
  <c r="D817" i="6" s="1"/>
  <c r="D818" i="6" s="1"/>
  <c r="D819" i="6" s="1"/>
  <c r="D820" i="6" s="1"/>
  <c r="D821" i="6" s="1"/>
  <c r="D822" i="6" s="1"/>
  <c r="D823" i="6" s="1"/>
  <c r="D824" i="6" s="1"/>
  <c r="D825" i="6" s="1"/>
  <c r="D826" i="6" s="1"/>
  <c r="D827" i="6" s="1"/>
  <c r="D828" i="6" s="1"/>
  <c r="D829" i="6" s="1"/>
  <c r="D830" i="6" s="1"/>
  <c r="D831" i="6" s="1"/>
  <c r="D832" i="6" s="1"/>
  <c r="D833" i="6" s="1"/>
  <c r="D834" i="6" s="1"/>
  <c r="D835" i="6" s="1"/>
  <c r="D836" i="6" s="1"/>
  <c r="D837" i="6" s="1"/>
  <c r="D838" i="6" s="1"/>
  <c r="D839" i="6" s="1"/>
  <c r="D840" i="6" s="1"/>
  <c r="D841" i="6" s="1"/>
  <c r="D842" i="6" s="1"/>
  <c r="D843" i="6" s="1"/>
  <c r="D844" i="6" s="1"/>
  <c r="D845" i="6" s="1"/>
  <c r="D846" i="6" s="1"/>
  <c r="D847" i="6" s="1"/>
  <c r="D848" i="6" s="1"/>
  <c r="D849" i="6" s="1"/>
  <c r="D850" i="6" s="1"/>
  <c r="D851" i="6" s="1"/>
  <c r="D852" i="6" s="1"/>
  <c r="D853" i="6" s="1"/>
  <c r="D854" i="6" s="1"/>
  <c r="D855" i="6" s="1"/>
  <c r="D856" i="6" s="1"/>
  <c r="D857" i="6" s="1"/>
  <c r="D858" i="6" s="1"/>
  <c r="D859" i="6" s="1"/>
  <c r="D860" i="6" s="1"/>
  <c r="D861" i="6" s="1"/>
  <c r="D862" i="6" s="1"/>
  <c r="D863" i="6" s="1"/>
  <c r="D864" i="6" s="1"/>
  <c r="D865" i="6" s="1"/>
  <c r="D866" i="6" s="1"/>
  <c r="D867" i="6" s="1"/>
  <c r="D868" i="6" s="1"/>
  <c r="D869" i="6" s="1"/>
  <c r="D870" i="6" s="1"/>
  <c r="D871" i="6" s="1"/>
  <c r="D872" i="6" s="1"/>
  <c r="D873" i="6" s="1"/>
  <c r="D874" i="6" s="1"/>
  <c r="D875" i="6" s="1"/>
  <c r="D876" i="6" s="1"/>
  <c r="D877" i="6" s="1"/>
  <c r="D878" i="6" s="1"/>
  <c r="D879" i="6" s="1"/>
  <c r="D880" i="6" s="1"/>
  <c r="D881" i="6" s="1"/>
  <c r="D882" i="6" s="1"/>
  <c r="D883" i="6" s="1"/>
  <c r="D884" i="6" s="1"/>
  <c r="D885" i="6" s="1"/>
  <c r="D886" i="6" s="1"/>
  <c r="D887" i="6" s="1"/>
  <c r="D888" i="6" s="1"/>
  <c r="D889" i="6" s="1"/>
  <c r="D890" i="6" s="1"/>
  <c r="D891" i="6" s="1"/>
  <c r="D892" i="6" s="1"/>
  <c r="D893" i="6" s="1"/>
  <c r="D894" i="6" s="1"/>
  <c r="D895" i="6" s="1"/>
  <c r="D896" i="6" s="1"/>
  <c r="D897" i="6" s="1"/>
  <c r="D898" i="6" s="1"/>
  <c r="D899" i="6" s="1"/>
  <c r="D900" i="6" s="1"/>
  <c r="D901" i="6" s="1"/>
  <c r="D902" i="6" s="1"/>
  <c r="D903" i="6" s="1"/>
  <c r="D904" i="6" s="1"/>
  <c r="D905" i="6" s="1"/>
  <c r="D906" i="6" s="1"/>
  <c r="D907" i="6" s="1"/>
  <c r="D908" i="6" s="1"/>
  <c r="D909" i="6" s="1"/>
  <c r="D910" i="6" s="1"/>
  <c r="D911" i="6" s="1"/>
  <c r="D912" i="6" s="1"/>
  <c r="D913" i="6" s="1"/>
  <c r="D914" i="6" s="1"/>
  <c r="D915" i="6" s="1"/>
  <c r="D916" i="6" s="1"/>
  <c r="D917" i="6" s="1"/>
  <c r="D918" i="6" s="1"/>
  <c r="D919" i="6" s="1"/>
  <c r="D920" i="6" s="1"/>
  <c r="D921" i="6" s="1"/>
  <c r="D922" i="6" s="1"/>
  <c r="D923" i="6" s="1"/>
  <c r="D924" i="6" s="1"/>
  <c r="D925" i="6" s="1"/>
  <c r="D926" i="6" s="1"/>
  <c r="D927" i="6" s="1"/>
  <c r="D928" i="6" s="1"/>
  <c r="D929" i="6" s="1"/>
  <c r="D930" i="6" s="1"/>
  <c r="D931" i="6" s="1"/>
  <c r="D932" i="6" s="1"/>
  <c r="D933" i="6" s="1"/>
  <c r="D934" i="6" s="1"/>
  <c r="D935" i="6" s="1"/>
  <c r="D936" i="6" s="1"/>
  <c r="D937" i="6" s="1"/>
  <c r="D938" i="6" s="1"/>
  <c r="D939" i="6" s="1"/>
  <c r="D940" i="6" s="1"/>
  <c r="D941" i="6" s="1"/>
  <c r="D942" i="6" s="1"/>
  <c r="D943" i="6" s="1"/>
  <c r="D944" i="6" s="1"/>
  <c r="D945" i="6" s="1"/>
  <c r="D946" i="6" s="1"/>
  <c r="D947" i="6" s="1"/>
  <c r="D948" i="6" s="1"/>
  <c r="D949" i="6" s="1"/>
  <c r="D950" i="6" s="1"/>
  <c r="D951" i="6" s="1"/>
  <c r="D952" i="6" s="1"/>
  <c r="D953" i="6" s="1"/>
  <c r="D954" i="6" s="1"/>
  <c r="D955" i="6" s="1"/>
  <c r="D956" i="6" s="1"/>
  <c r="D957" i="6" s="1"/>
  <c r="D958" i="6" s="1"/>
  <c r="D959" i="6" s="1"/>
  <c r="D960" i="6" s="1"/>
  <c r="D961" i="6" s="1"/>
  <c r="D962" i="6" s="1"/>
  <c r="D963" i="6" s="1"/>
  <c r="D964" i="6" s="1"/>
  <c r="D965" i="6" s="1"/>
  <c r="D966" i="6" s="1"/>
  <c r="D967" i="6" s="1"/>
  <c r="D968" i="6" s="1"/>
  <c r="D969" i="6" s="1"/>
  <c r="D970" i="6" s="1"/>
  <c r="D971" i="6" s="1"/>
  <c r="D972" i="6" s="1"/>
  <c r="D973" i="6" s="1"/>
  <c r="D974" i="6" s="1"/>
  <c r="D975" i="6" s="1"/>
  <c r="D976" i="6" s="1"/>
  <c r="D977" i="6" s="1"/>
  <c r="D978" i="6" s="1"/>
  <c r="D979" i="6" s="1"/>
  <c r="D980" i="6" s="1"/>
  <c r="D981" i="6" s="1"/>
  <c r="D982" i="6" s="1"/>
  <c r="D983" i="6" s="1"/>
  <c r="D984" i="6" s="1"/>
  <c r="D985" i="6" s="1"/>
  <c r="C18" i="6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O51" i="30" a="1"/>
  <c r="O51" i="30" s="1"/>
  <c r="N51" i="30" a="1"/>
  <c r="N51" i="30" s="1"/>
  <c r="M51" i="30" a="1"/>
  <c r="M51" i="30" s="1"/>
  <c r="L51" i="30" a="1"/>
  <c r="L51" i="30" s="1"/>
  <c r="K51" i="30" a="1"/>
  <c r="K51" i="30" s="1"/>
  <c r="J51" i="30" a="1"/>
  <c r="J51" i="30" s="1"/>
  <c r="I51" i="30" a="1"/>
  <c r="I51" i="30" s="1"/>
  <c r="H51" i="30" a="1"/>
  <c r="H51" i="30" s="1"/>
  <c r="G51" i="30" a="1"/>
  <c r="G51" i="30" s="1"/>
  <c r="O50" i="30" a="1"/>
  <c r="O50" i="30" s="1"/>
  <c r="N50" i="30" a="1"/>
  <c r="N50" i="30" s="1"/>
  <c r="M50" i="30" a="1"/>
  <c r="M50" i="30" s="1"/>
  <c r="L50" i="30" a="1"/>
  <c r="L50" i="30" s="1"/>
  <c r="K50" i="30" a="1"/>
  <c r="K50" i="30" s="1"/>
  <c r="J50" i="30" a="1"/>
  <c r="J50" i="30" s="1"/>
  <c r="I50" i="30" a="1"/>
  <c r="I50" i="30" s="1"/>
  <c r="H50" i="30" a="1"/>
  <c r="H50" i="30" s="1"/>
  <c r="G50" i="30" a="1"/>
  <c r="G50" i="30" s="1"/>
  <c r="O49" i="30" a="1"/>
  <c r="O49" i="30" s="1"/>
  <c r="N49" i="30" a="1"/>
  <c r="N49" i="30" s="1"/>
  <c r="M49" i="30" a="1"/>
  <c r="M49" i="30" s="1"/>
  <c r="L49" i="30" a="1"/>
  <c r="L49" i="30" s="1"/>
  <c r="K49" i="30" a="1"/>
  <c r="K49" i="30" s="1"/>
  <c r="J49" i="30" a="1"/>
  <c r="J49" i="30" s="1"/>
  <c r="I49" i="30" a="1"/>
  <c r="I49" i="30" s="1"/>
  <c r="H49" i="30" a="1"/>
  <c r="H49" i="30" s="1"/>
  <c r="G49" i="30" a="1"/>
  <c r="G49" i="30" s="1"/>
  <c r="F47" i="30"/>
  <c r="P47" i="30" s="1"/>
  <c r="F46" i="30"/>
  <c r="P46" i="30" s="1"/>
  <c r="F45" i="30"/>
  <c r="P45" i="30" s="1"/>
  <c r="F43" i="30"/>
  <c r="P43" i="30" s="1"/>
  <c r="F42" i="30"/>
  <c r="P42" i="30" s="1"/>
  <c r="F41" i="30"/>
  <c r="P41" i="30" s="1"/>
  <c r="F40" i="30"/>
  <c r="P40" i="30" s="1"/>
  <c r="F39" i="30"/>
  <c r="P39" i="30" s="1"/>
  <c r="F38" i="30"/>
  <c r="P38" i="30" s="1"/>
  <c r="F37" i="30"/>
  <c r="P37" i="30" s="1"/>
  <c r="F36" i="30"/>
  <c r="P36" i="30" s="1"/>
  <c r="F35" i="30"/>
  <c r="P35" i="30" s="1"/>
  <c r="F34" i="30"/>
  <c r="P34" i="30" s="1"/>
  <c r="F33" i="30"/>
  <c r="P33" i="30" s="1"/>
  <c r="F32" i="30"/>
  <c r="P32" i="30" s="1"/>
  <c r="F31" i="30"/>
  <c r="P31" i="30" s="1"/>
  <c r="F30" i="30"/>
  <c r="P30" i="30" s="1"/>
  <c r="F29" i="30"/>
  <c r="P29" i="30" s="1"/>
  <c r="F28" i="30"/>
  <c r="P28" i="30" s="1"/>
  <c r="P26" i="30" s="1"/>
  <c r="F27" i="30"/>
  <c r="P27" i="30" s="1"/>
  <c r="F25" i="30"/>
  <c r="P25" i="30" s="1"/>
  <c r="F24" i="30"/>
  <c r="P24" i="30" s="1"/>
  <c r="F23" i="30"/>
  <c r="P23" i="30" s="1"/>
  <c r="F22" i="30"/>
  <c r="P22" i="30" s="1"/>
  <c r="F21" i="30"/>
  <c r="P21" i="30" s="1"/>
  <c r="F20" i="30"/>
  <c r="P20" i="30" s="1"/>
  <c r="F19" i="30"/>
  <c r="P19" i="30" s="1"/>
  <c r="F18" i="30"/>
  <c r="P18" i="30" s="1"/>
  <c r="F17" i="30"/>
  <c r="P17" i="30" s="1"/>
  <c r="F16" i="30"/>
  <c r="P16" i="30" s="1"/>
  <c r="F15" i="30"/>
  <c r="P15" i="30" s="1"/>
  <c r="F14" i="30"/>
  <c r="P14" i="30" s="1"/>
  <c r="F13" i="30"/>
  <c r="P13" i="30" s="1"/>
  <c r="F12" i="30"/>
  <c r="P12" i="30" s="1"/>
  <c r="F11" i="30"/>
  <c r="P11" i="30" s="1"/>
  <c r="F10" i="30"/>
  <c r="P10" i="30" s="1"/>
  <c r="D2" i="30"/>
  <c r="D1" i="30"/>
  <c r="G92" i="29"/>
  <c r="E91" i="29"/>
  <c r="G91" i="29" s="1"/>
  <c r="C91" i="29"/>
  <c r="C92" i="29" s="1"/>
  <c r="E90" i="29"/>
  <c r="G89" i="29"/>
  <c r="G88" i="29"/>
  <c r="G87" i="29"/>
  <c r="G86" i="29"/>
  <c r="G84" i="29"/>
  <c r="G83" i="29"/>
  <c r="F82" i="29"/>
  <c r="G82" i="29" s="1"/>
  <c r="G81" i="29"/>
  <c r="G79" i="29"/>
  <c r="C79" i="29"/>
  <c r="C80" i="29" s="1"/>
  <c r="G77" i="29"/>
  <c r="G76" i="29"/>
  <c r="G75" i="29"/>
  <c r="G74" i="29"/>
  <c r="E72" i="29"/>
  <c r="G72" i="29" s="1"/>
  <c r="C72" i="29"/>
  <c r="G70" i="29"/>
  <c r="G69" i="29"/>
  <c r="G68" i="29"/>
  <c r="G67" i="29"/>
  <c r="G66" i="29"/>
  <c r="E65" i="29"/>
  <c r="G65" i="29" s="1"/>
  <c r="C65" i="29"/>
  <c r="C66" i="29" s="1"/>
  <c r="C67" i="29" s="1"/>
  <c r="C68" i="29" s="1"/>
  <c r="C69" i="29" s="1"/>
  <c r="C70" i="29" s="1"/>
  <c r="G63" i="29"/>
  <c r="G62" i="29"/>
  <c r="G61" i="29"/>
  <c r="G60" i="29"/>
  <c r="G59" i="29"/>
  <c r="G58" i="29"/>
  <c r="G57" i="29"/>
  <c r="G56" i="29"/>
  <c r="G55" i="29"/>
  <c r="G53" i="29"/>
  <c r="G52" i="29"/>
  <c r="G51" i="29"/>
  <c r="G50" i="29"/>
  <c r="G49" i="29"/>
  <c r="G48" i="29"/>
  <c r="G47" i="29"/>
  <c r="G46" i="29"/>
  <c r="C46" i="29"/>
  <c r="C47" i="29" s="1"/>
  <c r="C48" i="29" s="1"/>
  <c r="C49" i="29" s="1"/>
  <c r="C50" i="29" s="1"/>
  <c r="C51" i="29" s="1"/>
  <c r="C52" i="29" s="1"/>
  <c r="C53" i="29" s="1"/>
  <c r="C54" i="29" s="1"/>
  <c r="C55" i="29" s="1"/>
  <c r="C56" i="29" s="1"/>
  <c r="C57" i="29" s="1"/>
  <c r="C58" i="29" s="1"/>
  <c r="C59" i="29" s="1"/>
  <c r="C60" i="29" s="1"/>
  <c r="C61" i="29" s="1"/>
  <c r="C62" i="29" s="1"/>
  <c r="C63" i="29" s="1"/>
  <c r="E45" i="29"/>
  <c r="F54" i="29" s="1"/>
  <c r="G54" i="29" s="1"/>
  <c r="B45" i="29"/>
  <c r="B46" i="29" s="1"/>
  <c r="B47" i="29" s="1"/>
  <c r="B48" i="29" s="1"/>
  <c r="B49" i="29" s="1"/>
  <c r="B50" i="29" s="1"/>
  <c r="B51" i="29" s="1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B62" i="29" s="1"/>
  <c r="B63" i="29" s="1"/>
  <c r="B64" i="29" s="1"/>
  <c r="B65" i="29" s="1"/>
  <c r="B66" i="29" s="1"/>
  <c r="B67" i="29" s="1"/>
  <c r="B68" i="29" s="1"/>
  <c r="B69" i="29" s="1"/>
  <c r="B70" i="29" s="1"/>
  <c r="B71" i="29" s="1"/>
  <c r="B72" i="29" s="1"/>
  <c r="G43" i="29"/>
  <c r="G42" i="29"/>
  <c r="G41" i="29"/>
  <c r="G40" i="29"/>
  <c r="G39" i="29"/>
  <c r="G38" i="29"/>
  <c r="C38" i="29"/>
  <c r="C39" i="29" s="1"/>
  <c r="C40" i="29" s="1"/>
  <c r="C41" i="29" s="1"/>
  <c r="C42" i="29" s="1"/>
  <c r="C43" i="29" s="1"/>
  <c r="E37" i="29"/>
  <c r="G36" i="29"/>
  <c r="G35" i="29"/>
  <c r="E34" i="29"/>
  <c r="G34" i="29" s="1"/>
  <c r="G33" i="29" s="1"/>
  <c r="C34" i="29"/>
  <c r="C35" i="29" s="1"/>
  <c r="C36" i="29" s="1"/>
  <c r="G32" i="29"/>
  <c r="G31" i="29" s="1"/>
  <c r="C32" i="29"/>
  <c r="E31" i="29"/>
  <c r="G30" i="29"/>
  <c r="G29" i="29"/>
  <c r="G28" i="29"/>
  <c r="G27" i="29"/>
  <c r="E26" i="29"/>
  <c r="G26" i="29" s="1"/>
  <c r="C26" i="29"/>
  <c r="C27" i="29" s="1"/>
  <c r="C28" i="29" s="1"/>
  <c r="C29" i="29" s="1"/>
  <c r="C30" i="29" s="1"/>
  <c r="G24" i="29"/>
  <c r="G23" i="29"/>
  <c r="G22" i="29"/>
  <c r="C22" i="29"/>
  <c r="C24" i="29" s="1"/>
  <c r="G20" i="29"/>
  <c r="G19" i="29"/>
  <c r="G18" i="29"/>
  <c r="G17" i="29"/>
  <c r="G16" i="29"/>
  <c r="G15" i="29"/>
  <c r="F14" i="29"/>
  <c r="G14" i="29" s="1"/>
  <c r="C14" i="29"/>
  <c r="C15" i="29" s="1"/>
  <c r="C16" i="29" s="1"/>
  <c r="C17" i="29" s="1"/>
  <c r="C18" i="29" s="1"/>
  <c r="C19" i="29" s="1"/>
  <c r="C20" i="29" s="1"/>
  <c r="B13" i="29"/>
  <c r="B14" i="29" s="1"/>
  <c r="B15" i="29" s="1"/>
  <c r="B16" i="29" s="1"/>
  <c r="B17" i="29" s="1"/>
  <c r="B18" i="29" s="1"/>
  <c r="B19" i="29" s="1"/>
  <c r="B20" i="29" s="1"/>
  <c r="B21" i="29" s="1"/>
  <c r="B22" i="29" s="1"/>
  <c r="C8" i="29"/>
  <c r="C2" i="29"/>
  <c r="C1" i="29"/>
  <c r="J20" i="28"/>
  <c r="M9" i="28" s="1"/>
  <c r="N9" i="28" s="1"/>
  <c r="G20" i="28"/>
  <c r="A20" i="28"/>
  <c r="E18" i="28"/>
  <c r="A18" i="28"/>
  <c r="G16" i="28"/>
  <c r="J16" i="28" s="1"/>
  <c r="G15" i="28"/>
  <c r="J15" i="28" s="1"/>
  <c r="G14" i="28"/>
  <c r="J14" i="28" s="1"/>
  <c r="J13" i="28"/>
  <c r="G13" i="28"/>
  <c r="G12" i="28"/>
  <c r="J12" i="28" s="1"/>
  <c r="E11" i="28"/>
  <c r="E10" i="28"/>
  <c r="G10" i="28" s="1"/>
  <c r="J10" i="28" s="1"/>
  <c r="E9" i="28"/>
  <c r="E8" i="28"/>
  <c r="A8" i="28"/>
  <c r="E155" i="27"/>
  <c r="E154" i="27"/>
  <c r="E141" i="27"/>
  <c r="E140" i="27"/>
  <c r="E139" i="27"/>
  <c r="E92" i="27"/>
  <c r="E88" i="27"/>
  <c r="E87" i="27"/>
  <c r="E78" i="27"/>
  <c r="E73" i="27"/>
  <c r="E65" i="27"/>
  <c r="E59" i="27"/>
  <c r="H156" i="26"/>
  <c r="G156" i="26"/>
  <c r="J156" i="26" s="1"/>
  <c r="H155" i="26"/>
  <c r="G155" i="26"/>
  <c r="J155" i="26" s="1"/>
  <c r="H154" i="26"/>
  <c r="G154" i="26"/>
  <c r="J154" i="26" s="1"/>
  <c r="J153" i="26"/>
  <c r="H153" i="26"/>
  <c r="G153" i="26"/>
  <c r="H152" i="26"/>
  <c r="G152" i="26"/>
  <c r="J152" i="26" s="1"/>
  <c r="H151" i="26"/>
  <c r="G151" i="26"/>
  <c r="J151" i="26" s="1"/>
  <c r="H150" i="26"/>
  <c r="J150" i="26" s="1"/>
  <c r="G150" i="26"/>
  <c r="H149" i="26"/>
  <c r="G149" i="26"/>
  <c r="J149" i="26" s="1"/>
  <c r="H148" i="26"/>
  <c r="G148" i="26"/>
  <c r="J148" i="26" s="1"/>
  <c r="H147" i="26"/>
  <c r="G147" i="26"/>
  <c r="J147" i="26" s="1"/>
  <c r="H146" i="26"/>
  <c r="G146" i="26"/>
  <c r="J146" i="26" s="1"/>
  <c r="H145" i="26"/>
  <c r="J145" i="26" s="1"/>
  <c r="G145" i="26"/>
  <c r="H144" i="26"/>
  <c r="G144" i="26"/>
  <c r="J144" i="26" s="1"/>
  <c r="H143" i="26"/>
  <c r="G143" i="26"/>
  <c r="J143" i="26" s="1"/>
  <c r="J142" i="26"/>
  <c r="H142" i="26"/>
  <c r="G142" i="26"/>
  <c r="H141" i="26"/>
  <c r="G141" i="26"/>
  <c r="J141" i="26" s="1"/>
  <c r="H140" i="26"/>
  <c r="G140" i="26"/>
  <c r="J140" i="26" s="1"/>
  <c r="H139" i="26"/>
  <c r="G139" i="26"/>
  <c r="J139" i="26" s="1"/>
  <c r="A139" i="26"/>
  <c r="A140" i="26" s="1"/>
  <c r="A141" i="26" s="1"/>
  <c r="A142" i="26" s="1"/>
  <c r="A143" i="26" s="1"/>
  <c r="A144" i="26" s="1"/>
  <c r="A145" i="26" s="1"/>
  <c r="A146" i="26" s="1"/>
  <c r="A147" i="26" s="1"/>
  <c r="A148" i="26" s="1"/>
  <c r="A149" i="26" s="1"/>
  <c r="A150" i="26" s="1"/>
  <c r="A151" i="26" s="1"/>
  <c r="A152" i="26" s="1"/>
  <c r="A153" i="26" s="1"/>
  <c r="A154" i="26" s="1"/>
  <c r="A155" i="26" s="1"/>
  <c r="A156" i="26" s="1"/>
  <c r="J138" i="26"/>
  <c r="H138" i="26"/>
  <c r="G138" i="26"/>
  <c r="J137" i="26"/>
  <c r="H137" i="26"/>
  <c r="G137" i="26"/>
  <c r="H136" i="26"/>
  <c r="G136" i="26"/>
  <c r="J136" i="26" s="1"/>
  <c r="H135" i="26"/>
  <c r="G135" i="26"/>
  <c r="J135" i="26" s="1"/>
  <c r="H134" i="26"/>
  <c r="J134" i="26" s="1"/>
  <c r="G134" i="26"/>
  <c r="H133" i="26"/>
  <c r="G133" i="26"/>
  <c r="J133" i="26" s="1"/>
  <c r="H132" i="26"/>
  <c r="G132" i="26"/>
  <c r="J132" i="26" s="1"/>
  <c r="H131" i="26"/>
  <c r="G131" i="26"/>
  <c r="J131" i="26" s="1"/>
  <c r="H130" i="26"/>
  <c r="G130" i="26"/>
  <c r="J130" i="26" s="1"/>
  <c r="J129" i="26"/>
  <c r="H129" i="26"/>
  <c r="G129" i="26"/>
  <c r="H128" i="26"/>
  <c r="G128" i="26"/>
  <c r="J128" i="26" s="1"/>
  <c r="H127" i="26"/>
  <c r="G127" i="26"/>
  <c r="J127" i="26" s="1"/>
  <c r="J126" i="26"/>
  <c r="H126" i="26"/>
  <c r="G126" i="26"/>
  <c r="H125" i="26"/>
  <c r="G125" i="26"/>
  <c r="J125" i="26" s="1"/>
  <c r="H124" i="26"/>
  <c r="G124" i="26"/>
  <c r="J124" i="26" s="1"/>
  <c r="H123" i="26"/>
  <c r="G123" i="26"/>
  <c r="J123" i="26" s="1"/>
  <c r="H122" i="26"/>
  <c r="G122" i="26"/>
  <c r="J122" i="26" s="1"/>
  <c r="J121" i="26"/>
  <c r="H121" i="26"/>
  <c r="G121" i="26"/>
  <c r="H120" i="26"/>
  <c r="G120" i="26"/>
  <c r="J120" i="26" s="1"/>
  <c r="H119" i="26"/>
  <c r="G119" i="26"/>
  <c r="J119" i="26" s="1"/>
  <c r="A119" i="26"/>
  <c r="A120" i="26" s="1"/>
  <c r="A121" i="26" s="1"/>
  <c r="A122" i="26" s="1"/>
  <c r="A123" i="26" s="1"/>
  <c r="A124" i="26" s="1"/>
  <c r="A125" i="26" s="1"/>
  <c r="A126" i="26" s="1"/>
  <c r="A127" i="26" s="1"/>
  <c r="A128" i="26" s="1"/>
  <c r="A129" i="26" s="1"/>
  <c r="A130" i="26" s="1"/>
  <c r="A131" i="26" s="1"/>
  <c r="A132" i="26" s="1"/>
  <c r="A133" i="26" s="1"/>
  <c r="A134" i="26" s="1"/>
  <c r="A135" i="26" s="1"/>
  <c r="A136" i="26" s="1"/>
  <c r="A137" i="26" s="1"/>
  <c r="A138" i="26" s="1"/>
  <c r="H118" i="26"/>
  <c r="J118" i="26" s="1"/>
  <c r="G118" i="26"/>
  <c r="H117" i="26"/>
  <c r="G117" i="26"/>
  <c r="J117" i="26" s="1"/>
  <c r="H116" i="26"/>
  <c r="G116" i="26"/>
  <c r="J116" i="26" s="1"/>
  <c r="H115" i="26"/>
  <c r="G115" i="26"/>
  <c r="J115" i="26" s="1"/>
  <c r="H114" i="26"/>
  <c r="G114" i="26"/>
  <c r="J114" i="26" s="1"/>
  <c r="H113" i="26"/>
  <c r="J113" i="26" s="1"/>
  <c r="G113" i="26"/>
  <c r="H112" i="26"/>
  <c r="G112" i="26"/>
  <c r="J112" i="26" s="1"/>
  <c r="H111" i="26"/>
  <c r="G111" i="26"/>
  <c r="J111" i="26" s="1"/>
  <c r="J110" i="26"/>
  <c r="H110" i="26"/>
  <c r="G110" i="26"/>
  <c r="H109" i="26"/>
  <c r="G109" i="26"/>
  <c r="J109" i="26" s="1"/>
  <c r="H108" i="26"/>
  <c r="G108" i="26"/>
  <c r="J108" i="26" s="1"/>
  <c r="H107" i="26"/>
  <c r="G107" i="26"/>
  <c r="J107" i="26" s="1"/>
  <c r="A107" i="26"/>
  <c r="A108" i="26" s="1"/>
  <c r="A109" i="26" s="1"/>
  <c r="A110" i="26" s="1"/>
  <c r="A111" i="26" s="1"/>
  <c r="A112" i="26" s="1"/>
  <c r="A113" i="26" s="1"/>
  <c r="A114" i="26" s="1"/>
  <c r="A115" i="26" s="1"/>
  <c r="A116" i="26" s="1"/>
  <c r="A117" i="26" s="1"/>
  <c r="A118" i="26" s="1"/>
  <c r="J106" i="26"/>
  <c r="I106" i="26"/>
  <c r="H106" i="26"/>
  <c r="G106" i="26"/>
  <c r="J105" i="26"/>
  <c r="H105" i="26"/>
  <c r="G105" i="26"/>
  <c r="H104" i="26"/>
  <c r="J104" i="26" s="1"/>
  <c r="G104" i="26"/>
  <c r="H103" i="26"/>
  <c r="G103" i="26"/>
  <c r="J103" i="26" s="1"/>
  <c r="H102" i="26"/>
  <c r="G102" i="26"/>
  <c r="J102" i="26" s="1"/>
  <c r="J101" i="26"/>
  <c r="H101" i="26"/>
  <c r="G101" i="26"/>
  <c r="H100" i="26"/>
  <c r="J100" i="26" s="1"/>
  <c r="G100" i="26"/>
  <c r="H99" i="26"/>
  <c r="G99" i="26"/>
  <c r="J99" i="26" s="1"/>
  <c r="H98" i="26"/>
  <c r="G98" i="26"/>
  <c r="J98" i="26" s="1"/>
  <c r="J97" i="26"/>
  <c r="H97" i="26"/>
  <c r="G97" i="26"/>
  <c r="H96" i="26"/>
  <c r="J96" i="26" s="1"/>
  <c r="G96" i="26"/>
  <c r="H95" i="26"/>
  <c r="G95" i="26"/>
  <c r="H94" i="26"/>
  <c r="G94" i="26"/>
  <c r="J94" i="26" s="1"/>
  <c r="H93" i="26"/>
  <c r="J93" i="26" s="1"/>
  <c r="G93" i="26"/>
  <c r="H92" i="26"/>
  <c r="J92" i="26" s="1"/>
  <c r="G92" i="26"/>
  <c r="H91" i="26"/>
  <c r="G91" i="26"/>
  <c r="J91" i="26" s="1"/>
  <c r="H90" i="26"/>
  <c r="J90" i="26" s="1"/>
  <c r="G90" i="26"/>
  <c r="J89" i="26"/>
  <c r="H89" i="26"/>
  <c r="G89" i="26"/>
  <c r="H88" i="26"/>
  <c r="J88" i="26" s="1"/>
  <c r="G88" i="26"/>
  <c r="I87" i="26"/>
  <c r="H87" i="26"/>
  <c r="G87" i="26"/>
  <c r="J87" i="26" s="1"/>
  <c r="H86" i="26"/>
  <c r="G86" i="26"/>
  <c r="J86" i="26" s="1"/>
  <c r="J85" i="26"/>
  <c r="H85" i="26"/>
  <c r="G85" i="26"/>
  <c r="H84" i="26"/>
  <c r="J84" i="26" s="1"/>
  <c r="G84" i="26"/>
  <c r="I83" i="26"/>
  <c r="H83" i="26"/>
  <c r="G83" i="26"/>
  <c r="J83" i="26" s="1"/>
  <c r="J82" i="26"/>
  <c r="H82" i="26"/>
  <c r="G82" i="26"/>
  <c r="J81" i="26"/>
  <c r="H81" i="26"/>
  <c r="G81" i="26"/>
  <c r="J80" i="26"/>
  <c r="H80" i="26"/>
  <c r="G80" i="26"/>
  <c r="H79" i="26"/>
  <c r="G79" i="26"/>
  <c r="J79" i="26" s="1"/>
  <c r="H78" i="26"/>
  <c r="G78" i="26"/>
  <c r="J77" i="26"/>
  <c r="H77" i="26"/>
  <c r="G77" i="26"/>
  <c r="J76" i="26"/>
  <c r="H76" i="26"/>
  <c r="G76" i="26"/>
  <c r="H75" i="26"/>
  <c r="G75" i="26"/>
  <c r="J75" i="26" s="1"/>
  <c r="H74" i="26"/>
  <c r="G74" i="26"/>
  <c r="J74" i="26" s="1"/>
  <c r="I73" i="26"/>
  <c r="H73" i="26"/>
  <c r="G73" i="26"/>
  <c r="J73" i="26" s="1"/>
  <c r="I72" i="26"/>
  <c r="H72" i="26"/>
  <c r="G72" i="26"/>
  <c r="H71" i="26"/>
  <c r="G71" i="26"/>
  <c r="J71" i="26" s="1"/>
  <c r="H70" i="26"/>
  <c r="J70" i="26" s="1"/>
  <c r="G70" i="26"/>
  <c r="H69" i="26"/>
  <c r="G69" i="26"/>
  <c r="J69" i="26" s="1"/>
  <c r="H68" i="26"/>
  <c r="G68" i="26"/>
  <c r="J68" i="26" s="1"/>
  <c r="H67" i="26"/>
  <c r="J67" i="26" s="1"/>
  <c r="G67" i="26"/>
  <c r="H66" i="26"/>
  <c r="J66" i="26" s="1"/>
  <c r="G66" i="26"/>
  <c r="H65" i="26"/>
  <c r="G65" i="26"/>
  <c r="J65" i="26" s="1"/>
  <c r="H64" i="26"/>
  <c r="G64" i="26"/>
  <c r="J64" i="26" s="1"/>
  <c r="H63" i="26"/>
  <c r="G63" i="26"/>
  <c r="J63" i="26" s="1"/>
  <c r="J62" i="26"/>
  <c r="H62" i="26"/>
  <c r="G62" i="26"/>
  <c r="H61" i="26"/>
  <c r="G61" i="26"/>
  <c r="J61" i="26" s="1"/>
  <c r="H60" i="26"/>
  <c r="G60" i="26"/>
  <c r="J60" i="26" s="1"/>
  <c r="H59" i="26"/>
  <c r="G59" i="26"/>
  <c r="J59" i="26" s="1"/>
  <c r="J58" i="26"/>
  <c r="H58" i="26"/>
  <c r="G58" i="26"/>
  <c r="H57" i="26"/>
  <c r="G57" i="26"/>
  <c r="J57" i="26" s="1"/>
  <c r="I56" i="26"/>
  <c r="H56" i="26"/>
  <c r="G56" i="26"/>
  <c r="H55" i="26"/>
  <c r="G55" i="26"/>
  <c r="J55" i="26" s="1"/>
  <c r="J54" i="26"/>
  <c r="H54" i="26"/>
  <c r="G54" i="26"/>
  <c r="I53" i="26"/>
  <c r="J53" i="26" s="1"/>
  <c r="H53" i="26"/>
  <c r="G53" i="26"/>
  <c r="J52" i="26"/>
  <c r="I52" i="26"/>
  <c r="H52" i="26"/>
  <c r="G52" i="26"/>
  <c r="H51" i="26"/>
  <c r="G51" i="26"/>
  <c r="J51" i="26" s="1"/>
  <c r="H50" i="26"/>
  <c r="G50" i="26"/>
  <c r="J50" i="26" s="1"/>
  <c r="H49" i="26"/>
  <c r="G49" i="26"/>
  <c r="J49" i="26" s="1"/>
  <c r="H48" i="26"/>
  <c r="G48" i="26"/>
  <c r="J48" i="26" s="1"/>
  <c r="J47" i="26"/>
  <c r="H47" i="26"/>
  <c r="G47" i="26"/>
  <c r="H46" i="26"/>
  <c r="G46" i="26"/>
  <c r="J46" i="26" s="1"/>
  <c r="H45" i="26"/>
  <c r="G45" i="26"/>
  <c r="J45" i="26" s="1"/>
  <c r="H44" i="26"/>
  <c r="G44" i="26"/>
  <c r="J44" i="26" s="1"/>
  <c r="H43" i="26"/>
  <c r="G43" i="26"/>
  <c r="H42" i="26"/>
  <c r="G42" i="26"/>
  <c r="J42" i="26" s="1"/>
  <c r="H41" i="26"/>
  <c r="G41" i="26"/>
  <c r="J41" i="26" s="1"/>
  <c r="H40" i="26"/>
  <c r="G40" i="26"/>
  <c r="J40" i="26" s="1"/>
  <c r="H39" i="26"/>
  <c r="G39" i="26"/>
  <c r="H38" i="26"/>
  <c r="G38" i="26"/>
  <c r="J38" i="26" s="1"/>
  <c r="H37" i="26"/>
  <c r="G37" i="26"/>
  <c r="J37" i="26" s="1"/>
  <c r="J36" i="26"/>
  <c r="H36" i="26"/>
  <c r="G36" i="26"/>
  <c r="H35" i="26"/>
  <c r="G35" i="26"/>
  <c r="J35" i="26" s="1"/>
  <c r="H34" i="26"/>
  <c r="G34" i="26"/>
  <c r="J34" i="26" s="1"/>
  <c r="H33" i="26"/>
  <c r="G33" i="26"/>
  <c r="J33" i="26" s="1"/>
  <c r="H32" i="26"/>
  <c r="G32" i="26"/>
  <c r="J31" i="26"/>
  <c r="H31" i="26"/>
  <c r="G31" i="26"/>
  <c r="H30" i="26"/>
  <c r="G30" i="26"/>
  <c r="J30" i="26" s="1"/>
  <c r="H29" i="26"/>
  <c r="G29" i="26"/>
  <c r="J29" i="26" s="1"/>
  <c r="H28" i="26"/>
  <c r="G28" i="26"/>
  <c r="J28" i="26" s="1"/>
  <c r="H27" i="26"/>
  <c r="G27" i="26"/>
  <c r="H26" i="26"/>
  <c r="G26" i="26"/>
  <c r="J26" i="26" s="1"/>
  <c r="H25" i="26"/>
  <c r="G25" i="26"/>
  <c r="J25" i="26" s="1"/>
  <c r="I24" i="26"/>
  <c r="H24" i="26"/>
  <c r="G24" i="26"/>
  <c r="J24" i="26" s="1"/>
  <c r="H23" i="26"/>
  <c r="J23" i="26" s="1"/>
  <c r="G23" i="26"/>
  <c r="H22" i="26"/>
  <c r="G22" i="26"/>
  <c r="J22" i="26" s="1"/>
  <c r="H21" i="26"/>
  <c r="G21" i="26"/>
  <c r="J20" i="26"/>
  <c r="I20" i="26"/>
  <c r="H20" i="26"/>
  <c r="G20" i="26"/>
  <c r="J19" i="26"/>
  <c r="I19" i="26"/>
  <c r="H19" i="26"/>
  <c r="G19" i="26"/>
  <c r="J18" i="26"/>
  <c r="H18" i="26"/>
  <c r="G18" i="26"/>
  <c r="J17" i="26"/>
  <c r="H17" i="26"/>
  <c r="G17" i="26"/>
  <c r="J16" i="26"/>
  <c r="H16" i="26"/>
  <c r="G16" i="26"/>
  <c r="I15" i="26"/>
  <c r="H15" i="26"/>
  <c r="G15" i="26"/>
  <c r="J15" i="26" s="1"/>
  <c r="I14" i="26"/>
  <c r="H14" i="26"/>
  <c r="G14" i="26"/>
  <c r="J14" i="26" s="1"/>
  <c r="J13" i="26"/>
  <c r="I13" i="26"/>
  <c r="H13" i="26"/>
  <c r="G13" i="26"/>
  <c r="I12" i="26"/>
  <c r="H12" i="26"/>
  <c r="G12" i="26"/>
  <c r="J12" i="26" s="1"/>
  <c r="J11" i="26"/>
  <c r="I11" i="26"/>
  <c r="H11" i="26"/>
  <c r="G11" i="26"/>
  <c r="A11" i="26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35" i="26" s="1"/>
  <c r="A36" i="26" s="1"/>
  <c r="A37" i="26" s="1"/>
  <c r="A38" i="26" s="1"/>
  <c r="A39" i="26" s="1"/>
  <c r="A40" i="26" s="1"/>
  <c r="A41" i="26" s="1"/>
  <c r="A42" i="26" s="1"/>
  <c r="A43" i="26" s="1"/>
  <c r="A44" i="26" s="1"/>
  <c r="A45" i="26" s="1"/>
  <c r="A46" i="26" s="1"/>
  <c r="A47" i="26" s="1"/>
  <c r="A48" i="26" s="1"/>
  <c r="A49" i="26" s="1"/>
  <c r="A50" i="26" s="1"/>
  <c r="A51" i="26" s="1"/>
  <c r="A52" i="26" s="1"/>
  <c r="A53" i="26" s="1"/>
  <c r="A54" i="26" s="1"/>
  <c r="A55" i="26" s="1"/>
  <c r="A56" i="26" s="1"/>
  <c r="A57" i="26" s="1"/>
  <c r="A58" i="26" s="1"/>
  <c r="A59" i="26" s="1"/>
  <c r="A60" i="26" s="1"/>
  <c r="A61" i="26" s="1"/>
  <c r="A62" i="26" s="1"/>
  <c r="A63" i="26" s="1"/>
  <c r="A64" i="26" s="1"/>
  <c r="A65" i="26" s="1"/>
  <c r="A66" i="26" s="1"/>
  <c r="A67" i="26" s="1"/>
  <c r="A68" i="26" s="1"/>
  <c r="A69" i="26" s="1"/>
  <c r="A70" i="26" s="1"/>
  <c r="A71" i="26" s="1"/>
  <c r="A72" i="26" s="1"/>
  <c r="A73" i="26" s="1"/>
  <c r="A74" i="26" s="1"/>
  <c r="A75" i="26" s="1"/>
  <c r="A76" i="26" s="1"/>
  <c r="A77" i="26" s="1"/>
  <c r="A78" i="26" s="1"/>
  <c r="A79" i="26" s="1"/>
  <c r="A80" i="26" s="1"/>
  <c r="A81" i="26" s="1"/>
  <c r="A82" i="26" s="1"/>
  <c r="A83" i="26" s="1"/>
  <c r="A84" i="26" s="1"/>
  <c r="A85" i="26" s="1"/>
  <c r="A86" i="26" s="1"/>
  <c r="A87" i="26" s="1"/>
  <c r="A88" i="26" s="1"/>
  <c r="A89" i="26" s="1"/>
  <c r="A90" i="26" s="1"/>
  <c r="A91" i="26" s="1"/>
  <c r="A92" i="26" s="1"/>
  <c r="A93" i="26" s="1"/>
  <c r="A94" i="26" s="1"/>
  <c r="A95" i="26" s="1"/>
  <c r="A96" i="26" s="1"/>
  <c r="A97" i="26" s="1"/>
  <c r="A98" i="26" s="1"/>
  <c r="A99" i="26" s="1"/>
  <c r="A100" i="26" s="1"/>
  <c r="A101" i="26" s="1"/>
  <c r="A102" i="26" s="1"/>
  <c r="A103" i="26" s="1"/>
  <c r="A104" i="26" s="1"/>
  <c r="A105" i="26" s="1"/>
  <c r="A106" i="26" s="1"/>
  <c r="I10" i="26"/>
  <c r="H10" i="26"/>
  <c r="G10" i="26"/>
  <c r="J10" i="26" s="1"/>
  <c r="I9" i="26"/>
  <c r="H9" i="26"/>
  <c r="G9" i="26"/>
  <c r="A9" i="26"/>
  <c r="A10" i="26" s="1"/>
  <c r="J8" i="26"/>
  <c r="I8" i="26"/>
  <c r="H8" i="26"/>
  <c r="G8" i="26"/>
  <c r="A8" i="26"/>
  <c r="M6" i="26"/>
  <c r="E140" i="25"/>
  <c r="E139" i="25"/>
  <c r="E138" i="25"/>
  <c r="E137" i="25"/>
  <c r="E136" i="25"/>
  <c r="E135" i="25"/>
  <c r="E95" i="25"/>
  <c r="E90" i="25"/>
  <c r="E89" i="25"/>
  <c r="E87" i="25"/>
  <c r="E47" i="25"/>
  <c r="E46" i="25"/>
  <c r="E45" i="25"/>
  <c r="I144" i="24" s="1"/>
  <c r="E44" i="25"/>
  <c r="E43" i="25"/>
  <c r="E42" i="25"/>
  <c r="C2" i="25"/>
  <c r="C2" i="24" s="1"/>
  <c r="C1" i="25"/>
  <c r="G155" i="24"/>
  <c r="J155" i="24" s="1"/>
  <c r="I154" i="24"/>
  <c r="J154" i="24" s="1"/>
  <c r="G154" i="24"/>
  <c r="G153" i="24"/>
  <c r="J153" i="24" s="1"/>
  <c r="I152" i="24"/>
  <c r="G152" i="24"/>
  <c r="J152" i="24" s="1"/>
  <c r="J151" i="24"/>
  <c r="G151" i="24"/>
  <c r="J150" i="24"/>
  <c r="G150" i="24"/>
  <c r="J149" i="24"/>
  <c r="G149" i="24"/>
  <c r="I148" i="24"/>
  <c r="G148" i="24"/>
  <c r="J148" i="24" s="1"/>
  <c r="G147" i="24"/>
  <c r="J147" i="24" s="1"/>
  <c r="J146" i="24"/>
  <c r="I146" i="24"/>
  <c r="G146" i="24"/>
  <c r="I145" i="24"/>
  <c r="G145" i="24"/>
  <c r="J145" i="24" s="1"/>
  <c r="G144" i="24"/>
  <c r="J144" i="24" s="1"/>
  <c r="I143" i="24"/>
  <c r="G143" i="24"/>
  <c r="J143" i="24" s="1"/>
  <c r="I142" i="24"/>
  <c r="G142" i="24"/>
  <c r="J142" i="24" s="1"/>
  <c r="I141" i="24"/>
  <c r="G141" i="24"/>
  <c r="J140" i="24"/>
  <c r="G140" i="24"/>
  <c r="J139" i="24"/>
  <c r="G139" i="24"/>
  <c r="J138" i="24"/>
  <c r="G138" i="24"/>
  <c r="G137" i="24"/>
  <c r="J137" i="24" s="1"/>
  <c r="G136" i="24"/>
  <c r="J136" i="24" s="1"/>
  <c r="J135" i="24"/>
  <c r="G135" i="24"/>
  <c r="G134" i="24"/>
  <c r="J134" i="24" s="1"/>
  <c r="G133" i="24"/>
  <c r="J133" i="24" s="1"/>
  <c r="J132" i="24"/>
  <c r="G132" i="24"/>
  <c r="J131" i="24"/>
  <c r="G131" i="24"/>
  <c r="J130" i="24"/>
  <c r="G130" i="24"/>
  <c r="G129" i="24"/>
  <c r="J129" i="24" s="1"/>
  <c r="G128" i="24"/>
  <c r="J128" i="24" s="1"/>
  <c r="A128" i="24"/>
  <c r="A129" i="24" s="1"/>
  <c r="A130" i="24" s="1"/>
  <c r="A131" i="24" s="1"/>
  <c r="A132" i="24" s="1"/>
  <c r="A133" i="24" s="1"/>
  <c r="A134" i="24" s="1"/>
  <c r="A135" i="24" s="1"/>
  <c r="A136" i="24" s="1"/>
  <c r="A137" i="24" s="1"/>
  <c r="A138" i="24" s="1"/>
  <c r="A139" i="24" s="1"/>
  <c r="A140" i="24" s="1"/>
  <c r="A141" i="24" s="1"/>
  <c r="A142" i="24" s="1"/>
  <c r="A143" i="24" s="1"/>
  <c r="A144" i="24" s="1"/>
  <c r="A145" i="24" s="1"/>
  <c r="J127" i="24"/>
  <c r="G127" i="24"/>
  <c r="J126" i="24"/>
  <c r="G126" i="24"/>
  <c r="A126" i="24"/>
  <c r="A127" i="24" s="1"/>
  <c r="J124" i="24"/>
  <c r="G124" i="24"/>
  <c r="G123" i="24"/>
  <c r="J123" i="24" s="1"/>
  <c r="G122" i="24"/>
  <c r="J122" i="24" s="1"/>
  <c r="G121" i="24"/>
  <c r="J121" i="24" s="1"/>
  <c r="G120" i="24"/>
  <c r="J120" i="24" s="1"/>
  <c r="A120" i="24"/>
  <c r="A121" i="24" s="1"/>
  <c r="A122" i="24" s="1"/>
  <c r="A123" i="24" s="1"/>
  <c r="A124" i="24" s="1"/>
  <c r="G119" i="24"/>
  <c r="J119" i="24" s="1"/>
  <c r="J118" i="24"/>
  <c r="G118" i="24"/>
  <c r="J117" i="24"/>
  <c r="G117" i="24"/>
  <c r="G116" i="24"/>
  <c r="J116" i="24" s="1"/>
  <c r="G115" i="24"/>
  <c r="J115" i="24" s="1"/>
  <c r="A115" i="24"/>
  <c r="A116" i="24" s="1"/>
  <c r="A117" i="24" s="1"/>
  <c r="A118" i="24" s="1"/>
  <c r="A119" i="24" s="1"/>
  <c r="J114" i="24"/>
  <c r="I114" i="24"/>
  <c r="G114" i="24"/>
  <c r="A114" i="24"/>
  <c r="G112" i="24"/>
  <c r="J112" i="24" s="1"/>
  <c r="G111" i="24"/>
  <c r="J111" i="24" s="1"/>
  <c r="J110" i="24"/>
  <c r="G110" i="24"/>
  <c r="G109" i="24"/>
  <c r="J109" i="24" s="1"/>
  <c r="G108" i="24"/>
  <c r="J108" i="24" s="1"/>
  <c r="J107" i="24"/>
  <c r="G107" i="24"/>
  <c r="J106" i="24"/>
  <c r="G106" i="24"/>
  <c r="G105" i="24"/>
  <c r="J105" i="24" s="1"/>
  <c r="J104" i="24"/>
  <c r="G104" i="24"/>
  <c r="G103" i="24"/>
  <c r="J103" i="24" s="1"/>
  <c r="G102" i="24"/>
  <c r="J102" i="24" s="1"/>
  <c r="G101" i="24"/>
  <c r="J101" i="24" s="1"/>
  <c r="G100" i="24"/>
  <c r="J100" i="24" s="1"/>
  <c r="J99" i="24"/>
  <c r="G99" i="24"/>
  <c r="J98" i="24"/>
  <c r="G98" i="24"/>
  <c r="J97" i="24"/>
  <c r="G97" i="24"/>
  <c r="G96" i="24"/>
  <c r="J96" i="24" s="1"/>
  <c r="G95" i="24"/>
  <c r="J95" i="24" s="1"/>
  <c r="G94" i="24"/>
  <c r="J94" i="24" s="1"/>
  <c r="J93" i="24"/>
  <c r="G93" i="24"/>
  <c r="J92" i="24"/>
  <c r="G92" i="24"/>
  <c r="J91" i="24"/>
  <c r="G91" i="24"/>
  <c r="J90" i="24"/>
  <c r="G90" i="24"/>
  <c r="G89" i="24"/>
  <c r="J89" i="24" s="1"/>
  <c r="G88" i="24"/>
  <c r="J88" i="24" s="1"/>
  <c r="J87" i="24"/>
  <c r="G87" i="24"/>
  <c r="G86" i="24"/>
  <c r="J86" i="24" s="1"/>
  <c r="G85" i="24"/>
  <c r="J85" i="24" s="1"/>
  <c r="G84" i="24"/>
  <c r="J84" i="24" s="1"/>
  <c r="J83" i="24"/>
  <c r="G83" i="24"/>
  <c r="J82" i="24"/>
  <c r="G82" i="24"/>
  <c r="J81" i="24"/>
  <c r="G81" i="24"/>
  <c r="G80" i="24"/>
  <c r="J80" i="24" s="1"/>
  <c r="G79" i="24"/>
  <c r="J79" i="24" s="1"/>
  <c r="J78" i="24"/>
  <c r="G78" i="24"/>
  <c r="G77" i="24"/>
  <c r="J77" i="24" s="1"/>
  <c r="G76" i="24"/>
  <c r="J76" i="24" s="1"/>
  <c r="J75" i="24"/>
  <c r="G75" i="24"/>
  <c r="J74" i="24"/>
  <c r="G74" i="24"/>
  <c r="J73" i="24"/>
  <c r="G73" i="24"/>
  <c r="G72" i="24"/>
  <c r="J72" i="24" s="1"/>
  <c r="G71" i="24"/>
  <c r="J71" i="24" s="1"/>
  <c r="G70" i="24"/>
  <c r="J70" i="24" s="1"/>
  <c r="G69" i="24"/>
  <c r="J69" i="24" s="1"/>
  <c r="G68" i="24"/>
  <c r="J68" i="24" s="1"/>
  <c r="A68" i="24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79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93" i="24" s="1"/>
  <c r="A94" i="24" s="1"/>
  <c r="A95" i="24" s="1"/>
  <c r="A96" i="24" s="1"/>
  <c r="A97" i="24" s="1"/>
  <c r="A98" i="24" s="1"/>
  <c r="A99" i="24" s="1"/>
  <c r="A100" i="24" s="1"/>
  <c r="A101" i="24" s="1"/>
  <c r="A102" i="24" s="1"/>
  <c r="A103" i="24" s="1"/>
  <c r="A104" i="24" s="1"/>
  <c r="A105" i="24" s="1"/>
  <c r="A106" i="24" s="1"/>
  <c r="A107" i="24" s="1"/>
  <c r="A108" i="24" s="1"/>
  <c r="A109" i="24" s="1"/>
  <c r="A110" i="24" s="1"/>
  <c r="A111" i="24" s="1"/>
  <c r="A112" i="24" s="1"/>
  <c r="G66" i="24"/>
  <c r="J66" i="24" s="1"/>
  <c r="G65" i="24"/>
  <c r="J65" i="24" s="1"/>
  <c r="G64" i="24"/>
  <c r="J64" i="24" s="1"/>
  <c r="G63" i="24"/>
  <c r="J63" i="24" s="1"/>
  <c r="J62" i="24"/>
  <c r="G62" i="24"/>
  <c r="J61" i="24"/>
  <c r="G61" i="24"/>
  <c r="G60" i="24"/>
  <c r="J60" i="24" s="1"/>
  <c r="J59" i="24"/>
  <c r="G59" i="24"/>
  <c r="G58" i="24"/>
  <c r="J58" i="24" s="1"/>
  <c r="G57" i="24"/>
  <c r="J57" i="24" s="1"/>
  <c r="J56" i="24"/>
  <c r="G56" i="24"/>
  <c r="J55" i="24"/>
  <c r="G55" i="24"/>
  <c r="G54" i="24"/>
  <c r="J54" i="24" s="1"/>
  <c r="J53" i="24"/>
  <c r="G53" i="24"/>
  <c r="J52" i="24"/>
  <c r="G52" i="24"/>
  <c r="G51" i="24"/>
  <c r="J51" i="24" s="1"/>
  <c r="J50" i="24"/>
  <c r="G50" i="24"/>
  <c r="J49" i="24"/>
  <c r="G49" i="24"/>
  <c r="G48" i="24"/>
  <c r="J48" i="24" s="1"/>
  <c r="G47" i="24"/>
  <c r="J47" i="24" s="1"/>
  <c r="G46" i="24"/>
  <c r="J46" i="24" s="1"/>
  <c r="G45" i="24"/>
  <c r="J45" i="24" s="1"/>
  <c r="J44" i="24"/>
  <c r="G44" i="24"/>
  <c r="J43" i="24"/>
  <c r="G43" i="24"/>
  <c r="G42" i="24"/>
  <c r="J42" i="24" s="1"/>
  <c r="G41" i="24"/>
  <c r="J41" i="24" s="1"/>
  <c r="G40" i="24"/>
  <c r="J40" i="24" s="1"/>
  <c r="G39" i="24"/>
  <c r="J39" i="24" s="1"/>
  <c r="J38" i="24"/>
  <c r="G38" i="24"/>
  <c r="J37" i="24"/>
  <c r="G37" i="24"/>
  <c r="J36" i="24"/>
  <c r="G36" i="24"/>
  <c r="G35" i="24"/>
  <c r="J35" i="24" s="1"/>
  <c r="G34" i="24"/>
  <c r="J34" i="24" s="1"/>
  <c r="G33" i="24"/>
  <c r="J33" i="24" s="1"/>
  <c r="G32" i="24"/>
  <c r="J32" i="24" s="1"/>
  <c r="G31" i="24"/>
  <c r="J31" i="24" s="1"/>
  <c r="J30" i="24"/>
  <c r="G30" i="24"/>
  <c r="J29" i="24"/>
  <c r="G29" i="24"/>
  <c r="G28" i="24"/>
  <c r="J28" i="24" s="1"/>
  <c r="J27" i="24"/>
  <c r="G27" i="24"/>
  <c r="G26" i="24"/>
  <c r="J26" i="24" s="1"/>
  <c r="G25" i="24"/>
  <c r="J25" i="24" s="1"/>
  <c r="J24" i="24"/>
  <c r="G24" i="24"/>
  <c r="J23" i="24"/>
  <c r="G23" i="24"/>
  <c r="G22" i="24"/>
  <c r="J22" i="24" s="1"/>
  <c r="J21" i="24"/>
  <c r="G21" i="24"/>
  <c r="J20" i="24"/>
  <c r="G20" i="24"/>
  <c r="J19" i="24"/>
  <c r="G19" i="24"/>
  <c r="J18" i="24"/>
  <c r="G18" i="24"/>
  <c r="J17" i="24"/>
  <c r="G17" i="24"/>
  <c r="G16" i="24"/>
  <c r="J16" i="24" s="1"/>
  <c r="G15" i="24"/>
  <c r="J15" i="24" s="1"/>
  <c r="G14" i="24"/>
  <c r="J14" i="24" s="1"/>
  <c r="J13" i="24"/>
  <c r="G13" i="24"/>
  <c r="J12" i="24"/>
  <c r="G12" i="24"/>
  <c r="P11" i="24"/>
  <c r="O11" i="24"/>
  <c r="N11" i="24"/>
  <c r="Q11" i="24" s="1"/>
  <c r="M11" i="24"/>
  <c r="G11" i="24"/>
  <c r="J11" i="24" s="1"/>
  <c r="G10" i="24"/>
  <c r="J10" i="24" s="1"/>
  <c r="G9" i="24"/>
  <c r="J9" i="24" s="1"/>
  <c r="A9" i="24"/>
  <c r="J8" i="24"/>
  <c r="G8" i="24"/>
  <c r="A8" i="24"/>
  <c r="C4" i="24"/>
  <c r="C1" i="24"/>
  <c r="E87" i="23"/>
  <c r="E85" i="23"/>
  <c r="E41" i="23"/>
  <c r="E22" i="23"/>
  <c r="E21" i="23"/>
  <c r="G102" i="22"/>
  <c r="J102" i="22" s="1"/>
  <c r="G101" i="22"/>
  <c r="J101" i="22" s="1"/>
  <c r="G100" i="22"/>
  <c r="J100" i="22" s="1"/>
  <c r="G99" i="22"/>
  <c r="J99" i="22" s="1"/>
  <c r="J98" i="22"/>
  <c r="G98" i="22"/>
  <c r="J97" i="22"/>
  <c r="G97" i="22"/>
  <c r="G96" i="22"/>
  <c r="J96" i="22" s="1"/>
  <c r="G95" i="22"/>
  <c r="J95" i="22" s="1"/>
  <c r="G94" i="22"/>
  <c r="J94" i="22" s="1"/>
  <c r="G93" i="22"/>
  <c r="J93" i="22" s="1"/>
  <c r="J92" i="22"/>
  <c r="G92" i="22"/>
  <c r="J91" i="22"/>
  <c r="G91" i="22"/>
  <c r="G90" i="22"/>
  <c r="J90" i="22" s="1"/>
  <c r="G89" i="22"/>
  <c r="J89" i="22" s="1"/>
  <c r="A89" i="22"/>
  <c r="A90" i="22" s="1"/>
  <c r="A91" i="22" s="1"/>
  <c r="A92" i="22" s="1"/>
  <c r="A93" i="22" s="1"/>
  <c r="A94" i="22" s="1"/>
  <c r="A95" i="22" s="1"/>
  <c r="A96" i="22" s="1"/>
  <c r="A97" i="22" s="1"/>
  <c r="A98" i="22" s="1"/>
  <c r="A99" i="22" s="1"/>
  <c r="A100" i="22" s="1"/>
  <c r="A101" i="22" s="1"/>
  <c r="A102" i="22" s="1"/>
  <c r="J88" i="22"/>
  <c r="G88" i="22"/>
  <c r="G87" i="22"/>
  <c r="J87" i="22" s="1"/>
  <c r="A87" i="22"/>
  <c r="A88" i="22" s="1"/>
  <c r="G86" i="22"/>
  <c r="J86" i="22" s="1"/>
  <c r="A86" i="22"/>
  <c r="J85" i="22"/>
  <c r="G85" i="22"/>
  <c r="A85" i="22"/>
  <c r="G83" i="22"/>
  <c r="J83" i="22" s="1"/>
  <c r="G82" i="22"/>
  <c r="J82" i="22" s="1"/>
  <c r="G81" i="22"/>
  <c r="J81" i="22" s="1"/>
  <c r="G80" i="22"/>
  <c r="J80" i="22" s="1"/>
  <c r="A80" i="22"/>
  <c r="A81" i="22" s="1"/>
  <c r="A82" i="22" s="1"/>
  <c r="A83" i="22" s="1"/>
  <c r="J79" i="22"/>
  <c r="G79" i="22"/>
  <c r="G78" i="22"/>
  <c r="J78" i="22" s="1"/>
  <c r="G77" i="22"/>
  <c r="J77" i="22" s="1"/>
  <c r="J76" i="22"/>
  <c r="G76" i="22"/>
  <c r="J75" i="22"/>
  <c r="G75" i="22"/>
  <c r="J74" i="22"/>
  <c r="G74" i="22"/>
  <c r="G73" i="22"/>
  <c r="J73" i="22" s="1"/>
  <c r="G72" i="22"/>
  <c r="J72" i="22" s="1"/>
  <c r="G71" i="22"/>
  <c r="J71" i="22" s="1"/>
  <c r="G70" i="22"/>
  <c r="J70" i="22" s="1"/>
  <c r="G69" i="22"/>
  <c r="J69" i="22" s="1"/>
  <c r="J68" i="22"/>
  <c r="G68" i="22"/>
  <c r="G67" i="22"/>
  <c r="J67" i="22" s="1"/>
  <c r="G66" i="22"/>
  <c r="J66" i="22" s="1"/>
  <c r="G65" i="22"/>
  <c r="J65" i="22" s="1"/>
  <c r="G64" i="22"/>
  <c r="J64" i="22" s="1"/>
  <c r="A64" i="22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76" i="22" s="1"/>
  <c r="A77" i="22" s="1"/>
  <c r="A78" i="22" s="1"/>
  <c r="A79" i="22" s="1"/>
  <c r="J63" i="22"/>
  <c r="G63" i="22"/>
  <c r="J62" i="22"/>
  <c r="G62" i="22"/>
  <c r="J61" i="22"/>
  <c r="G61" i="22"/>
  <c r="G60" i="22"/>
  <c r="J60" i="22" s="1"/>
  <c r="J59" i="22"/>
  <c r="G59" i="22"/>
  <c r="G58" i="22"/>
  <c r="J58" i="22" s="1"/>
  <c r="J57" i="22"/>
  <c r="G57" i="22"/>
  <c r="G56" i="22"/>
  <c r="J56" i="22" s="1"/>
  <c r="G55" i="22"/>
  <c r="J55" i="22" s="1"/>
  <c r="A55" i="22"/>
  <c r="A56" i="22" s="1"/>
  <c r="A57" i="22" s="1"/>
  <c r="A58" i="22" s="1"/>
  <c r="A59" i="22" s="1"/>
  <c r="A60" i="22" s="1"/>
  <c r="A61" i="22" s="1"/>
  <c r="A62" i="22" s="1"/>
  <c r="A63" i="22" s="1"/>
  <c r="G54" i="22"/>
  <c r="J54" i="22" s="1"/>
  <c r="G53" i="22"/>
  <c r="J53" i="22" s="1"/>
  <c r="J52" i="22"/>
  <c r="G52" i="22"/>
  <c r="J51" i="22"/>
  <c r="G51" i="22"/>
  <c r="J50" i="22"/>
  <c r="G50" i="22"/>
  <c r="A50" i="22"/>
  <c r="A51" i="22" s="1"/>
  <c r="A52" i="22" s="1"/>
  <c r="A53" i="22" s="1"/>
  <c r="A54" i="22" s="1"/>
  <c r="J48" i="22"/>
  <c r="G48" i="22"/>
  <c r="J47" i="22"/>
  <c r="G47" i="22"/>
  <c r="G46" i="22"/>
  <c r="J46" i="22" s="1"/>
  <c r="J45" i="22"/>
  <c r="G45" i="22"/>
  <c r="G44" i="22"/>
  <c r="J44" i="22" s="1"/>
  <c r="G43" i="22"/>
  <c r="J43" i="22" s="1"/>
  <c r="G42" i="22"/>
  <c r="J42" i="22" s="1"/>
  <c r="G41" i="22"/>
  <c r="J41" i="22" s="1"/>
  <c r="J40" i="22"/>
  <c r="G40" i="22"/>
  <c r="J39" i="22"/>
  <c r="G39" i="22"/>
  <c r="J38" i="22"/>
  <c r="G38" i="22"/>
  <c r="J37" i="22"/>
  <c r="G37" i="22"/>
  <c r="J36" i="22"/>
  <c r="G36" i="22"/>
  <c r="G35" i="22"/>
  <c r="J35" i="22" s="1"/>
  <c r="J34" i="22"/>
  <c r="G34" i="22"/>
  <c r="G33" i="22"/>
  <c r="J33" i="22" s="1"/>
  <c r="G32" i="22"/>
  <c r="J32" i="22" s="1"/>
  <c r="J31" i="22"/>
  <c r="G31" i="22"/>
  <c r="G30" i="22"/>
  <c r="J30" i="22" s="1"/>
  <c r="J29" i="22"/>
  <c r="G29" i="22"/>
  <c r="J28" i="22"/>
  <c r="G28" i="22"/>
  <c r="J27" i="22"/>
  <c r="G27" i="22"/>
  <c r="G26" i="22"/>
  <c r="J26" i="22" s="1"/>
  <c r="G25" i="22"/>
  <c r="J25" i="22" s="1"/>
  <c r="J24" i="22"/>
  <c r="G24" i="22"/>
  <c r="J23" i="22"/>
  <c r="G23" i="22"/>
  <c r="G22" i="22"/>
  <c r="J22" i="22" s="1"/>
  <c r="J21" i="22"/>
  <c r="G21" i="22"/>
  <c r="J20" i="22"/>
  <c r="G20" i="22"/>
  <c r="G19" i="22"/>
  <c r="J19" i="22" s="1"/>
  <c r="J18" i="22"/>
  <c r="G18" i="22"/>
  <c r="J17" i="22"/>
  <c r="G17" i="22"/>
  <c r="J16" i="22"/>
  <c r="G16" i="22"/>
  <c r="G15" i="22"/>
  <c r="J15" i="22" s="1"/>
  <c r="G14" i="22"/>
  <c r="J14" i="22" s="1"/>
  <c r="G13" i="22"/>
  <c r="J13" i="22" s="1"/>
  <c r="J12" i="22"/>
  <c r="G12" i="22"/>
  <c r="G11" i="22"/>
  <c r="J11" i="22" s="1"/>
  <c r="J10" i="22"/>
  <c r="G10" i="22"/>
  <c r="A10" i="22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G9" i="22"/>
  <c r="J9" i="22" s="1"/>
  <c r="A9" i="22"/>
  <c r="J8" i="22"/>
  <c r="G8" i="22"/>
  <c r="A8" i="22"/>
  <c r="D2" i="22"/>
  <c r="D1" i="22"/>
  <c r="F16" i="21"/>
  <c r="F15" i="21"/>
  <c r="F14" i="21"/>
  <c r="F13" i="21"/>
  <c r="F12" i="21"/>
  <c r="F11" i="21"/>
  <c r="F17" i="21" s="1"/>
  <c r="B2" i="21"/>
  <c r="B1" i="21"/>
  <c r="F21" i="20"/>
  <c r="C21" i="20"/>
  <c r="C19" i="20"/>
  <c r="F19" i="20" s="1"/>
  <c r="F18" i="20"/>
  <c r="F17" i="20"/>
  <c r="F16" i="20"/>
  <c r="F15" i="20"/>
  <c r="F14" i="20"/>
  <c r="F13" i="20"/>
  <c r="F12" i="20"/>
  <c r="C11" i="20"/>
  <c r="B2" i="20"/>
  <c r="B1" i="20"/>
  <c r="F31" i="19"/>
  <c r="F30" i="19"/>
  <c r="F29" i="19"/>
  <c r="F28" i="19"/>
  <c r="F27" i="19"/>
  <c r="F26" i="19"/>
  <c r="F25" i="19"/>
  <c r="F24" i="19"/>
  <c r="F32" i="19" s="1"/>
  <c r="F18" i="19"/>
  <c r="C18" i="19"/>
  <c r="C17" i="19"/>
  <c r="F17" i="19" s="1"/>
  <c r="C16" i="19"/>
  <c r="F16" i="19" s="1"/>
  <c r="F15" i="19"/>
  <c r="C15" i="19"/>
  <c r="C14" i="19"/>
  <c r="F14" i="19" s="1"/>
  <c r="C13" i="19"/>
  <c r="F13" i="19" s="1"/>
  <c r="C12" i="19"/>
  <c r="F12" i="19" s="1"/>
  <c r="C11" i="19"/>
  <c r="F11" i="19" s="1"/>
  <c r="B2" i="19"/>
  <c r="B1" i="19"/>
  <c r="E57" i="18"/>
  <c r="E56" i="18"/>
  <c r="E55" i="18"/>
  <c r="I33" i="17" s="1"/>
  <c r="E54" i="18"/>
  <c r="I32" i="17" s="1"/>
  <c r="E53" i="18"/>
  <c r="I31" i="17" s="1"/>
  <c r="E52" i="18"/>
  <c r="E51" i="18"/>
  <c r="E50" i="18"/>
  <c r="E38" i="18"/>
  <c r="E34" i="18"/>
  <c r="E33" i="18"/>
  <c r="E23" i="18"/>
  <c r="E22" i="18"/>
  <c r="I44" i="17" s="1"/>
  <c r="E21" i="18"/>
  <c r="I45" i="17" s="1"/>
  <c r="E12" i="18"/>
  <c r="I56" i="17" s="1"/>
  <c r="I58" i="17"/>
  <c r="G58" i="17"/>
  <c r="J57" i="17"/>
  <c r="I57" i="17"/>
  <c r="G57" i="17"/>
  <c r="G56" i="17"/>
  <c r="J56" i="17" s="1"/>
  <c r="I55" i="17"/>
  <c r="G55" i="17"/>
  <c r="I54" i="17"/>
  <c r="G54" i="17"/>
  <c r="J54" i="17" s="1"/>
  <c r="J53" i="17"/>
  <c r="I53" i="17"/>
  <c r="G53" i="17"/>
  <c r="I52" i="17"/>
  <c r="G52" i="17"/>
  <c r="J52" i="17" s="1"/>
  <c r="I51" i="17"/>
  <c r="G51" i="17"/>
  <c r="J51" i="17" s="1"/>
  <c r="I50" i="17"/>
  <c r="G50" i="17"/>
  <c r="J50" i="17" s="1"/>
  <c r="J49" i="17"/>
  <c r="I49" i="17"/>
  <c r="G49" i="17"/>
  <c r="I48" i="17"/>
  <c r="G48" i="17"/>
  <c r="J48" i="17" s="1"/>
  <c r="I47" i="17"/>
  <c r="G47" i="17"/>
  <c r="J47" i="17" s="1"/>
  <c r="I46" i="17"/>
  <c r="G46" i="17"/>
  <c r="J45" i="17"/>
  <c r="G45" i="17"/>
  <c r="G44" i="17"/>
  <c r="J44" i="17" s="1"/>
  <c r="I43" i="17"/>
  <c r="G43" i="17"/>
  <c r="J43" i="17" s="1"/>
  <c r="I42" i="17"/>
  <c r="G42" i="17"/>
  <c r="J42" i="17" s="1"/>
  <c r="J41" i="17"/>
  <c r="I41" i="17"/>
  <c r="G41" i="17"/>
  <c r="I40" i="17"/>
  <c r="G40" i="17"/>
  <c r="J40" i="17" s="1"/>
  <c r="I39" i="17"/>
  <c r="G39" i="17"/>
  <c r="I38" i="17"/>
  <c r="G38" i="17"/>
  <c r="J37" i="17"/>
  <c r="I37" i="17"/>
  <c r="G37" i="17"/>
  <c r="I36" i="17"/>
  <c r="G36" i="17"/>
  <c r="J36" i="17" s="1"/>
  <c r="I35" i="17"/>
  <c r="G35" i="17"/>
  <c r="I34" i="17"/>
  <c r="G34" i="17"/>
  <c r="J34" i="17" s="1"/>
  <c r="J33" i="17"/>
  <c r="G33" i="17"/>
  <c r="G32" i="17"/>
  <c r="G31" i="17"/>
  <c r="I30" i="17"/>
  <c r="G30" i="17"/>
  <c r="J30" i="17" s="1"/>
  <c r="J29" i="17"/>
  <c r="I29" i="17"/>
  <c r="G29" i="17"/>
  <c r="I28" i="17"/>
  <c r="G28" i="17"/>
  <c r="J28" i="17" s="1"/>
  <c r="I27" i="17"/>
  <c r="G27" i="17"/>
  <c r="I26" i="17"/>
  <c r="G26" i="17"/>
  <c r="J26" i="17" s="1"/>
  <c r="J25" i="17"/>
  <c r="I25" i="17"/>
  <c r="G25" i="17"/>
  <c r="I24" i="17"/>
  <c r="G24" i="17"/>
  <c r="J24" i="17" s="1"/>
  <c r="I23" i="17"/>
  <c r="G23" i="17"/>
  <c r="I22" i="17"/>
  <c r="G22" i="17"/>
  <c r="J21" i="17"/>
  <c r="I21" i="17"/>
  <c r="G21" i="17"/>
  <c r="I20" i="17"/>
  <c r="G20" i="17"/>
  <c r="J20" i="17" s="1"/>
  <c r="I19" i="17"/>
  <c r="G19" i="17"/>
  <c r="J19" i="17" s="1"/>
  <c r="I18" i="17"/>
  <c r="G18" i="17"/>
  <c r="J17" i="17"/>
  <c r="I17" i="17"/>
  <c r="G17" i="17"/>
  <c r="I16" i="17"/>
  <c r="G16" i="17"/>
  <c r="J16" i="17" s="1"/>
  <c r="I15" i="17"/>
  <c r="G15" i="17"/>
  <c r="I14" i="17"/>
  <c r="G14" i="17"/>
  <c r="J13" i="17"/>
  <c r="I13" i="17"/>
  <c r="G13" i="17"/>
  <c r="I12" i="17"/>
  <c r="G12" i="17"/>
  <c r="J12" i="17" s="1"/>
  <c r="I11" i="17"/>
  <c r="G11" i="17"/>
  <c r="I10" i="17"/>
  <c r="G10" i="17"/>
  <c r="J10" i="17" s="1"/>
  <c r="J9" i="17"/>
  <c r="I9" i="17"/>
  <c r="G9" i="17"/>
  <c r="I8" i="17"/>
  <c r="G8" i="17"/>
  <c r="J8" i="17" s="1"/>
  <c r="A8" i="17"/>
  <c r="D2" i="17"/>
  <c r="D1" i="17"/>
  <c r="N53" i="16"/>
  <c r="M53" i="16"/>
  <c r="D53" i="16" s="1"/>
  <c r="E53" i="16" s="1"/>
  <c r="M52" i="16"/>
  <c r="C52" i="16" s="1"/>
  <c r="E52" i="16" s="1"/>
  <c r="K52" i="16"/>
  <c r="K51" i="16"/>
  <c r="M51" i="16" s="1"/>
  <c r="C51" i="16" s="1"/>
  <c r="E51" i="16" s="1"/>
  <c r="M50" i="16"/>
  <c r="C50" i="16" s="1"/>
  <c r="E50" i="16"/>
  <c r="K49" i="16"/>
  <c r="M49" i="16" s="1"/>
  <c r="C49" i="16" s="1"/>
  <c r="E49" i="16" s="1"/>
  <c r="K47" i="16"/>
  <c r="J47" i="16"/>
  <c r="H47" i="16"/>
  <c r="K46" i="16"/>
  <c r="J46" i="16"/>
  <c r="H46" i="16"/>
  <c r="M46" i="16" s="1"/>
  <c r="E46" i="16"/>
  <c r="D46" i="16"/>
  <c r="M45" i="16"/>
  <c r="L45" i="16"/>
  <c r="K45" i="16"/>
  <c r="J45" i="16"/>
  <c r="I45" i="16"/>
  <c r="H45" i="16"/>
  <c r="L44" i="16"/>
  <c r="K44" i="16"/>
  <c r="J44" i="16"/>
  <c r="I44" i="16"/>
  <c r="H44" i="16"/>
  <c r="M44" i="16" s="1"/>
  <c r="N44" i="16" s="1"/>
  <c r="N43" i="16"/>
  <c r="M43" i="16"/>
  <c r="D43" i="16" s="1"/>
  <c r="E43" i="16" s="1"/>
  <c r="L43" i="16"/>
  <c r="K43" i="16"/>
  <c r="J43" i="16"/>
  <c r="I43" i="16"/>
  <c r="H43" i="16"/>
  <c r="L42" i="16"/>
  <c r="K42" i="16"/>
  <c r="J42" i="16"/>
  <c r="I42" i="16"/>
  <c r="H42" i="16"/>
  <c r="L40" i="16"/>
  <c r="K40" i="16"/>
  <c r="J40" i="16"/>
  <c r="I40" i="16"/>
  <c r="H40" i="16"/>
  <c r="H39" i="16"/>
  <c r="M39" i="16" s="1"/>
  <c r="D39" i="16" s="1"/>
  <c r="E39" i="16" s="1"/>
  <c r="K38" i="16"/>
  <c r="H38" i="16"/>
  <c r="M38" i="16" s="1"/>
  <c r="N38" i="16" s="1"/>
  <c r="M37" i="16"/>
  <c r="C37" i="16" s="1"/>
  <c r="E37" i="16" s="1"/>
  <c r="L36" i="16"/>
  <c r="K36" i="16"/>
  <c r="J36" i="16"/>
  <c r="I36" i="16"/>
  <c r="H36" i="16"/>
  <c r="M36" i="16" s="1"/>
  <c r="D36" i="16" s="1"/>
  <c r="E36" i="16"/>
  <c r="L35" i="16"/>
  <c r="K35" i="16"/>
  <c r="L34" i="16"/>
  <c r="K34" i="16"/>
  <c r="J34" i="16"/>
  <c r="L33" i="16"/>
  <c r="K33" i="16"/>
  <c r="J33" i="16"/>
  <c r="I33" i="16"/>
  <c r="M31" i="16"/>
  <c r="E31" i="16"/>
  <c r="D31" i="16"/>
  <c r="M30" i="16"/>
  <c r="D30" i="16"/>
  <c r="E30" i="16" s="1"/>
  <c r="M29" i="16"/>
  <c r="D29" i="16" s="1"/>
  <c r="E29" i="16" s="1"/>
  <c r="M28" i="16"/>
  <c r="E28" i="16"/>
  <c r="D28" i="16"/>
  <c r="M27" i="16"/>
  <c r="L25" i="16"/>
  <c r="K25" i="16"/>
  <c r="J25" i="16"/>
  <c r="I25" i="16"/>
  <c r="H25" i="16"/>
  <c r="M25" i="16" s="1"/>
  <c r="E25" i="16"/>
  <c r="D25" i="16"/>
  <c r="L24" i="16"/>
  <c r="K24" i="16"/>
  <c r="J24" i="16"/>
  <c r="I24" i="16"/>
  <c r="H24" i="16"/>
  <c r="L23" i="16"/>
  <c r="K23" i="16"/>
  <c r="J23" i="16"/>
  <c r="I23" i="16"/>
  <c r="H23" i="16"/>
  <c r="M23" i="16" s="1"/>
  <c r="E23" i="16"/>
  <c r="D23" i="16"/>
  <c r="L22" i="16"/>
  <c r="K22" i="16"/>
  <c r="J22" i="16"/>
  <c r="I22" i="16"/>
  <c r="M22" i="16" s="1"/>
  <c r="D22" i="16" s="1"/>
  <c r="E22" i="16" s="1"/>
  <c r="H22" i="16"/>
  <c r="L21" i="16"/>
  <c r="K21" i="16"/>
  <c r="J21" i="16"/>
  <c r="I21" i="16"/>
  <c r="H21" i="16"/>
  <c r="M21" i="16" s="1"/>
  <c r="E21" i="16"/>
  <c r="D21" i="16"/>
  <c r="M20" i="16"/>
  <c r="D20" i="16" s="1"/>
  <c r="E20" i="16" s="1"/>
  <c r="L20" i="16"/>
  <c r="K20" i="16"/>
  <c r="J20" i="16"/>
  <c r="I20" i="16"/>
  <c r="H20" i="16"/>
  <c r="M19" i="16"/>
  <c r="N19" i="16" s="1"/>
  <c r="H19" i="16"/>
  <c r="D19" i="16"/>
  <c r="E19" i="16" s="1"/>
  <c r="C15" i="16"/>
  <c r="C14" i="16"/>
  <c r="C13" i="16"/>
  <c r="J12" i="16"/>
  <c r="J11" i="16"/>
  <c r="I30" i="15"/>
  <c r="H30" i="15"/>
  <c r="F30" i="15"/>
  <c r="E30" i="15"/>
  <c r="F29" i="15"/>
  <c r="I29" i="15" s="1"/>
  <c r="E29" i="15"/>
  <c r="H29" i="15" s="1"/>
  <c r="F28" i="15"/>
  <c r="I28" i="15" s="1"/>
  <c r="E28" i="15"/>
  <c r="H28" i="15" s="1"/>
  <c r="E27" i="15"/>
  <c r="I26" i="15"/>
  <c r="H26" i="15"/>
  <c r="F26" i="15"/>
  <c r="E26" i="15"/>
  <c r="E25" i="15"/>
  <c r="H25" i="15" s="1"/>
  <c r="E24" i="15"/>
  <c r="F23" i="15"/>
  <c r="I23" i="15" s="1"/>
  <c r="E23" i="15"/>
  <c r="H23" i="15" s="1"/>
  <c r="E22" i="15"/>
  <c r="H22" i="15" s="1"/>
  <c r="H21" i="15"/>
  <c r="E21" i="15"/>
  <c r="F21" i="15" s="1"/>
  <c r="I21" i="15" s="1"/>
  <c r="E20" i="15"/>
  <c r="H20" i="15" s="1"/>
  <c r="E19" i="15"/>
  <c r="H19" i="15" s="1"/>
  <c r="H18" i="15"/>
  <c r="E18" i="15"/>
  <c r="F18" i="15" s="1"/>
  <c r="I18" i="15" s="1"/>
  <c r="I17" i="15"/>
  <c r="H17" i="15"/>
  <c r="F17" i="15"/>
  <c r="E17" i="15"/>
  <c r="H16" i="15"/>
  <c r="E16" i="15"/>
  <c r="F16" i="15" s="1"/>
  <c r="I16" i="15" s="1"/>
  <c r="F15" i="15"/>
  <c r="I15" i="15" s="1"/>
  <c r="E15" i="15"/>
  <c r="H15" i="15" s="1"/>
  <c r="E14" i="15"/>
  <c r="H14" i="15" s="1"/>
  <c r="I13" i="15"/>
  <c r="H13" i="15"/>
  <c r="F13" i="15"/>
  <c r="E13" i="15"/>
  <c r="F12" i="15"/>
  <c r="I12" i="15" s="1"/>
  <c r="E12" i="15"/>
  <c r="H12" i="15" s="1"/>
  <c r="E11" i="15"/>
  <c r="I10" i="15"/>
  <c r="E10" i="15"/>
  <c r="F10" i="15" s="1"/>
  <c r="I9" i="15"/>
  <c r="H9" i="15"/>
  <c r="F9" i="15"/>
  <c r="E9" i="15"/>
  <c r="E8" i="15"/>
  <c r="H8" i="15" s="1"/>
  <c r="E7" i="15"/>
  <c r="H7" i="15" s="1"/>
  <c r="I6" i="15"/>
  <c r="H6" i="15"/>
  <c r="F6" i="15"/>
  <c r="E6" i="15"/>
  <c r="I5" i="15"/>
  <c r="H5" i="15"/>
  <c r="F5" i="15"/>
  <c r="E5" i="15"/>
  <c r="H4" i="15"/>
  <c r="E4" i="15"/>
  <c r="F4" i="15" s="1"/>
  <c r="I4" i="15" s="1"/>
  <c r="E3" i="15"/>
  <c r="H3" i="15" s="1"/>
  <c r="H2" i="15"/>
  <c r="F2" i="15"/>
  <c r="I2" i="15" s="1"/>
  <c r="E2" i="15"/>
  <c r="G2423" i="14"/>
  <c r="I3018" i="14"/>
  <c r="I3041" i="14"/>
  <c r="L271" i="6" s="1"/>
  <c r="N271" i="6" s="1"/>
  <c r="I3040" i="14"/>
  <c r="I3039" i="14"/>
  <c r="I3038" i="14"/>
  <c r="L329" i="6" s="1"/>
  <c r="N329" i="6" s="1"/>
  <c r="I3023" i="14"/>
  <c r="I3014" i="14"/>
  <c r="I3028" i="14"/>
  <c r="L321" i="6" s="1"/>
  <c r="I3017" i="14"/>
  <c r="I3026" i="14"/>
  <c r="I3025" i="14"/>
  <c r="I3024" i="14"/>
  <c r="I3016" i="14"/>
  <c r="I3022" i="14"/>
  <c r="I3021" i="14"/>
  <c r="I3013" i="14"/>
  <c r="I3012" i="14"/>
  <c r="L311" i="6" s="1"/>
  <c r="N323" i="6" s="1"/>
  <c r="I3011" i="14"/>
  <c r="L309" i="6" s="1"/>
  <c r="I3010" i="14"/>
  <c r="L310" i="6" s="1"/>
  <c r="I1885" i="14"/>
  <c r="L244" i="6" s="1"/>
  <c r="I1884" i="14"/>
  <c r="I1883" i="14"/>
  <c r="L243" i="6" s="1"/>
  <c r="I1882" i="14"/>
  <c r="L245" i="6" s="1"/>
  <c r="L255" i="6" s="1"/>
  <c r="I1881" i="14"/>
  <c r="I1880" i="14"/>
  <c r="I1569" i="14"/>
  <c r="I1568" i="14"/>
  <c r="L274" i="6" s="1"/>
  <c r="N274" i="6" s="1"/>
  <c r="I1567" i="14"/>
  <c r="L289" i="6" s="1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L262" i="6" s="1"/>
  <c r="I1553" i="14"/>
  <c r="L282" i="6" s="1"/>
  <c r="I1552" i="14"/>
  <c r="L279" i="6" s="1"/>
  <c r="I1551" i="14"/>
  <c r="L278" i="6" s="1"/>
  <c r="I1550" i="14"/>
  <c r="L277" i="6" s="1"/>
  <c r="I1549" i="14"/>
  <c r="L280" i="6" s="1"/>
  <c r="I1548" i="14"/>
  <c r="L270" i="6" s="1"/>
  <c r="I1547" i="14"/>
  <c r="L273" i="6" s="1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938" i="14"/>
  <c r="I937" i="14"/>
  <c r="L224" i="6" s="1"/>
  <c r="N236" i="6" s="1"/>
  <c r="I936" i="14"/>
  <c r="L222" i="6" s="1"/>
  <c r="I935" i="14"/>
  <c r="L219" i="6" s="1"/>
  <c r="I934" i="14"/>
  <c r="L220" i="6" s="1"/>
  <c r="I933" i="14"/>
  <c r="L330" i="6" s="1"/>
  <c r="I932" i="14"/>
  <c r="L215" i="6" s="1"/>
  <c r="I931" i="14"/>
  <c r="I929" i="14"/>
  <c r="L216" i="6" s="1"/>
  <c r="I769" i="14"/>
  <c r="I768" i="14"/>
  <c r="I767" i="14"/>
  <c r="I766" i="14"/>
  <c r="I765" i="14"/>
  <c r="I764" i="14"/>
  <c r="I763" i="14"/>
  <c r="I762" i="14"/>
  <c r="L209" i="6" s="1"/>
  <c r="N115" i="6"/>
  <c r="I289" i="14"/>
  <c r="I288" i="14"/>
  <c r="L111" i="6"/>
  <c r="N111" i="6" s="1"/>
  <c r="I475" i="14"/>
  <c r="L197" i="6" s="1"/>
  <c r="I474" i="14"/>
  <c r="I473" i="14"/>
  <c r="L193" i="6" s="1"/>
  <c r="I472" i="14"/>
  <c r="L192" i="6" s="1"/>
  <c r="I287" i="14"/>
  <c r="I286" i="14"/>
  <c r="L187" i="6" s="1"/>
  <c r="L190" i="6" s="1"/>
  <c r="I285" i="14"/>
  <c r="L188" i="6" s="1"/>
  <c r="I284" i="14"/>
  <c r="I283" i="14"/>
  <c r="N325" i="6" s="1"/>
  <c r="I31" i="14"/>
  <c r="I30" i="14"/>
  <c r="I29" i="14"/>
  <c r="L87" i="6" s="1"/>
  <c r="I28" i="14"/>
  <c r="L86" i="6" s="1"/>
  <c r="I27" i="14"/>
  <c r="I22" i="14"/>
  <c r="L84" i="6" s="1"/>
  <c r="I21" i="14"/>
  <c r="L83" i="6" s="1"/>
  <c r="I20" i="14"/>
  <c r="L82" i="6" s="1"/>
  <c r="I19" i="14"/>
  <c r="L81" i="6" s="1"/>
  <c r="I18" i="14"/>
  <c r="L80" i="6" s="1"/>
  <c r="I17" i="14"/>
  <c r="L79" i="6" s="1"/>
  <c r="K96" i="13"/>
  <c r="K91" i="13" s="1"/>
  <c r="Q93" i="13"/>
  <c r="Q91" i="13" s="1"/>
  <c r="T91" i="13"/>
  <c r="S91" i="13"/>
  <c r="P91" i="13"/>
  <c r="O91" i="13"/>
  <c r="N91" i="13"/>
  <c r="M91" i="13"/>
  <c r="L91" i="13"/>
  <c r="J91" i="13"/>
  <c r="I91" i="13"/>
  <c r="H91" i="13"/>
  <c r="G91" i="13"/>
  <c r="F91" i="13"/>
  <c r="E91" i="13"/>
  <c r="D91" i="13"/>
  <c r="C91" i="13"/>
  <c r="B91" i="13"/>
  <c r="K90" i="13"/>
  <c r="K86" i="13" s="1"/>
  <c r="Q88" i="13"/>
  <c r="Q86" i="13" s="1"/>
  <c r="P86" i="13"/>
  <c r="O86" i="13"/>
  <c r="N86" i="13"/>
  <c r="M86" i="13"/>
  <c r="L86" i="13"/>
  <c r="J86" i="13"/>
  <c r="I86" i="13"/>
  <c r="H86" i="13"/>
  <c r="G86" i="13"/>
  <c r="F86" i="13"/>
  <c r="E86" i="13"/>
  <c r="D86" i="13"/>
  <c r="C86" i="13"/>
  <c r="B86" i="13"/>
  <c r="K85" i="13"/>
  <c r="Q83" i="13"/>
  <c r="Q81" i="13" s="1"/>
  <c r="P81" i="13"/>
  <c r="O81" i="13"/>
  <c r="N81" i="13"/>
  <c r="M81" i="13"/>
  <c r="L81" i="13"/>
  <c r="K81" i="13"/>
  <c r="J81" i="13"/>
  <c r="I81" i="13"/>
  <c r="H81" i="13"/>
  <c r="G81" i="13"/>
  <c r="F81" i="13"/>
  <c r="E81" i="13"/>
  <c r="D81" i="13"/>
  <c r="C81" i="13"/>
  <c r="B81" i="13"/>
  <c r="K80" i="13"/>
  <c r="Q78" i="13"/>
  <c r="Q76" i="13" s="1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K75" i="13"/>
  <c r="K74" i="13"/>
  <c r="Q73" i="13"/>
  <c r="Q71" i="13" s="1"/>
  <c r="T71" i="13"/>
  <c r="S71" i="13"/>
  <c r="P71" i="13"/>
  <c r="O71" i="13"/>
  <c r="N71" i="13"/>
  <c r="M71" i="13"/>
  <c r="L71" i="13"/>
  <c r="J71" i="13"/>
  <c r="I71" i="13"/>
  <c r="H71" i="13"/>
  <c r="G71" i="13"/>
  <c r="F71" i="13"/>
  <c r="E71" i="13"/>
  <c r="D71" i="13"/>
  <c r="C71" i="13"/>
  <c r="B71" i="13"/>
  <c r="K70" i="13"/>
  <c r="K65" i="13" s="1"/>
  <c r="K69" i="13"/>
  <c r="Q67" i="13"/>
  <c r="Q65" i="13" s="1"/>
  <c r="T65" i="13"/>
  <c r="S65" i="13"/>
  <c r="P65" i="13"/>
  <c r="O65" i="13"/>
  <c r="N65" i="13"/>
  <c r="M65" i="13"/>
  <c r="L65" i="13"/>
  <c r="J65" i="13"/>
  <c r="I65" i="13"/>
  <c r="H65" i="13"/>
  <c r="G65" i="13"/>
  <c r="F65" i="13"/>
  <c r="E65" i="13"/>
  <c r="D65" i="13"/>
  <c r="C65" i="13"/>
  <c r="B65" i="13"/>
  <c r="K64" i="13"/>
  <c r="P63" i="13"/>
  <c r="K63" i="13"/>
  <c r="Q61" i="13"/>
  <c r="P61" i="13"/>
  <c r="K61" i="13"/>
  <c r="T59" i="13"/>
  <c r="S59" i="13"/>
  <c r="Q59" i="13"/>
  <c r="P59" i="13"/>
  <c r="O59" i="13"/>
  <c r="N59" i="13"/>
  <c r="M59" i="13"/>
  <c r="L59" i="13"/>
  <c r="J59" i="13"/>
  <c r="I59" i="13"/>
  <c r="H59" i="13"/>
  <c r="G59" i="13"/>
  <c r="F59" i="13"/>
  <c r="E59" i="13"/>
  <c r="D59" i="13"/>
  <c r="C59" i="13"/>
  <c r="B59" i="13"/>
  <c r="K58" i="13"/>
  <c r="K54" i="13" s="1"/>
  <c r="Q56" i="13"/>
  <c r="Q54" i="13" s="1"/>
  <c r="T54" i="13"/>
  <c r="S54" i="13"/>
  <c r="P54" i="13"/>
  <c r="O54" i="13"/>
  <c r="N54" i="13"/>
  <c r="M54" i="13"/>
  <c r="L54" i="13"/>
  <c r="J54" i="13"/>
  <c r="I54" i="13"/>
  <c r="H54" i="13"/>
  <c r="G54" i="13"/>
  <c r="F54" i="13"/>
  <c r="E54" i="13"/>
  <c r="D54" i="13"/>
  <c r="C54" i="13"/>
  <c r="B54" i="13"/>
  <c r="K53" i="13"/>
  <c r="K52" i="13"/>
  <c r="K48" i="13" s="1"/>
  <c r="Q50" i="13"/>
  <c r="Q48" i="13" s="1"/>
  <c r="T48" i="13"/>
  <c r="S48" i="13"/>
  <c r="P48" i="13"/>
  <c r="O48" i="13"/>
  <c r="N48" i="13"/>
  <c r="M48" i="13"/>
  <c r="L48" i="13"/>
  <c r="J48" i="13"/>
  <c r="I48" i="13"/>
  <c r="H48" i="13"/>
  <c r="G48" i="13"/>
  <c r="F48" i="13"/>
  <c r="E48" i="13"/>
  <c r="D48" i="13"/>
  <c r="C48" i="13"/>
  <c r="B48" i="13"/>
  <c r="K47" i="13"/>
  <c r="Q46" i="13"/>
  <c r="P46" i="13"/>
  <c r="K46" i="13"/>
  <c r="Q45" i="13"/>
  <c r="P45" i="13"/>
  <c r="K45" i="13"/>
  <c r="Q44" i="13"/>
  <c r="P44" i="13"/>
  <c r="K44" i="13"/>
  <c r="T42" i="13"/>
  <c r="S42" i="13"/>
  <c r="R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K41" i="13"/>
  <c r="Q40" i="13"/>
  <c r="P40" i="13"/>
  <c r="K40" i="13"/>
  <c r="Q39" i="13"/>
  <c r="P39" i="13"/>
  <c r="K39" i="13"/>
  <c r="Q38" i="13"/>
  <c r="Q36" i="13" s="1"/>
  <c r="P38" i="13"/>
  <c r="K38" i="13"/>
  <c r="P37" i="13"/>
  <c r="T36" i="13"/>
  <c r="S36" i="13"/>
  <c r="R36" i="13"/>
  <c r="O36" i="13"/>
  <c r="N36" i="13"/>
  <c r="M36" i="13"/>
  <c r="L36" i="13"/>
  <c r="J36" i="13"/>
  <c r="I36" i="13"/>
  <c r="H36" i="13"/>
  <c r="G36" i="13"/>
  <c r="F36" i="13"/>
  <c r="E36" i="13"/>
  <c r="D36" i="13"/>
  <c r="C36" i="13"/>
  <c r="B36" i="13"/>
  <c r="K35" i="13"/>
  <c r="K34" i="13"/>
  <c r="K30" i="13" s="1"/>
  <c r="Q32" i="13"/>
  <c r="Q30" i="13" s="1"/>
  <c r="T30" i="13"/>
  <c r="S30" i="13"/>
  <c r="P30" i="13"/>
  <c r="O30" i="13"/>
  <c r="N30" i="13"/>
  <c r="M30" i="13"/>
  <c r="L30" i="13"/>
  <c r="J30" i="13"/>
  <c r="I30" i="13"/>
  <c r="H30" i="13"/>
  <c r="G30" i="13"/>
  <c r="F30" i="13"/>
  <c r="E30" i="13"/>
  <c r="D30" i="13"/>
  <c r="C30" i="13"/>
  <c r="B30" i="13"/>
  <c r="K29" i="13"/>
  <c r="K28" i="13"/>
  <c r="Q26" i="13"/>
  <c r="Q25" i="13"/>
  <c r="T24" i="13"/>
  <c r="S24" i="13"/>
  <c r="P24" i="13"/>
  <c r="O24" i="13"/>
  <c r="N24" i="13"/>
  <c r="M24" i="13"/>
  <c r="L24" i="13"/>
  <c r="J24" i="13"/>
  <c r="I24" i="13"/>
  <c r="H24" i="13"/>
  <c r="G24" i="13"/>
  <c r="F24" i="13"/>
  <c r="E24" i="13"/>
  <c r="D24" i="13"/>
  <c r="C24" i="13"/>
  <c r="B24" i="13"/>
  <c r="K23" i="13"/>
  <c r="S22" i="13"/>
  <c r="K22" i="13"/>
  <c r="P19" i="13"/>
  <c r="O19" i="13"/>
  <c r="N19" i="13"/>
  <c r="M19" i="13"/>
  <c r="L19" i="13"/>
  <c r="J19" i="13"/>
  <c r="I19" i="13"/>
  <c r="H19" i="13"/>
  <c r="G19" i="13"/>
  <c r="F19" i="13"/>
  <c r="E19" i="13"/>
  <c r="D19" i="13"/>
  <c r="C19" i="13"/>
  <c r="B19" i="13"/>
  <c r="K18" i="13"/>
  <c r="K13" i="13"/>
  <c r="P13" i="13"/>
  <c r="O13" i="13"/>
  <c r="N13" i="13"/>
  <c r="M13" i="13"/>
  <c r="L13" i="13"/>
  <c r="J13" i="13"/>
  <c r="I13" i="13"/>
  <c r="H13" i="13"/>
  <c r="G13" i="13"/>
  <c r="F13" i="13"/>
  <c r="E13" i="13"/>
  <c r="D13" i="13"/>
  <c r="C13" i="13"/>
  <c r="B13" i="13"/>
  <c r="K12" i="13"/>
  <c r="K8" i="13" s="1"/>
  <c r="P8" i="13"/>
  <c r="O8" i="13"/>
  <c r="N8" i="13"/>
  <c r="M8" i="13"/>
  <c r="L8" i="13"/>
  <c r="J8" i="13"/>
  <c r="I8" i="13"/>
  <c r="H8" i="13"/>
  <c r="G8" i="13"/>
  <c r="F8" i="13"/>
  <c r="E8" i="13"/>
  <c r="D8" i="13"/>
  <c r="C8" i="13"/>
  <c r="B8" i="13"/>
  <c r="P24" i="12"/>
  <c r="N23" i="12"/>
  <c r="M23" i="12"/>
  <c r="L23" i="12"/>
  <c r="K23" i="12"/>
  <c r="L45" i="6" s="1"/>
  <c r="N45" i="6" s="1"/>
  <c r="J23" i="12"/>
  <c r="L44" i="6" s="1"/>
  <c r="I23" i="12"/>
  <c r="L43" i="6" s="1"/>
  <c r="H23" i="12"/>
  <c r="L42" i="6" s="1"/>
  <c r="G23" i="12"/>
  <c r="L41" i="6" s="1"/>
  <c r="F23" i="12"/>
  <c r="L40" i="6" s="1"/>
  <c r="E23" i="12"/>
  <c r="D23" i="12"/>
  <c r="P12" i="12"/>
  <c r="R12" i="12" s="1"/>
  <c r="O12" i="12"/>
  <c r="P7" i="12"/>
  <c r="R7" i="12" s="1"/>
  <c r="O7" i="12"/>
  <c r="Y146" i="11"/>
  <c r="X146" i="11"/>
  <c r="S146" i="11"/>
  <c r="M8" i="11" s="1"/>
  <c r="Q146" i="11"/>
  <c r="K8" i="11" s="1"/>
  <c r="N146" i="11"/>
  <c r="I8" i="11" s="1"/>
  <c r="A146" i="11"/>
  <c r="U145" i="11"/>
  <c r="T145" i="11"/>
  <c r="K145" i="11"/>
  <c r="U144" i="11"/>
  <c r="T144" i="11"/>
  <c r="R144" i="11"/>
  <c r="M144" i="11"/>
  <c r="L144" i="11"/>
  <c r="O144" i="11" s="1"/>
  <c r="K144" i="11"/>
  <c r="U143" i="11"/>
  <c r="T143" i="11"/>
  <c r="R143" i="11"/>
  <c r="M143" i="11"/>
  <c r="L143" i="11"/>
  <c r="O143" i="11" s="1"/>
  <c r="K143" i="11"/>
  <c r="U142" i="11"/>
  <c r="T142" i="11"/>
  <c r="R142" i="11"/>
  <c r="M142" i="11"/>
  <c r="L142" i="11"/>
  <c r="O142" i="11" s="1"/>
  <c r="K142" i="11"/>
  <c r="U141" i="11"/>
  <c r="T141" i="11"/>
  <c r="R141" i="11"/>
  <c r="M141" i="11"/>
  <c r="L141" i="11"/>
  <c r="O141" i="11" s="1"/>
  <c r="K141" i="11"/>
  <c r="U140" i="11"/>
  <c r="T140" i="11"/>
  <c r="R140" i="11"/>
  <c r="M140" i="11"/>
  <c r="L140" i="11"/>
  <c r="O140" i="11" s="1"/>
  <c r="K140" i="11"/>
  <c r="U139" i="11"/>
  <c r="T139" i="11"/>
  <c r="R139" i="11"/>
  <c r="M139" i="11"/>
  <c r="L139" i="11"/>
  <c r="O139" i="11" s="1"/>
  <c r="K139" i="11"/>
  <c r="U138" i="11"/>
  <c r="T138" i="11"/>
  <c r="R138" i="11"/>
  <c r="M138" i="11"/>
  <c r="L138" i="11"/>
  <c r="O138" i="11" s="1"/>
  <c r="K138" i="11"/>
  <c r="U137" i="11"/>
  <c r="T137" i="11"/>
  <c r="R137" i="11"/>
  <c r="M137" i="11"/>
  <c r="L137" i="11"/>
  <c r="O137" i="11" s="1"/>
  <c r="K137" i="11"/>
  <c r="U136" i="11"/>
  <c r="T136" i="11"/>
  <c r="R136" i="11"/>
  <c r="M136" i="11"/>
  <c r="L136" i="11"/>
  <c r="O136" i="11" s="1"/>
  <c r="K136" i="11"/>
  <c r="U135" i="11"/>
  <c r="T135" i="11"/>
  <c r="R135" i="11"/>
  <c r="M135" i="11"/>
  <c r="L135" i="11"/>
  <c r="O135" i="11" s="1"/>
  <c r="K135" i="11"/>
  <c r="U134" i="11"/>
  <c r="T134" i="11"/>
  <c r="R134" i="11"/>
  <c r="M134" i="11"/>
  <c r="L134" i="11"/>
  <c r="O134" i="11" s="1"/>
  <c r="K134" i="11"/>
  <c r="U133" i="11"/>
  <c r="T133" i="11"/>
  <c r="R133" i="11"/>
  <c r="M133" i="11"/>
  <c r="L133" i="11"/>
  <c r="O133" i="11" s="1"/>
  <c r="K133" i="11"/>
  <c r="U132" i="11"/>
  <c r="T132" i="11"/>
  <c r="R132" i="11"/>
  <c r="O132" i="11"/>
  <c r="M132" i="11"/>
  <c r="L132" i="11"/>
  <c r="K132" i="11"/>
  <c r="U131" i="11"/>
  <c r="T131" i="11"/>
  <c r="R131" i="11"/>
  <c r="M131" i="11"/>
  <c r="L131" i="11"/>
  <c r="O131" i="11" s="1"/>
  <c r="K131" i="11"/>
  <c r="U130" i="11"/>
  <c r="T130" i="11"/>
  <c r="R130" i="11"/>
  <c r="M130" i="11"/>
  <c r="L130" i="11"/>
  <c r="O130" i="11" s="1"/>
  <c r="K130" i="11"/>
  <c r="U129" i="11"/>
  <c r="T129" i="11"/>
  <c r="R129" i="11"/>
  <c r="M129" i="11"/>
  <c r="L129" i="11"/>
  <c r="O129" i="11" s="1"/>
  <c r="K129" i="11"/>
  <c r="U128" i="11"/>
  <c r="T128" i="11"/>
  <c r="R128" i="11"/>
  <c r="M128" i="11"/>
  <c r="L128" i="11"/>
  <c r="O128" i="11" s="1"/>
  <c r="K128" i="11"/>
  <c r="U127" i="11"/>
  <c r="T127" i="11"/>
  <c r="R127" i="11"/>
  <c r="M127" i="11"/>
  <c r="L127" i="11"/>
  <c r="O127" i="11" s="1"/>
  <c r="K127" i="11"/>
  <c r="U126" i="11"/>
  <c r="T126" i="11"/>
  <c r="R126" i="11"/>
  <c r="M126" i="11"/>
  <c r="L126" i="11"/>
  <c r="O126" i="11" s="1"/>
  <c r="K126" i="11"/>
  <c r="U125" i="11"/>
  <c r="T125" i="11"/>
  <c r="R125" i="11"/>
  <c r="M125" i="11"/>
  <c r="L125" i="11"/>
  <c r="O125" i="11" s="1"/>
  <c r="K125" i="11"/>
  <c r="U124" i="11"/>
  <c r="T124" i="11"/>
  <c r="R124" i="11"/>
  <c r="M124" i="11"/>
  <c r="L124" i="11"/>
  <c r="O124" i="11" s="1"/>
  <c r="K124" i="11"/>
  <c r="U123" i="11"/>
  <c r="T123" i="11"/>
  <c r="R123" i="11"/>
  <c r="M123" i="11"/>
  <c r="L123" i="11"/>
  <c r="O123" i="11" s="1"/>
  <c r="K123" i="11"/>
  <c r="U122" i="11"/>
  <c r="T122" i="11"/>
  <c r="R122" i="11"/>
  <c r="O122" i="11"/>
  <c r="M122" i="11"/>
  <c r="L122" i="11"/>
  <c r="K122" i="11"/>
  <c r="U121" i="11"/>
  <c r="T121" i="11"/>
  <c r="R121" i="11"/>
  <c r="M121" i="11"/>
  <c r="L121" i="11"/>
  <c r="O121" i="11" s="1"/>
  <c r="K121" i="11"/>
  <c r="U120" i="11"/>
  <c r="T120" i="11"/>
  <c r="R120" i="11"/>
  <c r="M120" i="11"/>
  <c r="L120" i="11"/>
  <c r="O120" i="11" s="1"/>
  <c r="K120" i="11"/>
  <c r="U119" i="11"/>
  <c r="T119" i="11"/>
  <c r="R119" i="11"/>
  <c r="O119" i="11"/>
  <c r="M119" i="11"/>
  <c r="L119" i="11"/>
  <c r="K119" i="11"/>
  <c r="U118" i="11"/>
  <c r="T118" i="11"/>
  <c r="R118" i="11"/>
  <c r="M118" i="11"/>
  <c r="L118" i="11"/>
  <c r="O118" i="11" s="1"/>
  <c r="K118" i="11"/>
  <c r="U117" i="11"/>
  <c r="T117" i="11"/>
  <c r="R117" i="11"/>
  <c r="M117" i="11"/>
  <c r="L117" i="11"/>
  <c r="O117" i="11" s="1"/>
  <c r="K117" i="11"/>
  <c r="U116" i="11"/>
  <c r="T116" i="11"/>
  <c r="R116" i="11"/>
  <c r="M116" i="11"/>
  <c r="L116" i="11"/>
  <c r="O116" i="11" s="1"/>
  <c r="K116" i="11"/>
  <c r="U115" i="11"/>
  <c r="T115" i="11"/>
  <c r="R115" i="11"/>
  <c r="M115" i="11"/>
  <c r="L115" i="11"/>
  <c r="O115" i="11" s="1"/>
  <c r="K115" i="11"/>
  <c r="U114" i="11"/>
  <c r="T114" i="11"/>
  <c r="R114" i="11"/>
  <c r="M114" i="11"/>
  <c r="L114" i="11"/>
  <c r="O114" i="11" s="1"/>
  <c r="K114" i="11"/>
  <c r="U113" i="11"/>
  <c r="T113" i="11"/>
  <c r="R113" i="11"/>
  <c r="M113" i="11"/>
  <c r="L113" i="11"/>
  <c r="O113" i="11" s="1"/>
  <c r="K113" i="11"/>
  <c r="U112" i="11"/>
  <c r="U146" i="11" s="1"/>
  <c r="T112" i="11"/>
  <c r="R112" i="11"/>
  <c r="M112" i="11"/>
  <c r="L112" i="11"/>
  <c r="O112" i="11" s="1"/>
  <c r="K112" i="11"/>
  <c r="U111" i="11"/>
  <c r="T111" i="11"/>
  <c r="R111" i="11"/>
  <c r="M111" i="11"/>
  <c r="L111" i="11"/>
  <c r="O111" i="11" s="1"/>
  <c r="K111" i="11"/>
  <c r="U110" i="11"/>
  <c r="R8" i="11" s="1"/>
  <c r="T110" i="11"/>
  <c r="R110" i="11"/>
  <c r="O110" i="11"/>
  <c r="M110" i="11"/>
  <c r="L110" i="11"/>
  <c r="K110" i="11"/>
  <c r="Q102" i="11"/>
  <c r="A102" i="11"/>
  <c r="U101" i="11"/>
  <c r="T101" i="11"/>
  <c r="S101" i="11"/>
  <c r="R101" i="11"/>
  <c r="O101" i="11"/>
  <c r="J101" i="11"/>
  <c r="E101" i="11"/>
  <c r="U100" i="11"/>
  <c r="T100" i="11"/>
  <c r="S100" i="11"/>
  <c r="R100" i="11"/>
  <c r="O100" i="11"/>
  <c r="J100" i="11"/>
  <c r="E100" i="11"/>
  <c r="U99" i="11"/>
  <c r="T99" i="11"/>
  <c r="S99" i="11"/>
  <c r="R99" i="11"/>
  <c r="O99" i="11"/>
  <c r="J99" i="11"/>
  <c r="E99" i="11"/>
  <c r="U98" i="11"/>
  <c r="T98" i="11"/>
  <c r="S98" i="11"/>
  <c r="R98" i="11"/>
  <c r="O98" i="11"/>
  <c r="J98" i="11"/>
  <c r="E98" i="11"/>
  <c r="U97" i="11"/>
  <c r="T97" i="11"/>
  <c r="S97" i="11"/>
  <c r="R97" i="11"/>
  <c r="O97" i="11"/>
  <c r="J97" i="11"/>
  <c r="E97" i="11"/>
  <c r="U96" i="11"/>
  <c r="T96" i="11"/>
  <c r="S96" i="11"/>
  <c r="R96" i="11"/>
  <c r="O96" i="11"/>
  <c r="J96" i="11"/>
  <c r="E96" i="11"/>
  <c r="U95" i="11"/>
  <c r="P11" i="12" s="1"/>
  <c r="T95" i="11"/>
  <c r="S95" i="11"/>
  <c r="R95" i="11"/>
  <c r="O95" i="11"/>
  <c r="J95" i="11"/>
  <c r="E95" i="11"/>
  <c r="R94" i="11"/>
  <c r="J94" i="11"/>
  <c r="L94" i="11" s="1"/>
  <c r="F94" i="11"/>
  <c r="U93" i="11"/>
  <c r="P10" i="12" s="1"/>
  <c r="T93" i="11"/>
  <c r="S93" i="11"/>
  <c r="O10" i="12" s="1"/>
  <c r="M93" i="11"/>
  <c r="M102" i="11" s="1"/>
  <c r="J93" i="11"/>
  <c r="L93" i="11" s="1"/>
  <c r="Q83" i="11"/>
  <c r="A83" i="11"/>
  <c r="U82" i="11"/>
  <c r="S82" i="11"/>
  <c r="T82" i="11" s="1"/>
  <c r="M82" i="11"/>
  <c r="R82" i="11" s="1"/>
  <c r="L82" i="11"/>
  <c r="J82" i="11"/>
  <c r="J81" i="11"/>
  <c r="G81" i="11"/>
  <c r="M81" i="11" s="1"/>
  <c r="R81" i="11" s="1"/>
  <c r="U80" i="11"/>
  <c r="S80" i="11"/>
  <c r="T80" i="11" s="1"/>
  <c r="M80" i="11"/>
  <c r="R80" i="11" s="1"/>
  <c r="J80" i="11"/>
  <c r="L80" i="11" s="1"/>
  <c r="U79" i="11"/>
  <c r="S79" i="11"/>
  <c r="T79" i="11" s="1"/>
  <c r="M79" i="11"/>
  <c r="R79" i="11" s="1"/>
  <c r="J79" i="11"/>
  <c r="L79" i="11" s="1"/>
  <c r="U78" i="11"/>
  <c r="S78" i="11"/>
  <c r="T78" i="11" s="1"/>
  <c r="R78" i="11"/>
  <c r="M78" i="11"/>
  <c r="J78" i="11"/>
  <c r="L78" i="11" s="1"/>
  <c r="N78" i="11" s="1"/>
  <c r="O78" i="11" s="1"/>
  <c r="U77" i="11"/>
  <c r="S77" i="11"/>
  <c r="T77" i="11" s="1"/>
  <c r="M77" i="11"/>
  <c r="R77" i="11" s="1"/>
  <c r="J77" i="11"/>
  <c r="L77" i="11" s="1"/>
  <c r="S76" i="11"/>
  <c r="T76" i="11" s="1"/>
  <c r="J76" i="11"/>
  <c r="G76" i="11"/>
  <c r="U75" i="11"/>
  <c r="S75" i="11"/>
  <c r="T75" i="11" s="1"/>
  <c r="R75" i="11"/>
  <c r="M75" i="11"/>
  <c r="J75" i="11"/>
  <c r="L75" i="11" s="1"/>
  <c r="U74" i="11"/>
  <c r="S74" i="11"/>
  <c r="T74" i="11" s="1"/>
  <c r="M74" i="11"/>
  <c r="R74" i="11" s="1"/>
  <c r="J74" i="11"/>
  <c r="L74" i="11" s="1"/>
  <c r="U73" i="11"/>
  <c r="S73" i="11"/>
  <c r="T73" i="11" s="1"/>
  <c r="N73" i="11"/>
  <c r="M73" i="11"/>
  <c r="R73" i="11" s="1"/>
  <c r="J73" i="11"/>
  <c r="L73" i="11" s="1"/>
  <c r="U72" i="11"/>
  <c r="S72" i="11"/>
  <c r="T72" i="11" s="1"/>
  <c r="O72" i="11"/>
  <c r="N72" i="11"/>
  <c r="M72" i="11"/>
  <c r="J72" i="11"/>
  <c r="L72" i="11" s="1"/>
  <c r="T63" i="11"/>
  <c r="Q63" i="11"/>
  <c r="A63" i="11"/>
  <c r="U62" i="11"/>
  <c r="S62" i="11"/>
  <c r="N62" i="11"/>
  <c r="O62" i="11" s="1"/>
  <c r="M62" i="11"/>
  <c r="R62" i="11" s="1"/>
  <c r="L62" i="11"/>
  <c r="U61" i="11"/>
  <c r="S61" i="11"/>
  <c r="O61" i="11"/>
  <c r="M61" i="11"/>
  <c r="R61" i="11" s="1"/>
  <c r="L61" i="11"/>
  <c r="N61" i="11" s="1"/>
  <c r="U60" i="11"/>
  <c r="S60" i="11"/>
  <c r="M60" i="11"/>
  <c r="R60" i="11" s="1"/>
  <c r="L60" i="11"/>
  <c r="U59" i="11"/>
  <c r="N59" i="11" s="1"/>
  <c r="S59" i="11"/>
  <c r="R59" i="11"/>
  <c r="O59" i="11"/>
  <c r="M59" i="11"/>
  <c r="L59" i="11"/>
  <c r="U58" i="11"/>
  <c r="S58" i="11"/>
  <c r="M58" i="11"/>
  <c r="R58" i="11" s="1"/>
  <c r="L58" i="11"/>
  <c r="U57" i="11"/>
  <c r="S57" i="11"/>
  <c r="M57" i="11"/>
  <c r="L57" i="11"/>
  <c r="Q50" i="11"/>
  <c r="K7" i="11" s="1"/>
  <c r="A50" i="11"/>
  <c r="U49" i="11"/>
  <c r="S49" i="11"/>
  <c r="N49" i="11"/>
  <c r="O49" i="11" s="1"/>
  <c r="M49" i="11"/>
  <c r="J49" i="11"/>
  <c r="L49" i="11" s="1"/>
  <c r="U48" i="11"/>
  <c r="S48" i="11"/>
  <c r="M48" i="11"/>
  <c r="J48" i="11"/>
  <c r="L48" i="11" s="1"/>
  <c r="U47" i="11"/>
  <c r="S47" i="11"/>
  <c r="M47" i="11"/>
  <c r="R47" i="11" s="1"/>
  <c r="J47" i="11"/>
  <c r="L47" i="11" s="1"/>
  <c r="N47" i="11" s="1"/>
  <c r="O47" i="11" s="1"/>
  <c r="U46" i="11"/>
  <c r="S46" i="11"/>
  <c r="N46" i="11"/>
  <c r="O46" i="11" s="1"/>
  <c r="M46" i="11"/>
  <c r="T46" i="11" s="1"/>
  <c r="J46" i="11"/>
  <c r="L46" i="11" s="1"/>
  <c r="U45" i="11"/>
  <c r="S45" i="11"/>
  <c r="M45" i="11"/>
  <c r="R45" i="11" s="1"/>
  <c r="L45" i="11"/>
  <c r="J45" i="11"/>
  <c r="U44" i="11"/>
  <c r="S44" i="11"/>
  <c r="M44" i="11"/>
  <c r="R44" i="11" s="1"/>
  <c r="J44" i="11"/>
  <c r="L44" i="11" s="1"/>
  <c r="U43" i="11"/>
  <c r="T43" i="11"/>
  <c r="S43" i="11"/>
  <c r="R43" i="11"/>
  <c r="M43" i="11"/>
  <c r="J43" i="11"/>
  <c r="L43" i="11" s="1"/>
  <c r="U42" i="11"/>
  <c r="S42" i="11"/>
  <c r="M42" i="11"/>
  <c r="T42" i="11" s="1"/>
  <c r="J42" i="11"/>
  <c r="L42" i="11" s="1"/>
  <c r="N42" i="11" s="1"/>
  <c r="O42" i="11" s="1"/>
  <c r="U41" i="11"/>
  <c r="S41" i="11"/>
  <c r="M41" i="11"/>
  <c r="J41" i="11"/>
  <c r="L41" i="11" s="1"/>
  <c r="U40" i="11"/>
  <c r="T40" i="11"/>
  <c r="S40" i="11"/>
  <c r="M40" i="11"/>
  <c r="R40" i="11" s="1"/>
  <c r="J40" i="11"/>
  <c r="L40" i="11" s="1"/>
  <c r="U39" i="11"/>
  <c r="S39" i="11"/>
  <c r="M39" i="11"/>
  <c r="T39" i="11" s="1"/>
  <c r="J39" i="11"/>
  <c r="L39" i="11" s="1"/>
  <c r="U38" i="11"/>
  <c r="S38" i="11"/>
  <c r="M38" i="11"/>
  <c r="T38" i="11" s="1"/>
  <c r="L38" i="11"/>
  <c r="J38" i="11"/>
  <c r="U37" i="11"/>
  <c r="S37" i="11"/>
  <c r="M37" i="11"/>
  <c r="R37" i="11" s="1"/>
  <c r="J37" i="11"/>
  <c r="L37" i="11" s="1"/>
  <c r="U36" i="11"/>
  <c r="S36" i="11"/>
  <c r="M36" i="11"/>
  <c r="R36" i="11" s="1"/>
  <c r="J36" i="11"/>
  <c r="L36" i="11" s="1"/>
  <c r="U35" i="11"/>
  <c r="S35" i="11"/>
  <c r="M35" i="11"/>
  <c r="R35" i="11" s="1"/>
  <c r="J35" i="11"/>
  <c r="L35" i="11" s="1"/>
  <c r="U34" i="11"/>
  <c r="S34" i="11"/>
  <c r="M34" i="11"/>
  <c r="L34" i="11"/>
  <c r="J34" i="11"/>
  <c r="U33" i="11"/>
  <c r="S33" i="11"/>
  <c r="M33" i="11"/>
  <c r="R33" i="11" s="1"/>
  <c r="J33" i="11"/>
  <c r="L33" i="11" s="1"/>
  <c r="N33" i="11" s="1"/>
  <c r="O33" i="11" s="1"/>
  <c r="U32" i="11"/>
  <c r="S32" i="11"/>
  <c r="M32" i="11"/>
  <c r="J32" i="11"/>
  <c r="L32" i="11" s="1"/>
  <c r="U31" i="11"/>
  <c r="S31" i="11"/>
  <c r="R31" i="11"/>
  <c r="M31" i="11"/>
  <c r="T31" i="11" s="1"/>
  <c r="L31" i="11"/>
  <c r="J31" i="11"/>
  <c r="U30" i="11"/>
  <c r="S30" i="11"/>
  <c r="M30" i="11"/>
  <c r="J30" i="11"/>
  <c r="L30" i="11" s="1"/>
  <c r="U29" i="11"/>
  <c r="T29" i="11"/>
  <c r="S29" i="11"/>
  <c r="M29" i="11"/>
  <c r="R29" i="11" s="1"/>
  <c r="L29" i="11"/>
  <c r="J29" i="11"/>
  <c r="U28" i="11"/>
  <c r="S28" i="11"/>
  <c r="M28" i="11"/>
  <c r="T28" i="11" s="1"/>
  <c r="L28" i="11"/>
  <c r="J28" i="11"/>
  <c r="U27" i="11"/>
  <c r="S27" i="11"/>
  <c r="M27" i="11"/>
  <c r="T27" i="11" s="1"/>
  <c r="J27" i="11"/>
  <c r="L27" i="11" s="1"/>
  <c r="U26" i="11"/>
  <c r="S26" i="11"/>
  <c r="M26" i="11"/>
  <c r="T26" i="11" s="1"/>
  <c r="J26" i="11"/>
  <c r="L26" i="11" s="1"/>
  <c r="U25" i="11"/>
  <c r="S25" i="11"/>
  <c r="M25" i="11"/>
  <c r="J25" i="11"/>
  <c r="L25" i="11" s="1"/>
  <c r="U24" i="11"/>
  <c r="S24" i="11"/>
  <c r="M24" i="11"/>
  <c r="T24" i="11" s="1"/>
  <c r="J24" i="11"/>
  <c r="L24" i="11" s="1"/>
  <c r="U23" i="11"/>
  <c r="S23" i="11"/>
  <c r="R23" i="11"/>
  <c r="M23" i="11"/>
  <c r="T23" i="11" s="1"/>
  <c r="J23" i="11"/>
  <c r="L23" i="11" s="1"/>
  <c r="U22" i="11"/>
  <c r="S22" i="11"/>
  <c r="M22" i="11"/>
  <c r="T22" i="11" s="1"/>
  <c r="J22" i="11"/>
  <c r="L22" i="11" s="1"/>
  <c r="U21" i="11"/>
  <c r="T21" i="11"/>
  <c r="S21" i="11"/>
  <c r="R21" i="11"/>
  <c r="M21" i="11"/>
  <c r="L21" i="11"/>
  <c r="J21" i="11"/>
  <c r="U20" i="11"/>
  <c r="S20" i="11"/>
  <c r="R20" i="11"/>
  <c r="M20" i="11"/>
  <c r="T20" i="11" s="1"/>
  <c r="J20" i="11"/>
  <c r="L20" i="11" s="1"/>
  <c r="U19" i="11"/>
  <c r="S19" i="11"/>
  <c r="M19" i="11"/>
  <c r="T19" i="11" s="1"/>
  <c r="J19" i="11"/>
  <c r="L19" i="11" s="1"/>
  <c r="U18" i="11"/>
  <c r="S18" i="11"/>
  <c r="M18" i="11"/>
  <c r="J18" i="11"/>
  <c r="L18" i="11" s="1"/>
  <c r="U17" i="11"/>
  <c r="S17" i="11"/>
  <c r="M17" i="11"/>
  <c r="J17" i="11"/>
  <c r="L17" i="11" s="1"/>
  <c r="U16" i="11"/>
  <c r="S16" i="11"/>
  <c r="M16" i="11"/>
  <c r="J16" i="11"/>
  <c r="L16" i="11" s="1"/>
  <c r="U15" i="11"/>
  <c r="T15" i="11"/>
  <c r="S15" i="11"/>
  <c r="R15" i="11"/>
  <c r="M15" i="11"/>
  <c r="L15" i="11"/>
  <c r="J15" i="11"/>
  <c r="T8" i="11"/>
  <c r="S8" i="11"/>
  <c r="Q8" i="11"/>
  <c r="P8" i="11"/>
  <c r="O8" i="11"/>
  <c r="T7" i="11"/>
  <c r="S7" i="11"/>
  <c r="Q7" i="11"/>
  <c r="P7" i="11"/>
  <c r="O7" i="11"/>
  <c r="H25" i="10"/>
  <c r="K21" i="10"/>
  <c r="H21" i="10"/>
  <c r="K20" i="10"/>
  <c r="H20" i="10"/>
  <c r="K19" i="10"/>
  <c r="H19" i="10"/>
  <c r="K18" i="10"/>
  <c r="H18" i="10"/>
  <c r="K17" i="10"/>
  <c r="H17" i="10"/>
  <c r="K16" i="10"/>
  <c r="H16" i="10"/>
  <c r="K15" i="10"/>
  <c r="H15" i="10"/>
  <c r="K14" i="10"/>
  <c r="H14" i="10"/>
  <c r="C13" i="10"/>
  <c r="K12" i="10"/>
  <c r="K25" i="10" s="1"/>
  <c r="G12" i="10"/>
  <c r="F12" i="10"/>
  <c r="I12" i="10" s="1"/>
  <c r="J12" i="10" s="1"/>
  <c r="H11" i="10"/>
  <c r="H24" i="10" s="1"/>
  <c r="G11" i="10"/>
  <c r="F11" i="10"/>
  <c r="I11" i="10" s="1"/>
  <c r="H10" i="10"/>
  <c r="H23" i="10" s="1"/>
  <c r="G10" i="10"/>
  <c r="F10" i="10"/>
  <c r="H9" i="10"/>
  <c r="G9" i="10"/>
  <c r="F9" i="10"/>
  <c r="Q7" i="10"/>
  <c r="H488" i="7"/>
  <c r="A488" i="7"/>
  <c r="C487" i="7"/>
  <c r="A487" i="7"/>
  <c r="H486" i="7"/>
  <c r="A486" i="7"/>
  <c r="C485" i="7"/>
  <c r="A485" i="7"/>
  <c r="H484" i="7"/>
  <c r="A484" i="7"/>
  <c r="C483" i="7"/>
  <c r="A483" i="7"/>
  <c r="H482" i="7"/>
  <c r="A482" i="7"/>
  <c r="C481" i="7"/>
  <c r="A481" i="7"/>
  <c r="H480" i="7"/>
  <c r="A480" i="7"/>
  <c r="C479" i="7"/>
  <c r="A479" i="7"/>
  <c r="H478" i="7"/>
  <c r="A478" i="7"/>
  <c r="C477" i="7"/>
  <c r="A477" i="7"/>
  <c r="H476" i="7"/>
  <c r="A476" i="7"/>
  <c r="C475" i="7"/>
  <c r="A475" i="7"/>
  <c r="H474" i="7"/>
  <c r="A474" i="7"/>
  <c r="C473" i="7"/>
  <c r="A473" i="7"/>
  <c r="H472" i="7"/>
  <c r="A472" i="7"/>
  <c r="C471" i="7"/>
  <c r="A471" i="7"/>
  <c r="H470" i="7"/>
  <c r="A470" i="7"/>
  <c r="C469" i="7"/>
  <c r="A469" i="7"/>
  <c r="H468" i="7"/>
  <c r="A468" i="7"/>
  <c r="C467" i="7"/>
  <c r="A467" i="7"/>
  <c r="H466" i="7"/>
  <c r="A466" i="7"/>
  <c r="C465" i="7"/>
  <c r="A465" i="7"/>
  <c r="H464" i="7"/>
  <c r="A464" i="7"/>
  <c r="C463" i="7"/>
  <c r="A463" i="7"/>
  <c r="H462" i="7"/>
  <c r="A462" i="7"/>
  <c r="C461" i="7"/>
  <c r="A461" i="7"/>
  <c r="H460" i="7"/>
  <c r="A460" i="7"/>
  <c r="C459" i="7"/>
  <c r="A459" i="7"/>
  <c r="H458" i="7"/>
  <c r="A458" i="7"/>
  <c r="C457" i="7"/>
  <c r="A457" i="7"/>
  <c r="H456" i="7"/>
  <c r="A456" i="7"/>
  <c r="C455" i="7"/>
  <c r="A455" i="7"/>
  <c r="H454" i="7"/>
  <c r="A454" i="7"/>
  <c r="C453" i="7"/>
  <c r="A453" i="7"/>
  <c r="H452" i="7"/>
  <c r="A452" i="7"/>
  <c r="H451" i="7"/>
  <c r="A451" i="7"/>
  <c r="C450" i="7"/>
  <c r="C451" i="7" s="1"/>
  <c r="C452" i="7" s="1"/>
  <c r="A450" i="7"/>
  <c r="H449" i="7"/>
  <c r="A449" i="7"/>
  <c r="C448" i="7"/>
  <c r="A448" i="7"/>
  <c r="H447" i="7"/>
  <c r="A447" i="7"/>
  <c r="H446" i="7"/>
  <c r="A446" i="7"/>
  <c r="C445" i="7"/>
  <c r="A445" i="7"/>
  <c r="H444" i="7"/>
  <c r="A444" i="7"/>
  <c r="H443" i="7"/>
  <c r="A443" i="7"/>
  <c r="C442" i="7"/>
  <c r="A442" i="7"/>
  <c r="H441" i="7"/>
  <c r="C440" i="7"/>
  <c r="H439" i="7"/>
  <c r="A439" i="7"/>
  <c r="C438" i="7"/>
  <c r="H431" i="7"/>
  <c r="A431" i="7"/>
  <c r="C430" i="7"/>
  <c r="C431" i="7" s="1"/>
  <c r="A430" i="7"/>
  <c r="H429" i="7"/>
  <c r="A429" i="7"/>
  <c r="H428" i="7"/>
  <c r="A428" i="7"/>
  <c r="C427" i="7"/>
  <c r="C428" i="7" s="1"/>
  <c r="C429" i="7" s="1"/>
  <c r="A427" i="7"/>
  <c r="H426" i="7"/>
  <c r="A426" i="7"/>
  <c r="C425" i="7"/>
  <c r="A425" i="7"/>
  <c r="H419" i="7"/>
  <c r="A419" i="7"/>
  <c r="C418" i="7"/>
  <c r="A418" i="7"/>
  <c r="H417" i="7"/>
  <c r="A417" i="7"/>
  <c r="C416" i="7"/>
  <c r="C417" i="7" s="1"/>
  <c r="A416" i="7"/>
  <c r="H410" i="7"/>
  <c r="A410" i="7"/>
  <c r="C407" i="7"/>
  <c r="A407" i="7"/>
  <c r="H406" i="7"/>
  <c r="A406" i="7"/>
  <c r="H405" i="7"/>
  <c r="A405" i="7"/>
  <c r="C404" i="7"/>
  <c r="A404" i="7"/>
  <c r="H403" i="7"/>
  <c r="A403" i="7"/>
  <c r="H397" i="7"/>
  <c r="A397" i="7"/>
  <c r="H396" i="7"/>
  <c r="A396" i="7"/>
  <c r="H395" i="7"/>
  <c r="A395" i="7"/>
  <c r="H394" i="7"/>
  <c r="A394" i="7"/>
  <c r="C393" i="7"/>
  <c r="A393" i="7"/>
  <c r="H392" i="7"/>
  <c r="A392" i="7"/>
  <c r="H391" i="7"/>
  <c r="A391" i="7"/>
  <c r="C390" i="7"/>
  <c r="A390" i="7"/>
  <c r="H389" i="7"/>
  <c r="A389" i="7"/>
  <c r="H388" i="7"/>
  <c r="A388" i="7"/>
  <c r="H387" i="7"/>
  <c r="A387" i="7"/>
  <c r="C386" i="7"/>
  <c r="A386" i="7"/>
  <c r="H385" i="7"/>
  <c r="A385" i="7"/>
  <c r="H384" i="7"/>
  <c r="A384" i="7"/>
  <c r="H383" i="7"/>
  <c r="A383" i="7"/>
  <c r="C382" i="7"/>
  <c r="A382" i="7"/>
  <c r="H376" i="7"/>
  <c r="A376" i="7"/>
  <c r="H375" i="7"/>
  <c r="A375" i="7"/>
  <c r="H374" i="7"/>
  <c r="A374" i="7"/>
  <c r="H373" i="7"/>
  <c r="A373" i="7"/>
  <c r="C372" i="7"/>
  <c r="A372" i="7"/>
  <c r="H371" i="7"/>
  <c r="A371" i="7"/>
  <c r="H370" i="7"/>
  <c r="A370" i="7"/>
  <c r="H369" i="7"/>
  <c r="A369" i="7"/>
  <c r="H368" i="7"/>
  <c r="A368" i="7"/>
  <c r="C367" i="7"/>
  <c r="A367" i="7"/>
  <c r="H366" i="7"/>
  <c r="A366" i="7"/>
  <c r="H365" i="7"/>
  <c r="A365" i="7"/>
  <c r="H364" i="7"/>
  <c r="A364" i="7"/>
  <c r="H363" i="7"/>
  <c r="A363" i="7"/>
  <c r="C362" i="7"/>
  <c r="A362" i="7"/>
  <c r="H361" i="7"/>
  <c r="A361" i="7"/>
  <c r="H360" i="7"/>
  <c r="A360" i="7"/>
  <c r="C359" i="7"/>
  <c r="A359" i="7"/>
  <c r="H358" i="7"/>
  <c r="A358" i="7"/>
  <c r="H357" i="7"/>
  <c r="A357" i="7"/>
  <c r="C356" i="7"/>
  <c r="A356" i="7"/>
  <c r="H349" i="7"/>
  <c r="A349" i="7"/>
  <c r="H348" i="7"/>
  <c r="A348" i="7"/>
  <c r="H347" i="7"/>
  <c r="A347" i="7"/>
  <c r="C346" i="7"/>
  <c r="A346" i="7"/>
  <c r="H345" i="7"/>
  <c r="A345" i="7"/>
  <c r="H344" i="7"/>
  <c r="A344" i="7"/>
  <c r="H343" i="7"/>
  <c r="A343" i="7"/>
  <c r="C342" i="7"/>
  <c r="A342" i="7"/>
  <c r="H341" i="7"/>
  <c r="A341" i="7"/>
  <c r="C340" i="7"/>
  <c r="A340" i="7"/>
  <c r="H339" i="7"/>
  <c r="A339" i="7"/>
  <c r="H338" i="7"/>
  <c r="A338" i="7"/>
  <c r="H337" i="7"/>
  <c r="A337" i="7"/>
  <c r="H336" i="7"/>
  <c r="A336" i="7"/>
  <c r="C335" i="7"/>
  <c r="A335" i="7"/>
  <c r="H334" i="7"/>
  <c r="A334" i="7"/>
  <c r="H333" i="7"/>
  <c r="A333" i="7"/>
  <c r="H332" i="7"/>
  <c r="A332" i="7"/>
  <c r="C331" i="7"/>
  <c r="A331" i="7"/>
  <c r="H327" i="7"/>
  <c r="A327" i="7"/>
  <c r="H326" i="7"/>
  <c r="A326" i="7"/>
  <c r="C325" i="7"/>
  <c r="A325" i="7"/>
  <c r="H324" i="7"/>
  <c r="A324" i="7"/>
  <c r="H323" i="7"/>
  <c r="A323" i="7"/>
  <c r="H322" i="7"/>
  <c r="A322" i="7"/>
  <c r="H321" i="7"/>
  <c r="A321" i="7"/>
  <c r="C320" i="7"/>
  <c r="A320" i="7"/>
  <c r="H319" i="7"/>
  <c r="A319" i="7"/>
  <c r="H318" i="7"/>
  <c r="A318" i="7"/>
  <c r="H317" i="7"/>
  <c r="A317" i="7"/>
  <c r="H316" i="7"/>
  <c r="A316" i="7"/>
  <c r="C315" i="7"/>
  <c r="A315" i="7"/>
  <c r="H314" i="7"/>
  <c r="A314" i="7"/>
  <c r="H313" i="7"/>
  <c r="A313" i="7"/>
  <c r="H312" i="7"/>
  <c r="A312" i="7"/>
  <c r="H311" i="7"/>
  <c r="A311" i="7"/>
  <c r="C310" i="7"/>
  <c r="A310" i="7"/>
  <c r="H309" i="7"/>
  <c r="A309" i="7"/>
  <c r="H308" i="7"/>
  <c r="A308" i="7"/>
  <c r="H307" i="7"/>
  <c r="A307" i="7"/>
  <c r="H306" i="7"/>
  <c r="A306" i="7"/>
  <c r="C305" i="7"/>
  <c r="A305" i="7"/>
  <c r="H304" i="7"/>
  <c r="A304" i="7"/>
  <c r="H303" i="7"/>
  <c r="A303" i="7"/>
  <c r="H302" i="7"/>
  <c r="A302" i="7"/>
  <c r="H301" i="7"/>
  <c r="A301" i="7"/>
  <c r="C300" i="7"/>
  <c r="A300" i="7"/>
  <c r="H295" i="7"/>
  <c r="A295" i="7"/>
  <c r="C294" i="7"/>
  <c r="A294" i="7"/>
  <c r="H293" i="7"/>
  <c r="A293" i="7"/>
  <c r="C292" i="7"/>
  <c r="A292" i="7"/>
  <c r="H291" i="7"/>
  <c r="A291" i="7"/>
  <c r="H290" i="7"/>
  <c r="A290" i="7"/>
  <c r="C289" i="7"/>
  <c r="A289" i="7"/>
  <c r="H288" i="7"/>
  <c r="A288" i="7"/>
  <c r="C287" i="7"/>
  <c r="A287" i="7"/>
  <c r="H286" i="7"/>
  <c r="A286" i="7"/>
  <c r="H285" i="7"/>
  <c r="A285" i="7"/>
  <c r="H284" i="7"/>
  <c r="A284" i="7"/>
  <c r="C283" i="7"/>
  <c r="A283" i="7"/>
  <c r="H282" i="7"/>
  <c r="A282" i="7"/>
  <c r="C281" i="7"/>
  <c r="A281" i="7"/>
  <c r="H280" i="7"/>
  <c r="A280" i="7"/>
  <c r="C279" i="7"/>
  <c r="A279" i="7"/>
  <c r="H278" i="7"/>
  <c r="A278" i="7"/>
  <c r="H277" i="7"/>
  <c r="A277" i="7"/>
  <c r="C276" i="7"/>
  <c r="A276" i="7"/>
  <c r="H275" i="7"/>
  <c r="A275" i="7"/>
  <c r="H274" i="7"/>
  <c r="A274" i="7"/>
  <c r="H273" i="7"/>
  <c r="A273" i="7"/>
  <c r="C272" i="7"/>
  <c r="A272" i="7"/>
  <c r="H271" i="7"/>
  <c r="A271" i="7"/>
  <c r="H270" i="7"/>
  <c r="A270" i="7"/>
  <c r="C269" i="7"/>
  <c r="A269" i="7"/>
  <c r="H268" i="7"/>
  <c r="A268" i="7"/>
  <c r="C267" i="7"/>
  <c r="A267" i="7"/>
  <c r="H266" i="7"/>
  <c r="A266" i="7"/>
  <c r="H265" i="7"/>
  <c r="A265" i="7"/>
  <c r="C264" i="7"/>
  <c r="A264" i="7"/>
  <c r="H263" i="7"/>
  <c r="A263" i="7"/>
  <c r="H262" i="7"/>
  <c r="A262" i="7"/>
  <c r="C261" i="7"/>
  <c r="A261" i="7"/>
  <c r="H260" i="7"/>
  <c r="A260" i="7"/>
  <c r="H259" i="7"/>
  <c r="A259" i="7"/>
  <c r="H258" i="7"/>
  <c r="A258" i="7"/>
  <c r="H257" i="7"/>
  <c r="A257" i="7"/>
  <c r="H256" i="7"/>
  <c r="A256" i="7"/>
  <c r="H255" i="7"/>
  <c r="A255" i="7"/>
  <c r="H254" i="7"/>
  <c r="A254" i="7"/>
  <c r="H253" i="7"/>
  <c r="A253" i="7"/>
  <c r="H252" i="7"/>
  <c r="A252" i="7"/>
  <c r="C251" i="7"/>
  <c r="A251" i="7"/>
  <c r="H250" i="7"/>
  <c r="A250" i="7"/>
  <c r="H249" i="7"/>
  <c r="A249" i="7"/>
  <c r="H248" i="7"/>
  <c r="A248" i="7"/>
  <c r="C247" i="7"/>
  <c r="A247" i="7"/>
  <c r="H244" i="7"/>
  <c r="A244" i="7"/>
  <c r="H243" i="7"/>
  <c r="A243" i="7"/>
  <c r="C242" i="7"/>
  <c r="A242" i="7"/>
  <c r="H241" i="7"/>
  <c r="A241" i="7"/>
  <c r="H240" i="7"/>
  <c r="A240" i="7"/>
  <c r="C239" i="7"/>
  <c r="A239" i="7"/>
  <c r="H238" i="7"/>
  <c r="A238" i="7"/>
  <c r="H237" i="7"/>
  <c r="A237" i="7"/>
  <c r="C236" i="7"/>
  <c r="A236" i="7"/>
  <c r="H235" i="7"/>
  <c r="A235" i="7"/>
  <c r="H234" i="7"/>
  <c r="A234" i="7"/>
  <c r="C233" i="7"/>
  <c r="A233" i="7"/>
  <c r="H232" i="7"/>
  <c r="A232" i="7"/>
  <c r="H231" i="7"/>
  <c r="A231" i="7"/>
  <c r="C230" i="7"/>
  <c r="A230" i="7"/>
  <c r="H229" i="7"/>
  <c r="A229" i="7"/>
  <c r="H228" i="7"/>
  <c r="A228" i="7"/>
  <c r="C227" i="7"/>
  <c r="A227" i="7"/>
  <c r="H226" i="7"/>
  <c r="A226" i="7"/>
  <c r="H225" i="7"/>
  <c r="A225" i="7"/>
  <c r="C224" i="7"/>
  <c r="A224" i="7"/>
  <c r="H223" i="7"/>
  <c r="A223" i="7"/>
  <c r="H222" i="7"/>
  <c r="A222" i="7"/>
  <c r="H221" i="7"/>
  <c r="A221" i="7"/>
  <c r="H220" i="7"/>
  <c r="A220" i="7"/>
  <c r="C219" i="7"/>
  <c r="A219" i="7"/>
  <c r="H217" i="7"/>
  <c r="A217" i="7"/>
  <c r="H216" i="7"/>
  <c r="A216" i="7"/>
  <c r="H215" i="7"/>
  <c r="A215" i="7"/>
  <c r="C214" i="7"/>
  <c r="A214" i="7"/>
  <c r="H212" i="7"/>
  <c r="A212" i="7"/>
  <c r="H211" i="7"/>
  <c r="A211" i="7"/>
  <c r="H210" i="7"/>
  <c r="A210" i="7"/>
  <c r="C209" i="7"/>
  <c r="A209" i="7"/>
  <c r="H207" i="7"/>
  <c r="A207" i="7"/>
  <c r="H206" i="7"/>
  <c r="A206" i="7"/>
  <c r="H205" i="7"/>
  <c r="A205" i="7"/>
  <c r="C204" i="7"/>
  <c r="A204" i="7"/>
  <c r="H202" i="7"/>
  <c r="A202" i="7"/>
  <c r="H201" i="7"/>
  <c r="A201" i="7"/>
  <c r="H200" i="7"/>
  <c r="A200" i="7"/>
  <c r="C199" i="7"/>
  <c r="A199" i="7"/>
  <c r="H197" i="7"/>
  <c r="A197" i="7"/>
  <c r="H196" i="7"/>
  <c r="A196" i="7"/>
  <c r="H195" i="7"/>
  <c r="A195" i="7"/>
  <c r="C194" i="7"/>
  <c r="A194" i="7"/>
  <c r="H192" i="7"/>
  <c r="A192" i="7"/>
  <c r="H191" i="7"/>
  <c r="A191" i="7"/>
  <c r="H190" i="7"/>
  <c r="A190" i="7"/>
  <c r="C189" i="7"/>
  <c r="A189" i="7"/>
  <c r="H187" i="7"/>
  <c r="A187" i="7"/>
  <c r="H186" i="7"/>
  <c r="A186" i="7"/>
  <c r="H185" i="7"/>
  <c r="A185" i="7"/>
  <c r="C184" i="7"/>
  <c r="A184" i="7"/>
  <c r="H183" i="7"/>
  <c r="A183" i="7"/>
  <c r="H182" i="7"/>
  <c r="A182" i="7"/>
  <c r="C181" i="7"/>
  <c r="A181" i="7"/>
  <c r="H180" i="7"/>
  <c r="A180" i="7"/>
  <c r="H179" i="7"/>
  <c r="A179" i="7"/>
  <c r="H178" i="7"/>
  <c r="A178" i="7"/>
  <c r="H177" i="7"/>
  <c r="A177" i="7"/>
  <c r="C176" i="7"/>
  <c r="A176" i="7"/>
  <c r="H175" i="7"/>
  <c r="A175" i="7"/>
  <c r="H174" i="7"/>
  <c r="A174" i="7"/>
  <c r="C173" i="7"/>
  <c r="A173" i="7"/>
  <c r="H172" i="7"/>
  <c r="A172" i="7"/>
  <c r="H171" i="7"/>
  <c r="A171" i="7"/>
  <c r="C170" i="7"/>
  <c r="A170" i="7"/>
  <c r="H169" i="7"/>
  <c r="A169" i="7"/>
  <c r="H168" i="7"/>
  <c r="A168" i="7"/>
  <c r="H167" i="7"/>
  <c r="A167" i="7"/>
  <c r="H166" i="7"/>
  <c r="A166" i="7"/>
  <c r="C165" i="7"/>
  <c r="A165" i="7"/>
  <c r="H164" i="7"/>
  <c r="A164" i="7"/>
  <c r="H163" i="7"/>
  <c r="A163" i="7"/>
  <c r="H162" i="7"/>
  <c r="A162" i="7"/>
  <c r="H161" i="7"/>
  <c r="A161" i="7"/>
  <c r="A160" i="7"/>
  <c r="H159" i="7"/>
  <c r="A159" i="7"/>
  <c r="H158" i="7"/>
  <c r="A158" i="7"/>
  <c r="H157" i="7"/>
  <c r="A157" i="7"/>
  <c r="H156" i="7"/>
  <c r="A156" i="7"/>
  <c r="H155" i="7"/>
  <c r="A155" i="7"/>
  <c r="C154" i="7"/>
  <c r="A154" i="7"/>
  <c r="F111" i="7"/>
  <c r="H111" i="7" s="1"/>
  <c r="H99" i="7"/>
  <c r="A99" i="7"/>
  <c r="H98" i="7"/>
  <c r="A98" i="7"/>
  <c r="H97" i="7"/>
  <c r="A97" i="7"/>
  <c r="H96" i="7"/>
  <c r="A96" i="7"/>
  <c r="C95" i="7"/>
  <c r="A95" i="7"/>
  <c r="H94" i="7"/>
  <c r="A94" i="7"/>
  <c r="H93" i="7"/>
  <c r="A93" i="7"/>
  <c r="H92" i="7"/>
  <c r="A92" i="7"/>
  <c r="C91" i="7"/>
  <c r="A91" i="7"/>
  <c r="H90" i="7"/>
  <c r="A90" i="7"/>
  <c r="H89" i="7"/>
  <c r="A89" i="7"/>
  <c r="H88" i="7"/>
  <c r="A88" i="7"/>
  <c r="C87" i="7"/>
  <c r="A87" i="7"/>
  <c r="H86" i="7"/>
  <c r="A86" i="7"/>
  <c r="H85" i="7"/>
  <c r="A85" i="7"/>
  <c r="H84" i="7"/>
  <c r="A84" i="7"/>
  <c r="C83" i="7"/>
  <c r="A83" i="7"/>
  <c r="H82" i="7"/>
  <c r="A82" i="7"/>
  <c r="H81" i="7"/>
  <c r="A81" i="7"/>
  <c r="H80" i="7"/>
  <c r="A80" i="7"/>
  <c r="C79" i="7"/>
  <c r="A79" i="7"/>
  <c r="H78" i="7"/>
  <c r="A78" i="7"/>
  <c r="H77" i="7"/>
  <c r="A77" i="7"/>
  <c r="H76" i="7"/>
  <c r="A76" i="7"/>
  <c r="C75" i="7"/>
  <c r="A75" i="7"/>
  <c r="H74" i="7"/>
  <c r="A74" i="7"/>
  <c r="C73" i="7"/>
  <c r="A73" i="7"/>
  <c r="H72" i="7"/>
  <c r="A72" i="7"/>
  <c r="C71" i="7"/>
  <c r="A71" i="7"/>
  <c r="H70" i="7"/>
  <c r="A70" i="7"/>
  <c r="C69" i="7"/>
  <c r="A69" i="7"/>
  <c r="H68" i="7"/>
  <c r="A68" i="7"/>
  <c r="C67" i="7"/>
  <c r="A67" i="7"/>
  <c r="H66" i="7"/>
  <c r="A66" i="7"/>
  <c r="H65" i="7"/>
  <c r="A65" i="7"/>
  <c r="C64" i="7"/>
  <c r="A64" i="7"/>
  <c r="H63" i="7"/>
  <c r="A63" i="7"/>
  <c r="C62" i="7"/>
  <c r="A62" i="7"/>
  <c r="H61" i="7"/>
  <c r="A61" i="7"/>
  <c r="H60" i="7"/>
  <c r="A60" i="7"/>
  <c r="H59" i="7"/>
  <c r="A59" i="7"/>
  <c r="C58" i="7"/>
  <c r="A58" i="7"/>
  <c r="H57" i="7"/>
  <c r="A57" i="7"/>
  <c r="C56" i="7"/>
  <c r="A56" i="7"/>
  <c r="H55" i="7"/>
  <c r="A55" i="7"/>
  <c r="C54" i="7"/>
  <c r="A54" i="7"/>
  <c r="H53" i="7"/>
  <c r="A53" i="7"/>
  <c r="H52" i="7"/>
  <c r="A52" i="7"/>
  <c r="C51" i="7"/>
  <c r="A51" i="7"/>
  <c r="H50" i="7"/>
  <c r="A50" i="7"/>
  <c r="H49" i="7"/>
  <c r="A49" i="7"/>
  <c r="H48" i="7"/>
  <c r="A48" i="7"/>
  <c r="C47" i="7"/>
  <c r="A47" i="7"/>
  <c r="H46" i="7"/>
  <c r="A46" i="7"/>
  <c r="H45" i="7"/>
  <c r="A45" i="7"/>
  <c r="H44" i="7"/>
  <c r="A44" i="7"/>
  <c r="H43" i="7"/>
  <c r="A43" i="7"/>
  <c r="H42" i="7"/>
  <c r="A42" i="7"/>
  <c r="C41" i="7"/>
  <c r="A41" i="7"/>
  <c r="H40" i="7"/>
  <c r="A40" i="7"/>
  <c r="C39" i="7"/>
  <c r="A39" i="7"/>
  <c r="H38" i="7"/>
  <c r="A38" i="7"/>
  <c r="H37" i="7"/>
  <c r="A37" i="7"/>
  <c r="H36" i="7"/>
  <c r="A36" i="7"/>
  <c r="C35" i="7"/>
  <c r="A35" i="7"/>
  <c r="H34" i="7"/>
  <c r="A34" i="7"/>
  <c r="H33" i="7"/>
  <c r="A33" i="7"/>
  <c r="H32" i="7"/>
  <c r="A32" i="7"/>
  <c r="C31" i="7"/>
  <c r="A31" i="7"/>
  <c r="H30" i="7"/>
  <c r="A30" i="7"/>
  <c r="H29" i="7"/>
  <c r="A29" i="7"/>
  <c r="H28" i="7"/>
  <c r="A28" i="7"/>
  <c r="H27" i="7"/>
  <c r="A27" i="7"/>
  <c r="C26" i="7"/>
  <c r="A26" i="7"/>
  <c r="H25" i="7"/>
  <c r="A25" i="7"/>
  <c r="H24" i="7"/>
  <c r="A24" i="7"/>
  <c r="H23" i="7"/>
  <c r="A23" i="7"/>
  <c r="H22" i="7"/>
  <c r="A22" i="7"/>
  <c r="H21" i="7"/>
  <c r="A21" i="7"/>
  <c r="C20" i="7"/>
  <c r="A20" i="7"/>
  <c r="H19" i="7"/>
  <c r="A19" i="7"/>
  <c r="H18" i="7"/>
  <c r="A18" i="7"/>
  <c r="H17" i="7"/>
  <c r="A17" i="7"/>
  <c r="H16" i="7"/>
  <c r="A16" i="7"/>
  <c r="C15" i="7"/>
  <c r="A15" i="7"/>
  <c r="H14" i="7"/>
  <c r="A14" i="7"/>
  <c r="H13" i="7"/>
  <c r="A13" i="7"/>
  <c r="H12" i="7"/>
  <c r="A12" i="7"/>
  <c r="H11" i="7"/>
  <c r="A11" i="7"/>
  <c r="H10" i="7"/>
  <c r="A10" i="7"/>
  <c r="C9" i="7"/>
  <c r="A9" i="7"/>
  <c r="H8" i="7"/>
  <c r="A8" i="7"/>
  <c r="H7" i="7"/>
  <c r="A7" i="7"/>
  <c r="H6" i="7"/>
  <c r="A6" i="7"/>
  <c r="H5" i="7"/>
  <c r="A5" i="7"/>
  <c r="H4" i="7"/>
  <c r="A4" i="7"/>
  <c r="C3" i="7"/>
  <c r="A3" i="7"/>
  <c r="H2" i="7"/>
  <c r="A2" i="7"/>
  <c r="E346" i="6"/>
  <c r="E347" i="6" s="1"/>
  <c r="E348" i="6" s="1"/>
  <c r="E349" i="6" s="1"/>
  <c r="E350" i="6" s="1"/>
  <c r="E351" i="6" s="1"/>
  <c r="E352" i="6" s="1"/>
  <c r="E353" i="6" s="1"/>
  <c r="E354" i="6" s="1"/>
  <c r="E355" i="6" s="1"/>
  <c r="E356" i="6" s="1"/>
  <c r="E357" i="6" s="1"/>
  <c r="E358" i="6" s="1"/>
  <c r="E359" i="6" s="1"/>
  <c r="E360" i="6" s="1"/>
  <c r="E361" i="6" s="1"/>
  <c r="E362" i="6" s="1"/>
  <c r="E363" i="6" s="1"/>
  <c r="E364" i="6" s="1"/>
  <c r="E365" i="6" s="1"/>
  <c r="E366" i="6" s="1"/>
  <c r="E367" i="6" s="1"/>
  <c r="E368" i="6" s="1"/>
  <c r="E369" i="6" s="1"/>
  <c r="E370" i="6" s="1"/>
  <c r="E371" i="6" s="1"/>
  <c r="E372" i="6" s="1"/>
  <c r="E373" i="6" s="1"/>
  <c r="E374" i="6" s="1"/>
  <c r="E375" i="6" s="1"/>
  <c r="E376" i="6" s="1"/>
  <c r="E377" i="6" s="1"/>
  <c r="E378" i="6" s="1"/>
  <c r="E379" i="6" s="1"/>
  <c r="E380" i="6" s="1"/>
  <c r="E381" i="6" s="1"/>
  <c r="E382" i="6" s="1"/>
  <c r="E383" i="6" s="1"/>
  <c r="E384" i="6" s="1"/>
  <c r="E385" i="6" s="1"/>
  <c r="E386" i="6" s="1"/>
  <c r="E387" i="6" s="1"/>
  <c r="E388" i="6" s="1"/>
  <c r="E389" i="6" s="1"/>
  <c r="E390" i="6" s="1"/>
  <c r="E391" i="6" s="1"/>
  <c r="E392" i="6" s="1"/>
  <c r="E393" i="6" s="1"/>
  <c r="E394" i="6" s="1"/>
  <c r="E395" i="6" s="1"/>
  <c r="E396" i="6" s="1"/>
  <c r="E397" i="6" s="1"/>
  <c r="E398" i="6" s="1"/>
  <c r="E399" i="6" s="1"/>
  <c r="E400" i="6" s="1"/>
  <c r="E401" i="6" s="1"/>
  <c r="E402" i="6" s="1"/>
  <c r="E403" i="6" s="1"/>
  <c r="E404" i="6" s="1"/>
  <c r="E405" i="6" s="1"/>
  <c r="E406" i="6" s="1"/>
  <c r="E407" i="6" s="1"/>
  <c r="E408" i="6" s="1"/>
  <c r="E409" i="6" s="1"/>
  <c r="E410" i="6" s="1"/>
  <c r="E411" i="6" s="1"/>
  <c r="E412" i="6" s="1"/>
  <c r="E413" i="6" s="1"/>
  <c r="E414" i="6" s="1"/>
  <c r="E415" i="6" s="1"/>
  <c r="E416" i="6" s="1"/>
  <c r="E417" i="6" s="1"/>
  <c r="E418" i="6" s="1"/>
  <c r="E419" i="6" s="1"/>
  <c r="E420" i="6" s="1"/>
  <c r="E421" i="6" s="1"/>
  <c r="E422" i="6" s="1"/>
  <c r="E423" i="6" s="1"/>
  <c r="E424" i="6" s="1"/>
  <c r="E425" i="6" s="1"/>
  <c r="E426" i="6" s="1"/>
  <c r="E427" i="6" s="1"/>
  <c r="E428" i="6" s="1"/>
  <c r="E429" i="6" s="1"/>
  <c r="E430" i="6" s="1"/>
  <c r="E431" i="6" s="1"/>
  <c r="E432" i="6" s="1"/>
  <c r="E433" i="6" s="1"/>
  <c r="E434" i="6" s="1"/>
  <c r="E435" i="6" s="1"/>
  <c r="E436" i="6" s="1"/>
  <c r="E437" i="6" s="1"/>
  <c r="E438" i="6" s="1"/>
  <c r="E439" i="6" s="1"/>
  <c r="E440" i="6" s="1"/>
  <c r="E441" i="6" s="1"/>
  <c r="E442" i="6" s="1"/>
  <c r="E443" i="6" s="1"/>
  <c r="E444" i="6" s="1"/>
  <c r="E445" i="6" s="1"/>
  <c r="E446" i="6" s="1"/>
  <c r="E447" i="6" s="1"/>
  <c r="E448" i="6" s="1"/>
  <c r="E449" i="6" s="1"/>
  <c r="E450" i="6" s="1"/>
  <c r="E451" i="6" s="1"/>
  <c r="E452" i="6" s="1"/>
  <c r="E453" i="6" s="1"/>
  <c r="E454" i="6" s="1"/>
  <c r="E455" i="6" s="1"/>
  <c r="E456" i="6" s="1"/>
  <c r="E457" i="6" s="1"/>
  <c r="E458" i="6" s="1"/>
  <c r="E459" i="6" s="1"/>
  <c r="E460" i="6" s="1"/>
  <c r="E461" i="6" s="1"/>
  <c r="E462" i="6" s="1"/>
  <c r="E463" i="6" s="1"/>
  <c r="E464" i="6" s="1"/>
  <c r="E465" i="6" s="1"/>
  <c r="E466" i="6" s="1"/>
  <c r="E467" i="6" s="1"/>
  <c r="E468" i="6" s="1"/>
  <c r="E469" i="6" s="1"/>
  <c r="E470" i="6" s="1"/>
  <c r="E471" i="6" s="1"/>
  <c r="E472" i="6" s="1"/>
  <c r="E473" i="6" s="1"/>
  <c r="E474" i="6" s="1"/>
  <c r="E475" i="6" s="1"/>
  <c r="E476" i="6" s="1"/>
  <c r="E477" i="6" s="1"/>
  <c r="E478" i="6" s="1"/>
  <c r="E479" i="6" s="1"/>
  <c r="E480" i="6" s="1"/>
  <c r="E481" i="6" s="1"/>
  <c r="E482" i="6" s="1"/>
  <c r="E483" i="6" s="1"/>
  <c r="E484" i="6" s="1"/>
  <c r="E485" i="6" s="1"/>
  <c r="E486" i="6" s="1"/>
  <c r="E487" i="6" s="1"/>
  <c r="E488" i="6" s="1"/>
  <c r="E489" i="6" s="1"/>
  <c r="E490" i="6" s="1"/>
  <c r="E491" i="6" s="1"/>
  <c r="E492" i="6" s="1"/>
  <c r="E493" i="6" s="1"/>
  <c r="E494" i="6" s="1"/>
  <c r="E495" i="6" s="1"/>
  <c r="E496" i="6" s="1"/>
  <c r="E497" i="6" s="1"/>
  <c r="E498" i="6" s="1"/>
  <c r="E499" i="6" s="1"/>
  <c r="E500" i="6" s="1"/>
  <c r="E501" i="6" s="1"/>
  <c r="E502" i="6" s="1"/>
  <c r="E503" i="6" s="1"/>
  <c r="E504" i="6" s="1"/>
  <c r="E505" i="6" s="1"/>
  <c r="E506" i="6" s="1"/>
  <c r="E507" i="6" s="1"/>
  <c r="E508" i="6" s="1"/>
  <c r="E509" i="6" s="1"/>
  <c r="E510" i="6" s="1"/>
  <c r="E511" i="6" s="1"/>
  <c r="E512" i="6" s="1"/>
  <c r="E513" i="6" s="1"/>
  <c r="E514" i="6" s="1"/>
  <c r="E515" i="6" s="1"/>
  <c r="E516" i="6" s="1"/>
  <c r="E517" i="6" s="1"/>
  <c r="E518" i="6" s="1"/>
  <c r="E519" i="6" s="1"/>
  <c r="E520" i="6" s="1"/>
  <c r="E521" i="6" s="1"/>
  <c r="E522" i="6" s="1"/>
  <c r="E523" i="6" s="1"/>
  <c r="E524" i="6" s="1"/>
  <c r="E525" i="6" s="1"/>
  <c r="E526" i="6" s="1"/>
  <c r="E527" i="6" s="1"/>
  <c r="E528" i="6" s="1"/>
  <c r="E529" i="6" s="1"/>
  <c r="E530" i="6" s="1"/>
  <c r="E531" i="6" s="1"/>
  <c r="E532" i="6" s="1"/>
  <c r="E533" i="6" s="1"/>
  <c r="E534" i="6" s="1"/>
  <c r="E535" i="6" s="1"/>
  <c r="E536" i="6" s="1"/>
  <c r="E537" i="6" s="1"/>
  <c r="E538" i="6" s="1"/>
  <c r="E539" i="6" s="1"/>
  <c r="E540" i="6" s="1"/>
  <c r="E541" i="6" s="1"/>
  <c r="E542" i="6" s="1"/>
  <c r="E543" i="6" s="1"/>
  <c r="E544" i="6" s="1"/>
  <c r="E545" i="6" s="1"/>
  <c r="E546" i="6" s="1"/>
  <c r="E547" i="6" s="1"/>
  <c r="E548" i="6" s="1"/>
  <c r="E549" i="6" s="1"/>
  <c r="E550" i="6" s="1"/>
  <c r="E551" i="6" s="1"/>
  <c r="E552" i="6" s="1"/>
  <c r="E553" i="6" s="1"/>
  <c r="E554" i="6" s="1"/>
  <c r="E555" i="6" s="1"/>
  <c r="E556" i="6" s="1"/>
  <c r="E557" i="6" s="1"/>
  <c r="E558" i="6" s="1"/>
  <c r="E559" i="6" s="1"/>
  <c r="E560" i="6" s="1"/>
  <c r="E561" i="6" s="1"/>
  <c r="E562" i="6" s="1"/>
  <c r="E563" i="6" s="1"/>
  <c r="E564" i="6" s="1"/>
  <c r="E565" i="6" s="1"/>
  <c r="E566" i="6" s="1"/>
  <c r="E567" i="6" s="1"/>
  <c r="E568" i="6" s="1"/>
  <c r="E569" i="6" s="1"/>
  <c r="E570" i="6" s="1"/>
  <c r="E571" i="6" s="1"/>
  <c r="E572" i="6" s="1"/>
  <c r="E573" i="6" s="1"/>
  <c r="E574" i="6" s="1"/>
  <c r="E575" i="6" s="1"/>
  <c r="E576" i="6" s="1"/>
  <c r="E577" i="6" s="1"/>
  <c r="E578" i="6" s="1"/>
  <c r="E579" i="6" s="1"/>
  <c r="E580" i="6" s="1"/>
  <c r="E581" i="6" s="1"/>
  <c r="E582" i="6" s="1"/>
  <c r="E583" i="6" s="1"/>
  <c r="E584" i="6" s="1"/>
  <c r="E585" i="6" s="1"/>
  <c r="E586" i="6" s="1"/>
  <c r="E587" i="6" s="1"/>
  <c r="E588" i="6" s="1"/>
  <c r="E589" i="6" s="1"/>
  <c r="E590" i="6" s="1"/>
  <c r="E591" i="6" s="1"/>
  <c r="E592" i="6" s="1"/>
  <c r="E593" i="6" s="1"/>
  <c r="E594" i="6" s="1"/>
  <c r="E595" i="6" s="1"/>
  <c r="E596" i="6" s="1"/>
  <c r="E597" i="6" s="1"/>
  <c r="E598" i="6" s="1"/>
  <c r="E599" i="6" s="1"/>
  <c r="E600" i="6" s="1"/>
  <c r="E601" i="6" s="1"/>
  <c r="E602" i="6" s="1"/>
  <c r="E603" i="6" s="1"/>
  <c r="E604" i="6" s="1"/>
  <c r="E605" i="6" s="1"/>
  <c r="E606" i="6" s="1"/>
  <c r="E607" i="6" s="1"/>
  <c r="E608" i="6" s="1"/>
  <c r="E609" i="6" s="1"/>
  <c r="E610" i="6" s="1"/>
  <c r="E611" i="6" s="1"/>
  <c r="E612" i="6" s="1"/>
  <c r="E613" i="6" s="1"/>
  <c r="E614" i="6" s="1"/>
  <c r="E615" i="6" s="1"/>
  <c r="E616" i="6" s="1"/>
  <c r="E617" i="6" s="1"/>
  <c r="E618" i="6" s="1"/>
  <c r="E619" i="6" s="1"/>
  <c r="E620" i="6" s="1"/>
  <c r="E621" i="6" s="1"/>
  <c r="E622" i="6" s="1"/>
  <c r="E623" i="6" s="1"/>
  <c r="E624" i="6" s="1"/>
  <c r="E625" i="6" s="1"/>
  <c r="E626" i="6" s="1"/>
  <c r="E627" i="6" s="1"/>
  <c r="E628" i="6" s="1"/>
  <c r="E629" i="6" s="1"/>
  <c r="E630" i="6" s="1"/>
  <c r="E631" i="6" s="1"/>
  <c r="E632" i="6" s="1"/>
  <c r="E633" i="6" s="1"/>
  <c r="E634" i="6" s="1"/>
  <c r="E635" i="6" s="1"/>
  <c r="E636" i="6" s="1"/>
  <c r="E637" i="6" s="1"/>
  <c r="E638" i="6" s="1"/>
  <c r="E639" i="6" s="1"/>
  <c r="E640" i="6" s="1"/>
  <c r="E641" i="6" s="1"/>
  <c r="E642" i="6" s="1"/>
  <c r="E643" i="6" s="1"/>
  <c r="E644" i="6" s="1"/>
  <c r="E645" i="6" s="1"/>
  <c r="E646" i="6" s="1"/>
  <c r="E647" i="6" s="1"/>
  <c r="E648" i="6" s="1"/>
  <c r="E649" i="6" s="1"/>
  <c r="E650" i="6" s="1"/>
  <c r="E651" i="6" s="1"/>
  <c r="E652" i="6" s="1"/>
  <c r="E653" i="6" s="1"/>
  <c r="E654" i="6" s="1"/>
  <c r="E655" i="6" s="1"/>
  <c r="E656" i="6" s="1"/>
  <c r="E657" i="6" s="1"/>
  <c r="E658" i="6" s="1"/>
  <c r="E659" i="6" s="1"/>
  <c r="E660" i="6" s="1"/>
  <c r="E661" i="6" s="1"/>
  <c r="E662" i="6" s="1"/>
  <c r="E663" i="6" s="1"/>
  <c r="E664" i="6" s="1"/>
  <c r="E665" i="6" s="1"/>
  <c r="E666" i="6" s="1"/>
  <c r="E667" i="6" s="1"/>
  <c r="E668" i="6" s="1"/>
  <c r="E669" i="6" s="1"/>
  <c r="E670" i="6" s="1"/>
  <c r="E671" i="6" s="1"/>
  <c r="E672" i="6" s="1"/>
  <c r="E673" i="6" s="1"/>
  <c r="E674" i="6" s="1"/>
  <c r="E675" i="6" s="1"/>
  <c r="E676" i="6" s="1"/>
  <c r="E677" i="6" s="1"/>
  <c r="E678" i="6" s="1"/>
  <c r="E679" i="6" s="1"/>
  <c r="E680" i="6" s="1"/>
  <c r="E681" i="6" s="1"/>
  <c r="E682" i="6" s="1"/>
  <c r="E683" i="6" s="1"/>
  <c r="E684" i="6" s="1"/>
  <c r="E685" i="6" s="1"/>
  <c r="E686" i="6" s="1"/>
  <c r="E687" i="6" s="1"/>
  <c r="E688" i="6" s="1"/>
  <c r="E689" i="6" s="1"/>
  <c r="E690" i="6" s="1"/>
  <c r="E691" i="6" s="1"/>
  <c r="E692" i="6" s="1"/>
  <c r="E693" i="6" s="1"/>
  <c r="E694" i="6" s="1"/>
  <c r="E695" i="6" s="1"/>
  <c r="E696" i="6" s="1"/>
  <c r="E697" i="6" s="1"/>
  <c r="E698" i="6" s="1"/>
  <c r="E699" i="6" s="1"/>
  <c r="E700" i="6" s="1"/>
  <c r="E701" i="6" s="1"/>
  <c r="E702" i="6" s="1"/>
  <c r="E703" i="6" s="1"/>
  <c r="E704" i="6" s="1"/>
  <c r="E705" i="6" s="1"/>
  <c r="E706" i="6" s="1"/>
  <c r="E707" i="6" s="1"/>
  <c r="E708" i="6" s="1"/>
  <c r="E709" i="6" s="1"/>
  <c r="E710" i="6" s="1"/>
  <c r="E711" i="6" s="1"/>
  <c r="E712" i="6" s="1"/>
  <c r="E713" i="6" s="1"/>
  <c r="E714" i="6" s="1"/>
  <c r="E715" i="6" s="1"/>
  <c r="E716" i="6" s="1"/>
  <c r="E717" i="6" s="1"/>
  <c r="E718" i="6" s="1"/>
  <c r="E719" i="6" s="1"/>
  <c r="E720" i="6" s="1"/>
  <c r="E721" i="6" s="1"/>
  <c r="E722" i="6" s="1"/>
  <c r="E723" i="6" s="1"/>
  <c r="E724" i="6" s="1"/>
  <c r="E725" i="6" s="1"/>
  <c r="E726" i="6" s="1"/>
  <c r="E727" i="6" s="1"/>
  <c r="E728" i="6" s="1"/>
  <c r="E729" i="6" s="1"/>
  <c r="E730" i="6" s="1"/>
  <c r="E731" i="6" s="1"/>
  <c r="E732" i="6" s="1"/>
  <c r="E733" i="6" s="1"/>
  <c r="E734" i="6" s="1"/>
  <c r="E735" i="6" s="1"/>
  <c r="E736" i="6" s="1"/>
  <c r="E737" i="6" s="1"/>
  <c r="E738" i="6" s="1"/>
  <c r="E739" i="6" s="1"/>
  <c r="E740" i="6" s="1"/>
  <c r="E741" i="6" s="1"/>
  <c r="E742" i="6" s="1"/>
  <c r="E743" i="6" s="1"/>
  <c r="E744" i="6" s="1"/>
  <c r="E745" i="6" s="1"/>
  <c r="E746" i="6" s="1"/>
  <c r="E747" i="6" s="1"/>
  <c r="E748" i="6" s="1"/>
  <c r="E749" i="6" s="1"/>
  <c r="E750" i="6" s="1"/>
  <c r="E751" i="6" s="1"/>
  <c r="E752" i="6" s="1"/>
  <c r="E753" i="6" s="1"/>
  <c r="E754" i="6" s="1"/>
  <c r="E755" i="6" s="1"/>
  <c r="E756" i="6" s="1"/>
  <c r="E757" i="6" s="1"/>
  <c r="E758" i="6" s="1"/>
  <c r="E759" i="6" s="1"/>
  <c r="E760" i="6" s="1"/>
  <c r="E761" i="6" s="1"/>
  <c r="E762" i="6" s="1"/>
  <c r="E763" i="6" s="1"/>
  <c r="E764" i="6" s="1"/>
  <c r="E765" i="6" s="1"/>
  <c r="E766" i="6" s="1"/>
  <c r="E767" i="6" s="1"/>
  <c r="E768" i="6" s="1"/>
  <c r="E769" i="6" s="1"/>
  <c r="E770" i="6" s="1"/>
  <c r="E771" i="6" s="1"/>
  <c r="E772" i="6" s="1"/>
  <c r="E773" i="6" s="1"/>
  <c r="E774" i="6" s="1"/>
  <c r="E775" i="6" s="1"/>
  <c r="E776" i="6" s="1"/>
  <c r="E777" i="6" s="1"/>
  <c r="E778" i="6" s="1"/>
  <c r="E779" i="6" s="1"/>
  <c r="E780" i="6" s="1"/>
  <c r="E781" i="6" s="1"/>
  <c r="E782" i="6" s="1"/>
  <c r="E783" i="6" s="1"/>
  <c r="E784" i="6" s="1"/>
  <c r="E785" i="6" s="1"/>
  <c r="E786" i="6" s="1"/>
  <c r="E787" i="6" s="1"/>
  <c r="E788" i="6" s="1"/>
  <c r="E789" i="6" s="1"/>
  <c r="E790" i="6" s="1"/>
  <c r="E791" i="6" s="1"/>
  <c r="E792" i="6" s="1"/>
  <c r="E793" i="6" s="1"/>
  <c r="E794" i="6" s="1"/>
  <c r="E795" i="6" s="1"/>
  <c r="E796" i="6" s="1"/>
  <c r="E797" i="6" s="1"/>
  <c r="E798" i="6" s="1"/>
  <c r="E799" i="6" s="1"/>
  <c r="E800" i="6" s="1"/>
  <c r="E801" i="6" s="1"/>
  <c r="E802" i="6" s="1"/>
  <c r="E803" i="6" s="1"/>
  <c r="E804" i="6" s="1"/>
  <c r="E805" i="6" s="1"/>
  <c r="E806" i="6" s="1"/>
  <c r="E807" i="6" s="1"/>
  <c r="E808" i="6" s="1"/>
  <c r="E809" i="6" s="1"/>
  <c r="E810" i="6" s="1"/>
  <c r="E811" i="6" s="1"/>
  <c r="E812" i="6" s="1"/>
  <c r="E813" i="6" s="1"/>
  <c r="E814" i="6" s="1"/>
  <c r="E815" i="6" s="1"/>
  <c r="E816" i="6" s="1"/>
  <c r="E817" i="6" s="1"/>
  <c r="E818" i="6" s="1"/>
  <c r="E819" i="6" s="1"/>
  <c r="E820" i="6" s="1"/>
  <c r="E821" i="6" s="1"/>
  <c r="E822" i="6" s="1"/>
  <c r="E823" i="6" s="1"/>
  <c r="E824" i="6" s="1"/>
  <c r="E825" i="6" s="1"/>
  <c r="E826" i="6" s="1"/>
  <c r="E827" i="6" s="1"/>
  <c r="E828" i="6" s="1"/>
  <c r="E829" i="6" s="1"/>
  <c r="E830" i="6" s="1"/>
  <c r="E831" i="6" s="1"/>
  <c r="E832" i="6" s="1"/>
  <c r="E833" i="6" s="1"/>
  <c r="E834" i="6" s="1"/>
  <c r="E835" i="6" s="1"/>
  <c r="E836" i="6" s="1"/>
  <c r="E837" i="6" s="1"/>
  <c r="E838" i="6" s="1"/>
  <c r="E839" i="6" s="1"/>
  <c r="E840" i="6" s="1"/>
  <c r="E841" i="6" s="1"/>
  <c r="E842" i="6" s="1"/>
  <c r="E843" i="6" s="1"/>
  <c r="E844" i="6" s="1"/>
  <c r="E845" i="6" s="1"/>
  <c r="E846" i="6" s="1"/>
  <c r="E847" i="6" s="1"/>
  <c r="E848" i="6" s="1"/>
  <c r="E849" i="6" s="1"/>
  <c r="E850" i="6" s="1"/>
  <c r="E851" i="6" s="1"/>
  <c r="E852" i="6" s="1"/>
  <c r="E853" i="6" s="1"/>
  <c r="E854" i="6" s="1"/>
  <c r="E855" i="6" s="1"/>
  <c r="E856" i="6" s="1"/>
  <c r="E857" i="6" s="1"/>
  <c r="E858" i="6" s="1"/>
  <c r="E859" i="6" s="1"/>
  <c r="E860" i="6" s="1"/>
  <c r="E861" i="6" s="1"/>
  <c r="E862" i="6" s="1"/>
  <c r="E863" i="6" s="1"/>
  <c r="E864" i="6" s="1"/>
  <c r="E865" i="6" s="1"/>
  <c r="E866" i="6" s="1"/>
  <c r="E867" i="6" s="1"/>
  <c r="E868" i="6" s="1"/>
  <c r="E869" i="6" s="1"/>
  <c r="E870" i="6" s="1"/>
  <c r="E871" i="6" s="1"/>
  <c r="E872" i="6" s="1"/>
  <c r="E873" i="6" s="1"/>
  <c r="E874" i="6" s="1"/>
  <c r="E875" i="6" s="1"/>
  <c r="E876" i="6" s="1"/>
  <c r="E877" i="6" s="1"/>
  <c r="E878" i="6" s="1"/>
  <c r="E879" i="6" s="1"/>
  <c r="E880" i="6" s="1"/>
  <c r="E881" i="6" s="1"/>
  <c r="E882" i="6" s="1"/>
  <c r="E883" i="6" s="1"/>
  <c r="E884" i="6" s="1"/>
  <c r="E885" i="6" s="1"/>
  <c r="E886" i="6" s="1"/>
  <c r="E887" i="6" s="1"/>
  <c r="E888" i="6" s="1"/>
  <c r="E889" i="6" s="1"/>
  <c r="E890" i="6" s="1"/>
  <c r="E891" i="6" s="1"/>
  <c r="E892" i="6" s="1"/>
  <c r="E893" i="6" s="1"/>
  <c r="E894" i="6" s="1"/>
  <c r="E895" i="6" s="1"/>
  <c r="E896" i="6" s="1"/>
  <c r="E897" i="6" s="1"/>
  <c r="E898" i="6" s="1"/>
  <c r="E899" i="6" s="1"/>
  <c r="E900" i="6" s="1"/>
  <c r="E901" i="6" s="1"/>
  <c r="E902" i="6" s="1"/>
  <c r="E903" i="6" s="1"/>
  <c r="E904" i="6" s="1"/>
  <c r="E905" i="6" s="1"/>
  <c r="E906" i="6" s="1"/>
  <c r="E907" i="6" s="1"/>
  <c r="E908" i="6" s="1"/>
  <c r="E909" i="6" s="1"/>
  <c r="E910" i="6" s="1"/>
  <c r="E911" i="6" s="1"/>
  <c r="E912" i="6" s="1"/>
  <c r="E913" i="6" s="1"/>
  <c r="E914" i="6" s="1"/>
  <c r="E915" i="6" s="1"/>
  <c r="E916" i="6" s="1"/>
  <c r="E917" i="6" s="1"/>
  <c r="E918" i="6" s="1"/>
  <c r="E919" i="6" s="1"/>
  <c r="E920" i="6" s="1"/>
  <c r="E921" i="6" s="1"/>
  <c r="E922" i="6" s="1"/>
  <c r="E923" i="6" s="1"/>
  <c r="E924" i="6" s="1"/>
  <c r="E925" i="6" s="1"/>
  <c r="E926" i="6" s="1"/>
  <c r="E927" i="6" s="1"/>
  <c r="E928" i="6" s="1"/>
  <c r="E929" i="6" s="1"/>
  <c r="E930" i="6" s="1"/>
  <c r="E931" i="6" s="1"/>
  <c r="E932" i="6" s="1"/>
  <c r="E933" i="6" s="1"/>
  <c r="E934" i="6" s="1"/>
  <c r="E935" i="6" s="1"/>
  <c r="E936" i="6" s="1"/>
  <c r="E937" i="6" s="1"/>
  <c r="E938" i="6" s="1"/>
  <c r="E939" i="6" s="1"/>
  <c r="E940" i="6" s="1"/>
  <c r="E941" i="6" s="1"/>
  <c r="E942" i="6" s="1"/>
  <c r="E943" i="6" s="1"/>
  <c r="E944" i="6" s="1"/>
  <c r="E945" i="6" s="1"/>
  <c r="E946" i="6" s="1"/>
  <c r="E947" i="6" s="1"/>
  <c r="E948" i="6" s="1"/>
  <c r="E949" i="6" s="1"/>
  <c r="E950" i="6" s="1"/>
  <c r="E951" i="6" s="1"/>
  <c r="E952" i="6" s="1"/>
  <c r="E953" i="6" s="1"/>
  <c r="E954" i="6" s="1"/>
  <c r="E955" i="6" s="1"/>
  <c r="E956" i="6" s="1"/>
  <c r="E957" i="6" s="1"/>
  <c r="E958" i="6" s="1"/>
  <c r="E959" i="6" s="1"/>
  <c r="E960" i="6" s="1"/>
  <c r="E961" i="6" s="1"/>
  <c r="E962" i="6" s="1"/>
  <c r="E963" i="6" s="1"/>
  <c r="E964" i="6" s="1"/>
  <c r="E965" i="6" s="1"/>
  <c r="E966" i="6" s="1"/>
  <c r="E967" i="6" s="1"/>
  <c r="E968" i="6" s="1"/>
  <c r="E969" i="6" s="1"/>
  <c r="E970" i="6" s="1"/>
  <c r="E971" i="6" s="1"/>
  <c r="E972" i="6" s="1"/>
  <c r="E973" i="6" s="1"/>
  <c r="E974" i="6" s="1"/>
  <c r="E975" i="6" s="1"/>
  <c r="E976" i="6" s="1"/>
  <c r="E977" i="6" s="1"/>
  <c r="E978" i="6" s="1"/>
  <c r="E979" i="6" s="1"/>
  <c r="E980" i="6" s="1"/>
  <c r="E981" i="6" s="1"/>
  <c r="E982" i="6" s="1"/>
  <c r="E983" i="6" s="1"/>
  <c r="E984" i="6" s="1"/>
  <c r="E985" i="6" s="1"/>
  <c r="M343" i="6"/>
  <c r="N343" i="6" s="1"/>
  <c r="E342" i="6"/>
  <c r="E343" i="6" s="1"/>
  <c r="E344" i="6" s="1"/>
  <c r="E345" i="6" s="1"/>
  <c r="M341" i="6"/>
  <c r="N341" i="6" s="1"/>
  <c r="M340" i="6"/>
  <c r="N340" i="6" s="1"/>
  <c r="E339" i="6"/>
  <c r="E340" i="6" s="1"/>
  <c r="E341" i="6" s="1"/>
  <c r="N338" i="6"/>
  <c r="E337" i="6"/>
  <c r="E338" i="6" s="1"/>
  <c r="N336" i="6"/>
  <c r="E335" i="6"/>
  <c r="E336" i="6" s="1"/>
  <c r="E333" i="6"/>
  <c r="E334" i="6" s="1"/>
  <c r="E328" i="6"/>
  <c r="E329" i="6" s="1"/>
  <c r="E330" i="6" s="1"/>
  <c r="E331" i="6" s="1"/>
  <c r="E332" i="6" s="1"/>
  <c r="E322" i="6"/>
  <c r="E323" i="6" s="1"/>
  <c r="E324" i="6" s="1"/>
  <c r="E325" i="6" s="1"/>
  <c r="E326" i="6" s="1"/>
  <c r="E327" i="6" s="1"/>
  <c r="E319" i="6"/>
  <c r="E320" i="6" s="1"/>
  <c r="E321" i="6" s="1"/>
  <c r="E315" i="6"/>
  <c r="E316" i="6" s="1"/>
  <c r="E317" i="6" s="1"/>
  <c r="E318" i="6" s="1"/>
  <c r="E313" i="6"/>
  <c r="E314" i="6" s="1"/>
  <c r="M310" i="6"/>
  <c r="E308" i="6"/>
  <c r="E309" i="6" s="1"/>
  <c r="E310" i="6" s="1"/>
  <c r="E311" i="6" s="1"/>
  <c r="E312" i="6" s="1"/>
  <c r="M305" i="6"/>
  <c r="N305" i="6" s="1"/>
  <c r="E304" i="6"/>
  <c r="E305" i="6" s="1"/>
  <c r="E306" i="6" s="1"/>
  <c r="E307" i="6" s="1"/>
  <c r="E302" i="6"/>
  <c r="E303" i="6" s="1"/>
  <c r="E300" i="6"/>
  <c r="E301" i="6" s="1"/>
  <c r="E298" i="6"/>
  <c r="E299" i="6" s="1"/>
  <c r="N295" i="6"/>
  <c r="E294" i="6"/>
  <c r="E295" i="6" s="1"/>
  <c r="E296" i="6" s="1"/>
  <c r="E297" i="6" s="1"/>
  <c r="E292" i="6"/>
  <c r="E293" i="6" s="1"/>
  <c r="E290" i="6"/>
  <c r="E291" i="6" s="1"/>
  <c r="E288" i="6"/>
  <c r="E289" i="6" s="1"/>
  <c r="E285" i="6"/>
  <c r="E286" i="6" s="1"/>
  <c r="E287" i="6" s="1"/>
  <c r="L284" i="6"/>
  <c r="E283" i="6"/>
  <c r="E284" i="6" s="1"/>
  <c r="E281" i="6"/>
  <c r="E282" i="6" s="1"/>
  <c r="E276" i="6"/>
  <c r="E277" i="6" s="1"/>
  <c r="E278" i="6" s="1"/>
  <c r="E279" i="6" s="1"/>
  <c r="E280" i="6" s="1"/>
  <c r="E272" i="6"/>
  <c r="E273" i="6" s="1"/>
  <c r="E269" i="6"/>
  <c r="E270" i="6" s="1"/>
  <c r="E271" i="6" s="1"/>
  <c r="E267" i="6"/>
  <c r="E268" i="6" s="1"/>
  <c r="E263" i="6"/>
  <c r="E264" i="6" s="1"/>
  <c r="E265" i="6" s="1"/>
  <c r="E266" i="6" s="1"/>
  <c r="E261" i="6"/>
  <c r="E262" i="6" s="1"/>
  <c r="E252" i="6"/>
  <c r="E247" i="6"/>
  <c r="E241" i="6"/>
  <c r="E230" i="6"/>
  <c r="E231" i="6" s="1"/>
  <c r="E232" i="6" s="1"/>
  <c r="E233" i="6" s="1"/>
  <c r="E234" i="6" s="1"/>
  <c r="E223" i="6"/>
  <c r="E218" i="6"/>
  <c r="E219" i="6" s="1"/>
  <c r="E220" i="6" s="1"/>
  <c r="E214" i="6"/>
  <c r="E215" i="6" s="1"/>
  <c r="E216" i="6" s="1"/>
  <c r="E217" i="6" s="1"/>
  <c r="E210" i="6"/>
  <c r="E211" i="6" s="1"/>
  <c r="E212" i="6" s="1"/>
  <c r="E213" i="6" s="1"/>
  <c r="E208" i="6"/>
  <c r="E209" i="6" s="1"/>
  <c r="E206" i="6"/>
  <c r="E207" i="6" s="1"/>
  <c r="E199" i="6"/>
  <c r="E200" i="6" s="1"/>
  <c r="E201" i="6" s="1"/>
  <c r="E202" i="6" s="1"/>
  <c r="E203" i="6" s="1"/>
  <c r="E204" i="6" s="1"/>
  <c r="E205" i="6" s="1"/>
  <c r="E194" i="6"/>
  <c r="E195" i="6" s="1"/>
  <c r="E191" i="6"/>
  <c r="E192" i="6" s="1"/>
  <c r="E193" i="6" s="1"/>
  <c r="E186" i="6"/>
  <c r="E187" i="6" s="1"/>
  <c r="E188" i="6" s="1"/>
  <c r="E189" i="6" s="1"/>
  <c r="E182" i="6"/>
  <c r="E183" i="6" s="1"/>
  <c r="E184" i="6" s="1"/>
  <c r="E185" i="6" s="1"/>
  <c r="N179" i="6"/>
  <c r="E178" i="6"/>
  <c r="E179" i="6" s="1"/>
  <c r="E180" i="6" s="1"/>
  <c r="E181" i="6" s="1"/>
  <c r="N175" i="6"/>
  <c r="E174" i="6"/>
  <c r="E175" i="6" s="1"/>
  <c r="E176" i="6" s="1"/>
  <c r="E177" i="6" s="1"/>
  <c r="N173" i="6"/>
  <c r="E171" i="6"/>
  <c r="E172" i="6" s="1"/>
  <c r="M167" i="6"/>
  <c r="N167" i="6" s="1"/>
  <c r="M166" i="6"/>
  <c r="N166" i="6" s="1"/>
  <c r="E164" i="6"/>
  <c r="E165" i="6" s="1"/>
  <c r="E166" i="6" s="1"/>
  <c r="E167" i="6" s="1"/>
  <c r="E168" i="6" s="1"/>
  <c r="E169" i="6" s="1"/>
  <c r="E170" i="6" s="1"/>
  <c r="N161" i="6"/>
  <c r="E160" i="6"/>
  <c r="E161" i="6" s="1"/>
  <c r="E162" i="6" s="1"/>
  <c r="E163" i="6" s="1"/>
  <c r="E158" i="6"/>
  <c r="E159" i="6" s="1"/>
  <c r="N155" i="6"/>
  <c r="E154" i="6"/>
  <c r="E155" i="6" s="1"/>
  <c r="E156" i="6" s="1"/>
  <c r="E157" i="6" s="1"/>
  <c r="E152" i="6"/>
  <c r="E153" i="6" s="1"/>
  <c r="E150" i="6"/>
  <c r="E151" i="6" s="1"/>
  <c r="E148" i="6"/>
  <c r="E149" i="6" s="1"/>
  <c r="E146" i="6"/>
  <c r="E147" i="6" s="1"/>
  <c r="N143" i="6"/>
  <c r="E142" i="6"/>
  <c r="E143" i="6" s="1"/>
  <c r="E144" i="6" s="1"/>
  <c r="E145" i="6" s="1"/>
  <c r="N141" i="6"/>
  <c r="E140" i="6"/>
  <c r="E141" i="6" s="1"/>
  <c r="E138" i="6"/>
  <c r="E139" i="6" s="1"/>
  <c r="E136" i="6"/>
  <c r="E137" i="6" s="1"/>
  <c r="E134" i="6"/>
  <c r="E135" i="6" s="1"/>
  <c r="E132" i="6"/>
  <c r="E133" i="6" s="1"/>
  <c r="E130" i="6"/>
  <c r="E131" i="6" s="1"/>
  <c r="N127" i="6"/>
  <c r="E126" i="6"/>
  <c r="E127" i="6" s="1"/>
  <c r="E128" i="6" s="1"/>
  <c r="E129" i="6" s="1"/>
  <c r="E124" i="6"/>
  <c r="E125" i="6" s="1"/>
  <c r="E122" i="6"/>
  <c r="E123" i="6" s="1"/>
  <c r="E120" i="6"/>
  <c r="E121" i="6" s="1"/>
  <c r="E118" i="6"/>
  <c r="E119" i="6" s="1"/>
  <c r="E109" i="6"/>
  <c r="E110" i="6" s="1"/>
  <c r="E111" i="6" s="1"/>
  <c r="E112" i="6" s="1"/>
  <c r="E113" i="6" s="1"/>
  <c r="E114" i="6" s="1"/>
  <c r="E115" i="6" s="1"/>
  <c r="E116" i="6" s="1"/>
  <c r="E117" i="6" s="1"/>
  <c r="E106" i="6"/>
  <c r="E107" i="6" s="1"/>
  <c r="E108" i="6" s="1"/>
  <c r="E103" i="6"/>
  <c r="E104" i="6" s="1"/>
  <c r="E105" i="6" s="1"/>
  <c r="E101" i="6"/>
  <c r="E102" i="6" s="1"/>
  <c r="E99" i="6"/>
  <c r="E100" i="6" s="1"/>
  <c r="E97" i="6"/>
  <c r="E98" i="6" s="1"/>
  <c r="E94" i="6"/>
  <c r="E95" i="6" s="1"/>
  <c r="E96" i="6" s="1"/>
  <c r="E90" i="6"/>
  <c r="E91" i="6" s="1"/>
  <c r="E92" i="6" s="1"/>
  <c r="E93" i="6" s="1"/>
  <c r="E85" i="6"/>
  <c r="E86" i="6" s="1"/>
  <c r="E87" i="6" s="1"/>
  <c r="E88" i="6" s="1"/>
  <c r="E89" i="6" s="1"/>
  <c r="E78" i="6"/>
  <c r="E79" i="6" s="1"/>
  <c r="E80" i="6" s="1"/>
  <c r="E81" i="6" s="1"/>
  <c r="E82" i="6" s="1"/>
  <c r="E83" i="6" s="1"/>
  <c r="E84" i="6" s="1"/>
  <c r="S77" i="6"/>
  <c r="L75" i="6"/>
  <c r="N75" i="6" s="1"/>
  <c r="E74" i="6"/>
  <c r="E75" i="6" s="1"/>
  <c r="E76" i="6" s="1"/>
  <c r="E77" i="6" s="1"/>
  <c r="N71" i="6"/>
  <c r="E70" i="6"/>
  <c r="E71" i="6" s="1"/>
  <c r="E68" i="6"/>
  <c r="E69" i="6" s="1"/>
  <c r="E60" i="6"/>
  <c r="E61" i="6" s="1"/>
  <c r="E62" i="6" s="1"/>
  <c r="E63" i="6" s="1"/>
  <c r="E64" i="6" s="1"/>
  <c r="E65" i="6" s="1"/>
  <c r="E66" i="6" s="1"/>
  <c r="E67" i="6" s="1"/>
  <c r="M59" i="6"/>
  <c r="M57" i="6"/>
  <c r="E53" i="6"/>
  <c r="E54" i="6" s="1"/>
  <c r="E55" i="6" s="1"/>
  <c r="E56" i="6" s="1"/>
  <c r="E57" i="6" s="1"/>
  <c r="E58" i="6" s="1"/>
  <c r="E59" i="6" s="1"/>
  <c r="M50" i="6"/>
  <c r="N50" i="6" s="1"/>
  <c r="E49" i="6"/>
  <c r="E50" i="6" s="1"/>
  <c r="E51" i="6" s="1"/>
  <c r="E52" i="6" s="1"/>
  <c r="E47" i="6"/>
  <c r="E48" i="6" s="1"/>
  <c r="L46" i="6"/>
  <c r="L39" i="6"/>
  <c r="L38" i="6"/>
  <c r="E37" i="6"/>
  <c r="E38" i="6" s="1"/>
  <c r="E39" i="6" s="1"/>
  <c r="E40" i="6" s="1"/>
  <c r="E41" i="6" s="1"/>
  <c r="E42" i="6" s="1"/>
  <c r="E43" i="6" s="1"/>
  <c r="E44" i="6" s="1"/>
  <c r="E45" i="6" s="1"/>
  <c r="E46" i="6" s="1"/>
  <c r="E35" i="6"/>
  <c r="E36" i="6" s="1"/>
  <c r="E32" i="6"/>
  <c r="E33" i="6" s="1"/>
  <c r="E34" i="6" s="1"/>
  <c r="L31" i="6"/>
  <c r="L30" i="6"/>
  <c r="L29" i="6"/>
  <c r="L28" i="6"/>
  <c r="E27" i="6"/>
  <c r="E28" i="6" s="1"/>
  <c r="E29" i="6" s="1"/>
  <c r="E30" i="6" s="1"/>
  <c r="E31" i="6" s="1"/>
  <c r="L26" i="6"/>
  <c r="N26" i="6" s="1"/>
  <c r="N25" i="6"/>
  <c r="L24" i="6"/>
  <c r="L23" i="6"/>
  <c r="L22" i="6"/>
  <c r="L21" i="6"/>
  <c r="E20" i="6"/>
  <c r="E21" i="6" s="1"/>
  <c r="E22" i="6" s="1"/>
  <c r="E23" i="6" s="1"/>
  <c r="E24" i="6" s="1"/>
  <c r="E25" i="6" s="1"/>
  <c r="E26" i="6" s="1"/>
  <c r="E15" i="6"/>
  <c r="E16" i="6" s="1"/>
  <c r="E17" i="6" s="1"/>
  <c r="E18" i="6" s="1"/>
  <c r="E19" i="6" s="1"/>
  <c r="E13" i="6"/>
  <c r="E14" i="6" s="1"/>
  <c r="E10" i="6"/>
  <c r="E11" i="6" s="1"/>
  <c r="E12" i="6" s="1"/>
  <c r="E8" i="6"/>
  <c r="E9" i="6" s="1"/>
  <c r="D8" i="6"/>
  <c r="C8" i="6"/>
  <c r="C9" i="6" s="1"/>
  <c r="C10" i="6" s="1"/>
  <c r="C11" i="6" s="1"/>
  <c r="C12" i="6" s="1"/>
  <c r="C13" i="6" s="1"/>
  <c r="C14" i="6" s="1"/>
  <c r="C15" i="6" s="1"/>
  <c r="C16" i="6" s="1"/>
  <c r="C17" i="6" s="1"/>
  <c r="B8" i="6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A8" i="6"/>
  <c r="S120" i="5"/>
  <c r="N120" i="5"/>
  <c r="S119" i="5"/>
  <c r="N119" i="5"/>
  <c r="S118" i="5"/>
  <c r="T118" i="5" s="1"/>
  <c r="E118" i="5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S117" i="5"/>
  <c r="N117" i="5"/>
  <c r="S116" i="5"/>
  <c r="N116" i="5"/>
  <c r="T115" i="5"/>
  <c r="S115" i="5"/>
  <c r="E115" i="5"/>
  <c r="E116" i="5" s="1"/>
  <c r="E117" i="5" s="1"/>
  <c r="N114" i="5"/>
  <c r="N113" i="5"/>
  <c r="N112" i="5"/>
  <c r="N111" i="5"/>
  <c r="N110" i="5"/>
  <c r="N109" i="5"/>
  <c r="N108" i="5"/>
  <c r="N107" i="5"/>
  <c r="N106" i="5"/>
  <c r="N105" i="5"/>
  <c r="N104" i="5"/>
  <c r="E103" i="5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D102" i="5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C101" i="5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N100" i="5"/>
  <c r="N99" i="5"/>
  <c r="E98" i="5"/>
  <c r="E99" i="5" s="1"/>
  <c r="E100" i="5" s="1"/>
  <c r="E101" i="5" s="1"/>
  <c r="E102" i="5" s="1"/>
  <c r="L97" i="5"/>
  <c r="N97" i="5" s="1"/>
  <c r="N96" i="5"/>
  <c r="E95" i="5"/>
  <c r="E96" i="5" s="1"/>
  <c r="E97" i="5" s="1"/>
  <c r="L94" i="5"/>
  <c r="N94" i="5" s="1"/>
  <c r="L93" i="5"/>
  <c r="N93" i="5" s="1"/>
  <c r="L92" i="5"/>
  <c r="N92" i="5" s="1"/>
  <c r="L91" i="5"/>
  <c r="N91" i="5" s="1"/>
  <c r="N90" i="5"/>
  <c r="N89" i="5"/>
  <c r="L89" i="5"/>
  <c r="L88" i="5"/>
  <c r="N88" i="5" s="1"/>
  <c r="N87" i="5"/>
  <c r="L87" i="5"/>
  <c r="L86" i="5"/>
  <c r="N86" i="5" s="1"/>
  <c r="N85" i="5"/>
  <c r="L85" i="5"/>
  <c r="L84" i="5"/>
  <c r="N84" i="5" s="1"/>
  <c r="N83" i="5"/>
  <c r="L83" i="5"/>
  <c r="E82" i="5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L81" i="5"/>
  <c r="N81" i="5" s="1"/>
  <c r="N80" i="5"/>
  <c r="E79" i="5"/>
  <c r="E80" i="5" s="1"/>
  <c r="E81" i="5" s="1"/>
  <c r="N78" i="5"/>
  <c r="L78" i="5"/>
  <c r="N77" i="5"/>
  <c r="L77" i="5"/>
  <c r="E76" i="5"/>
  <c r="E77" i="5" s="1"/>
  <c r="E78" i="5" s="1"/>
  <c r="D75" i="5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N74" i="5"/>
  <c r="E73" i="5"/>
  <c r="E74" i="5" s="1"/>
  <c r="E75" i="5" s="1"/>
  <c r="N72" i="5"/>
  <c r="N71" i="5"/>
  <c r="N70" i="5"/>
  <c r="E69" i="5"/>
  <c r="E70" i="5" s="1"/>
  <c r="E71" i="5" s="1"/>
  <c r="E72" i="5" s="1"/>
  <c r="N67" i="5"/>
  <c r="L66" i="5"/>
  <c r="N66" i="5" s="1"/>
  <c r="N65" i="5"/>
  <c r="L62" i="5"/>
  <c r="N62" i="5" s="1"/>
  <c r="E58" i="5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N57" i="5"/>
  <c r="N56" i="5"/>
  <c r="E55" i="5"/>
  <c r="E56" i="5" s="1"/>
  <c r="E57" i="5" s="1"/>
  <c r="D54" i="5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C53" i="5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N52" i="5"/>
  <c r="N51" i="5"/>
  <c r="N50" i="5"/>
  <c r="E49" i="5"/>
  <c r="E50" i="5" s="1"/>
  <c r="E51" i="5" s="1"/>
  <c r="E52" i="5" s="1"/>
  <c r="E53" i="5" s="1"/>
  <c r="E54" i="5" s="1"/>
  <c r="N48" i="5"/>
  <c r="N47" i="5"/>
  <c r="N46" i="5"/>
  <c r="N45" i="5"/>
  <c r="N44" i="5"/>
  <c r="N43" i="5"/>
  <c r="N42" i="5"/>
  <c r="N41" i="5"/>
  <c r="N40" i="5"/>
  <c r="N39" i="5"/>
  <c r="N38" i="5"/>
  <c r="E37" i="5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D36" i="5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N35" i="5"/>
  <c r="N34" i="5"/>
  <c r="N33" i="5"/>
  <c r="N32" i="5"/>
  <c r="N31" i="5"/>
  <c r="N30" i="5"/>
  <c r="E28" i="5"/>
  <c r="E29" i="5" s="1"/>
  <c r="E30" i="5" s="1"/>
  <c r="E31" i="5" s="1"/>
  <c r="E32" i="5" s="1"/>
  <c r="E33" i="5" s="1"/>
  <c r="E34" i="5" s="1"/>
  <c r="E35" i="5" s="1"/>
  <c r="E36" i="5" s="1"/>
  <c r="N27" i="5"/>
  <c r="N26" i="5"/>
  <c r="N25" i="5"/>
  <c r="E24" i="5"/>
  <c r="E25" i="5" s="1"/>
  <c r="E26" i="5" s="1"/>
  <c r="E27" i="5" s="1"/>
  <c r="N23" i="5"/>
  <c r="N22" i="5"/>
  <c r="N21" i="5"/>
  <c r="N20" i="5"/>
  <c r="N19" i="5"/>
  <c r="N18" i="5"/>
  <c r="N17" i="5"/>
  <c r="N16" i="5"/>
  <c r="N15" i="5"/>
  <c r="N14" i="5"/>
  <c r="E13" i="5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N12" i="5"/>
  <c r="N11" i="5"/>
  <c r="E10" i="5"/>
  <c r="E11" i="5" s="1"/>
  <c r="E12" i="5" s="1"/>
  <c r="D9" i="5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E8" i="5"/>
  <c r="E9" i="5" s="1"/>
  <c r="D8" i="5"/>
  <c r="C8" i="5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B8" i="5"/>
  <c r="B9" i="5" s="1"/>
  <c r="A8" i="5"/>
  <c r="A9" i="5" s="1"/>
  <c r="O5" i="5"/>
  <c r="I5" i="5"/>
  <c r="I5" i="6" s="1"/>
  <c r="I4" i="5"/>
  <c r="I4" i="6" s="1"/>
  <c r="E32" i="4"/>
  <c r="F32" i="4" s="1"/>
  <c r="F30" i="4" s="1"/>
  <c r="A32" i="4"/>
  <c r="A33" i="4" s="1"/>
  <c r="A34" i="4" s="1"/>
  <c r="A35" i="4" s="1"/>
  <c r="A36" i="4" s="1"/>
  <c r="F29" i="4"/>
  <c r="F28" i="4"/>
  <c r="F27" i="4"/>
  <c r="F26" i="4" s="1"/>
  <c r="F25" i="4"/>
  <c r="F24" i="4"/>
  <c r="F23" i="4"/>
  <c r="F22" i="4"/>
  <c r="F21" i="4"/>
  <c r="F20" i="4" s="1"/>
  <c r="F19" i="4"/>
  <c r="A19" i="4"/>
  <c r="F18" i="4"/>
  <c r="A18" i="4"/>
  <c r="F17" i="4"/>
  <c r="F16" i="4"/>
  <c r="F15" i="4"/>
  <c r="A15" i="4"/>
  <c r="F14" i="4"/>
  <c r="F13" i="4"/>
  <c r="E12" i="4"/>
  <c r="F12" i="4" s="1"/>
  <c r="A8" i="4"/>
  <c r="A11" i="4" s="1"/>
  <c r="A12" i="4" s="1"/>
  <c r="F7" i="4"/>
  <c r="D3" i="4"/>
  <c r="D2" i="4"/>
  <c r="D1" i="4"/>
  <c r="G62" i="3"/>
  <c r="G61" i="3"/>
  <c r="G60" i="3"/>
  <c r="F59" i="3"/>
  <c r="G59" i="3" s="1"/>
  <c r="G58" i="3"/>
  <c r="G63" i="3" s="1"/>
  <c r="G50" i="3"/>
  <c r="E50" i="3"/>
  <c r="G49" i="3"/>
  <c r="E49" i="3"/>
  <c r="E48" i="3"/>
  <c r="G48" i="3" s="1"/>
  <c r="E47" i="3"/>
  <c r="G47" i="3" s="1"/>
  <c r="G46" i="3"/>
  <c r="E46" i="3"/>
  <c r="E45" i="3"/>
  <c r="G45" i="3" s="1"/>
  <c r="G44" i="3"/>
  <c r="E44" i="3"/>
  <c r="E43" i="3"/>
  <c r="G43" i="3" s="1"/>
  <c r="E42" i="3"/>
  <c r="G42" i="3" s="1"/>
  <c r="E41" i="3"/>
  <c r="G41" i="3" s="1"/>
  <c r="G40" i="3"/>
  <c r="E40" i="3"/>
  <c r="E39" i="3"/>
  <c r="G39" i="3" s="1"/>
  <c r="G38" i="3"/>
  <c r="E38" i="3"/>
  <c r="E37" i="3"/>
  <c r="G37" i="3" s="1"/>
  <c r="G36" i="3"/>
  <c r="E36" i="3"/>
  <c r="F30" i="3"/>
  <c r="F29" i="3"/>
  <c r="F28" i="3"/>
  <c r="F25" i="3"/>
  <c r="F24" i="3"/>
  <c r="F23" i="3"/>
  <c r="F22" i="3"/>
  <c r="F21" i="3"/>
  <c r="D21" i="3"/>
  <c r="D13" i="3"/>
  <c r="D12" i="3"/>
  <c r="D10" i="3"/>
  <c r="D16" i="3" s="1"/>
  <c r="D8" i="3"/>
  <c r="B3" i="3"/>
  <c r="B2" i="3"/>
  <c r="B1" i="3"/>
  <c r="D67" i="2"/>
  <c r="B60" i="2"/>
  <c r="D59" i="2"/>
  <c r="D60" i="2" s="1"/>
  <c r="L68" i="5" s="1"/>
  <c r="N68" i="5" s="1"/>
  <c r="D54" i="2"/>
  <c r="B54" i="2"/>
  <c r="B47" i="2"/>
  <c r="D46" i="2"/>
  <c r="D47" i="2" s="1"/>
  <c r="D39" i="2"/>
  <c r="D41" i="2" s="1"/>
  <c r="L64" i="5" s="1"/>
  <c r="N64" i="5" s="1"/>
  <c r="D31" i="2"/>
  <c r="D34" i="2" s="1"/>
  <c r="L63" i="5" s="1"/>
  <c r="N63" i="5" s="1"/>
  <c r="D26" i="2"/>
  <c r="K22" i="2"/>
  <c r="L21" i="2"/>
  <c r="K21" i="2"/>
  <c r="L20" i="2"/>
  <c r="K20" i="2"/>
  <c r="L19" i="2"/>
  <c r="K19" i="2"/>
  <c r="D19" i="2"/>
  <c r="L61" i="5" s="1"/>
  <c r="N61" i="5" s="1"/>
  <c r="L18" i="2"/>
  <c r="K18" i="2"/>
  <c r="L17" i="2"/>
  <c r="K17" i="2"/>
  <c r="O16" i="2"/>
  <c r="L16" i="2"/>
  <c r="K16" i="2"/>
  <c r="L15" i="2"/>
  <c r="K15" i="2"/>
  <c r="L14" i="2"/>
  <c r="K14" i="2"/>
  <c r="O13" i="2"/>
  <c r="L13" i="2"/>
  <c r="K13" i="2"/>
  <c r="D13" i="2"/>
  <c r="L60" i="5" s="1"/>
  <c r="N60" i="5" s="1"/>
  <c r="L12" i="2"/>
  <c r="K12" i="2"/>
  <c r="D12" i="2"/>
  <c r="L59" i="5" s="1"/>
  <c r="N59" i="5" s="1"/>
  <c r="L11" i="2"/>
  <c r="K11" i="2"/>
  <c r="L10" i="2"/>
  <c r="K10" i="2"/>
  <c r="L9" i="2"/>
  <c r="K9" i="2"/>
  <c r="L8" i="2"/>
  <c r="K8" i="2"/>
  <c r="L7" i="2"/>
  <c r="K7" i="2"/>
  <c r="L6" i="2"/>
  <c r="K6" i="2"/>
  <c r="B3" i="2"/>
  <c r="B2" i="2"/>
  <c r="B1" i="2"/>
  <c r="D173" i="6" l="1"/>
  <c r="D174" i="6" s="1"/>
  <c r="D175" i="6" s="1"/>
  <c r="D176" i="6" s="1"/>
  <c r="E173" i="6"/>
  <c r="L268" i="6"/>
  <c r="G21" i="29"/>
  <c r="C81" i="29"/>
  <c r="C82" i="29" s="1"/>
  <c r="C83" i="29" s="1"/>
  <c r="C84" i="29" s="1"/>
  <c r="G78" i="29"/>
  <c r="G37" i="29"/>
  <c r="G85" i="29"/>
  <c r="C7" i="29"/>
  <c r="G90" i="29"/>
  <c r="B74" i="29"/>
  <c r="B75" i="29" s="1"/>
  <c r="B76" i="29" s="1"/>
  <c r="B77" i="29" s="1"/>
  <c r="B78" i="29" s="1"/>
  <c r="B79" i="29" s="1"/>
  <c r="B73" i="29"/>
  <c r="G13" i="29"/>
  <c r="C74" i="29"/>
  <c r="C75" i="29" s="1"/>
  <c r="C76" i="29" s="1"/>
  <c r="C77" i="29" s="1"/>
  <c r="C73" i="29"/>
  <c r="G71" i="29"/>
  <c r="G45" i="29"/>
  <c r="L312" i="6"/>
  <c r="D312" i="6"/>
  <c r="D313" i="6" s="1"/>
  <c r="D314" i="6" s="1"/>
  <c r="D315" i="6" s="1"/>
  <c r="D316" i="6" s="1"/>
  <c r="D317" i="6" s="1"/>
  <c r="L264" i="6"/>
  <c r="D265" i="6"/>
  <c r="D266" i="6" s="1"/>
  <c r="E274" i="6"/>
  <c r="E275" i="6" s="1"/>
  <c r="N253" i="6"/>
  <c r="N254" i="6"/>
  <c r="E253" i="6"/>
  <c r="E248" i="6"/>
  <c r="L246" i="6"/>
  <c r="E242" i="6"/>
  <c r="D239" i="6"/>
  <c r="D240" i="6" s="1"/>
  <c r="D241" i="6" s="1"/>
  <c r="L221" i="6"/>
  <c r="L233" i="6" s="1"/>
  <c r="N233" i="6" s="1"/>
  <c r="E235" i="6"/>
  <c r="E236" i="6" s="1"/>
  <c r="E237" i="6" s="1"/>
  <c r="E238" i="6" s="1"/>
  <c r="L232" i="6"/>
  <c r="L231" i="6"/>
  <c r="N231" i="6" s="1"/>
  <c r="L234" i="6"/>
  <c r="N234" i="6" s="1"/>
  <c r="E221" i="6"/>
  <c r="E222" i="6" s="1"/>
  <c r="L225" i="6"/>
  <c r="L331" i="6"/>
  <c r="N331" i="6" s="1"/>
  <c r="D222" i="6"/>
  <c r="D223" i="6" s="1"/>
  <c r="D224" i="6" s="1"/>
  <c r="L195" i="6"/>
  <c r="N321" i="6"/>
  <c r="L317" i="6"/>
  <c r="L202" i="6"/>
  <c r="N202" i="6" s="1"/>
  <c r="L201" i="6"/>
  <c r="N201" i="6" s="1"/>
  <c r="E224" i="6"/>
  <c r="E225" i="6" s="1"/>
  <c r="L320" i="6"/>
  <c r="L207" i="6"/>
  <c r="L211" i="6" s="1"/>
  <c r="N211" i="6" s="1"/>
  <c r="L189" i="6"/>
  <c r="N200" i="6" s="1"/>
  <c r="D89" i="6"/>
  <c r="D90" i="6" s="1"/>
  <c r="D91" i="6" s="1"/>
  <c r="D92" i="6" s="1"/>
  <c r="L88" i="6"/>
  <c r="L110" i="6"/>
  <c r="N110" i="6" s="1"/>
  <c r="D181" i="6"/>
  <c r="D182" i="6" s="1"/>
  <c r="D183" i="6" s="1"/>
  <c r="D184" i="6" s="1"/>
  <c r="N114" i="6"/>
  <c r="G9" i="28"/>
  <c r="J9" i="28" s="1"/>
  <c r="P44" i="30"/>
  <c r="D72" i="6"/>
  <c r="D73" i="6" s="1"/>
  <c r="D74" i="6" s="1"/>
  <c r="D75" i="6" s="1"/>
  <c r="D76" i="6" s="1"/>
  <c r="A9" i="6"/>
  <c r="A10" i="6" s="1"/>
  <c r="A11" i="6" s="1"/>
  <c r="E72" i="6"/>
  <c r="E73" i="6" s="1"/>
  <c r="L286" i="6"/>
  <c r="N286" i="6" s="1"/>
  <c r="Q102" i="13"/>
  <c r="Q24" i="13"/>
  <c r="L54" i="6"/>
  <c r="Q100" i="13"/>
  <c r="L55" i="6"/>
  <c r="Q101" i="13"/>
  <c r="L58" i="6" s="1"/>
  <c r="Q103" i="13"/>
  <c r="K24" i="13"/>
  <c r="B97" i="13"/>
  <c r="R97" i="13"/>
  <c r="K59" i="13"/>
  <c r="N310" i="6"/>
  <c r="N112" i="6"/>
  <c r="N330" i="6"/>
  <c r="N73" i="6"/>
  <c r="N15" i="11"/>
  <c r="O11" i="12"/>
  <c r="M146" i="11"/>
  <c r="H8" i="11" s="1"/>
  <c r="T146" i="11"/>
  <c r="N8" i="11" s="1"/>
  <c r="R27" i="11"/>
  <c r="N35" i="11"/>
  <c r="R22" i="11"/>
  <c r="T33" i="11"/>
  <c r="R42" i="11"/>
  <c r="N94" i="11"/>
  <c r="O94" i="11"/>
  <c r="T36" i="11"/>
  <c r="T47" i="11"/>
  <c r="R146" i="11"/>
  <c r="L8" i="11" s="1"/>
  <c r="T44" i="11"/>
  <c r="N19" i="11"/>
  <c r="O19" i="11" s="1"/>
  <c r="R38" i="11"/>
  <c r="R24" i="11"/>
  <c r="R19" i="11"/>
  <c r="T45" i="11"/>
  <c r="T35" i="11"/>
  <c r="T37" i="11"/>
  <c r="N45" i="11"/>
  <c r="O45" i="11" s="1"/>
  <c r="C23" i="12"/>
  <c r="G24" i="12" s="1"/>
  <c r="C234" i="7"/>
  <c r="C252" i="7"/>
  <c r="C280" i="7"/>
  <c r="C443" i="7"/>
  <c r="C458" i="7"/>
  <c r="C472" i="7"/>
  <c r="C482" i="7"/>
  <c r="C55" i="7"/>
  <c r="C161" i="7"/>
  <c r="C177" i="7"/>
  <c r="C332" i="7"/>
  <c r="C460" i="7"/>
  <c r="C368" i="7"/>
  <c r="C248" i="7"/>
  <c r="C284" i="7"/>
  <c r="C290" i="7"/>
  <c r="C394" i="7"/>
  <c r="C405" i="7"/>
  <c r="C449" i="7"/>
  <c r="C462" i="7"/>
  <c r="C474" i="7"/>
  <c r="C478" i="7"/>
  <c r="C484" i="7"/>
  <c r="C488" i="7"/>
  <c r="C48" i="7"/>
  <c r="C74" i="7"/>
  <c r="C228" i="7"/>
  <c r="C486" i="7"/>
  <c r="C410" i="7"/>
  <c r="C446" i="7"/>
  <c r="C373" i="7"/>
  <c r="C326" i="7"/>
  <c r="C288" i="7"/>
  <c r="C295" i="7"/>
  <c r="C387" i="7"/>
  <c r="C27" i="7"/>
  <c r="C57" i="7"/>
  <c r="C63" i="7"/>
  <c r="C171" i="7"/>
  <c r="C155" i="7"/>
  <c r="C231" i="7"/>
  <c r="C277" i="7"/>
  <c r="C40" i="7"/>
  <c r="C316" i="7"/>
  <c r="C76" i="7"/>
  <c r="C84" i="7"/>
  <c r="C96" i="7"/>
  <c r="C301" i="7"/>
  <c r="C321" i="7"/>
  <c r="C357" i="7"/>
  <c r="C237" i="7"/>
  <c r="C262" i="7"/>
  <c r="C456" i="7"/>
  <c r="C464" i="7"/>
  <c r="C466" i="7"/>
  <c r="C470" i="7"/>
  <c r="C476" i="7"/>
  <c r="C480" i="7"/>
  <c r="C36" i="7"/>
  <c r="C59" i="7"/>
  <c r="C185" i="7"/>
  <c r="C215" i="7"/>
  <c r="C72" i="7"/>
  <c r="C80" i="7"/>
  <c r="C88" i="7"/>
  <c r="C306" i="7"/>
  <c r="C347" i="7"/>
  <c r="C441" i="7"/>
  <c r="C32" i="7"/>
  <c r="C240" i="7"/>
  <c r="C243" i="7"/>
  <c r="C265" i="7"/>
  <c r="C273" i="7"/>
  <c r="C363" i="7"/>
  <c r="C220" i="7"/>
  <c r="C336" i="7"/>
  <c r="C166" i="7"/>
  <c r="C174" i="7"/>
  <c r="C182" i="7"/>
  <c r="C360" i="7"/>
  <c r="F113" i="7"/>
  <c r="H113" i="7" s="1"/>
  <c r="Q51" i="30"/>
  <c r="M303" i="6" s="1"/>
  <c r="N303" i="6" s="1"/>
  <c r="Q49" i="30"/>
  <c r="M299" i="6" s="1"/>
  <c r="N299" i="6" s="1"/>
  <c r="I8" i="5"/>
  <c r="I8" i="6"/>
  <c r="G51" i="3"/>
  <c r="Q50" i="30"/>
  <c r="M301" i="6" s="1"/>
  <c r="N301" i="6" s="1"/>
  <c r="P9" i="30"/>
  <c r="F26" i="3"/>
  <c r="B24" i="29"/>
  <c r="B25" i="29" s="1"/>
  <c r="B23" i="29"/>
  <c r="A9" i="4"/>
  <c r="A10" i="4" s="1"/>
  <c r="I10" i="6"/>
  <c r="N17" i="11"/>
  <c r="N75" i="11"/>
  <c r="O75" i="11" s="1"/>
  <c r="F31" i="3"/>
  <c r="B10" i="5"/>
  <c r="I9" i="5"/>
  <c r="N113" i="6"/>
  <c r="I9" i="6"/>
  <c r="C42" i="7"/>
  <c r="C205" i="7"/>
  <c r="C92" i="7"/>
  <c r="T17" i="11"/>
  <c r="R17" i="11"/>
  <c r="D14" i="3"/>
  <c r="D15" i="3"/>
  <c r="A10" i="5"/>
  <c r="N91" i="6"/>
  <c r="C16" i="7"/>
  <c r="C10" i="7"/>
  <c r="C68" i="7"/>
  <c r="C52" i="7"/>
  <c r="C4" i="7"/>
  <c r="C65" i="7"/>
  <c r="C190" i="7"/>
  <c r="C200" i="7"/>
  <c r="C210" i="7"/>
  <c r="C341" i="7"/>
  <c r="C270" i="7"/>
  <c r="N30" i="11"/>
  <c r="O30" i="11" s="1"/>
  <c r="C225" i="7"/>
  <c r="C343" i="7"/>
  <c r="L97" i="13"/>
  <c r="C21" i="7"/>
  <c r="C195" i="7"/>
  <c r="N25" i="11"/>
  <c r="O25" i="11" s="1"/>
  <c r="O146" i="11"/>
  <c r="J8" i="11" s="1"/>
  <c r="Q97" i="13"/>
  <c r="N97" i="13"/>
  <c r="C383" i="7"/>
  <c r="C20" i="20"/>
  <c r="F20" i="20" s="1"/>
  <c r="F11" i="20"/>
  <c r="F22" i="20" s="1"/>
  <c r="C282" i="7"/>
  <c r="F14" i="15"/>
  <c r="I14" i="15" s="1"/>
  <c r="O24" i="11"/>
  <c r="N27" i="11"/>
  <c r="O27" i="11" s="1"/>
  <c r="N29" i="11"/>
  <c r="O29" i="11" s="1"/>
  <c r="U50" i="11"/>
  <c r="S83" i="11"/>
  <c r="O17" i="12" s="1"/>
  <c r="C268" i="7"/>
  <c r="C311" i="7"/>
  <c r="J97" i="13"/>
  <c r="K36" i="13"/>
  <c r="C293" i="7"/>
  <c r="C439" i="7"/>
  <c r="T83" i="11"/>
  <c r="U102" i="11"/>
  <c r="C419" i="7"/>
  <c r="O73" i="11"/>
  <c r="N79" i="11"/>
  <c r="O79" i="11"/>
  <c r="C70" i="7"/>
  <c r="T32" i="11"/>
  <c r="R32" i="11"/>
  <c r="C97" i="13"/>
  <c r="H22" i="10"/>
  <c r="H13" i="10"/>
  <c r="O60" i="11"/>
  <c r="N80" i="11"/>
  <c r="O80" i="11" s="1"/>
  <c r="N34" i="11"/>
  <c r="O34" i="11" s="1"/>
  <c r="N37" i="11"/>
  <c r="O37" i="11" s="1"/>
  <c r="L63" i="11"/>
  <c r="C391" i="7"/>
  <c r="O15" i="11"/>
  <c r="T34" i="11"/>
  <c r="R34" i="11"/>
  <c r="N93" i="11"/>
  <c r="O93" i="11" s="1"/>
  <c r="L102" i="11"/>
  <c r="A147" i="24"/>
  <c r="A146" i="24"/>
  <c r="A148" i="24" s="1"/>
  <c r="A149" i="24" s="1"/>
  <c r="A150" i="24" s="1"/>
  <c r="A151" i="24" s="1"/>
  <c r="A152" i="24" s="1"/>
  <c r="A153" i="24" s="1"/>
  <c r="A154" i="24" s="1"/>
  <c r="A155" i="24" s="1"/>
  <c r="C454" i="7"/>
  <c r="I10" i="10"/>
  <c r="N18" i="11"/>
  <c r="O18" i="11" s="1"/>
  <c r="N26" i="11"/>
  <c r="O26" i="11" s="1"/>
  <c r="N40" i="11"/>
  <c r="O40" i="11" s="1"/>
  <c r="N57" i="11"/>
  <c r="O57" i="11" s="1"/>
  <c r="R93" i="11"/>
  <c r="R102" i="11" s="1"/>
  <c r="Q42" i="13"/>
  <c r="M7" i="24"/>
  <c r="K11" i="10"/>
  <c r="J11" i="10"/>
  <c r="O21" i="11"/>
  <c r="N43" i="11"/>
  <c r="O43" i="11" s="1"/>
  <c r="T48" i="11"/>
  <c r="R48" i="11"/>
  <c r="U81" i="11"/>
  <c r="S81" i="11"/>
  <c r="T81" i="11" s="1"/>
  <c r="G83" i="11"/>
  <c r="L81" i="11"/>
  <c r="D38" i="16"/>
  <c r="E38" i="16" s="1"/>
  <c r="N32" i="11"/>
  <c r="O32" i="11" s="1"/>
  <c r="O35" i="11"/>
  <c r="P36" i="13"/>
  <c r="P42" i="13"/>
  <c r="T30" i="11"/>
  <c r="R30" i="11"/>
  <c r="N41" i="11"/>
  <c r="O41" i="11" s="1"/>
  <c r="M63" i="11"/>
  <c r="O97" i="13"/>
  <c r="M97" i="13"/>
  <c r="J55" i="17"/>
  <c r="N36" i="11"/>
  <c r="O36" i="11" s="1"/>
  <c r="N48" i="11"/>
  <c r="O48" i="11" s="1"/>
  <c r="N60" i="11"/>
  <c r="S102" i="11"/>
  <c r="N8" i="22"/>
  <c r="M147" i="6" s="1"/>
  <c r="N147" i="6" s="1"/>
  <c r="T25" i="11"/>
  <c r="R25" i="11"/>
  <c r="R57" i="11"/>
  <c r="R63" i="11" s="1"/>
  <c r="T102" i="11"/>
  <c r="H24" i="15"/>
  <c r="F24" i="15"/>
  <c r="I24" i="15" s="1"/>
  <c r="C468" i="7"/>
  <c r="N28" i="11"/>
  <c r="O28" i="11" s="1"/>
  <c r="N39" i="11"/>
  <c r="O39" i="11" s="1"/>
  <c r="S63" i="11"/>
  <c r="N74" i="11"/>
  <c r="J78" i="26"/>
  <c r="Q12" i="10"/>
  <c r="L50" i="11"/>
  <c r="U63" i="11"/>
  <c r="N82" i="11"/>
  <c r="O82" i="11" s="1"/>
  <c r="T16" i="11"/>
  <c r="R16" i="11"/>
  <c r="M50" i="11"/>
  <c r="N21" i="11"/>
  <c r="N23" i="11"/>
  <c r="O23" i="11" s="1"/>
  <c r="N44" i="11"/>
  <c r="O44" i="11" s="1"/>
  <c r="R46" i="11"/>
  <c r="L83" i="11"/>
  <c r="N77" i="11"/>
  <c r="O77" i="11" s="1"/>
  <c r="K146" i="11"/>
  <c r="C426" i="7"/>
  <c r="I9" i="10"/>
  <c r="N16" i="11"/>
  <c r="O16" i="11" s="1"/>
  <c r="T49" i="11"/>
  <c r="R49" i="11"/>
  <c r="L146" i="11"/>
  <c r="G8" i="11" s="1"/>
  <c r="M42" i="16"/>
  <c r="J23" i="17"/>
  <c r="N58" i="11"/>
  <c r="O58" i="11" s="1"/>
  <c r="D97" i="13"/>
  <c r="M12" i="26"/>
  <c r="N12" i="26" s="1"/>
  <c r="M11" i="26"/>
  <c r="N11" i="26" s="1"/>
  <c r="M131" i="6" s="1"/>
  <c r="M8" i="26"/>
  <c r="N8" i="26" s="1"/>
  <c r="M137" i="6" s="1"/>
  <c r="N137" i="6" s="1"/>
  <c r="E97" i="13"/>
  <c r="K19" i="13"/>
  <c r="H11" i="15"/>
  <c r="F11" i="15"/>
  <c r="I11" i="15" s="1"/>
  <c r="M24" i="16"/>
  <c r="D24" i="16" s="1"/>
  <c r="E24" i="16" s="1"/>
  <c r="J18" i="17"/>
  <c r="J38" i="17"/>
  <c r="S50" i="11"/>
  <c r="N20" i="11"/>
  <c r="O20" i="11" s="1"/>
  <c r="N24" i="11"/>
  <c r="T41" i="11"/>
  <c r="R41" i="11"/>
  <c r="M76" i="11"/>
  <c r="R76" i="11" s="1"/>
  <c r="L76" i="11"/>
  <c r="F97" i="13"/>
  <c r="J31" i="17"/>
  <c r="R26" i="11"/>
  <c r="R28" i="11"/>
  <c r="G97" i="13"/>
  <c r="D44" i="16"/>
  <c r="E44" i="16" s="1"/>
  <c r="H97" i="13"/>
  <c r="J32" i="17"/>
  <c r="R39" i="11"/>
  <c r="I97" i="13"/>
  <c r="H27" i="15"/>
  <c r="F27" i="15"/>
  <c r="I27" i="15" s="1"/>
  <c r="T18" i="11"/>
  <c r="R18" i="11"/>
  <c r="N31" i="11"/>
  <c r="O31" i="11" s="1"/>
  <c r="R72" i="11"/>
  <c r="R83" i="11" s="1"/>
  <c r="U76" i="11"/>
  <c r="U83" i="11" s="1"/>
  <c r="P17" i="12" s="1"/>
  <c r="S97" i="13"/>
  <c r="F19" i="15"/>
  <c r="I19" i="15" s="1"/>
  <c r="A9" i="17"/>
  <c r="J14" i="17"/>
  <c r="F19" i="19"/>
  <c r="N172" i="6" s="1"/>
  <c r="J156" i="24"/>
  <c r="J43" i="26"/>
  <c r="K71" i="13"/>
  <c r="J15" i="17"/>
  <c r="J39" i="17"/>
  <c r="N9" i="22"/>
  <c r="M153" i="6" s="1"/>
  <c r="N153" i="6" s="1"/>
  <c r="J141" i="24"/>
  <c r="P7" i="24" s="1"/>
  <c r="J32" i="26"/>
  <c r="J27" i="17"/>
  <c r="J46" i="17"/>
  <c r="J58" i="17"/>
  <c r="J39" i="26"/>
  <c r="M10" i="26" s="1"/>
  <c r="N10" i="26" s="1"/>
  <c r="M139" i="6" s="1"/>
  <c r="N139" i="6" s="1"/>
  <c r="C6" i="29"/>
  <c r="G64" i="29"/>
  <c r="D45" i="16"/>
  <c r="E45" i="16" s="1"/>
  <c r="N45" i="16"/>
  <c r="T97" i="13"/>
  <c r="F22" i="15"/>
  <c r="I22" i="15" s="1"/>
  <c r="J22" i="17"/>
  <c r="J59" i="17"/>
  <c r="J27" i="26"/>
  <c r="G25" i="29"/>
  <c r="G12" i="29" s="1"/>
  <c r="N22" i="11"/>
  <c r="O22" i="11" s="1"/>
  <c r="N38" i="11"/>
  <c r="O38" i="11" s="1"/>
  <c r="J49" i="22"/>
  <c r="J84" i="22"/>
  <c r="N11" i="22" s="1"/>
  <c r="M151" i="6" s="1"/>
  <c r="N151" i="6" s="1"/>
  <c r="A10" i="24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 s="1"/>
  <c r="H10" i="15"/>
  <c r="J11" i="17"/>
  <c r="J35" i="17"/>
  <c r="N7" i="22"/>
  <c r="J21" i="26"/>
  <c r="M7" i="26" s="1"/>
  <c r="N7" i="26" s="1"/>
  <c r="J56" i="26"/>
  <c r="J72" i="26"/>
  <c r="J95" i="26"/>
  <c r="F7" i="15"/>
  <c r="I7" i="15" s="1"/>
  <c r="F20" i="15"/>
  <c r="I20" i="15" s="1"/>
  <c r="M9" i="24"/>
  <c r="J18" i="28"/>
  <c r="M8" i="28" s="1"/>
  <c r="N8" i="28" s="1"/>
  <c r="N183" i="6" s="1"/>
  <c r="F3" i="15"/>
  <c r="N9" i="24"/>
  <c r="I34" i="16" s="1"/>
  <c r="J157" i="26"/>
  <c r="A9" i="28"/>
  <c r="A10" i="28" s="1"/>
  <c r="A11" i="28" s="1"/>
  <c r="A12" i="28" s="1"/>
  <c r="A13" i="28" s="1"/>
  <c r="A14" i="28" s="1"/>
  <c r="A15" i="28" s="1"/>
  <c r="A16" i="28" s="1"/>
  <c r="G11" i="28"/>
  <c r="J11" i="28" s="1"/>
  <c r="O9" i="24"/>
  <c r="C23" i="29"/>
  <c r="F8" i="15"/>
  <c r="I8" i="15" s="1"/>
  <c r="F25" i="15"/>
  <c r="I25" i="15" s="1"/>
  <c r="M40" i="16"/>
  <c r="D40" i="16" s="1"/>
  <c r="E40" i="16" s="1"/>
  <c r="P9" i="24"/>
  <c r="G8" i="28"/>
  <c r="J8" i="28" s="1"/>
  <c r="M47" i="16"/>
  <c r="D47" i="16" s="1"/>
  <c r="E47" i="16" s="1"/>
  <c r="J7" i="22"/>
  <c r="J9" i="26"/>
  <c r="G18" i="28"/>
  <c r="B173" i="6" l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N131" i="6"/>
  <c r="L324" i="6"/>
  <c r="N324" i="6" s="1"/>
  <c r="L316" i="6"/>
  <c r="L318" i="6"/>
  <c r="D318" i="6"/>
  <c r="D319" i="6" s="1"/>
  <c r="D320" i="6" s="1"/>
  <c r="D321" i="6" s="1"/>
  <c r="D322" i="6" s="1"/>
  <c r="D323" i="6" s="1"/>
  <c r="D324" i="6" s="1"/>
  <c r="D325" i="6" s="1"/>
  <c r="D326" i="6" s="1"/>
  <c r="B81" i="29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80" i="29"/>
  <c r="G44" i="29"/>
  <c r="D267" i="6"/>
  <c r="D268" i="6" s="1"/>
  <c r="D269" i="6" s="1"/>
  <c r="D270" i="6" s="1"/>
  <c r="L203" i="6"/>
  <c r="N203" i="6" s="1"/>
  <c r="E254" i="6"/>
  <c r="E255" i="6" s="1"/>
  <c r="E256" i="6" s="1"/>
  <c r="E257" i="6" s="1"/>
  <c r="E258" i="6" s="1"/>
  <c r="E259" i="6" s="1"/>
  <c r="E260" i="6" s="1"/>
  <c r="L256" i="6"/>
  <c r="E249" i="6"/>
  <c r="E250" i="6" s="1"/>
  <c r="E251" i="6" s="1"/>
  <c r="E243" i="6"/>
  <c r="D242" i="6"/>
  <c r="D225" i="6"/>
  <c r="N232" i="6"/>
  <c r="I89" i="6"/>
  <c r="E190" i="6"/>
  <c r="D190" i="6"/>
  <c r="D191" i="6" s="1"/>
  <c r="D192" i="6" s="1"/>
  <c r="D193" i="6" s="1"/>
  <c r="D194" i="6" s="1"/>
  <c r="D195" i="6" s="1"/>
  <c r="I72" i="6"/>
  <c r="P97" i="13"/>
  <c r="L57" i="6"/>
  <c r="Q105" i="13"/>
  <c r="L59" i="6"/>
  <c r="R7" i="11"/>
  <c r="T50" i="11"/>
  <c r="H24" i="12"/>
  <c r="L24" i="12"/>
  <c r="K24" i="12"/>
  <c r="F24" i="12"/>
  <c r="I24" i="12"/>
  <c r="J24" i="12"/>
  <c r="D24" i="12"/>
  <c r="E24" i="12"/>
  <c r="O9" i="12"/>
  <c r="O23" i="12" s="1"/>
  <c r="L36" i="6" s="1"/>
  <c r="C235" i="7"/>
  <c r="C178" i="7"/>
  <c r="C322" i="7"/>
  <c r="C344" i="7"/>
  <c r="C345" i="7" s="1"/>
  <c r="C43" i="7"/>
  <c r="C312" i="7"/>
  <c r="C17" i="7"/>
  <c r="C361" i="7"/>
  <c r="C167" i="7"/>
  <c r="C364" i="7"/>
  <c r="C244" i="7"/>
  <c r="C216" i="7"/>
  <c r="C218" i="7" s="1"/>
  <c r="C77" i="7"/>
  <c r="C388" i="7"/>
  <c r="C327" i="7"/>
  <c r="C395" i="7"/>
  <c r="C162" i="7"/>
  <c r="C444" i="7"/>
  <c r="C253" i="7"/>
  <c r="C81" i="7"/>
  <c r="C384" i="7"/>
  <c r="C186" i="7"/>
  <c r="C188" i="7" s="1"/>
  <c r="C60" i="7"/>
  <c r="C369" i="7"/>
  <c r="C241" i="7"/>
  <c r="C53" i="7"/>
  <c r="C278" i="7"/>
  <c r="C302" i="7"/>
  <c r="C337" i="7"/>
  <c r="C274" i="7"/>
  <c r="C374" i="7"/>
  <c r="C49" i="7"/>
  <c r="C89" i="7"/>
  <c r="C221" i="7"/>
  <c r="C266" i="7"/>
  <c r="C37" i="7"/>
  <c r="C263" i="7"/>
  <c r="C317" i="7"/>
  <c r="C232" i="7"/>
  <c r="C291" i="7"/>
  <c r="C406" i="7"/>
  <c r="C226" i="7"/>
  <c r="C183" i="7"/>
  <c r="C307" i="7"/>
  <c r="C97" i="7"/>
  <c r="C156" i="7"/>
  <c r="C28" i="7"/>
  <c r="C447" i="7"/>
  <c r="C285" i="7"/>
  <c r="C33" i="7"/>
  <c r="C172" i="7"/>
  <c r="C348" i="7"/>
  <c r="C5" i="7"/>
  <c r="C93" i="7"/>
  <c r="C22" i="7"/>
  <c r="C201" i="7"/>
  <c r="C203" i="7" s="1"/>
  <c r="C206" i="7"/>
  <c r="C208" i="7" s="1"/>
  <c r="C175" i="7"/>
  <c r="C238" i="7"/>
  <c r="C358" i="7"/>
  <c r="C85" i="7"/>
  <c r="C229" i="7"/>
  <c r="C249" i="7"/>
  <c r="C333" i="7"/>
  <c r="I11" i="6"/>
  <c r="A12" i="6"/>
  <c r="M135" i="6"/>
  <c r="N135" i="6" s="1"/>
  <c r="L69" i="6"/>
  <c r="E10" i="4"/>
  <c r="F10" i="4" s="1"/>
  <c r="N10" i="22"/>
  <c r="N7" i="11"/>
  <c r="J125" i="24"/>
  <c r="O74" i="11"/>
  <c r="M9" i="26"/>
  <c r="N9" i="26" s="1"/>
  <c r="M133" i="6" s="1"/>
  <c r="N133" i="6" s="1"/>
  <c r="C196" i="7"/>
  <c r="C198" i="7" s="1"/>
  <c r="M149" i="6"/>
  <c r="N149" i="6" s="1"/>
  <c r="K97" i="13"/>
  <c r="J7" i="26"/>
  <c r="M7" i="28"/>
  <c r="N7" i="28" s="1"/>
  <c r="J7" i="28"/>
  <c r="R50" i="11"/>
  <c r="L7" i="11" s="1"/>
  <c r="L14" i="6" s="1"/>
  <c r="C211" i="7"/>
  <c r="C213" i="7" s="1"/>
  <c r="P9" i="12"/>
  <c r="R9" i="12" s="1"/>
  <c r="P25" i="12"/>
  <c r="C11" i="7"/>
  <c r="C392" i="7"/>
  <c r="O63" i="11"/>
  <c r="O102" i="11"/>
  <c r="C271" i="7"/>
  <c r="C191" i="7"/>
  <c r="C193" i="7" s="1"/>
  <c r="R17" i="12"/>
  <c r="D27" i="16"/>
  <c r="E27" i="16" s="1"/>
  <c r="M165" i="6"/>
  <c r="N165" i="6" s="1"/>
  <c r="N63" i="11"/>
  <c r="N76" i="11"/>
  <c r="O76" i="11" s="1"/>
  <c r="A10" i="17"/>
  <c r="N50" i="11"/>
  <c r="O17" i="11"/>
  <c r="O50" i="11" s="1"/>
  <c r="B26" i="29"/>
  <c r="B27" i="29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G7" i="11"/>
  <c r="L11" i="6" s="1"/>
  <c r="J67" i="24"/>
  <c r="P10" i="24"/>
  <c r="O10" i="24"/>
  <c r="N10" i="24"/>
  <c r="I35" i="16" s="1"/>
  <c r="M10" i="24"/>
  <c r="I3" i="15"/>
  <c r="I32" i="15" s="1"/>
  <c r="J32" i="15" s="1"/>
  <c r="F32" i="15"/>
  <c r="K10" i="10"/>
  <c r="J10" i="10"/>
  <c r="N7" i="24"/>
  <c r="J113" i="24"/>
  <c r="N81" i="11"/>
  <c r="O81" i="11" s="1"/>
  <c r="N102" i="11"/>
  <c r="K24" i="10"/>
  <c r="Q11" i="10"/>
  <c r="K9" i="10"/>
  <c r="J9" i="10"/>
  <c r="I13" i="10"/>
  <c r="Q9" i="24"/>
  <c r="H34" i="16"/>
  <c r="M34" i="16" s="1"/>
  <c r="D34" i="16" s="1"/>
  <c r="E34" i="16" s="1"/>
  <c r="O7" i="24"/>
  <c r="Q7" i="24" s="1"/>
  <c r="I10" i="5"/>
  <c r="B11" i="5"/>
  <c r="A11" i="5"/>
  <c r="C66" i="7"/>
  <c r="M83" i="11"/>
  <c r="H7" i="11" s="1"/>
  <c r="N42" i="16"/>
  <c r="D42" i="16"/>
  <c r="E42" i="16" s="1"/>
  <c r="J21" i="28"/>
  <c r="M7" i="11"/>
  <c r="A45" i="24"/>
  <c r="C9" i="29"/>
  <c r="M334" i="6"/>
  <c r="N334" i="6" s="1"/>
  <c r="I12" i="6"/>
  <c r="I318" i="6" l="1"/>
  <c r="D271" i="6"/>
  <c r="D272" i="6" s="1"/>
  <c r="D273" i="6" s="1"/>
  <c r="D274" i="6" s="1"/>
  <c r="E244" i="6"/>
  <c r="E245" i="6" s="1"/>
  <c r="E246" i="6" s="1"/>
  <c r="D243" i="6"/>
  <c r="C408" i="7"/>
  <c r="C409" i="7"/>
  <c r="D226" i="6"/>
  <c r="C334" i="7"/>
  <c r="D196" i="6"/>
  <c r="I181" i="6"/>
  <c r="N59" i="6"/>
  <c r="C98" i="13"/>
  <c r="D98" i="13"/>
  <c r="E98" i="13"/>
  <c r="F98" i="13"/>
  <c r="G98" i="13"/>
  <c r="H98" i="13"/>
  <c r="I98" i="13"/>
  <c r="N57" i="6"/>
  <c r="P23" i="12"/>
  <c r="C313" i="7"/>
  <c r="C349" i="7"/>
  <c r="C78" i="7"/>
  <c r="C86" i="7"/>
  <c r="C318" i="7"/>
  <c r="C275" i="7"/>
  <c r="C168" i="7"/>
  <c r="C44" i="7"/>
  <c r="C187" i="7"/>
  <c r="C163" i="7"/>
  <c r="C179" i="7"/>
  <c r="C207" i="7"/>
  <c r="C250" i="7"/>
  <c r="C222" i="7"/>
  <c r="C338" i="7"/>
  <c r="C370" i="7"/>
  <c r="C385" i="7"/>
  <c r="C396" i="7"/>
  <c r="C217" i="7"/>
  <c r="C38" i="7"/>
  <c r="C389" i="7"/>
  <c r="C94" i="7"/>
  <c r="C308" i="7"/>
  <c r="C50" i="7"/>
  <c r="C303" i="7"/>
  <c r="C18" i="7"/>
  <c r="C98" i="7"/>
  <c r="C6" i="7"/>
  <c r="C29" i="7"/>
  <c r="C61" i="7"/>
  <c r="C82" i="7"/>
  <c r="C323" i="7"/>
  <c r="C375" i="7"/>
  <c r="C23" i="7"/>
  <c r="C197" i="7"/>
  <c r="C34" i="7"/>
  <c r="C157" i="7"/>
  <c r="C90" i="7"/>
  <c r="C254" i="7"/>
  <c r="C365" i="7"/>
  <c r="C286" i="7"/>
  <c r="C202" i="7"/>
  <c r="C192" i="7"/>
  <c r="A13" i="6"/>
  <c r="O83" i="11"/>
  <c r="J7" i="11" s="1"/>
  <c r="L16" i="6" s="1"/>
  <c r="A46" i="24"/>
  <c r="M159" i="6"/>
  <c r="N159" i="6" s="1"/>
  <c r="N12" i="22"/>
  <c r="O12" i="22" s="1"/>
  <c r="I11" i="5"/>
  <c r="B12" i="5"/>
  <c r="M119" i="6"/>
  <c r="N119" i="6" s="1"/>
  <c r="A11" i="17"/>
  <c r="I13" i="6"/>
  <c r="A12" i="5"/>
  <c r="Q10" i="24"/>
  <c r="H35" i="16"/>
  <c r="N10" i="28"/>
  <c r="O10" i="28" s="1"/>
  <c r="M180" i="6"/>
  <c r="N180" i="6" s="1"/>
  <c r="N83" i="11"/>
  <c r="I7" i="11"/>
  <c r="L12" i="6" s="1"/>
  <c r="C212" i="7"/>
  <c r="J13" i="10"/>
  <c r="L17" i="6" s="1"/>
  <c r="C12" i="7"/>
  <c r="Q9" i="10"/>
  <c r="K22" i="10"/>
  <c r="K13" i="10"/>
  <c r="L48" i="6"/>
  <c r="E8" i="4"/>
  <c r="L64" i="6"/>
  <c r="L63" i="6"/>
  <c r="L62" i="6"/>
  <c r="L61" i="6"/>
  <c r="L67" i="6"/>
  <c r="L65" i="6"/>
  <c r="L66" i="6"/>
  <c r="K23" i="10"/>
  <c r="Q10" i="10"/>
  <c r="N13" i="26"/>
  <c r="O13" i="26" s="1"/>
  <c r="D244" i="6" l="1"/>
  <c r="D245" i="6" s="1"/>
  <c r="D246" i="6" s="1"/>
  <c r="D247" i="6" s="1"/>
  <c r="D227" i="6"/>
  <c r="D228" i="6" s="1"/>
  <c r="D229" i="6" s="1"/>
  <c r="D230" i="6" s="1"/>
  <c r="D231" i="6" s="1"/>
  <c r="D232" i="6" s="1"/>
  <c r="D233" i="6" s="1"/>
  <c r="D234" i="6" s="1"/>
  <c r="D197" i="6"/>
  <c r="D198" i="6" s="1"/>
  <c r="D199" i="6" s="1"/>
  <c r="D200" i="6" s="1"/>
  <c r="D201" i="6" s="1"/>
  <c r="D202" i="6" s="1"/>
  <c r="D203" i="6" s="1"/>
  <c r="D204" i="6" s="1"/>
  <c r="C223" i="7"/>
  <c r="I99" i="13"/>
  <c r="C99" i="7"/>
  <c r="C304" i="7"/>
  <c r="C376" i="7"/>
  <c r="C371" i="7"/>
  <c r="C164" i="7"/>
  <c r="C169" i="7"/>
  <c r="C314" i="7"/>
  <c r="C180" i="7"/>
  <c r="C366" i="7"/>
  <c r="C24" i="7"/>
  <c r="C158" i="7"/>
  <c r="C339" i="7"/>
  <c r="C7" i="7"/>
  <c r="C45" i="7"/>
  <c r="C319" i="7"/>
  <c r="C324" i="7"/>
  <c r="C309" i="7"/>
  <c r="C397" i="7"/>
  <c r="C19" i="7"/>
  <c r="C255" i="7"/>
  <c r="C30" i="7"/>
  <c r="A14" i="6"/>
  <c r="B13" i="5"/>
  <c r="I12" i="5"/>
  <c r="J35" i="16"/>
  <c r="M125" i="6"/>
  <c r="N125" i="6" s="1"/>
  <c r="F8" i="4"/>
  <c r="A12" i="17"/>
  <c r="A13" i="5"/>
  <c r="M35" i="16"/>
  <c r="D35" i="16" s="1"/>
  <c r="E35" i="16" s="1"/>
  <c r="I14" i="6"/>
  <c r="M123" i="6"/>
  <c r="N123" i="6" s="1"/>
  <c r="A47" i="24"/>
  <c r="Q13" i="10"/>
  <c r="E9" i="4"/>
  <c r="F9" i="4" s="1"/>
  <c r="L33" i="6"/>
  <c r="C13" i="7"/>
  <c r="D248" i="6" l="1"/>
  <c r="D235" i="6"/>
  <c r="D236" i="6" s="1"/>
  <c r="D237" i="6" s="1"/>
  <c r="C159" i="7"/>
  <c r="C46" i="7"/>
  <c r="C256" i="7"/>
  <c r="C25" i="7"/>
  <c r="H298" i="7"/>
  <c r="C8" i="7"/>
  <c r="H269" i="7"/>
  <c r="A15" i="6"/>
  <c r="C14" i="7"/>
  <c r="A48" i="24"/>
  <c r="E11" i="4"/>
  <c r="F11" i="4" s="1"/>
  <c r="F6" i="4" s="1"/>
  <c r="H283" i="7"/>
  <c r="H267" i="7"/>
  <c r="H261" i="7"/>
  <c r="M95" i="6" s="1"/>
  <c r="H294" i="7"/>
  <c r="H289" i="7"/>
  <c r="M188" i="6" s="1"/>
  <c r="N188" i="6" s="1"/>
  <c r="H281" i="7"/>
  <c r="H287" i="7"/>
  <c r="M187" i="6" s="1"/>
  <c r="N187" i="6" s="1"/>
  <c r="H276" i="7"/>
  <c r="M108" i="6" s="1"/>
  <c r="N108" i="6" s="1"/>
  <c r="H264" i="7"/>
  <c r="M96" i="6" s="1"/>
  <c r="N96" i="6" s="1"/>
  <c r="I15" i="6"/>
  <c r="H279" i="7"/>
  <c r="A14" i="5"/>
  <c r="A13" i="17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M7" i="17"/>
  <c r="N7" i="17" s="1"/>
  <c r="B14" i="5"/>
  <c r="I13" i="5"/>
  <c r="H272" i="7"/>
  <c r="J7" i="17"/>
  <c r="N95" i="6" l="1"/>
  <c r="H377" i="7"/>
  <c r="M222" i="6" s="1"/>
  <c r="N222" i="6" s="1"/>
  <c r="D249" i="6"/>
  <c r="D250" i="6" s="1"/>
  <c r="D251" i="6" s="1"/>
  <c r="D252" i="6" s="1"/>
  <c r="H296" i="7"/>
  <c r="H305" i="7"/>
  <c r="M193" i="6" s="1"/>
  <c r="N193" i="6" s="1"/>
  <c r="H432" i="7"/>
  <c r="M312" i="6" s="1"/>
  <c r="N312" i="6" s="1"/>
  <c r="H310" i="7"/>
  <c r="M192" i="6" s="1"/>
  <c r="N192" i="6" s="1"/>
  <c r="H315" i="7"/>
  <c r="H300" i="7"/>
  <c r="M190" i="6" s="1"/>
  <c r="N190" i="6" s="1"/>
  <c r="C257" i="7"/>
  <c r="A16" i="6"/>
  <c r="M104" i="6"/>
  <c r="N104" i="6" s="1"/>
  <c r="M102" i="6"/>
  <c r="N102" i="6" s="1"/>
  <c r="I14" i="5"/>
  <c r="B15" i="5"/>
  <c r="A49" i="24"/>
  <c r="I17" i="6"/>
  <c r="I16" i="6"/>
  <c r="A15" i="5"/>
  <c r="A16" i="5" s="1"/>
  <c r="M107" i="6"/>
  <c r="N107" i="6" s="1"/>
  <c r="M100" i="6"/>
  <c r="N100" i="6" s="1"/>
  <c r="M98" i="6"/>
  <c r="N98" i="6" s="1"/>
  <c r="M105" i="6"/>
  <c r="N105" i="6" s="1"/>
  <c r="I18" i="6"/>
  <c r="M29" i="5"/>
  <c r="N29" i="5" s="1"/>
  <c r="M125" i="5" s="1"/>
  <c r="F37" i="4"/>
  <c r="N8" i="17"/>
  <c r="O8" i="17" s="1"/>
  <c r="M168" i="6"/>
  <c r="N168" i="6" s="1"/>
  <c r="D253" i="6" l="1"/>
  <c r="I197" i="6"/>
  <c r="H292" i="7"/>
  <c r="M189" i="6" s="1"/>
  <c r="N189" i="6" s="1"/>
  <c r="C258" i="7"/>
  <c r="H325" i="7"/>
  <c r="M197" i="6" s="1"/>
  <c r="N197" i="6" s="1"/>
  <c r="A17" i="6"/>
  <c r="I19" i="6"/>
  <c r="B16" i="5"/>
  <c r="I15" i="5"/>
  <c r="A50" i="24"/>
  <c r="A17" i="5"/>
  <c r="D254" i="6" l="1"/>
  <c r="D255" i="6" s="1"/>
  <c r="D256" i="6" s="1"/>
  <c r="D257" i="6" s="1"/>
  <c r="D258" i="6" s="1"/>
  <c r="D259" i="6" s="1"/>
  <c r="H328" i="7"/>
  <c r="M198" i="6" s="1"/>
  <c r="N198" i="6" s="1"/>
  <c r="I196" i="6"/>
  <c r="H479" i="7"/>
  <c r="N257" i="6" s="1"/>
  <c r="H340" i="7"/>
  <c r="M209" i="6" s="1"/>
  <c r="N209" i="6" s="1"/>
  <c r="H481" i="7"/>
  <c r="H335" i="7"/>
  <c r="M207" i="6" s="1"/>
  <c r="N207" i="6" s="1"/>
  <c r="H331" i="7"/>
  <c r="M195" i="6" s="1"/>
  <c r="N195" i="6" s="1"/>
  <c r="H320" i="7"/>
  <c r="H477" i="7"/>
  <c r="N255" i="6" s="1"/>
  <c r="H463" i="7"/>
  <c r="H467" i="7"/>
  <c r="H471" i="7"/>
  <c r="H457" i="7"/>
  <c r="H459" i="7"/>
  <c r="H473" i="7"/>
  <c r="H461" i="7"/>
  <c r="H469" i="7"/>
  <c r="H485" i="7"/>
  <c r="N256" i="6" s="1"/>
  <c r="H483" i="7"/>
  <c r="H487" i="7"/>
  <c r="N258" i="6" s="1"/>
  <c r="H475" i="7"/>
  <c r="H455" i="7"/>
  <c r="H453" i="7"/>
  <c r="C259" i="7"/>
  <c r="H465" i="7"/>
  <c r="A18" i="6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B17" i="5"/>
  <c r="I16" i="5"/>
  <c r="A51" i="24"/>
  <c r="I20" i="6"/>
  <c r="A18" i="5"/>
  <c r="A173" i="6" l="1"/>
  <c r="I198" i="6"/>
  <c r="C260" i="7"/>
  <c r="H245" i="7" s="1"/>
  <c r="H342" i="7"/>
  <c r="A52" i="24"/>
  <c r="I21" i="6"/>
  <c r="B18" i="5"/>
  <c r="I17" i="5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174" i="6" l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I221" i="6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I22" i="6"/>
  <c r="B19" i="5"/>
  <c r="I18" i="5"/>
  <c r="A53" i="24"/>
  <c r="A54" i="24" s="1"/>
  <c r="A55" i="24" s="1"/>
  <c r="A56" i="24" s="1"/>
  <c r="A57" i="24" s="1"/>
  <c r="A58" i="24" s="1"/>
  <c r="A59" i="24" s="1"/>
  <c r="A60" i="24" s="1"/>
  <c r="A61" i="24" s="1"/>
  <c r="A62" i="24" s="1"/>
  <c r="A63" i="24" s="1"/>
  <c r="A64" i="24" s="1"/>
  <c r="A65" i="24" s="1"/>
  <c r="A66" i="24" s="1"/>
  <c r="O8" i="24" s="1"/>
  <c r="A318" i="6" l="1"/>
  <c r="A319" i="6"/>
  <c r="I222" i="6"/>
  <c r="I23" i="6"/>
  <c r="J7" i="24"/>
  <c r="P8" i="24"/>
  <c r="M8" i="24"/>
  <c r="N8" i="24"/>
  <c r="B20" i="5"/>
  <c r="I19" i="5"/>
  <c r="A320" i="6" l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H422" i="7"/>
  <c r="M249" i="6" s="1"/>
  <c r="N249" i="6" s="1"/>
  <c r="H9" i="7"/>
  <c r="H15" i="7"/>
  <c r="H3" i="7"/>
  <c r="H26" i="7"/>
  <c r="H31" i="7"/>
  <c r="H41" i="7"/>
  <c r="H47" i="7"/>
  <c r="H20" i="7"/>
  <c r="H39" i="7"/>
  <c r="H35" i="7"/>
  <c r="H51" i="7"/>
  <c r="H54" i="7"/>
  <c r="M11" i="6" s="1"/>
  <c r="N11" i="6" s="1"/>
  <c r="B21" i="5"/>
  <c r="I20" i="5"/>
  <c r="H33" i="16"/>
  <c r="M33" i="16" s="1"/>
  <c r="Q8" i="24"/>
  <c r="I24" i="6"/>
  <c r="H420" i="7" l="1"/>
  <c r="M248" i="6" s="1"/>
  <c r="N248" i="6" s="1"/>
  <c r="H386" i="7"/>
  <c r="H398" i="7"/>
  <c r="M227" i="6" s="1"/>
  <c r="N227" i="6" s="1"/>
  <c r="H353" i="7"/>
  <c r="H139" i="7"/>
  <c r="M43" i="6" s="1"/>
  <c r="N43" i="6" s="1"/>
  <c r="H100" i="7"/>
  <c r="H75" i="7"/>
  <c r="M28" i="6" s="1"/>
  <c r="N28" i="6" s="1"/>
  <c r="H390" i="7"/>
  <c r="M228" i="6" s="1"/>
  <c r="N228" i="6" s="1"/>
  <c r="H69" i="7"/>
  <c r="M22" i="6" s="1"/>
  <c r="N22" i="6" s="1"/>
  <c r="H73" i="7"/>
  <c r="M24" i="6" s="1"/>
  <c r="N24" i="6" s="1"/>
  <c r="H176" i="7"/>
  <c r="M58" i="6" s="1"/>
  <c r="N58" i="6" s="1"/>
  <c r="H214" i="7"/>
  <c r="M67" i="6" s="1"/>
  <c r="N67" i="6" s="1"/>
  <c r="H230" i="7"/>
  <c r="M82" i="6" s="1"/>
  <c r="N82" i="6" s="1"/>
  <c r="H129" i="7"/>
  <c r="M41" i="6" s="1"/>
  <c r="N41" i="6" s="1"/>
  <c r="H209" i="7"/>
  <c r="M66" i="6" s="1"/>
  <c r="N66" i="6" s="1"/>
  <c r="H204" i="7"/>
  <c r="M65" i="6" s="1"/>
  <c r="N65" i="6" s="1"/>
  <c r="H165" i="7"/>
  <c r="M55" i="6" s="1"/>
  <c r="N55" i="6" s="1"/>
  <c r="H184" i="7"/>
  <c r="M61" i="6" s="1"/>
  <c r="N61" i="6" s="1"/>
  <c r="H239" i="7"/>
  <c r="M84" i="6" s="1"/>
  <c r="N84" i="6" s="1"/>
  <c r="H79" i="7"/>
  <c r="M29" i="6" s="1"/>
  <c r="N29" i="6" s="1"/>
  <c r="H91" i="7"/>
  <c r="M31" i="6" s="1"/>
  <c r="N31" i="6" s="1"/>
  <c r="H233" i="7"/>
  <c r="M81" i="6" s="1"/>
  <c r="N81" i="6" s="1"/>
  <c r="H199" i="7"/>
  <c r="M64" i="6" s="1"/>
  <c r="N64" i="6" s="1"/>
  <c r="H154" i="7"/>
  <c r="M48" i="6" s="1"/>
  <c r="N48" i="6" s="1"/>
  <c r="H119" i="7"/>
  <c r="M39" i="6" s="1"/>
  <c r="N39" i="6" s="1"/>
  <c r="H438" i="7"/>
  <c r="M316" i="6" s="1"/>
  <c r="N316" i="6" s="1"/>
  <c r="H404" i="7"/>
  <c r="H107" i="7"/>
  <c r="H56" i="7"/>
  <c r="M12" i="6" s="1"/>
  <c r="N12" i="6" s="1"/>
  <c r="H356" i="7"/>
  <c r="M217" i="6" s="1"/>
  <c r="N217" i="6" s="1"/>
  <c r="H372" i="7"/>
  <c r="M221" i="6" s="1"/>
  <c r="N221" i="6" s="1"/>
  <c r="H445" i="7"/>
  <c r="M309" i="6" s="1"/>
  <c r="H170" i="7"/>
  <c r="M56" i="6" s="1"/>
  <c r="N56" i="6" s="1"/>
  <c r="H87" i="7"/>
  <c r="M30" i="6" s="1"/>
  <c r="N30" i="6" s="1"/>
  <c r="H144" i="7"/>
  <c r="M44" i="6" s="1"/>
  <c r="N44" i="6" s="1"/>
  <c r="H251" i="7"/>
  <c r="M88" i="6" s="1"/>
  <c r="N88" i="6" s="1"/>
  <c r="H67" i="7"/>
  <c r="M21" i="6" s="1"/>
  <c r="N21" i="6" s="1"/>
  <c r="N284" i="6"/>
  <c r="H189" i="7"/>
  <c r="M62" i="6" s="1"/>
  <c r="N62" i="6" s="1"/>
  <c r="H83" i="7"/>
  <c r="H219" i="7"/>
  <c r="M69" i="6" s="1"/>
  <c r="N69" i="6" s="1"/>
  <c r="N273" i="6"/>
  <c r="H407" i="7"/>
  <c r="M242" i="6" s="1"/>
  <c r="N242" i="6" s="1"/>
  <c r="N282" i="6"/>
  <c r="H149" i="7"/>
  <c r="M46" i="6" s="1"/>
  <c r="N46" i="6" s="1"/>
  <c r="H242" i="7"/>
  <c r="M86" i="6" s="1"/>
  <c r="N86" i="6" s="1"/>
  <c r="H236" i="7"/>
  <c r="M83" i="6" s="1"/>
  <c r="N83" i="6" s="1"/>
  <c r="N289" i="6"/>
  <c r="N268" i="6"/>
  <c r="N262" i="6"/>
  <c r="H62" i="7"/>
  <c r="M16" i="6" s="1"/>
  <c r="N16" i="6" s="1"/>
  <c r="N277" i="6"/>
  <c r="N264" i="6"/>
  <c r="H440" i="7"/>
  <c r="N320" i="6" s="1"/>
  <c r="N291" i="6"/>
  <c r="N293" i="6"/>
  <c r="H382" i="7"/>
  <c r="M225" i="6" s="1"/>
  <c r="N225" i="6" s="1"/>
  <c r="H346" i="7"/>
  <c r="H416" i="7"/>
  <c r="H367" i="7"/>
  <c r="M220" i="6" s="1"/>
  <c r="N220" i="6" s="1"/>
  <c r="H393" i="7"/>
  <c r="M229" i="6" s="1"/>
  <c r="N229" i="6" s="1"/>
  <c r="H450" i="7"/>
  <c r="M317" i="6" s="1"/>
  <c r="N317" i="6" s="1"/>
  <c r="H124" i="7"/>
  <c r="M40" i="6" s="1"/>
  <c r="N40" i="6" s="1"/>
  <c r="H95" i="7"/>
  <c r="M33" i="6" s="1"/>
  <c r="N33" i="6" s="1"/>
  <c r="H224" i="7"/>
  <c r="M79" i="6" s="1"/>
  <c r="N79" i="6" s="1"/>
  <c r="H442" i="7"/>
  <c r="N314" i="6" s="1"/>
  <c r="H427" i="7"/>
  <c r="N280" i="6"/>
  <c r="H362" i="7"/>
  <c r="M219" i="6" s="1"/>
  <c r="N219" i="6" s="1"/>
  <c r="N270" i="6"/>
  <c r="H58" i="7"/>
  <c r="M14" i="6" s="1"/>
  <c r="N14" i="6" s="1"/>
  <c r="H64" i="7"/>
  <c r="M17" i="6" s="1"/>
  <c r="N17" i="6" s="1"/>
  <c r="H134" i="7"/>
  <c r="M42" i="6" s="1"/>
  <c r="N42" i="6" s="1"/>
  <c r="H247" i="7"/>
  <c r="M87" i="6" s="1"/>
  <c r="N87" i="6" s="1"/>
  <c r="H418" i="7"/>
  <c r="M246" i="6" s="1"/>
  <c r="N246" i="6" s="1"/>
  <c r="N278" i="6"/>
  <c r="H114" i="7"/>
  <c r="N279" i="6"/>
  <c r="H359" i="7"/>
  <c r="M224" i="6" s="1"/>
  <c r="N224" i="6" s="1"/>
  <c r="H160" i="7"/>
  <c r="M54" i="6" s="1"/>
  <c r="N54" i="6" s="1"/>
  <c r="H71" i="7"/>
  <c r="M23" i="6" s="1"/>
  <c r="N23" i="6" s="1"/>
  <c r="H194" i="7"/>
  <c r="M63" i="6" s="1"/>
  <c r="N63" i="6" s="1"/>
  <c r="H425" i="7"/>
  <c r="M250" i="6" s="1"/>
  <c r="N250" i="6" s="1"/>
  <c r="H448" i="7"/>
  <c r="M311" i="6" s="1"/>
  <c r="N311" i="6" s="1"/>
  <c r="I25" i="6"/>
  <c r="M121" i="6"/>
  <c r="Q12" i="24"/>
  <c r="R12" i="24" s="1"/>
  <c r="D33" i="16"/>
  <c r="E33" i="16" s="1"/>
  <c r="N33" i="16"/>
  <c r="N34" i="16" s="1"/>
  <c r="I21" i="5"/>
  <c r="B22" i="5"/>
  <c r="N309" i="6" l="1"/>
  <c r="M251" i="6"/>
  <c r="N251" i="6" s="1"/>
  <c r="M318" i="6"/>
  <c r="N318" i="6" s="1"/>
  <c r="H411" i="7"/>
  <c r="M243" i="6" s="1"/>
  <c r="N243" i="6" s="1"/>
  <c r="H413" i="7"/>
  <c r="M244" i="6" s="1"/>
  <c r="N244" i="6" s="1"/>
  <c r="M245" i="6"/>
  <c r="N245" i="6" s="1"/>
  <c r="M240" i="6"/>
  <c r="N240" i="6" s="1"/>
  <c r="I225" i="6"/>
  <c r="H350" i="7"/>
  <c r="M215" i="6" s="1"/>
  <c r="N215" i="6" s="1"/>
  <c r="M216" i="6"/>
  <c r="N216" i="6" s="1"/>
  <c r="H227" i="7"/>
  <c r="M80" i="6" s="1"/>
  <c r="N80" i="6" s="1"/>
  <c r="M36" i="6"/>
  <c r="N36" i="6" s="1"/>
  <c r="M38" i="6"/>
  <c r="N38" i="6" s="1"/>
  <c r="B23" i="5"/>
  <c r="I22" i="5"/>
  <c r="N121" i="6"/>
  <c r="I26" i="6"/>
  <c r="M347" i="6" l="1"/>
  <c r="N347" i="6" s="1"/>
  <c r="M351" i="6" s="1"/>
  <c r="I227" i="6"/>
  <c r="I226" i="6"/>
  <c r="I27" i="6"/>
  <c r="I23" i="5"/>
  <c r="B24" i="5"/>
  <c r="I228" i="6" l="1"/>
  <c r="B25" i="5"/>
  <c r="I24" i="5"/>
  <c r="I28" i="6"/>
  <c r="I229" i="6" l="1"/>
  <c r="I29" i="6"/>
  <c r="B26" i="5"/>
  <c r="I25" i="5"/>
  <c r="I26" i="5" l="1"/>
  <c r="B27" i="5"/>
  <c r="I30" i="6"/>
  <c r="I31" i="6" l="1"/>
  <c r="I27" i="5"/>
  <c r="B28" i="5"/>
  <c r="I235" i="6" l="1"/>
  <c r="B29" i="5"/>
  <c r="I28" i="5"/>
  <c r="I32" i="6"/>
  <c r="I236" i="6" l="1"/>
  <c r="I33" i="6"/>
  <c r="I29" i="5"/>
  <c r="B30" i="5"/>
  <c r="B31" i="5" l="1"/>
  <c r="I30" i="5"/>
  <c r="I34" i="6"/>
  <c r="I239" i="6" l="1"/>
  <c r="I35" i="6"/>
  <c r="B32" i="5"/>
  <c r="I31" i="5"/>
  <c r="I240" i="6" l="1"/>
  <c r="I32" i="5"/>
  <c r="B33" i="5"/>
  <c r="I36" i="6"/>
  <c r="I242" i="6" l="1"/>
  <c r="I37" i="6"/>
  <c r="B34" i="5"/>
  <c r="I33" i="5"/>
  <c r="I243" i="6" l="1"/>
  <c r="I244" i="6"/>
  <c r="B35" i="5"/>
  <c r="I34" i="5"/>
  <c r="I38" i="6"/>
  <c r="I39" i="6" l="1"/>
  <c r="I35" i="5"/>
  <c r="B36" i="5"/>
  <c r="I36" i="5" l="1"/>
  <c r="B37" i="5"/>
  <c r="I40" i="6"/>
  <c r="I248" i="6" l="1"/>
  <c r="I249" i="6"/>
  <c r="I41" i="6"/>
  <c r="I37" i="5"/>
  <c r="B38" i="5"/>
  <c r="I38" i="5" l="1"/>
  <c r="B39" i="5"/>
  <c r="I42" i="6"/>
  <c r="I43" i="6" l="1"/>
  <c r="I39" i="5"/>
  <c r="B40" i="5"/>
  <c r="I253" i="6" l="1"/>
  <c r="I254" i="6"/>
  <c r="I40" i="5"/>
  <c r="B41" i="5"/>
  <c r="I44" i="6"/>
  <c r="B42" i="5" l="1"/>
  <c r="I41" i="5"/>
  <c r="I45" i="6"/>
  <c r="I46" i="6" l="1"/>
  <c r="B43" i="5"/>
  <c r="I42" i="5"/>
  <c r="I265" i="6" l="1"/>
  <c r="B44" i="5"/>
  <c r="I43" i="5"/>
  <c r="I47" i="6"/>
  <c r="I266" i="6" l="1"/>
  <c r="I48" i="6"/>
  <c r="B45" i="5"/>
  <c r="I44" i="5"/>
  <c r="I271" i="6" l="1"/>
  <c r="I45" i="5"/>
  <c r="B46" i="5"/>
  <c r="I49" i="6"/>
  <c r="I50" i="6" l="1"/>
  <c r="B47" i="5"/>
  <c r="I46" i="5"/>
  <c r="I274" i="6" l="1"/>
  <c r="B48" i="5"/>
  <c r="I47" i="5"/>
  <c r="I51" i="6"/>
  <c r="I52" i="6" l="1"/>
  <c r="I48" i="5"/>
  <c r="B49" i="5"/>
  <c r="I49" i="5" l="1"/>
  <c r="B50" i="5"/>
  <c r="I53" i="6"/>
  <c r="I54" i="6" l="1"/>
  <c r="B51" i="5"/>
  <c r="I50" i="5"/>
  <c r="I51" i="5" l="1"/>
  <c r="B52" i="5"/>
  <c r="I55" i="6"/>
  <c r="I56" i="6" l="1"/>
  <c r="I52" i="5"/>
  <c r="B53" i="5"/>
  <c r="B54" i="5" l="1"/>
  <c r="I53" i="5"/>
  <c r="I57" i="6"/>
  <c r="I58" i="6" l="1"/>
  <c r="I54" i="5"/>
  <c r="B55" i="5"/>
  <c r="I55" i="5" l="1"/>
  <c r="B56" i="5"/>
  <c r="I59" i="6"/>
  <c r="I312" i="6" l="1"/>
  <c r="I60" i="6"/>
  <c r="I56" i="5"/>
  <c r="B57" i="5"/>
  <c r="B58" i="5" l="1"/>
  <c r="I57" i="5"/>
  <c r="N239" i="6" l="1"/>
  <c r="I61" i="6"/>
  <c r="B59" i="5"/>
  <c r="I58" i="5"/>
  <c r="N196" i="6" l="1"/>
  <c r="N226" i="6"/>
  <c r="B60" i="5"/>
  <c r="I59" i="5"/>
  <c r="I62" i="6"/>
  <c r="I63" i="6" l="1"/>
  <c r="B61" i="5"/>
  <c r="I60" i="5"/>
  <c r="B62" i="5" l="1"/>
  <c r="I61" i="5"/>
  <c r="I64" i="6"/>
  <c r="I65" i="6" l="1"/>
  <c r="B63" i="5"/>
  <c r="I62" i="5"/>
  <c r="B64" i="5" l="1"/>
  <c r="I63" i="5"/>
  <c r="I66" i="6"/>
  <c r="I67" i="6" l="1"/>
  <c r="B65" i="5"/>
  <c r="I64" i="5"/>
  <c r="B66" i="5" l="1"/>
  <c r="I65" i="5"/>
  <c r="I68" i="6" l="1"/>
  <c r="I66" i="5"/>
  <c r="B67" i="5"/>
  <c r="I69" i="6" l="1"/>
  <c r="I67" i="5"/>
  <c r="B68" i="5"/>
  <c r="I68" i="5" l="1"/>
  <c r="B69" i="5"/>
  <c r="I70" i="6"/>
  <c r="I71" i="6" l="1"/>
  <c r="B70" i="5"/>
  <c r="I69" i="5"/>
  <c r="B71" i="5" l="1"/>
  <c r="I70" i="5"/>
  <c r="I73" i="6"/>
  <c r="I74" i="6" l="1"/>
  <c r="B72" i="5"/>
  <c r="I71" i="5"/>
  <c r="I72" i="5" l="1"/>
  <c r="B73" i="5"/>
  <c r="I75" i="6"/>
  <c r="I76" i="6" l="1"/>
  <c r="B74" i="5"/>
  <c r="I73" i="5"/>
  <c r="B75" i="5" l="1"/>
  <c r="I74" i="5"/>
  <c r="I77" i="6"/>
  <c r="I78" i="6" l="1"/>
  <c r="I75" i="5"/>
  <c r="B76" i="5"/>
  <c r="I76" i="5" l="1"/>
  <c r="B77" i="5"/>
  <c r="I79" i="6"/>
  <c r="I80" i="6" l="1"/>
  <c r="I77" i="5"/>
  <c r="B78" i="5"/>
  <c r="B79" i="5" l="1"/>
  <c r="I78" i="5"/>
  <c r="I81" i="6"/>
  <c r="I82" i="6" l="1"/>
  <c r="B80" i="5"/>
  <c r="I79" i="5"/>
  <c r="I80" i="5" l="1"/>
  <c r="B81" i="5"/>
  <c r="I83" i="6"/>
  <c r="I81" i="5" l="1"/>
  <c r="B82" i="5"/>
  <c r="I84" i="6"/>
  <c r="B83" i="5" l="1"/>
  <c r="I82" i="5"/>
  <c r="I85" i="6"/>
  <c r="I86" i="6" l="1"/>
  <c r="I83" i="5"/>
  <c r="B84" i="5"/>
  <c r="B85" i="5" l="1"/>
  <c r="I84" i="5"/>
  <c r="I87" i="6"/>
  <c r="I88" i="6" l="1"/>
  <c r="I85" i="5"/>
  <c r="B86" i="5"/>
  <c r="B87" i="5" l="1"/>
  <c r="I86" i="5"/>
  <c r="I90" i="6"/>
  <c r="I91" i="6" l="1"/>
  <c r="I87" i="5"/>
  <c r="B88" i="5"/>
  <c r="B89" i="5" l="1"/>
  <c r="I88" i="5"/>
  <c r="I92" i="6"/>
  <c r="I93" i="6" l="1"/>
  <c r="I89" i="5"/>
  <c r="B90" i="5"/>
  <c r="B91" i="5" l="1"/>
  <c r="I90" i="5"/>
  <c r="I94" i="6"/>
  <c r="I95" i="6" l="1"/>
  <c r="B92" i="5"/>
  <c r="I91" i="5"/>
  <c r="B93" i="5" l="1"/>
  <c r="I92" i="5"/>
  <c r="I96" i="6"/>
  <c r="I97" i="6" l="1"/>
  <c r="B94" i="5"/>
  <c r="I93" i="5"/>
  <c r="B95" i="5" l="1"/>
  <c r="I94" i="5"/>
  <c r="I98" i="6"/>
  <c r="I99" i="6" l="1"/>
  <c r="B96" i="5"/>
  <c r="I95" i="5"/>
  <c r="I96" i="5" l="1"/>
  <c r="B97" i="5"/>
  <c r="I100" i="6"/>
  <c r="B98" i="5" l="1"/>
  <c r="I97" i="5"/>
  <c r="B99" i="5" l="1"/>
  <c r="I98" i="5"/>
  <c r="I101" i="6" l="1"/>
  <c r="I99" i="5"/>
  <c r="B100" i="5"/>
  <c r="B101" i="5" l="1"/>
  <c r="I100" i="5"/>
  <c r="I102" i="6"/>
  <c r="B102" i="5" l="1"/>
  <c r="I101" i="5"/>
  <c r="I102" i="5" l="1"/>
  <c r="B103" i="5"/>
  <c r="B104" i="5" l="1"/>
  <c r="I103" i="5"/>
  <c r="B105" i="5" l="1"/>
  <c r="I104" i="5"/>
  <c r="B106" i="5" l="1"/>
  <c r="I105" i="5"/>
  <c r="I103" i="6"/>
  <c r="I104" i="6" l="1"/>
  <c r="B107" i="5"/>
  <c r="I106" i="5"/>
  <c r="I107" i="5" l="1"/>
  <c r="B108" i="5"/>
  <c r="I105" i="6"/>
  <c r="I108" i="5" l="1"/>
  <c r="B109" i="5"/>
  <c r="I106" i="6"/>
  <c r="I107" i="6" l="1"/>
  <c r="B110" i="5"/>
  <c r="I109" i="5"/>
  <c r="B111" i="5" l="1"/>
  <c r="I110" i="5"/>
  <c r="I108" i="6"/>
  <c r="I111" i="5" l="1"/>
  <c r="B112" i="5"/>
  <c r="B113" i="5" l="1"/>
  <c r="I112" i="5"/>
  <c r="I109" i="6"/>
  <c r="I110" i="6" l="1"/>
  <c r="B114" i="5"/>
  <c r="I113" i="5"/>
  <c r="B115" i="5" l="1"/>
  <c r="I114" i="5"/>
  <c r="I111" i="6"/>
  <c r="I112" i="6" l="1"/>
  <c r="B116" i="5"/>
  <c r="I115" i="5"/>
  <c r="B117" i="5" l="1"/>
  <c r="I116" i="5"/>
  <c r="I113" i="6"/>
  <c r="I114" i="6" l="1"/>
  <c r="B118" i="5"/>
  <c r="I117" i="5"/>
  <c r="I118" i="5" l="1"/>
  <c r="B119" i="5"/>
  <c r="I115" i="6"/>
  <c r="I116" i="6" l="1"/>
  <c r="B120" i="5"/>
  <c r="I119" i="5"/>
  <c r="B121" i="5" l="1"/>
  <c r="I120" i="5"/>
  <c r="I117" i="6"/>
  <c r="I118" i="6" l="1"/>
  <c r="B122" i="5"/>
  <c r="B123" i="5" l="1"/>
  <c r="I119" i="6"/>
  <c r="I120" i="6" l="1"/>
  <c r="B124" i="5"/>
  <c r="B125" i="5" l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I121" i="6"/>
  <c r="I122" i="6" l="1"/>
  <c r="N118" i="5"/>
  <c r="B419" i="5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N10" i="5"/>
  <c r="N8" i="5"/>
  <c r="N9" i="5"/>
  <c r="N13" i="5"/>
  <c r="N24" i="5"/>
  <c r="N28" i="5"/>
  <c r="N36" i="5"/>
  <c r="N37" i="5"/>
  <c r="N49" i="5"/>
  <c r="N53" i="5"/>
  <c r="N54" i="5"/>
  <c r="N55" i="5"/>
  <c r="N58" i="5"/>
  <c r="N69" i="5"/>
  <c r="N73" i="5"/>
  <c r="N75" i="5"/>
  <c r="N76" i="5"/>
  <c r="N79" i="5"/>
  <c r="N82" i="5"/>
  <c r="N95" i="5"/>
  <c r="N98" i="5"/>
  <c r="N101" i="5"/>
  <c r="N102" i="5"/>
  <c r="N103" i="5"/>
  <c r="N115" i="5"/>
  <c r="N121" i="5" l="1"/>
  <c r="C35" i="1" s="1"/>
  <c r="M122" i="5"/>
  <c r="M123" i="5"/>
  <c r="M124" i="5"/>
  <c r="I123" i="6"/>
  <c r="M126" i="5" l="1"/>
  <c r="E35" i="1"/>
  <c r="I124" i="6"/>
  <c r="I125" i="6" l="1"/>
  <c r="I126" i="6" l="1"/>
  <c r="I127" i="6" l="1"/>
  <c r="I128" i="6" l="1"/>
  <c r="I129" i="6" l="1"/>
  <c r="I130" i="6" l="1"/>
  <c r="I131" i="6" l="1"/>
  <c r="I132" i="6" l="1"/>
  <c r="I133" i="6" l="1"/>
  <c r="I134" i="6" l="1"/>
  <c r="I135" i="6" l="1"/>
  <c r="I136" i="6" l="1"/>
  <c r="I137" i="6" l="1"/>
  <c r="I138" i="6" l="1"/>
  <c r="I139" i="6" l="1"/>
  <c r="I140" i="6" l="1"/>
  <c r="I141" i="6" l="1"/>
  <c r="I142" i="6" l="1"/>
  <c r="I143" i="6" l="1"/>
  <c r="I144" i="6" l="1"/>
  <c r="I145" i="6" l="1"/>
  <c r="I146" i="6" l="1"/>
  <c r="I147" i="6" l="1"/>
  <c r="I148" i="6" l="1"/>
  <c r="I149" i="6" l="1"/>
  <c r="I150" i="6" l="1"/>
  <c r="I151" i="6" l="1"/>
  <c r="I152" i="6" l="1"/>
  <c r="I153" i="6" l="1"/>
  <c r="I154" i="6" l="1"/>
  <c r="I155" i="6" l="1"/>
  <c r="I156" i="6" l="1"/>
  <c r="I157" i="6" l="1"/>
  <c r="I158" i="6" l="1"/>
  <c r="I159" i="6" l="1"/>
  <c r="I160" i="6" l="1"/>
  <c r="I161" i="6" l="1"/>
  <c r="I162" i="6" l="1"/>
  <c r="I163" i="6" l="1"/>
  <c r="I164" i="6" l="1"/>
  <c r="I165" i="6" l="1"/>
  <c r="I166" i="6" l="1"/>
  <c r="I167" i="6" l="1"/>
  <c r="I168" i="6" l="1"/>
  <c r="I169" i="6" l="1"/>
  <c r="I170" i="6" l="1"/>
  <c r="I171" i="6" l="1"/>
  <c r="I172" i="6" l="1"/>
  <c r="I173" i="6" l="1"/>
  <c r="I174" i="6" l="1"/>
  <c r="I175" i="6" l="1"/>
  <c r="I176" i="6" l="1"/>
  <c r="I177" i="6" l="1"/>
  <c r="I178" i="6" l="1"/>
  <c r="I179" i="6" l="1"/>
  <c r="I180" i="6" l="1"/>
  <c r="I182" i="6" l="1"/>
  <c r="I183" i="6" l="1"/>
  <c r="I184" i="6" l="1"/>
  <c r="I185" i="6" l="1"/>
  <c r="I186" i="6" l="1"/>
  <c r="I187" i="6" l="1"/>
  <c r="I188" i="6" l="1"/>
  <c r="I189" i="6" l="1"/>
  <c r="I190" i="6" l="1"/>
  <c r="I191" i="6" l="1"/>
  <c r="I192" i="6" l="1"/>
  <c r="I193" i="6" l="1"/>
  <c r="I194" i="6" l="1"/>
  <c r="I195" i="6" l="1"/>
  <c r="I199" i="6" l="1"/>
  <c r="I200" i="6" l="1"/>
  <c r="I201" i="6" l="1"/>
  <c r="I202" i="6" l="1"/>
  <c r="I203" i="6" l="1"/>
  <c r="I204" i="6" l="1"/>
  <c r="I205" i="6" l="1"/>
  <c r="I206" i="6" l="1"/>
  <c r="I207" i="6" l="1"/>
  <c r="I208" i="6" l="1"/>
  <c r="I209" i="6" l="1"/>
  <c r="I210" i="6" l="1"/>
  <c r="I211" i="6" l="1"/>
  <c r="I212" i="6" l="1"/>
  <c r="I213" i="6" l="1"/>
  <c r="I214" i="6" l="1"/>
  <c r="I215" i="6" l="1"/>
  <c r="I216" i="6" l="1"/>
  <c r="I217" i="6" l="1"/>
  <c r="I218" i="6" l="1"/>
  <c r="I219" i="6" l="1"/>
  <c r="I220" i="6" l="1"/>
  <c r="I223" i="6" l="1"/>
  <c r="I224" i="6" l="1"/>
  <c r="I230" i="6" l="1"/>
  <c r="I231" i="6" l="1"/>
  <c r="I232" i="6" l="1"/>
  <c r="I233" i="6" l="1"/>
  <c r="I234" i="6" l="1"/>
  <c r="I237" i="6" l="1"/>
  <c r="I238" i="6" l="1"/>
  <c r="I241" i="6" l="1"/>
  <c r="I245" i="6" l="1"/>
  <c r="I246" i="6" l="1"/>
  <c r="I247" i="6" l="1"/>
  <c r="I250" i="6" l="1"/>
  <c r="I251" i="6" l="1"/>
  <c r="I252" i="6" l="1"/>
  <c r="I255" i="6" l="1"/>
  <c r="I256" i="6" l="1"/>
  <c r="I257" i="6" l="1"/>
  <c r="I258" i="6" l="1"/>
  <c r="I259" i="6" l="1"/>
  <c r="I260" i="6" l="1"/>
  <c r="I261" i="6" l="1"/>
  <c r="I262" i="6" l="1"/>
  <c r="I263" i="6" l="1"/>
  <c r="I264" i="6" l="1"/>
  <c r="I267" i="6" l="1"/>
  <c r="I268" i="6" l="1"/>
  <c r="I269" i="6" l="1"/>
  <c r="I270" i="6" l="1"/>
  <c r="I272" i="6" l="1"/>
  <c r="I273" i="6" l="1"/>
  <c r="I275" i="6" l="1"/>
  <c r="I276" i="6" l="1"/>
  <c r="I277" i="6" l="1"/>
  <c r="I278" i="6" l="1"/>
  <c r="I279" i="6" l="1"/>
  <c r="I280" i="6" l="1"/>
  <c r="I281" i="6" l="1"/>
  <c r="I282" i="6" l="1"/>
  <c r="I283" i="6" l="1"/>
  <c r="I284" i="6" l="1"/>
  <c r="I285" i="6" l="1"/>
  <c r="I286" i="6" l="1"/>
  <c r="I287" i="6" l="1"/>
  <c r="I288" i="6" l="1"/>
  <c r="I289" i="6" l="1"/>
  <c r="I290" i="6" l="1"/>
  <c r="I291" i="6" l="1"/>
  <c r="I292" i="6" l="1"/>
  <c r="I293" i="6" l="1"/>
  <c r="I294" i="6" l="1"/>
  <c r="I295" i="6" l="1"/>
  <c r="I296" i="6" l="1"/>
  <c r="I297" i="6" l="1"/>
  <c r="I298" i="6" l="1"/>
  <c r="I299" i="6" l="1"/>
  <c r="I300" i="6" l="1"/>
  <c r="I301" i="6" l="1"/>
  <c r="I302" i="6" l="1"/>
  <c r="I303" i="6" l="1"/>
  <c r="I304" i="6" l="1"/>
  <c r="I305" i="6" l="1"/>
  <c r="I306" i="6" l="1"/>
  <c r="I307" i="6" l="1"/>
  <c r="I308" i="6" l="1"/>
  <c r="I309" i="6" l="1"/>
  <c r="I310" i="6" l="1"/>
  <c r="I311" i="6" l="1"/>
  <c r="I313" i="6" l="1"/>
  <c r="I314" i="6" l="1"/>
  <c r="I315" i="6" l="1"/>
  <c r="I316" i="6" l="1"/>
  <c r="I317" i="6" l="1"/>
  <c r="I319" i="6" l="1"/>
  <c r="I320" i="6" l="1"/>
  <c r="I321" i="6" l="1"/>
  <c r="I322" i="6" l="1"/>
  <c r="I323" i="6" l="1"/>
  <c r="I324" i="6" l="1"/>
  <c r="I325" i="6" l="1"/>
  <c r="I326" i="6" l="1"/>
  <c r="I327" i="6" l="1"/>
  <c r="I328" i="6" l="1"/>
  <c r="I329" i="6" l="1"/>
  <c r="I330" i="6" l="1"/>
  <c r="I331" i="6" l="1"/>
  <c r="I332" i="6" l="1"/>
  <c r="I333" i="6" l="1"/>
  <c r="I334" i="6" l="1"/>
  <c r="I335" i="6" l="1"/>
  <c r="I336" i="6" l="1"/>
  <c r="I337" i="6" l="1"/>
  <c r="I338" i="6" l="1"/>
  <c r="I339" i="6" l="1"/>
  <c r="I340" i="6" l="1"/>
  <c r="I341" i="6" l="1"/>
  <c r="I342" i="6" l="1"/>
  <c r="I343" i="6" l="1"/>
  <c r="I344" i="6" l="1"/>
  <c r="I345" i="6" l="1"/>
  <c r="I346" i="6" l="1"/>
  <c r="I347" i="6" l="1"/>
  <c r="N345" i="6" l="1"/>
  <c r="N20" i="6" l="1"/>
  <c r="N13" i="6"/>
  <c r="N18" i="6"/>
  <c r="C37" i="1" s="1"/>
  <c r="N15" i="6"/>
  <c r="N19" i="6"/>
  <c r="N10" i="6"/>
  <c r="N8" i="6"/>
  <c r="N9" i="6"/>
  <c r="N27" i="6"/>
  <c r="N32" i="6"/>
  <c r="N34" i="6"/>
  <c r="N35" i="6"/>
  <c r="N37" i="6"/>
  <c r="N47" i="6"/>
  <c r="N49" i="6"/>
  <c r="N51" i="6"/>
  <c r="C38" i="1" s="1"/>
  <c r="N53" i="6"/>
  <c r="N52" i="6"/>
  <c r="N60" i="6"/>
  <c r="N68" i="6"/>
  <c r="N70" i="6"/>
  <c r="N74" i="6"/>
  <c r="N76" i="6"/>
  <c r="C39" i="1" s="1"/>
  <c r="N77" i="6"/>
  <c r="N78" i="6"/>
  <c r="N85" i="6"/>
  <c r="N90" i="6"/>
  <c r="N92" i="6"/>
  <c r="C40" i="1" s="1"/>
  <c r="N93" i="6"/>
  <c r="N94" i="6"/>
  <c r="N97" i="6"/>
  <c r="N99" i="6"/>
  <c r="N101" i="6"/>
  <c r="N103" i="6"/>
  <c r="N106" i="6"/>
  <c r="N109" i="6"/>
  <c r="N116" i="6"/>
  <c r="O116" i="6" s="1"/>
  <c r="N117" i="6"/>
  <c r="N118" i="6"/>
  <c r="N120" i="6"/>
  <c r="N122" i="6"/>
  <c r="N124" i="6"/>
  <c r="N126" i="6"/>
  <c r="N128" i="6"/>
  <c r="O128" i="6" s="1"/>
  <c r="N129" i="6"/>
  <c r="N130" i="6"/>
  <c r="N132" i="6"/>
  <c r="N134" i="6"/>
  <c r="N136" i="6"/>
  <c r="N138" i="6"/>
  <c r="N140" i="6"/>
  <c r="N142" i="6"/>
  <c r="N144" i="6"/>
  <c r="O144" i="6" s="1"/>
  <c r="N145" i="6"/>
  <c r="N146" i="6"/>
  <c r="N148" i="6"/>
  <c r="N150" i="6"/>
  <c r="N152" i="6"/>
  <c r="N154" i="6"/>
  <c r="N156" i="6"/>
  <c r="O156" i="6" s="1"/>
  <c r="N157" i="6"/>
  <c r="N158" i="6"/>
  <c r="N160" i="6"/>
  <c r="N162" i="6"/>
  <c r="O162" i="6" s="1"/>
  <c r="N163" i="6"/>
  <c r="N164" i="6"/>
  <c r="N169" i="6"/>
  <c r="O169" i="6" s="1"/>
  <c r="N170" i="6"/>
  <c r="N171" i="6"/>
  <c r="N174" i="6"/>
  <c r="N176" i="6"/>
  <c r="N177" i="6"/>
  <c r="N178" i="6"/>
  <c r="N182" i="6"/>
  <c r="N184" i="6"/>
  <c r="C44" i="1" s="1"/>
  <c r="N185" i="6"/>
  <c r="N186" i="6"/>
  <c r="N191" i="6"/>
  <c r="N194" i="6"/>
  <c r="N199" i="6"/>
  <c r="N204" i="6"/>
  <c r="C45" i="1" s="1"/>
  <c r="N205" i="6"/>
  <c r="N206" i="6"/>
  <c r="N208" i="6"/>
  <c r="N210" i="6"/>
  <c r="N212" i="6"/>
  <c r="C46" i="1" s="1"/>
  <c r="N213" i="6"/>
  <c r="N214" i="6"/>
  <c r="N218" i="6"/>
  <c r="N223" i="6"/>
  <c r="N230" i="6"/>
  <c r="N237" i="6"/>
  <c r="C47" i="1" s="1"/>
  <c r="N238" i="6"/>
  <c r="N241" i="6"/>
  <c r="N247" i="6"/>
  <c r="N252" i="6"/>
  <c r="N259" i="6"/>
  <c r="C48" i="1" s="1"/>
  <c r="N260" i="6"/>
  <c r="N261" i="6"/>
  <c r="N263" i="6"/>
  <c r="N267" i="6"/>
  <c r="N269" i="6"/>
  <c r="N272" i="6"/>
  <c r="N275" i="6"/>
  <c r="N276" i="6"/>
  <c r="N281" i="6"/>
  <c r="N283" i="6"/>
  <c r="N285" i="6"/>
  <c r="N287" i="6"/>
  <c r="N288" i="6"/>
  <c r="N290" i="6"/>
  <c r="N292" i="6"/>
  <c r="N294" i="6"/>
  <c r="N296" i="6"/>
  <c r="N297" i="6"/>
  <c r="N298" i="6"/>
  <c r="N300" i="6"/>
  <c r="N302" i="6"/>
  <c r="N304" i="6"/>
  <c r="N306" i="6"/>
  <c r="C50" i="1" s="1"/>
  <c r="N307" i="6"/>
  <c r="N308" i="6"/>
  <c r="N313" i="6"/>
  <c r="N315" i="6"/>
  <c r="N319" i="6"/>
  <c r="N322" i="6"/>
  <c r="N326" i="6"/>
  <c r="C51" i="1" s="1"/>
  <c r="N327" i="6"/>
  <c r="N328" i="6"/>
  <c r="N332" i="6"/>
  <c r="N333" i="6"/>
  <c r="N335" i="6"/>
  <c r="N337" i="6"/>
  <c r="N339" i="6"/>
  <c r="N346" i="6"/>
  <c r="N342" i="6"/>
  <c r="N344" i="6"/>
  <c r="C52" i="1" s="1"/>
  <c r="C43" i="1" l="1"/>
  <c r="O176" i="6"/>
  <c r="C49" i="1"/>
  <c r="O296" i="6"/>
  <c r="C42" i="1"/>
  <c r="E52" i="1"/>
  <c r="E44" i="1"/>
  <c r="E50" i="1"/>
  <c r="M349" i="6"/>
  <c r="E46" i="1"/>
  <c r="E39" i="1"/>
  <c r="M348" i="6"/>
  <c r="C36" i="1"/>
  <c r="M350" i="6"/>
  <c r="C41" i="1"/>
  <c r="E37" i="1"/>
  <c r="E40" i="1"/>
  <c r="E48" i="1"/>
  <c r="E51" i="1"/>
  <c r="E45" i="1"/>
  <c r="E47" i="1"/>
  <c r="E38" i="1"/>
  <c r="E43" i="1" l="1"/>
  <c r="E42" i="1"/>
  <c r="E49" i="1"/>
  <c r="E41" i="1"/>
  <c r="E36" i="1"/>
  <c r="C53" i="1"/>
  <c r="E53" i="1" l="1"/>
  <c r="E54" i="1" s="1"/>
  <c r="M352" i="6"/>
  <c r="D35" i="1"/>
  <c r="D52" i="1"/>
  <c r="D42" i="1"/>
  <c r="D49" i="1"/>
  <c r="D38" i="1"/>
  <c r="D44" i="1"/>
  <c r="D37" i="1"/>
  <c r="D50" i="1"/>
  <c r="D48" i="1"/>
  <c r="D43" i="1"/>
  <c r="D40" i="1"/>
  <c r="D39" i="1"/>
  <c r="D45" i="1"/>
  <c r="D47" i="1"/>
  <c r="D46" i="1"/>
  <c r="D51" i="1"/>
  <c r="Q8" i="6"/>
  <c r="D36" i="1"/>
  <c r="D41" i="1"/>
  <c r="D5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6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ID#AAABqerRBMY
Valquiria Vansquelhe    (2025-09-02 14:23:53)
ALTURA DOS 3 ULTIMOS PAVS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8t+2gu/1+FcydaazCpYKVRrq6M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64" authorId="0" shapeId="0" xr:uid="{00000000-0006-0000-0A00-000004000000}">
      <text>
        <r>
          <rPr>
            <sz val="10"/>
            <color rgb="FF000000"/>
            <rFont val="Arial"/>
            <scheme val="minor"/>
          </rPr>
          <t>======
ID#AAABqerRBL4
Win10    (2025-09-02 14:23:53)
Forma  retangular + triangular</t>
        </r>
      </text>
    </comment>
    <comment ref="T64" authorId="0" shapeId="0" xr:uid="{00000000-0006-0000-0A00-000002000000}">
      <text>
        <r>
          <rPr>
            <sz val="10"/>
            <color rgb="FF000000"/>
            <rFont val="Arial"/>
            <scheme val="minor"/>
          </rPr>
          <t>======
ID#AAABqerRBMg
Win10    (2025-09-02 14:23:53)
Concreto retangular + triangular</t>
        </r>
      </text>
    </comment>
    <comment ref="S71" authorId="0" shapeId="0" xr:uid="{00000000-0006-0000-0A00-000003000000}">
      <text>
        <r>
          <rPr>
            <sz val="10"/>
            <color rgb="FF000000"/>
            <rFont val="Arial"/>
            <scheme val="minor"/>
          </rPr>
          <t>======
ID#AAABqerRBMQ
Laura Freo    (2025-09-02 14:23:53)
INCLUSO PESCOÇO DA SAPATA</t>
        </r>
      </text>
    </comment>
    <comment ref="S114" authorId="0" shapeId="0" xr:uid="{00000000-0006-0000-0A00-000001000000}">
      <text>
        <r>
          <rPr>
            <sz val="10"/>
            <color rgb="FF000000"/>
            <rFont val="Arial"/>
            <scheme val="minor"/>
          </rPr>
          <t>======
ID#AAABqerRBMk
Laura Freo    (2025-09-02 14:23:53)
INCLUSO PESCOÇO DA SAPATA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0w7/cugi0Ui98pX3bBQKp1ew2H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44" authorId="0" shapeId="0" xr:uid="{00000000-0006-0000-0B00-000001000000}">
      <text>
        <r>
          <rPr>
            <sz val="10"/>
            <color rgb="FF000000"/>
            <rFont val="Arial"/>
            <scheme val="minor"/>
          </rPr>
          <t>======
ID#AAABqerRBMI
Win10    (2025-09-02 14:23:53)
Volume de concreto e forma está por baixo da logo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CCcLC3F8LNinnLtCOwQv2HlNb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8" authorId="0" shapeId="0" xr:uid="{00000000-0006-0000-0C00-000001000000}">
      <text>
        <r>
          <rPr>
            <sz val="10"/>
            <color rgb="FF000000"/>
            <rFont val="Arial"/>
            <scheme val="minor"/>
          </rPr>
          <t>======
ID#AAABqerRBMU
Win10    (2025-09-02 14:23:53)
Informação vem do quadro de áreas</t>
        </r>
      </text>
    </comment>
    <comment ref="M86" authorId="0" shapeId="0" xr:uid="{00000000-0006-0000-0C00-000003000000}">
      <text>
        <r>
          <rPr>
            <sz val="10"/>
            <color rgb="FF000000"/>
            <rFont val="Arial"/>
            <scheme val="minor"/>
          </rPr>
          <t>======
ID#AAABqerRBMA
Win10    (2025-09-02 14:23:53)
Conferir pois o texto está sobreposto</t>
        </r>
      </text>
    </comment>
    <comment ref="N86" authorId="0" shapeId="0" xr:uid="{00000000-0006-0000-0C00-000002000000}">
      <text>
        <r>
          <rPr>
            <sz val="10"/>
            <color rgb="FF000000"/>
            <rFont val="Arial"/>
            <scheme val="minor"/>
          </rPr>
          <t>======
ID#AAABqerRBME
Win10    (2025-09-02 14:23:53)
Conferir pois o texto está sobreposto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zP4EprqdhFKwCTeA3+02R+rLk8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7" authorId="0" shapeId="0" xr:uid="{00000000-0006-0000-1800-000002000000}">
      <text>
        <r>
          <rPr>
            <sz val="10"/>
            <color rgb="FF000000"/>
            <rFont val="Arial"/>
            <scheme val="minor"/>
          </rPr>
          <t>======
ID#AAABqerRBL8
Win10    (2025-09-02 14:23:53)
Similar: Válvula de fechamento rápido tipo wafer</t>
        </r>
      </text>
    </comment>
    <comment ref="C137" authorId="0" shapeId="0" xr:uid="{00000000-0006-0000-1800-000001000000}">
      <text>
        <r>
          <rPr>
            <sz val="10"/>
            <color rgb="FF000000"/>
            <rFont val="Arial"/>
            <scheme val="minor"/>
          </rPr>
          <t>======
ID#AAABqerRBMc
Win10    (2025-09-02 14:23:53)
Ralo linear 70cm adotado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n7TdTfDQFCdhHhFuZskpR2AWxA=="/>
    </ext>
  </extLst>
</comments>
</file>

<file path=xl/sharedStrings.xml><?xml version="1.0" encoding="utf-8"?>
<sst xmlns="http://schemas.openxmlformats.org/spreadsheetml/2006/main" count="17401" uniqueCount="5511">
  <si>
    <t>Projeto</t>
  </si>
  <si>
    <t>Mosaico</t>
  </si>
  <si>
    <t>Empresa</t>
  </si>
  <si>
    <t>Grupo DUO</t>
  </si>
  <si>
    <t>Revisão</t>
  </si>
  <si>
    <t>R00</t>
  </si>
  <si>
    <t>QUADRO DE ÁREAS</t>
  </si>
  <si>
    <t>Descrição</t>
  </si>
  <si>
    <t>Unidade</t>
  </si>
  <si>
    <t>Quantidade</t>
  </si>
  <si>
    <t>Imagens</t>
  </si>
  <si>
    <t>MESES DE OBRA</t>
  </si>
  <si>
    <t>MÊS</t>
  </si>
  <si>
    <t>ÁREA DO TERRENO</t>
  </si>
  <si>
    <t>M²</t>
  </si>
  <si>
    <t>ÁREA CONSTRUÍDA</t>
  </si>
  <si>
    <t>NÚMERO DE UNIDADES HABITACIONAIS</t>
  </si>
  <si>
    <t>UN</t>
  </si>
  <si>
    <t>NÚMERO DE UNIDADES COMERCIAIS</t>
  </si>
  <si>
    <t>ÁREA PRIVATIVA</t>
  </si>
  <si>
    <t>NÚMERO DE PAVIMENTOS</t>
  </si>
  <si>
    <t>1º Pavimento</t>
  </si>
  <si>
    <t>2º Pavimento</t>
  </si>
  <si>
    <t>3º Pavimento</t>
  </si>
  <si>
    <t>4º Pavimento</t>
  </si>
  <si>
    <t>5º Pavimento</t>
  </si>
  <si>
    <t>6º Pavimento</t>
  </si>
  <si>
    <t>7º Pavimento</t>
  </si>
  <si>
    <t>8º Pavimento</t>
  </si>
  <si>
    <t>9º Pavimento</t>
  </si>
  <si>
    <t>10º Pavimento</t>
  </si>
  <si>
    <t>11º Pavimento</t>
  </si>
  <si>
    <t>12º Pavimento</t>
  </si>
  <si>
    <t>Mezanino</t>
  </si>
  <si>
    <t>Cobertura</t>
  </si>
  <si>
    <t>Barrilete</t>
  </si>
  <si>
    <t>Reservatórios</t>
  </si>
  <si>
    <t>ETAPA</t>
  </si>
  <si>
    <t>VALOR ORÇADO</t>
  </si>
  <si>
    <t>%</t>
  </si>
  <si>
    <t>VALOR / m²</t>
  </si>
  <si>
    <t>GERENCIAMENTO TÉCNICO E ADMINISTRATIVO</t>
  </si>
  <si>
    <t>MOVIMENTAÇÃO DE TERRA</t>
  </si>
  <si>
    <t>INFRAESTRUTURA</t>
  </si>
  <si>
    <t>SUPRAESTRUTURA</t>
  </si>
  <si>
    <t>ALVENARIA</t>
  </si>
  <si>
    <t>IMPERMEABILIZAÇÃO E TRATAMENTOS</t>
  </si>
  <si>
    <t>INSTALAÇÕES ELÉTRICAS, HIDRÁULICAS, GLP E PREVENTIVAS</t>
  </si>
  <si>
    <t>EQUIPAMENTOS E SISTEMAS ESPECIAIS</t>
  </si>
  <si>
    <t>CLIMATIZAÇÃO, EXAUSTÃO MECÂNICA E PRESSURIZAÇÃO</t>
  </si>
  <si>
    <t>REVESTIMENTOS INTERNOS DE PAREDE</t>
  </si>
  <si>
    <t>REVESTIMENTOS INTERNOS DE TETO</t>
  </si>
  <si>
    <t>PISOS E PAVIMENTAÇÕES</t>
  </si>
  <si>
    <t>SISTEMAS DE PINTURA INTERNA</t>
  </si>
  <si>
    <t>ESQUADRIAS, VIDROS E FERRAGENS</t>
  </si>
  <si>
    <t>LOUÇAS E METAIS</t>
  </si>
  <si>
    <t>REVESTIMENTOS E ACABAMENTOS EM FACHADA</t>
  </si>
  <si>
    <t>SERVIÇOS COMPLEMENTARES E FINAIS</t>
  </si>
  <si>
    <t>IMPREVISTOS</t>
  </si>
  <si>
    <t>TOTAL</t>
  </si>
  <si>
    <t>CUB/SC</t>
  </si>
  <si>
    <t>ALVENARIAS E VEDAÇÕES</t>
  </si>
  <si>
    <t>SISTEMAS E INSTALAÇÕES HIDROSSANITÁRIAS E DRENAGEM</t>
  </si>
  <si>
    <t>SISTEMAS E INSTALAÇÕES ELÉTRICAS</t>
  </si>
  <si>
    <t>INSTALAÇÕES PREVENTIVAS</t>
  </si>
  <si>
    <t>INSTALAÇÕES DE GÁS</t>
  </si>
  <si>
    <t>INSTALAÇÕES DE COMUNICAÇÕES</t>
  </si>
  <si>
    <t>COBERTURA</t>
  </si>
  <si>
    <t xml:space="preserve">IMPREVISTOS E CONTINGÊNCIAS </t>
  </si>
  <si>
    <t>Obra</t>
  </si>
  <si>
    <t>Guia pavimentos</t>
  </si>
  <si>
    <t>Equipamentos de proteção coletiva</t>
  </si>
  <si>
    <t>Pavimento</t>
  </si>
  <si>
    <t>Área</t>
  </si>
  <si>
    <t>Perímetro</t>
  </si>
  <si>
    <t>Pé Direito</t>
  </si>
  <si>
    <t>Bandejas de proteção</t>
  </si>
  <si>
    <t>Imagem formulário</t>
  </si>
  <si>
    <t>Perímetro de projeção embasamento - primária</t>
  </si>
  <si>
    <t>m</t>
  </si>
  <si>
    <t>Perímetro de projeção embasamento - secundária</t>
  </si>
  <si>
    <t>Bandeja de proteção primária</t>
  </si>
  <si>
    <t>Bandeja de proteção secundária</t>
  </si>
  <si>
    <t>Guarda - corpo de vãos</t>
  </si>
  <si>
    <t>Perímetro de vãos</t>
  </si>
  <si>
    <t>Guarda - corpo de desforma</t>
  </si>
  <si>
    <t>Perímetro de projeção da torre</t>
  </si>
  <si>
    <t>Repetições de pavimentos**</t>
  </si>
  <si>
    <t>un</t>
  </si>
  <si>
    <t>Proteção de periferia pós desforma torre</t>
  </si>
  <si>
    <t xml:space="preserve">Fechamento removível de vãos em madeira </t>
  </si>
  <si>
    <t xml:space="preserve">Área das portas de elevadores </t>
  </si>
  <si>
    <t>m2</t>
  </si>
  <si>
    <t>Quantidade de elevadores</t>
  </si>
  <si>
    <t>Quantidade de portas de elevadores</t>
  </si>
  <si>
    <t xml:space="preserve">Fechamento removível de vãos de portas de entrada de apto em madeira </t>
  </si>
  <si>
    <t xml:space="preserve">Área das portas de entrada </t>
  </si>
  <si>
    <t>Quantidade de portas de entrada</t>
  </si>
  <si>
    <t>Tela fachadeira</t>
  </si>
  <si>
    <t>Area da fachada</t>
  </si>
  <si>
    <t>m²</t>
  </si>
  <si>
    <t>Tapume</t>
  </si>
  <si>
    <t>Perímetro de encontro com pavimentação</t>
  </si>
  <si>
    <t>Altura do tapume</t>
  </si>
  <si>
    <t>Linha de Vida</t>
  </si>
  <si>
    <t xml:space="preserve">Perímetro de Pavimentos </t>
  </si>
  <si>
    <t>Cobertura para Proteção de Pedestres</t>
  </si>
  <si>
    <t>Perímetro de projeção torre</t>
  </si>
  <si>
    <t>Altura de cobrimento da tela</t>
  </si>
  <si>
    <t>Instalações de canteiro</t>
  </si>
  <si>
    <t>Produtividade média</t>
  </si>
  <si>
    <t>m2 / mês</t>
  </si>
  <si>
    <t>Pm</t>
  </si>
  <si>
    <t xml:space="preserve">h/m2 </t>
  </si>
  <si>
    <t>Numero de funcionários</t>
  </si>
  <si>
    <t>Equipe administrativa</t>
  </si>
  <si>
    <t>Pontos de água e esgoto</t>
  </si>
  <si>
    <t>20 funcionários/ponto</t>
  </si>
  <si>
    <t>Bebedouro</t>
  </si>
  <si>
    <t>1 / 5 pav.</t>
  </si>
  <si>
    <t>Ferramentas</t>
  </si>
  <si>
    <t>R$</t>
  </si>
  <si>
    <t>800,00/func.</t>
  </si>
  <si>
    <t>EPI</t>
  </si>
  <si>
    <t>500,00/func.</t>
  </si>
  <si>
    <t xml:space="preserve">Banheiro </t>
  </si>
  <si>
    <t>1/20 func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</si>
  <si>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</si>
  <si>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</si>
  <si>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</si>
  <si>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</si>
  <si>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</si>
  <si>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</si>
  <si>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</si>
  <si>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</si>
  <si>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</si>
  <si>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</si>
  <si>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</si>
  <si>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Instalações Provisórias (central de aço, formas, argamassa, almoxarifado geral, construções temporárias)</t>
  </si>
  <si>
    <t>Será utilizado</t>
  </si>
  <si>
    <t>Central de aço</t>
  </si>
  <si>
    <t>Sim</t>
  </si>
  <si>
    <t>Central de fôrmas</t>
  </si>
  <si>
    <t>Central de Argamassa</t>
  </si>
  <si>
    <t>Armazenamento de cerâmicas*</t>
  </si>
  <si>
    <t>Armazenamento de placas degesso*</t>
  </si>
  <si>
    <t>Não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</si>
  <si>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</si>
  <si>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</si>
  <si>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</si>
  <si>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</si>
  <si>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</si>
  <si>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</si>
  <si>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</si>
  <si>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</si>
  <si>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Guarita</t>
  </si>
  <si>
    <t>Lava Rodas</t>
  </si>
  <si>
    <t>* Central de armazenamento entre pavimentos</t>
  </si>
  <si>
    <t>Sinalização</t>
  </si>
  <si>
    <t>Placa indicativa fixada na estrutura por pregos</t>
  </si>
  <si>
    <t>VB</t>
  </si>
  <si>
    <t>Placa indicativa fixada em totem</t>
  </si>
  <si>
    <t>Instalação de sinalizador noturno</t>
  </si>
  <si>
    <t>Sinalização com fita fixada em cone</t>
  </si>
  <si>
    <t>Sinalização com fita fixada na estrutura amarrada</t>
  </si>
  <si>
    <t>ENSAIOS</t>
  </si>
  <si>
    <t>Item</t>
  </si>
  <si>
    <t>Descrição/Especificação</t>
  </si>
  <si>
    <t>Unid.</t>
  </si>
  <si>
    <t>V. Unit. (R$)</t>
  </si>
  <si>
    <t>Qtde.</t>
  </si>
  <si>
    <t>V. Total
(R$)</t>
  </si>
  <si>
    <t>Observações</t>
  </si>
  <si>
    <t>CONTROLE TECNOLÓGICO  - CONCRETO</t>
  </si>
  <si>
    <t>Laudo e ART</t>
  </si>
  <si>
    <t>vb</t>
  </si>
  <si>
    <t>Controle Tecnologico Infraestrutura - Coleta materiais da obra</t>
  </si>
  <si>
    <t>unid.</t>
  </si>
  <si>
    <t xml:space="preserve">4 CPs por caminhão betoneira de 8m³ </t>
  </si>
  <si>
    <t>Controle Tecnologico Contenção - Coleta materiais da obra</t>
  </si>
  <si>
    <t>Controle Tecnologico Supraestrutura - Coleta materiais da obra</t>
  </si>
  <si>
    <t>Controle Tecnológico - Ensaio de concreto endurecido/grouth - compressão simples / Detalhe: Concreto</t>
  </si>
  <si>
    <t>cps</t>
  </si>
  <si>
    <t>Determinação do módulo de deformação tangente inicial (Eci) (módulo de elasticidade), Incluindo Avaliação Estática dos Resultados (NBR 8522 e NBR 12655)</t>
  </si>
  <si>
    <t>ensaio</t>
  </si>
  <si>
    <r>
      <rPr>
        <b/>
        <sz val="9"/>
        <color rgb="FF7F7F7F"/>
        <rFont val="Poppins"/>
      </rPr>
      <t>A cada 5 pav.</t>
    </r>
    <r>
      <rPr>
        <sz val="9"/>
        <color rgb="FF7F7F7F"/>
        <rFont val="Poppins"/>
      </rPr>
      <t xml:space="preserve"> (e quando houver troca de fornecedor)</t>
    </r>
  </si>
  <si>
    <t>ACUSTICA - ENSAIO DE RUIDOS ( PISO + FACHADA)</t>
  </si>
  <si>
    <t>Ensaio de Desempenho Acustico para piso
Ensaio de ruído aéreo e ruído de impacto em Laje de dorm.</t>
  </si>
  <si>
    <t>ensaios</t>
  </si>
  <si>
    <t>1 ensaio</t>
  </si>
  <si>
    <t>Ensaio de Desempenho Acustico para vedação externa
Ensaio de isolamento a ruído aéreo em Fachada de dorm.</t>
  </si>
  <si>
    <t>ENSAIO PARA CAIXILHOS</t>
  </si>
  <si>
    <t>Permeabilidade ao ar
Estanqueidade a agua
Resistencias a cargas uniformes distribuidas</t>
  </si>
  <si>
    <t>1 ensaio por tipo de caixilho (dormitório, sala, área de serviço e banheiro e terraço, se houver)</t>
  </si>
  <si>
    <t>Resistencia as operações de manuseio com manutenção
SEM persiana integrada</t>
  </si>
  <si>
    <t>Resistencia as operações de manuseio com manutenção
COM persiana integrada</t>
  </si>
  <si>
    <t>ENSAIO PARA GUARDA-CORPO</t>
  </si>
  <si>
    <t>Ensaio de guarda-corpo
Determinação do esforço horizontal, esforço vertical e Resistencia a impactos</t>
  </si>
  <si>
    <t>1 prototipo por projeto</t>
  </si>
  <si>
    <t>ENSAIOS PARA ARGAMASSA DE REVESTIMENTO (FACHADA)</t>
  </si>
  <si>
    <t>Ensaio de arrancamento de argamassa de revestimento 
Determinação da aderencia a tração</t>
  </si>
  <si>
    <t>1 ensaio por torre</t>
  </si>
  <si>
    <t>ENSAIO ARRANCAMENTO DE REBOCO</t>
  </si>
  <si>
    <t>Ensaio de arrancamento de argamassa de reboco
Determinação da aderencia a tração</t>
  </si>
  <si>
    <t>ENSAIO PARA REVESTIMENTOS CERÂMICOS</t>
  </si>
  <si>
    <t>Aderência em Revestimento Cerâmico
Determinação da aderência a tração (NBR 13754)</t>
  </si>
  <si>
    <t>Torre Alta: 1 ensaio por torre, por referência de produto</t>
  </si>
  <si>
    <t>ENSAIO PARA ANCORAGEM (GANHOS DA COBERTURA)</t>
  </si>
  <si>
    <t>Arrancamento de ganchos da cobertura
Ensaio de Arrancamento</t>
  </si>
  <si>
    <t>ENSAIOS PARA ALVENARIA ESTRUTURAL</t>
  </si>
  <si>
    <t>Controle Tecnológico - Ensaio de concreto endurecido/grouth - compressão simples / Detalhe: Groute</t>
  </si>
  <si>
    <r>
      <rPr>
        <b/>
        <sz val="9"/>
        <color rgb="FF7F7F7F"/>
        <rFont val="Poppins"/>
      </rPr>
      <t xml:space="preserve">≥  12Mpa: 6 CP's x núm pav x núm torres  + ANEXOS </t>
    </r>
    <r>
      <rPr>
        <b/>
        <sz val="9"/>
        <color rgb="FF1851D6"/>
        <rFont val="Poppins"/>
      </rPr>
      <t>(CONSIDERAR +6 CPs PARA CADA PAVIMENTO DE ANEXOS - INCLUINDO EMBASAMENTO  E PLATIBANDA - SE HOUVER)
Torre alta: 6CPs por pavimento</t>
    </r>
  </si>
  <si>
    <t>Ensaio de Argamassa - Determinação da resistência a compressão - no cubo (NBR 15961-2/2011)</t>
  </si>
  <si>
    <r>
      <rPr>
        <b/>
        <sz val="9"/>
        <color rgb="FF7F7F7F"/>
        <rFont val="Poppins"/>
      </rPr>
      <t>≥  12Mpa: 6 CP's x núm pav x núm torres + ANEXOS</t>
    </r>
    <r>
      <rPr>
        <b/>
        <sz val="9"/>
        <color rgb="FF1851D6"/>
        <rFont val="Poppins"/>
      </rPr>
      <t xml:space="preserve"> (CONSIDERAR +6 CPs PARA CADA PAVIMENTO DE ANEXOS - INCLUINDO EMBASAMENTO  E PLATIBANDA - SE HOUVER)
Torre alta: 6CPs por pavimento
P/ pavimento &gt; 600m²: 12 CPs</t>
    </r>
  </si>
  <si>
    <t>Ensaio Prisma - Determinação da resistência a compressão - Oco (NBR 15961-2/2011)</t>
  </si>
  <si>
    <r>
      <rPr>
        <b/>
        <sz val="9"/>
        <color rgb="FF7F7F7F"/>
        <rFont val="Poppins"/>
      </rPr>
      <t xml:space="preserve">12 CP's x núm pav x núm torres 
</t>
    </r>
    <r>
      <rPr>
        <b/>
        <sz val="9"/>
        <color rgb="FF1851D6"/>
        <rFont val="Poppins"/>
      </rPr>
      <t>Torre alta: 12CPs por pavimento
P/ pavimento &gt; 600m²: 12 CPs</t>
    </r>
  </si>
  <si>
    <t>Ensaio Prisma - Determinação da resistência a compressão - Cheio (NBR 15961-2/2011)</t>
  </si>
  <si>
    <r>
      <rPr>
        <b/>
        <sz val="9"/>
        <color rgb="FF7F7F7F"/>
        <rFont val="Poppins"/>
      </rPr>
      <t xml:space="preserve">12 CP's x núm pav x núm torres 
</t>
    </r>
    <r>
      <rPr>
        <b/>
        <sz val="9"/>
        <color rgb="FF1851D6"/>
        <rFont val="Poppins"/>
      </rPr>
      <t>Torre alta: 12CPs por pavimento
P/ pavimento &gt; 600m²: 12 CPs</t>
    </r>
  </si>
  <si>
    <t>Ensaio de Bloco - Determinação da resistência a compressão com dimensionamento (NBR 12118)</t>
  </si>
  <si>
    <t xml:space="preserve">6 cps x  núm classes de resistencia </t>
  </si>
  <si>
    <t>Ensaio de Bloco - Determinação da absorção e área liquida (NBR 12118)</t>
  </si>
  <si>
    <t>unid</t>
  </si>
  <si>
    <t>3 cps x núm classe de resistencia</t>
  </si>
  <si>
    <t>SUBTOTAL:</t>
  </si>
  <si>
    <t>PROJETO:</t>
  </si>
  <si>
    <t>REVISÃO:</t>
  </si>
  <si>
    <t>DATA</t>
  </si>
  <si>
    <t>EMPRESA:</t>
  </si>
  <si>
    <t>Unidade Construtiva</t>
  </si>
  <si>
    <t>Célula Construtiva</t>
  </si>
  <si>
    <t>Etapa</t>
  </si>
  <si>
    <t>Subetapa</t>
  </si>
  <si>
    <t>Serviço</t>
  </si>
  <si>
    <t>GERENCIAMENTO EXECUTIVO</t>
  </si>
  <si>
    <t>Atalho</t>
  </si>
  <si>
    <t>NIVEL</t>
  </si>
  <si>
    <t xml:space="preserve">Quant. </t>
  </si>
  <si>
    <t>Preço un</t>
  </si>
  <si>
    <t>Total</t>
  </si>
  <si>
    <t>Considerações</t>
  </si>
  <si>
    <t>Situação</t>
  </si>
  <si>
    <t>CÉLULA CONSTRUTIVA</t>
  </si>
  <si>
    <t xml:space="preserve">SERVIÇOS TÉCNICOS </t>
  </si>
  <si>
    <t>ESTUDOS, PROJETOS, CONSULTORIA E ENSAIOS</t>
  </si>
  <si>
    <t>SUBETAPA</t>
  </si>
  <si>
    <t>Estudos</t>
  </si>
  <si>
    <t>SERVIÇO</t>
  </si>
  <si>
    <t>Levantamento topográfico</t>
  </si>
  <si>
    <t>Valor informado em formulário</t>
  </si>
  <si>
    <t>Lançado ERP</t>
  </si>
  <si>
    <t>Sondagem do terreno</t>
  </si>
  <si>
    <t>Projetos</t>
  </si>
  <si>
    <t>Projeto Arquitetônico legal - incluindo: executivo + interiores + fachada</t>
  </si>
  <si>
    <t>Projeto técnico de fachada</t>
  </si>
  <si>
    <t>Estimado com base em índices históricos</t>
  </si>
  <si>
    <t>Projeto de Estrutural/Fundações/ Elétrico/Hidro/PPCI/Gás</t>
  </si>
  <si>
    <t>Projeto de Impermeabilização</t>
  </si>
  <si>
    <t>Projeto de segurança</t>
  </si>
  <si>
    <t>Projeto de climatização/exaustão</t>
  </si>
  <si>
    <t>Projeto de irrigação</t>
  </si>
  <si>
    <t>Projeto de furações</t>
  </si>
  <si>
    <t>Projeto de Piscina</t>
  </si>
  <si>
    <t>Projeto de Paisagismo</t>
  </si>
  <si>
    <t>Consultorias</t>
  </si>
  <si>
    <t>Compatibilização de Projetos BIM</t>
  </si>
  <si>
    <t>Orçamento e planejamento</t>
  </si>
  <si>
    <t>Consultoria técnica de fachada</t>
  </si>
  <si>
    <t>Ensaios</t>
  </si>
  <si>
    <t>Controle Tecnologico de Concreto</t>
  </si>
  <si>
    <t>Ensaio de argamassa</t>
  </si>
  <si>
    <t>Ensaio de guarda-corpo</t>
  </si>
  <si>
    <t>Ensaio de arrancamento de reboco</t>
  </si>
  <si>
    <t>Ensaio de arrancamento revestimento cerâmico</t>
  </si>
  <si>
    <t>Ensaio de arrancamento fachada</t>
  </si>
  <si>
    <t>Ensaio de arrancamento de gancho da cobertura</t>
  </si>
  <si>
    <t>CONSUMOS, TAXAS E DOCUMENTOS</t>
  </si>
  <si>
    <t>-</t>
  </si>
  <si>
    <t>Licenciamentos, Taxas, Impostos, Aprovações e Seguros</t>
  </si>
  <si>
    <t>Despesas de Seguros</t>
  </si>
  <si>
    <t>Outorga, aprovação e demais taxas</t>
  </si>
  <si>
    <t>Aprovação e legalização prefeitura</t>
  </si>
  <si>
    <t>Aprovação e legalização água e esgoto</t>
  </si>
  <si>
    <t>Aprovação e legalização elétrico</t>
  </si>
  <si>
    <t>Aprovação e legalização bombeiros</t>
  </si>
  <si>
    <t>Taxas de ART</t>
  </si>
  <si>
    <t>Alvará Construção</t>
  </si>
  <si>
    <t>Iptu</t>
  </si>
  <si>
    <t>Alvará Habite-se</t>
  </si>
  <si>
    <t>Certidão INSS</t>
  </si>
  <si>
    <t>Documentos</t>
  </si>
  <si>
    <t>As Built</t>
  </si>
  <si>
    <t>Laudo de Vizinhança</t>
  </si>
  <si>
    <t>Manuais técnicos condomínio/proprietários</t>
  </si>
  <si>
    <t>SERVIÇOS INICIAIS</t>
  </si>
  <si>
    <t>SEGURANÇA, MEIO AMBIENTE E SAÚDE</t>
  </si>
  <si>
    <t>Segurança do Trabalho</t>
  </si>
  <si>
    <t>Técnico de segurança do trabalho</t>
  </si>
  <si>
    <t>mes</t>
  </si>
  <si>
    <t>Equipamentos de proteção individual - EPI</t>
  </si>
  <si>
    <t>Equipamentos de proteção de canteiro</t>
  </si>
  <si>
    <t>Bandeja de Proteção Primária com estrutura metálica e trama de madeira</t>
  </si>
  <si>
    <t>Previsto confomre NR18</t>
  </si>
  <si>
    <t>Bandeja de Proteção Secundária com estrutura metálica e trama de madeira</t>
  </si>
  <si>
    <t>Guarda-corpo de vãos, fixado em fôrma de madeira, em trama de madeira com tela de polipropileno</t>
  </si>
  <si>
    <t>Guarda corpo de laje após desforma de pontalete de madeira, travessões e tela</t>
  </si>
  <si>
    <t>Fechamento removível de vãos de porta de elevador em madeira</t>
  </si>
  <si>
    <t>Fechamento removível de vãos de porta de entrada dos aptos. em madeira</t>
  </si>
  <si>
    <t>Rede de proteção, SLQA, leve</t>
  </si>
  <si>
    <t>Tela fachadeira mosqueteiro reforçada simples</t>
  </si>
  <si>
    <t>Sinalização de obra</t>
  </si>
  <si>
    <t>Linha de vida</t>
  </si>
  <si>
    <t>Meio Ambiente</t>
  </si>
  <si>
    <t xml:space="preserve"> Projetos de Segurança do Trabalho   </t>
  </si>
  <si>
    <t>Elaboração do programa de gerenciamento de riscos (PGR)</t>
  </si>
  <si>
    <t>Remoção de entulhos e resíduos</t>
  </si>
  <si>
    <t>Saúde Ocupacional</t>
  </si>
  <si>
    <t>Dedetização, desratização e sanitização dos ambientes</t>
  </si>
  <si>
    <t>ADMINISTRAÇÃO E CANTEIRO DE OBRA</t>
  </si>
  <si>
    <t>Equipe de Gestão e Apoio</t>
  </si>
  <si>
    <t>Engenheiro Civil</t>
  </si>
  <si>
    <t>mês</t>
  </si>
  <si>
    <t>Equipe de apoio</t>
  </si>
  <si>
    <t>Despesas de Consumo e Manutenção</t>
  </si>
  <si>
    <t>Demolições</t>
  </si>
  <si>
    <t>Limpeza mecânica da camada vegetal</t>
  </si>
  <si>
    <t>Consumo de água e esgoto</t>
  </si>
  <si>
    <t>Consumo de luz/energia</t>
  </si>
  <si>
    <t>Consumo internet</t>
  </si>
  <si>
    <t>Coleta de lixo</t>
  </si>
  <si>
    <t>Consumo de material de expediente/escritório</t>
  </si>
  <si>
    <t>Consumo de material de higiene e limpeza</t>
  </si>
  <si>
    <t>Consumo de cópias</t>
  </si>
  <si>
    <t>Despesas com vizinhos</t>
  </si>
  <si>
    <t>Manutenção provisória do canteiro</t>
  </si>
  <si>
    <t>Manutenção provisória elétrica</t>
  </si>
  <si>
    <t>Manutenção provisória hidrossanitária</t>
  </si>
  <si>
    <t>Manutenção provisória vigilância e acessos</t>
  </si>
  <si>
    <t>Instalações Provisórias de Canteiro de Obra</t>
  </si>
  <si>
    <t>Tapume de telha metálica trapezoidal</t>
  </si>
  <si>
    <t>Ligações Provisórias</t>
  </si>
  <si>
    <t>Redes Provisórias: Rede de água fria, esgoto e drenagem</t>
  </si>
  <si>
    <t>Redes Provisórias: Redes elétricas, comunicação e dados</t>
  </si>
  <si>
    <t>EQUIPAMENTOS</t>
  </si>
  <si>
    <t>Equipamentos de Obra</t>
  </si>
  <si>
    <t>Aquisição Elevador cremalheira</t>
  </si>
  <si>
    <t>Manutenção Inicial Elevador cremalheira</t>
  </si>
  <si>
    <t>Manutenção Periódica Elevador cremalheira</t>
  </si>
  <si>
    <t>Montagem e Desmontagem Elevador cremalheira</t>
  </si>
  <si>
    <t>Mobilização e Desmobilização Elevador cremalheira</t>
  </si>
  <si>
    <t>Aquisição Mini Grua</t>
  </si>
  <si>
    <t>Manutenção Inicial Mini Grua</t>
  </si>
  <si>
    <t>Manutenção Periódica Mini Grua</t>
  </si>
  <si>
    <t>Montagem e Desmontagem Mini Grua</t>
  </si>
  <si>
    <t>Mobilização e Desmobilização Mini Grua</t>
  </si>
  <si>
    <t>Aquisição Guincho de coluna</t>
  </si>
  <si>
    <t>Andaimes e balancins</t>
  </si>
  <si>
    <t>Locação Andaime tubular tipo torre</t>
  </si>
  <si>
    <t>Locação Andaime suspenso motorizado</t>
  </si>
  <si>
    <t>Ferramentas de Obra</t>
  </si>
  <si>
    <t>Locação carrinho plataforma</t>
  </si>
  <si>
    <t>Locação rompedor</t>
  </si>
  <si>
    <t>OBRA</t>
  </si>
  <si>
    <t xml:space="preserve">MOVIMENTAÇÃO DE TERRA	</t>
  </si>
  <si>
    <t>Escavação e Reaterro de Valas</t>
  </si>
  <si>
    <t>Escavação mecanizada para blocos de fundação, vigas de fundação, dutos e cisternas, com retroescavadeira</t>
  </si>
  <si>
    <t>m3</t>
  </si>
  <si>
    <t>Finalizado</t>
  </si>
  <si>
    <t>Reaterro mecanizado de valas para blocos e vigas de fundação, com retroescavadeira</t>
  </si>
  <si>
    <t>Lastro de brita</t>
  </si>
  <si>
    <t>Lastro de Concreto Magro, Aplicado em Blocos de Fundação, e=10cm</t>
  </si>
  <si>
    <t>Movimentação de bota - fora</t>
  </si>
  <si>
    <t>Movimentação de terra para bota-fora - valas de fundação</t>
  </si>
  <si>
    <t>Considerado empolamento 30% da escavação</t>
  </si>
  <si>
    <t>Movimentação de terra para bota-fora - Estacas</t>
  </si>
  <si>
    <t>FUNDAÇÃO PROFUNDA</t>
  </si>
  <si>
    <t>Perfuração</t>
  </si>
  <si>
    <t>Execucao Estaca Raiz 20Cm</t>
  </si>
  <si>
    <t>Quantitade de Projetos</t>
  </si>
  <si>
    <t>Execucao Estaca Raiz 25Cm</t>
  </si>
  <si>
    <t>Execucao Estaca Raiz 31Cm</t>
  </si>
  <si>
    <t>Execucao Estaca Raiz 41Cm</t>
  </si>
  <si>
    <t xml:space="preserve">	Mobilização e desmobilização de equipamentos - Para execução de estaca raiz</t>
  </si>
  <si>
    <t>Corte e Preparo de Cabeça de Estaca</t>
  </si>
  <si>
    <t>Armadura</t>
  </si>
  <si>
    <t>Armação aço CA-50 ø 6,3mm para estaca (corte e dobra em obra)</t>
  </si>
  <si>
    <t>kg</t>
  </si>
  <si>
    <t>Quantitade de Projetos - 10% de perda</t>
  </si>
  <si>
    <t>Armação aço CA-50 ø 8,0mm para estaca (corte e dobra em obra)</t>
  </si>
  <si>
    <t>Armação aço CA-50 ø 16,0mm para estaca (corte e dobra em obra)</t>
  </si>
  <si>
    <t>Armação aço CA-50 ø 20,0mm para estaca (corte e dobra em obra)</t>
  </si>
  <si>
    <t>Lançamento de Concreto para Estacas</t>
  </si>
  <si>
    <t>Argamassa bombeável 25MPa para estaca raiz</t>
  </si>
  <si>
    <t>Quantitade de Projetos - 30% de perda</t>
  </si>
  <si>
    <t>FUNDAÇÃO RASA</t>
  </si>
  <si>
    <t>Forma</t>
  </si>
  <si>
    <t>Considerado blocos, vigas de fundação, lajes,pilares de arranque, dutos e cisternas</t>
  </si>
  <si>
    <t>Forma para infraestrutura em Tábuas de Madeira Serrada sem reaproveitamento</t>
  </si>
  <si>
    <t>Concreto</t>
  </si>
  <si>
    <t>Concreto Usinado bombeável 40MPa para infraestrutura- incluindo serviço de bombeamento</t>
  </si>
  <si>
    <t>Mão de Obra</t>
  </si>
  <si>
    <t>Mão de obra para execução de fundação rasa</t>
  </si>
  <si>
    <t>Quantidade disponibilizada pelo projetista</t>
  </si>
  <si>
    <t xml:space="preserve">Concreto </t>
  </si>
  <si>
    <t>Concreto Usinado FCK = 40MPa Bombeavel Para Supraestrutura</t>
  </si>
  <si>
    <t>Complementares</t>
  </si>
  <si>
    <t>Mão de obra</t>
  </si>
  <si>
    <t>Mão de obra para execução de supraestrutura de concreto armado</t>
  </si>
  <si>
    <t xml:space="preserve">ALVENARIAS E VEDAÇÕES </t>
  </si>
  <si>
    <t>Alvenaria de vedação com blocos cerâmicos</t>
  </si>
  <si>
    <t>Alvenaria de vedacao de blocos ceramicos furados na horizontal de 9x19x19cm (espessura 9cm) com argamassa industrializada de assentamento</t>
  </si>
  <si>
    <t>Alvenaria em Bloco De Concreto Celular 60x30x15cm Sical com argamassa industrializada de assentamento</t>
  </si>
  <si>
    <t>Serviços complementares para alvenaria de vedação</t>
  </si>
  <si>
    <t>Tela soldada para ligacao alvenaria/estrutura</t>
  </si>
  <si>
    <t>Verga/contraverga de concreto, moldada in loco</t>
  </si>
  <si>
    <t>Mão de obra para assentamento de blocos cerâmicos</t>
  </si>
  <si>
    <t xml:space="preserve">IMPERMEABILIZAÇÃO E TRATAMENTOS </t>
  </si>
  <si>
    <t>Regularização e proteção mecânica</t>
  </si>
  <si>
    <t xml:space="preserve">Regularização de superfície para impermeabilização </t>
  </si>
  <si>
    <t>Proteção mecânica de superfície com argamassa de cimento e areia, traço 1:3 E=5cm</t>
  </si>
  <si>
    <t>Impermeabilização De Superfície Com Manta Asfáltica, Duas Camada, Inclusive Aplicação De Primer Asfáltico</t>
  </si>
  <si>
    <t>Impermeabilização De Superfície Com Argamassa Polimérica / Membrana Acrílica, 3 Demãos</t>
  </si>
  <si>
    <t>Impermeabilização de floreiras e esquadrias</t>
  </si>
  <si>
    <t>Impermeabilização de Baldrames com Tinta Asfáltica (Neutrol)</t>
  </si>
  <si>
    <t>Impermeabilização com manta aluminio em telhados</t>
  </si>
  <si>
    <t>Poço do elevador</t>
  </si>
  <si>
    <t xml:space="preserve">Mão de obra para regularização de superfície </t>
  </si>
  <si>
    <t>Mão de obra para proteção mecânica</t>
  </si>
  <si>
    <t>Mão de obra impermeabilização com emulsão Asfaltica</t>
  </si>
  <si>
    <t>Mão de obra impermeabilização de superfície com manta asfáltica</t>
  </si>
  <si>
    <t>Mão de obra impermeabilização de argamassa polimérica</t>
  </si>
  <si>
    <t>Mão de obra impermeabilização com manta aluminio</t>
  </si>
  <si>
    <t>Instalações de água fria</t>
  </si>
  <si>
    <t>Instalações de água quente</t>
  </si>
  <si>
    <t>Instalações de esgoto e pluviais</t>
  </si>
  <si>
    <t xml:space="preserve">Sistema de bombas </t>
  </si>
  <si>
    <t xml:space="preserve">Mão de obra - instalações hidrossanitárias e drenagem </t>
  </si>
  <si>
    <t>Mão de obra Instalação Hidráulica</t>
  </si>
  <si>
    <t xml:space="preserve">SISTEMAS E INSTALAÇÕES ELÉTRICAS </t>
  </si>
  <si>
    <t>Entrada de energia</t>
  </si>
  <si>
    <t>Quadros elétricos e disjuntores</t>
  </si>
  <si>
    <t>Eletrodutos e caixas</t>
  </si>
  <si>
    <t>Fios e cabos elétricos</t>
  </si>
  <si>
    <t>Acabamentos Elétricos e telecomunicações</t>
  </si>
  <si>
    <t>Acabamentos</t>
  </si>
  <si>
    <t xml:space="preserve">Luminárias, lâmpadas e acessórios </t>
  </si>
  <si>
    <t>Luminárias, lâmpadas e acessórios</t>
  </si>
  <si>
    <t>Mão de obra - Sistemas e instalações elétricas</t>
  </si>
  <si>
    <t>Mão de obra para instalações elétricas</t>
  </si>
  <si>
    <t xml:space="preserve">INSTALAÇÕES PREVENTIVAS </t>
  </si>
  <si>
    <t>Hidrantes</t>
  </si>
  <si>
    <t xml:space="preserve">Sinalização de emergência e extintores </t>
  </si>
  <si>
    <t>Instalações de proteção e aterramento -SPDA</t>
  </si>
  <si>
    <t>Central de Alarmes</t>
  </si>
  <si>
    <t xml:space="preserve">Instalações Preventivas </t>
  </si>
  <si>
    <t>Mão de obra Instalações preventivas</t>
  </si>
  <si>
    <t xml:space="preserve">INSTALAÇÕES DE GÁS </t>
  </si>
  <si>
    <t>Instalações De Gás</t>
  </si>
  <si>
    <t>Instalações De Gás - Mão de obra</t>
  </si>
  <si>
    <t>Sistema de Comunicações</t>
  </si>
  <si>
    <t>Sistema de interfone / controle de acesso</t>
  </si>
  <si>
    <t>Portôes e interfonia</t>
  </si>
  <si>
    <t>Instalação de CFTV</t>
  </si>
  <si>
    <t>Custo estimado, devido ausência de quantitativo</t>
  </si>
  <si>
    <t>Instalações de TV VHF/CABO/SATÉLITE</t>
  </si>
  <si>
    <t>Sistema Telefonia/lógica/internet</t>
  </si>
  <si>
    <t>Equipamentos para Lazer</t>
  </si>
  <si>
    <t>Equipamentos de piscina</t>
  </si>
  <si>
    <t>Infraestrutura para Carro Elétrico</t>
  </si>
  <si>
    <t>Elevadores</t>
  </si>
  <si>
    <t>Climatização, exaustão mecânica e pressurização</t>
  </si>
  <si>
    <t>Infraestrutura para instalação de ar condicionado</t>
  </si>
  <si>
    <t>Equipamentos de ar condicionado</t>
  </si>
  <si>
    <t>Exaustão mecânica</t>
  </si>
  <si>
    <t xml:space="preserve">Estrutura de exaustão banheiros </t>
  </si>
  <si>
    <t xml:space="preserve">REVESTIMENTOS INTERNOS DE PAREDE </t>
  </si>
  <si>
    <t>Reboco interno</t>
  </si>
  <si>
    <t>Chapisco aplicado em estruturas de concreto, de argamassa ACIII, com desempenadeira dentada</t>
  </si>
  <si>
    <t>Chapisco convencional com adesivo sintético de alto desempenho aplicados em alvenaria, aplicação convencional.</t>
  </si>
  <si>
    <t>Estucamento de estrutura de concreto em pilares e vigas</t>
  </si>
  <si>
    <t>Revestimento  Cerâmico</t>
  </si>
  <si>
    <t>Revestimento de parede em porcelanato, placa 30x90cm</t>
  </si>
  <si>
    <t>Revestimento de cerâmico retificado em Paredes, Placa 60,5 x 60,5cm com Junta de 2mm</t>
  </si>
  <si>
    <t>Revestimentos Especiais</t>
  </si>
  <si>
    <t>Revestimento em Pastilhas Cerâmicas Paredes Interna, 6 x 24cm com Junta de 3mm</t>
  </si>
  <si>
    <t>Requadro de portas dos Elevadores Granito,Largura de 20cm</t>
  </si>
  <si>
    <t xml:space="preserve">Mão de obra - Revestimentos internos de parede </t>
  </si>
  <si>
    <t>Mão de obra execução de chapisco, emboço e reboco em paredes interna, incluindo chapisco</t>
  </si>
  <si>
    <t>Mão de obra estucamento de paredes</t>
  </si>
  <si>
    <t>Mão de obra para assentamento de revestimento cerâmico em parede</t>
  </si>
  <si>
    <t>Revestimento argamassado em teto</t>
  </si>
  <si>
    <t>Estucamento de teto</t>
  </si>
  <si>
    <t>Forro de Gesso</t>
  </si>
  <si>
    <t>Forro de gesso acartonado - áreas secas - Material e Mão de Obra</t>
  </si>
  <si>
    <t>Forro de madeira - Material e Mão de Obra</t>
  </si>
  <si>
    <t xml:space="preserve">Mão de obra - Acabamentos internos em teto </t>
  </si>
  <si>
    <t>Mão de obra propria estucamento em teto</t>
  </si>
  <si>
    <t>Contrapiso</t>
  </si>
  <si>
    <t>Contrapiso comum em argamassa estabilizada, nao aderido, espessura 5cm</t>
  </si>
  <si>
    <t>Acabamentos cerâmicos em piso</t>
  </si>
  <si>
    <t xml:space="preserve">Revestimento em Pastilhas Cerâmicas Para Piscinas , 14,5 x 14,5cm com Junta de 3mm </t>
  </si>
  <si>
    <t>Revestimento emborrachado piso interno (Academia)- Material e Mão de Obra</t>
  </si>
  <si>
    <t>Revestimento em Cerâmicas de Piso Interno, 60x 60cm com Junta de 3mm</t>
  </si>
  <si>
    <t>Acabamentos especiais em piso</t>
  </si>
  <si>
    <t>Revestimento de Pedras Naturais em Pisos</t>
  </si>
  <si>
    <t>Mão de obra - acabamentos em pisos e pavimentações</t>
  </si>
  <si>
    <t>Mão de obra execução de contrapiso comum e Acústico</t>
  </si>
  <si>
    <t>Mão de Obra Piso Porcenato/ Cerâmico</t>
  </si>
  <si>
    <t>Mão de obra para assentamento de Pastilhas em Piscina</t>
  </si>
  <si>
    <t xml:space="preserve">PINTURA INTERNA </t>
  </si>
  <si>
    <t>Sistema de pintura em parede</t>
  </si>
  <si>
    <t>Pintura Com Tinta Latex Acrilica em Paredes Internas, 3 Demaos</t>
  </si>
  <si>
    <t>Textura acrílica aplicação em paredes internas, 1 demão</t>
  </si>
  <si>
    <t>Sistema de pintura em teto</t>
  </si>
  <si>
    <t>Textura acrílica aplicação em tetos, 1 demão</t>
  </si>
  <si>
    <t>Mão de obra - pintura interna</t>
  </si>
  <si>
    <t>Mão de obra para pintura acrílica em paredes internas, 3 demãos</t>
  </si>
  <si>
    <t>Mão de obra para aplicação de textura em paredes internas - 1 demão</t>
  </si>
  <si>
    <t>Mão de obra para pintura acrílica em teto, 3 demãos</t>
  </si>
  <si>
    <t>Mão de obra para aplicação de textura em teto - 1 demão</t>
  </si>
  <si>
    <t>ESQUADRIAS DE ALUMÍNIO</t>
  </si>
  <si>
    <t>Contramarco</t>
  </si>
  <si>
    <t>Contramarco de Alumínio, Fixação com Argamassa</t>
  </si>
  <si>
    <t>Esquadrias de alumínio</t>
  </si>
  <si>
    <t>Esquadrias de Alumínio - fornecimento e instalação</t>
  </si>
  <si>
    <t>Brise de Alumínio</t>
  </si>
  <si>
    <t>Brise de Alumínio - Decoração Fachada</t>
  </si>
  <si>
    <t>Pele de vidro</t>
  </si>
  <si>
    <t>Guarda corpo</t>
  </si>
  <si>
    <t>Guarda Corpo de Vidro e Aluminio - fornecimento e instalação</t>
  </si>
  <si>
    <t>ESQUADRIAS DE MADEIRA</t>
  </si>
  <si>
    <t>Esquadrias de madeira</t>
  </si>
  <si>
    <t>Porta de madeira de abrir - 70x210cm (kit completo) - fixação com espuma expansiva</t>
  </si>
  <si>
    <t>Porta de madeira de abrir - 80x210cm (kit completo) - fixação com espuma expansiva</t>
  </si>
  <si>
    <t>Porta de madeira de abrir - 90x215cm (kit completo) - fixação com espuma expansiva</t>
  </si>
  <si>
    <t>Porta de madeira de abrir - 60x210cm (kit completo) - fixação com espuma expansiva</t>
  </si>
  <si>
    <t xml:space="preserve">Corrimão de madeira </t>
  </si>
  <si>
    <t>Corrimão de Madeira - fornecimento e instalação</t>
  </si>
  <si>
    <t>Acessórios e ferragens</t>
  </si>
  <si>
    <t>Fechadura eletronica</t>
  </si>
  <si>
    <t>Mão de obra para instalação de portas de madeira</t>
  </si>
  <si>
    <t>ESQUADRIAS DE METAL</t>
  </si>
  <si>
    <t>Contramarco de aço galvanizado Fixados com Argamassa</t>
  </si>
  <si>
    <t>Esquadrias metálicas</t>
  </si>
  <si>
    <t>Serralheria</t>
  </si>
  <si>
    <t>Escada de marinheiro</t>
  </si>
  <si>
    <t>Mão de obra para instalação de portas corta-fogo</t>
  </si>
  <si>
    <t>Louças</t>
  </si>
  <si>
    <t xml:space="preserve">Louças </t>
  </si>
  <si>
    <t>Metais e acessórios</t>
  </si>
  <si>
    <t>Acabamentos e acessórios</t>
  </si>
  <si>
    <t>Bancadas, pias e divisórias</t>
  </si>
  <si>
    <t xml:space="preserve">Tampo de Granito </t>
  </si>
  <si>
    <t>Instalação de louças e metais sanitários</t>
  </si>
  <si>
    <t>Revestimento argamassado em fachada</t>
  </si>
  <si>
    <t>Chapisco externo de argamassa pré-fabricada adesiva de cimento colante - aplicação rolada em paredes externas</t>
  </si>
  <si>
    <t xml:space="preserve">Chapisco externo de argamassa estabilizada projetada, em alvenaria, Estrutura Externas </t>
  </si>
  <si>
    <t>Tratamento</t>
  </si>
  <si>
    <t>Junta de movimentação em emboço</t>
  </si>
  <si>
    <t>Pintura e textura em fachada</t>
  </si>
  <si>
    <t>Fundo selador latex acrilico em paredes externas - 1 demao</t>
  </si>
  <si>
    <t>Textura acrílica, acabamento granulado, aplicação em paredes externas - 1 demão</t>
  </si>
  <si>
    <t>Acabamentos especiais em fachada</t>
  </si>
  <si>
    <t>Acabamento em ACM para Fachadas - Material e mão de obra</t>
  </si>
  <si>
    <t>Tratamento em fachada concreto aparente</t>
  </si>
  <si>
    <t>Mao de obra para reboco externo - inclui chapisco</t>
  </si>
  <si>
    <t>Mão de obra para aplicação de Pintura em paredes externas - 2 demãos</t>
  </si>
  <si>
    <t>Mão de obra para aplicação de Junta de movmentação em emboço</t>
  </si>
  <si>
    <t>SERVIÇOS COMPLEMENTARES EXTERNOS</t>
  </si>
  <si>
    <t>Calçadas e Passeios</t>
  </si>
  <si>
    <t>Calçadada/passeio em concreto usinado</t>
  </si>
  <si>
    <t>Calçadada/passeio em ladrilho hidraulico</t>
  </si>
  <si>
    <t>Mão de obra para execução de ladrilho hidraulico</t>
  </si>
  <si>
    <t>Mobiliário e decoração</t>
  </si>
  <si>
    <t>Paisagismo</t>
  </si>
  <si>
    <t xml:space="preserve">Paisagismo </t>
  </si>
  <si>
    <t>Comunicação visual</t>
  </si>
  <si>
    <t>Serviços finais</t>
  </si>
  <si>
    <t>Desmobilização</t>
  </si>
  <si>
    <t>Limpeza final</t>
  </si>
  <si>
    <t>Ligações definitivas</t>
  </si>
  <si>
    <t>Imprevistos e contingências</t>
  </si>
  <si>
    <t>1,5% do custo raso da obra</t>
  </si>
  <si>
    <t>Repetição</t>
  </si>
  <si>
    <t>Tipo</t>
  </si>
  <si>
    <t>Und</t>
  </si>
  <si>
    <t>Custo unit.</t>
  </si>
  <si>
    <t>M2</t>
  </si>
  <si>
    <t>Insumo</t>
  </si>
  <si>
    <t>M3</t>
  </si>
  <si>
    <t>KG</t>
  </si>
  <si>
    <t>MADEIRA PINUS/SIMILAR - PONTALETE 75X75MM NBR 11700/15696</t>
  </si>
  <si>
    <t>M</t>
  </si>
  <si>
    <t>PREGO DE ACO POLIDO COM CABECA 17 X 21 (2 X 11)</t>
  </si>
  <si>
    <t>L</t>
  </si>
  <si>
    <t>LIXA DAGUA 225X275MM GR100</t>
  </si>
  <si>
    <t>EPC'S</t>
  </si>
  <si>
    <t>PREGO DE ACO POLIDO COM CABECA 16 X 24 (2 1/4 X 12)</t>
  </si>
  <si>
    <t>CHAPA/PAINEL DE MADEIRA COMPENSADA PLASTIFICADA, DE 2200 X 1100 MM, E = 14 MM</t>
  </si>
  <si>
    <t>CHUMBADOR PARABOLT ACO CARBONO CBA 1/2"X75MM</t>
  </si>
  <si>
    <t>PERFIL METALICO BANDEJA PRIMARIA 2,50M</t>
  </si>
  <si>
    <t>PONTALETE *7,5 X 7,5* CM EM PINUS, MISTA OU EQUIVALENTE DA REGIAO - BRUTA</t>
  </si>
  <si>
    <t>TABUA *2,5 X 15 CM EM PINUS, MISTA OU EQUIVALENTE DA REGIAO - BRUTA</t>
  </si>
  <si>
    <t>TELA PLASTICA TECIDA LISTRADA BRANCA E LARANJA, EM POLIETILENO MONOFILADO</t>
  </si>
  <si>
    <t>ESCORA METALICA TELESCOPICA, COM ALTURA REGULAVEL DE *1,80* A *3,20* M, INCLUSO TRIPE E FORCADO</t>
  </si>
  <si>
    <t>TELA FACHADEIRA POLIETILENO MALHA 1,5X1,5MM</t>
  </si>
  <si>
    <t>SARRAFO *2,5 X 7,5* CM EM PINUS, MISTA OU EQUIVALENTE DA REGIAO - BRUTA</t>
  </si>
  <si>
    <t>CHAPA/PAINEL DE MADEIRA COMPENSADA RESINADA, DE 2200 X 1100 MM, E = 14 MM</t>
  </si>
  <si>
    <t>Locação estrutura metálica para proteção de pesdestres</t>
  </si>
  <si>
    <t>PREGO DE ACO POLIDO COM CABECA 18 X 27 (2 1/2 X 10)</t>
  </si>
  <si>
    <t>TELHA TRAPEZOIDAL EM ACO ZINCADO, ESPESSURA DE 0,50 MM</t>
  </si>
  <si>
    <t>CONCRETO MAGRO USINADO, COM BRITA 1</t>
  </si>
  <si>
    <t>CABO DE AÇO GALVANIZADO 3/8</t>
  </si>
  <si>
    <t>CLIPS PARA CABO DE AÇO 5/16</t>
  </si>
  <si>
    <t>TUBO GALV. 3" X 2,65MM - 8M C/ RUPTURA: 40 MPA (LINHA DE VIDA)</t>
  </si>
  <si>
    <t>Sistema de SQLA, leve</t>
  </si>
  <si>
    <t>Escavação mecanizada com retroescavadeira</t>
  </si>
  <si>
    <t>Reaterro mecanizado com retroescavadeira</t>
  </si>
  <si>
    <t>serviço de bombeamento</t>
  </si>
  <si>
    <t>Cimento Portland Composto CP II-32</t>
  </si>
  <si>
    <t>Movimentação de terra para bota-fora - Escavação de Valas</t>
  </si>
  <si>
    <t>Aço CA50 6,3 mm</t>
  </si>
  <si>
    <t xml:space="preserve">Arame Galvanizado </t>
  </si>
  <si>
    <t>Espaçador para armadura</t>
  </si>
  <si>
    <t>Aço CA50 8,0 mm</t>
  </si>
  <si>
    <t>Armação aço CA-50 ø 10,0mm para estaca (corte e dobra em obra)</t>
  </si>
  <si>
    <t>Aço CA50 10,0 mm</t>
  </si>
  <si>
    <t>Aço CA50 16,0mm</t>
  </si>
  <si>
    <t>Aço CA50 20,0mm</t>
  </si>
  <si>
    <t>Aço CA60 5,0mm</t>
  </si>
  <si>
    <t>Argamassa Usinada bombeável 25MPa</t>
  </si>
  <si>
    <t>PREGO DE ACO POLIDO COM CABECA 15 X 18 (1 1/2 X 13)</t>
  </si>
  <si>
    <t xml:space="preserve">DESMOLDANTE PROTETOR PARA FORMAS DE MADEIRA, DE BASE OLEOSA EMULSIONADA EM AGUA   </t>
  </si>
  <si>
    <t>TABUA *2,5 X 30 CM EM PINUS, MISTA OU EQUIVALENTE DA REGIAO - BRUTA (M)</t>
  </si>
  <si>
    <t>Aço CA50 12,5 mm</t>
  </si>
  <si>
    <t>Aço CA50 25,0mm</t>
  </si>
  <si>
    <t>Concreto Usinado bombeável 30MPa Convencional</t>
  </si>
  <si>
    <t>Concreto Usinado bombeável 40MPa Convencional</t>
  </si>
  <si>
    <t>CONTENÇÕES</t>
  </si>
  <si>
    <t xml:space="preserve">Arame Recozido BWG 18 </t>
  </si>
  <si>
    <t>ARGAMASSA INDUSTRIALIZADA MULTIUSO, PARA REVESTIMENTO INTERNO E EXTERNO E ASSENTAMENTO DE BLOCOS DIVERSOS</t>
  </si>
  <si>
    <t/>
  </si>
  <si>
    <t>ARGAMASSA ESTABILIZADA PARA ASSENTAMENTO</t>
  </si>
  <si>
    <t>Bloco Concreto Celular 15x30x60</t>
  </si>
  <si>
    <t>Encunhamento De Alvenaria De Vedação Com Argamassa Expansiva</t>
  </si>
  <si>
    <t>ADITIVO EXPANSOR EM PÓ</t>
  </si>
  <si>
    <t>PINO DE ACO COM FURO, HASTE = 27 MM (ACAO DIRETA)</t>
  </si>
  <si>
    <t>TELA DE ACO SOLDADA GALVANIZADA/ZINCADA PARA ALVENARIA, FIO D = *1,20 A 1,70* MM, MALHA 15 X 15 MM, (C X L) *50 X 17,5* CM</t>
  </si>
  <si>
    <t>CARTUCHO/MUNIÇÃO FINCAPINO 22</t>
  </si>
  <si>
    <t>ESPACADOR / DISTANCIADOR CIRCULAR COM ENTRADA LATERAL, EM PLASTICO, PARA VERGALHAO *4,2 A 12,5* MM, COBRIMENTO 40 MM</t>
  </si>
  <si>
    <t>AREIA MEDIA</t>
  </si>
  <si>
    <t>Argamassa usninada para contrapiso</t>
  </si>
  <si>
    <t>Tela de arame galvanizada, hexagonal, fio 0,56 mm (24 bwg), malha 1/2", h = 1 m</t>
  </si>
  <si>
    <t>emulsão asfáltica de alta resistência química</t>
  </si>
  <si>
    <t>Impermeabilização De Superfície Com Manta Asfáltica, Uma Camada, Inclusive Aplicação De Primer Asfáltico</t>
  </si>
  <si>
    <t>PRIMER PARA MANTA ASFALTICA A BASE DE ASFALTO MODIFICADO DILUIDO EM SOLVENTE, APLICACAO A FRIO</t>
  </si>
  <si>
    <t>MANTA ASFALTICA ELASTOMERICA EM POLIESTER 4 MM, TIPO III, CLASSE B, ACABAMENTO PP (NBR 9952)</t>
  </si>
  <si>
    <t>MANTA ASFALTICA ELASTOMERICA EM POLIESTER 3 MM, TIPO III, CLASSE B, ACABAMENTO PP (NBR 9952)</t>
  </si>
  <si>
    <t>Manta Asfáltica Drykomanta Polialum 4mm Tipo ll 10m Dryko</t>
  </si>
  <si>
    <t>Argamassa polimerica impermeabilizante semiflexivel, bicomponente, a base de cimento e aditivos</t>
  </si>
  <si>
    <t>Impermeabilização com manta liquida em peitoris</t>
  </si>
  <si>
    <t>Impermeabilizante manta liquida branca</t>
  </si>
  <si>
    <t>Tratamento de ralo com manta de poliéster</t>
  </si>
  <si>
    <t>Veu de poliester para impermeabilizacao</t>
  </si>
  <si>
    <t>Argamassa ACIII</t>
  </si>
  <si>
    <t>Aditivo Bianco Adesivo Argamassa Chapisco </t>
  </si>
  <si>
    <t>Argamassa industrializada para Para Chapisco Colante</t>
  </si>
  <si>
    <t>Argamassa Usinada para emboço/massa única</t>
  </si>
  <si>
    <t>LIXA EM FOLHA PARA FERRO, NÚMERO 100</t>
  </si>
  <si>
    <t>CIMENTO BRANCO NÃO ESTRUTURAL</t>
  </si>
  <si>
    <t>ADESIVO DE BASE ACRÍLICA COMPATÍVEL COM CIMENTO</t>
  </si>
  <si>
    <t>Aditivo Adesivo Liquido Para Argamassas De Revestimentos Cimenticios</t>
  </si>
  <si>
    <t>Cer. Karina Artisan 60305 Act. 60x60 Ret</t>
  </si>
  <si>
    <t>Espeçador junta piso 2mm</t>
  </si>
  <si>
    <t>Rejunte Cimentício</t>
  </si>
  <si>
    <t xml:space="preserve">Porcelanato A 30x60 Polido </t>
  </si>
  <si>
    <t>Revestimento Pastilha 07x24cm</t>
  </si>
  <si>
    <t>Espeçador junta piso 3mm</t>
  </si>
  <si>
    <t>Revestimento Pastilha 14,5x14,5cm</t>
  </si>
  <si>
    <t>Peitoril em pedra natural,  esp. 2cm</t>
  </si>
  <si>
    <t>Pedra Natural  para Revestimento</t>
  </si>
  <si>
    <t>Massa Plastica 400g</t>
  </si>
  <si>
    <t>Madeira Amescla para acabamento</t>
  </si>
  <si>
    <t>Mão de obra instalação de forro de madeira</t>
  </si>
  <si>
    <t xml:space="preserve">Deck de madeira - material e mão de obra </t>
  </si>
  <si>
    <t>DECKS COMPOSTOS DE MADEIRA ECOLÓGICA PARA EXTERIORES</t>
  </si>
  <si>
    <t>Mão de obra de instalação de deck de madeira</t>
  </si>
  <si>
    <t>Revestimento de Piso Porcelanato Polido, Placa 90x90cm</t>
  </si>
  <si>
    <t xml:space="preserve">Porcelanato A 90x90 Polido </t>
  </si>
  <si>
    <t>Argamassa ACII</t>
  </si>
  <si>
    <t xml:space="preserve">Revestimento em Pastilhas Cerâmicas Para Piscinas , 14,5 x 14,5cm com Junta de 2mm </t>
  </si>
  <si>
    <t>Adesivo Acrilico De Base Aquosa / Cola De Contato</t>
  </si>
  <si>
    <t>Piso de borracha Daud botão preto 3 x 500 x 500 mm</t>
  </si>
  <si>
    <t>Instalação de piso emborrachado</t>
  </si>
  <si>
    <t>Rodapé de poliestireno h=10cm</t>
  </si>
  <si>
    <t>Rodape Em Poliestireno, H = 10cm</t>
  </si>
  <si>
    <t>Rodapé de porcelanato h=10cm</t>
  </si>
  <si>
    <t>PINTURA INTERNA</t>
  </si>
  <si>
    <t>Fita Crepe Rolo De 25 Mm X 50 M</t>
  </si>
  <si>
    <t>DILUENTE AGUARRAS</t>
  </si>
  <si>
    <t>TINTA ACRILICA PREMIUM </t>
  </si>
  <si>
    <t>Massa corrida para superfícies de ambientes internos</t>
  </si>
  <si>
    <t>Selador Primer Ibratin - 4,2kg - 3,6L</t>
  </si>
  <si>
    <t>MASSA PREMIUM PARA TEXTURA LISA DE BASE ACRILICA</t>
  </si>
  <si>
    <t>ESQUADRIAS</t>
  </si>
  <si>
    <t>FACHADA</t>
  </si>
  <si>
    <t>Espuma Tarugo Corpo de Apoio Tarucel 15mm (delimitador de profundidade)</t>
  </si>
  <si>
    <t>SELANTE ELASTICO MONOCOMPONENTE A BASE DE POLIURETANO (PU) PARA JUNTAS DIVERSAS</t>
  </si>
  <si>
    <t>Banheiro - Bacia Sanitária / Caixa Acoplada</t>
  </si>
  <si>
    <t>Banheiro - Bacia Sanitária PNE</t>
  </si>
  <si>
    <t>Banheiro - Cuba</t>
  </si>
  <si>
    <t>Banheiro - Cuba de Sobrepor - PNE</t>
  </si>
  <si>
    <t>Cuba Pia Cozinha - Lazer</t>
  </si>
  <si>
    <t>Cozinha - Cuba / Inox</t>
  </si>
  <si>
    <t>Tanque Inox</t>
  </si>
  <si>
    <t>Tanque Louça Suspenso</t>
  </si>
  <si>
    <t>Torneira Lavatório mesa</t>
  </si>
  <si>
    <t>Torneira tanque</t>
  </si>
  <si>
    <t>Torneira de Jardins</t>
  </si>
  <si>
    <t>Torneira misturador pia cozinha</t>
  </si>
  <si>
    <t>Ducha higienica</t>
  </si>
  <si>
    <t>Acabamento de Registro Comum</t>
  </si>
  <si>
    <t>Acabamento de Registro Pressão</t>
  </si>
  <si>
    <t>Barra de apoio PNE</t>
  </si>
  <si>
    <t>Chuveiro Elétrico</t>
  </si>
  <si>
    <t>Ducha</t>
  </si>
  <si>
    <t>MÃO DE OBRA</t>
  </si>
  <si>
    <t>Mão de obra de rodapé Poliestireno</t>
  </si>
  <si>
    <t>Mão de obra de rodapé Porcelanato</t>
  </si>
  <si>
    <t>Aço</t>
  </si>
  <si>
    <t>Equipamentos</t>
  </si>
  <si>
    <t>H</t>
  </si>
  <si>
    <t>MOSAICO</t>
  </si>
  <si>
    <t>GRUO DUO</t>
  </si>
  <si>
    <t>R00 - 06/10 - ANA LUISA</t>
  </si>
  <si>
    <t>ESTACAS</t>
  </si>
  <si>
    <t>ITEM</t>
  </si>
  <si>
    <t>TIPO</t>
  </si>
  <si>
    <t>QUANT</t>
  </si>
  <si>
    <t>DIMENSÕES UNITÁRIAS</t>
  </si>
  <si>
    <t>ESCAV</t>
  </si>
  <si>
    <t>BOTA-FORA</t>
  </si>
  <si>
    <t>CONCRETO</t>
  </si>
  <si>
    <t xml:space="preserve">QUANTIDADE POR ITEM CA-50 </t>
  </si>
  <si>
    <t>TAXA AÇO</t>
  </si>
  <si>
    <t>C. Topo</t>
  </si>
  <si>
    <t>C. Apoio</t>
  </si>
  <si>
    <t>Ø peça</t>
  </si>
  <si>
    <t>KG/M3</t>
  </si>
  <si>
    <t>PROJETO:  FG-BLC-BSDE-FUN-0003-R08</t>
  </si>
  <si>
    <t>Raiz diam 41 cm</t>
  </si>
  <si>
    <t>25 Mpa</t>
  </si>
  <si>
    <t>Raiz diam 31 cm</t>
  </si>
  <si>
    <t>Raiz diam 25 cm</t>
  </si>
  <si>
    <t>Raiz diam 20 cm</t>
  </si>
  <si>
    <t>TOTAL GERAL</t>
  </si>
  <si>
    <t>Arrasamento</t>
  </si>
  <si>
    <t>OBSERVAÇÕES:</t>
  </si>
  <si>
    <t xml:space="preserve">Hélice diam 35 cm </t>
  </si>
  <si>
    <t>.... MPa</t>
  </si>
  <si>
    <t xml:space="preserve">Hélice diam 40 cm </t>
  </si>
  <si>
    <t xml:space="preserve">Hélice diam 50 cm </t>
  </si>
  <si>
    <t xml:space="preserve">Hélice diam 60 cm </t>
  </si>
  <si>
    <t xml:space="preserve">Hélice diam 70 cm </t>
  </si>
  <si>
    <t xml:space="preserve">Hélice diam 80 cm </t>
  </si>
  <si>
    <t xml:space="preserve">Hélice diam 90 cm </t>
  </si>
  <si>
    <t xml:space="preserve">E.P. Hélice diam 70 cm </t>
  </si>
  <si>
    <t>CUSTO</t>
  </si>
  <si>
    <t>*proposta salva no drive</t>
  </si>
  <si>
    <t>Projeto:</t>
  </si>
  <si>
    <t>Empresa:</t>
  </si>
  <si>
    <t>Revisão:</t>
  </si>
  <si>
    <t>R00 - Modelo</t>
  </si>
  <si>
    <t>Lona</t>
  </si>
  <si>
    <t>Escavação</t>
  </si>
  <si>
    <t>Apiolamento</t>
  </si>
  <si>
    <t>Reaterro</t>
  </si>
  <si>
    <t>Bota Fora</t>
  </si>
  <si>
    <t>Lastro
brita</t>
  </si>
  <si>
    <t>Lastro
Concreto</t>
  </si>
  <si>
    <t>Imperm.</t>
  </si>
  <si>
    <t>20 Mpa</t>
  </si>
  <si>
    <t>30 Mpa</t>
  </si>
  <si>
    <t>35 Mpa</t>
  </si>
  <si>
    <t>40 Mpa</t>
  </si>
  <si>
    <t>45 Mpa</t>
  </si>
  <si>
    <t>Total
Concreto Projetista</t>
  </si>
  <si>
    <t>Fundação Rasa</t>
  </si>
  <si>
    <t>Laje Fundação</t>
  </si>
  <si>
    <t>BLOCOS QUADRADOS RETANGULARES</t>
  </si>
  <si>
    <t>Dimensões Unitárias - m</t>
  </si>
  <si>
    <t>Adição</t>
  </si>
  <si>
    <t>Quantidade de Serviços</t>
  </si>
  <si>
    <t>Detalhe Típico</t>
  </si>
  <si>
    <t>LARGURA</t>
  </si>
  <si>
    <t>COMPR</t>
  </si>
  <si>
    <t>ALTURA</t>
  </si>
  <si>
    <t>largura</t>
  </si>
  <si>
    <t>altura</t>
  </si>
  <si>
    <t>Escav</t>
  </si>
  <si>
    <t>Apiloam</t>
  </si>
  <si>
    <t>Bota-fora</t>
  </si>
  <si>
    <t xml:space="preserve">Lastro </t>
  </si>
  <si>
    <t>Fôrma</t>
  </si>
  <si>
    <t>Imperm</t>
  </si>
  <si>
    <t>A</t>
  </si>
  <si>
    <t>B</t>
  </si>
  <si>
    <t>C</t>
  </si>
  <si>
    <t>esp</t>
  </si>
  <si>
    <t>PROJETO: 004-24-EX-EST-PL-02-145-B</t>
  </si>
  <si>
    <t>Brita</t>
  </si>
  <si>
    <t>P1, P17, P26 e P37</t>
  </si>
  <si>
    <t>P3</t>
  </si>
  <si>
    <t>P4</t>
  </si>
  <si>
    <t>P5</t>
  </si>
  <si>
    <t>P6</t>
  </si>
  <si>
    <t>P7</t>
  </si>
  <si>
    <t>P8</t>
  </si>
  <si>
    <t>P9, P10 e P18</t>
  </si>
  <si>
    <t>P12</t>
  </si>
  <si>
    <t>P13</t>
  </si>
  <si>
    <t>P14</t>
  </si>
  <si>
    <t>P15</t>
  </si>
  <si>
    <t>P16</t>
  </si>
  <si>
    <t>P19</t>
  </si>
  <si>
    <t>P20</t>
  </si>
  <si>
    <t>P21</t>
  </si>
  <si>
    <t>P22</t>
  </si>
  <si>
    <t>P23</t>
  </si>
  <si>
    <t>P24</t>
  </si>
  <si>
    <t>P25</t>
  </si>
  <si>
    <t>P27</t>
  </si>
  <si>
    <t>P28</t>
  </si>
  <si>
    <t>P29</t>
  </si>
  <si>
    <t>P30</t>
  </si>
  <si>
    <t>P33</t>
  </si>
  <si>
    <t>P34</t>
  </si>
  <si>
    <t>P36</t>
  </si>
  <si>
    <t>P38</t>
  </si>
  <si>
    <t>P39</t>
  </si>
  <si>
    <t>P40</t>
  </si>
  <si>
    <t>P41</t>
  </si>
  <si>
    <t>P42</t>
  </si>
  <si>
    <t>P43</t>
  </si>
  <si>
    <t>P44</t>
  </si>
  <si>
    <t>BLOCOS TRIANGULARES</t>
  </si>
  <si>
    <t>LADO 1 DO BLOCO</t>
  </si>
  <si>
    <t>LADO 2 DO BLOCO</t>
  </si>
  <si>
    <t>LADO 3 DO BLOCO</t>
  </si>
  <si>
    <t>LADO 4 DO BLOCO</t>
  </si>
  <si>
    <t>LADO 5 DO BLOCO</t>
  </si>
  <si>
    <t>ALTURA DO BLOCO</t>
  </si>
  <si>
    <t>R</t>
  </si>
  <si>
    <t>h1 + h2</t>
  </si>
  <si>
    <t>h2</t>
  </si>
  <si>
    <t>b2</t>
  </si>
  <si>
    <t>b1</t>
  </si>
  <si>
    <t>Hb</t>
  </si>
  <si>
    <t>UD</t>
  </si>
  <si>
    <t xml:space="preserve">PROJETO: </t>
  </si>
  <si>
    <t>P2</t>
  </si>
  <si>
    <t>P11</t>
  </si>
  <si>
    <t>P31</t>
  </si>
  <si>
    <t>P32</t>
  </si>
  <si>
    <t>P35</t>
  </si>
  <si>
    <t>VIGAS  FUNDAÇÃO</t>
  </si>
  <si>
    <t>Quant.</t>
  </si>
  <si>
    <t>LARG</t>
  </si>
  <si>
    <t>COMP</t>
  </si>
  <si>
    <t>ALT</t>
  </si>
  <si>
    <t>lados</t>
  </si>
  <si>
    <t>15x135</t>
  </si>
  <si>
    <t>17x35</t>
  </si>
  <si>
    <t>17x60</t>
  </si>
  <si>
    <t>17x70</t>
  </si>
  <si>
    <t>17x135</t>
  </si>
  <si>
    <t>22x40</t>
  </si>
  <si>
    <t>22x60</t>
  </si>
  <si>
    <t>22x135</t>
  </si>
  <si>
    <t>30x80</t>
  </si>
  <si>
    <t>25x115</t>
  </si>
  <si>
    <t>DUTO E CISTERNA</t>
  </si>
  <si>
    <t>FORMA</t>
  </si>
  <si>
    <t>APILOA</t>
  </si>
  <si>
    <t>REATER</t>
  </si>
  <si>
    <t>BOTA FORA</t>
  </si>
  <si>
    <t>LASTRO</t>
  </si>
  <si>
    <t>IMPERM</t>
  </si>
  <si>
    <t>Área Externa</t>
  </si>
  <si>
    <t>Perímetro Externo</t>
  </si>
  <si>
    <t>Espessura Parede</t>
  </si>
  <si>
    <t>Esp</t>
  </si>
  <si>
    <t>PROJETO</t>
  </si>
  <si>
    <t>DEA</t>
  </si>
  <si>
    <t>DUTO</t>
  </si>
  <si>
    <t>CISTERNA</t>
  </si>
  <si>
    <t>C1-C2</t>
  </si>
  <si>
    <t>C3</t>
  </si>
  <si>
    <t>C4</t>
  </si>
  <si>
    <t>C5</t>
  </si>
  <si>
    <t>C6</t>
  </si>
  <si>
    <t>C7</t>
  </si>
  <si>
    <t>C8</t>
  </si>
  <si>
    <t>LAJE  FUNDAÇÃO</t>
  </si>
  <si>
    <t>LAJE / MOLDE</t>
  </si>
  <si>
    <t>ÁREA</t>
  </si>
  <si>
    <t>PERÍMETRO</t>
  </si>
  <si>
    <t>COEF</t>
  </si>
  <si>
    <t>UNIT</t>
  </si>
  <si>
    <t>L1</t>
  </si>
  <si>
    <t>MOLDADA IN LOCO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</si>
  <si>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</si>
  <si>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</si>
  <si>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</si>
  <si>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</si>
  <si>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</si>
  <si>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</si>
  <si>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</si>
  <si>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</si>
  <si>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</si>
  <si>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</si>
  <si>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</si>
  <si>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</si>
  <si>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</si>
  <si>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</si>
  <si>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</si>
  <si>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ELEVADOR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</si>
  <si>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</si>
  <si>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</si>
  <si>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</si>
  <si>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</si>
  <si>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</si>
  <si>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</si>
  <si>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</si>
  <si>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</si>
  <si>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</si>
  <si>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</si>
  <si>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</si>
  <si>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</si>
  <si>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</si>
  <si>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</si>
  <si>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</si>
  <si>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</si>
  <si>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</si>
  <si>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</si>
  <si>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</si>
  <si>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ARMAÇÃO FUNDAÇÃO DIRETA</t>
  </si>
  <si>
    <t>CA-60</t>
  </si>
  <si>
    <t xml:space="preserve">Forma </t>
  </si>
  <si>
    <t>TR 08644</t>
  </si>
  <si>
    <t>m³</t>
  </si>
  <si>
    <t>BLOCOS DE FUNDAÇÃO</t>
  </si>
  <si>
    <t>40 MPa</t>
  </si>
  <si>
    <t>DUTO - DEA</t>
  </si>
  <si>
    <t>PROJETO: 004-24-EX-EST-PL-19-145 / 004-24-EX-EST-PL-20-145 / 004-24-EX-EST-PL-21-145 / 004-24-EX-EST-PL-22-145</t>
  </si>
  <si>
    <t>LAJES</t>
  </si>
  <si>
    <t>PROJETO: 004-24-EX-EST-PL-14-145 / 004-24-EX-EST-PL-15-145 / 004-24-EX-EST-PL-16-145 / 004-24-EX-EST-PL-17-145 / 004-24-EX-EST-PL-18-145</t>
  </si>
  <si>
    <t>VIGAS</t>
  </si>
  <si>
    <t>35 MPa</t>
  </si>
  <si>
    <t>GRUPO DUO</t>
  </si>
  <si>
    <t>Origem</t>
  </si>
  <si>
    <t>6.3</t>
  </si>
  <si>
    <t>12.5</t>
  </si>
  <si>
    <t>Perfil Tubo Redondo</t>
  </si>
  <si>
    <t>Q92</t>
  </si>
  <si>
    <t>Q138</t>
  </si>
  <si>
    <t>Concreto 40MPa</t>
  </si>
  <si>
    <t>Area</t>
  </si>
  <si>
    <t>Enchimento EPS</t>
  </si>
  <si>
    <t>kgf</t>
  </si>
  <si>
    <t>323x9,52</t>
  </si>
  <si>
    <t>762x9,52</t>
  </si>
  <si>
    <t xml:space="preserve"> (m³)</t>
  </si>
  <si>
    <t xml:space="preserve"> (m²)</t>
  </si>
  <si>
    <t>50x50x15</t>
  </si>
  <si>
    <t>50x50x20</t>
  </si>
  <si>
    <t>Pilares</t>
  </si>
  <si>
    <t>Vigas</t>
  </si>
  <si>
    <t>ESTÁ NA INFRAESTRUTURA</t>
  </si>
  <si>
    <t>Escada</t>
  </si>
  <si>
    <t>1º TERREO</t>
  </si>
  <si>
    <t>VIgas</t>
  </si>
  <si>
    <t>Muros</t>
  </si>
  <si>
    <t>2º PAV</t>
  </si>
  <si>
    <t>Lajes Nervurada</t>
  </si>
  <si>
    <t>Escada e Rampa</t>
  </si>
  <si>
    <t>3º PAV</t>
  </si>
  <si>
    <t>Lajes Maciça</t>
  </si>
  <si>
    <t>4º PAV</t>
  </si>
  <si>
    <t>5º AO 7º PAV</t>
  </si>
  <si>
    <t>8º AO 11º PAV</t>
  </si>
  <si>
    <t>12º PAV</t>
  </si>
  <si>
    <t>13º PAV - MEZANINO</t>
  </si>
  <si>
    <t>14º PAV</t>
  </si>
  <si>
    <t>15º PAV - COBERTURA</t>
  </si>
  <si>
    <t>16º PAV - COBERTURA</t>
  </si>
  <si>
    <t>17º PAV - CASA DE MAQ</t>
  </si>
  <si>
    <t>18º PAV - BARRILETE</t>
  </si>
  <si>
    <t>19º PAV - FUNDO RESERVATORIO</t>
  </si>
  <si>
    <t>20º PAV - TAMPA RESERVATORIO</t>
  </si>
  <si>
    <t>DADOS</t>
  </si>
  <si>
    <t>Titulo</t>
  </si>
  <si>
    <t>QUANTITATIVO</t>
  </si>
  <si>
    <t>TEMPLATE GENERICO</t>
  </si>
  <si>
    <t>Cliente</t>
  </si>
  <si>
    <t>Cidade</t>
  </si>
  <si>
    <t>Endereço</t>
  </si>
  <si>
    <t>QUANTITATIVOS</t>
  </si>
  <si>
    <t>1.</t>
  </si>
  <si>
    <t>1.1.</t>
  </si>
  <si>
    <t>01_0 TÉRREO</t>
  </si>
  <si>
    <t>1.1.1</t>
  </si>
  <si>
    <t>BLOCO CERAMICO 0,09</t>
  </si>
  <si>
    <t>1.1.2</t>
  </si>
  <si>
    <t>BLOCO CERAMICO 0,14</t>
  </si>
  <si>
    <t>1.1.3</t>
  </si>
  <si>
    <t>BLOCO CERAMICO 0,17</t>
  </si>
  <si>
    <t>1.2.</t>
  </si>
  <si>
    <t>02_2º PAVTO</t>
  </si>
  <si>
    <t>1.2.1</t>
  </si>
  <si>
    <t>1.2.2</t>
  </si>
  <si>
    <t>1.3.</t>
  </si>
  <si>
    <t>03_3º PAVTO</t>
  </si>
  <si>
    <t>BLOCO CERAMICO 0,115</t>
  </si>
  <si>
    <t>1.3.1</t>
  </si>
  <si>
    <t>BLOCO ANTI CHAMAS 0,09</t>
  </si>
  <si>
    <t>1.3.2</t>
  </si>
  <si>
    <t>BLOCO ANTI CHAMAS 0,15</t>
  </si>
  <si>
    <t>1.3.3</t>
  </si>
  <si>
    <t>1.3.4</t>
  </si>
  <si>
    <t>1.4.</t>
  </si>
  <si>
    <t>04_4º PAVTO</t>
  </si>
  <si>
    <t>1.4.1</t>
  </si>
  <si>
    <t>VERGA/CONTRAVERGA</t>
  </si>
  <si>
    <t>1.4.2</t>
  </si>
  <si>
    <t>Contraverga em Janela</t>
  </si>
  <si>
    <t>1.4.3</t>
  </si>
  <si>
    <t>Encunhamento de alvenaria de vedação</t>
  </si>
  <si>
    <t>1.4.4</t>
  </si>
  <si>
    <t>1.5.</t>
  </si>
  <si>
    <t>05_5º PAVTO</t>
  </si>
  <si>
    <t>Verga em Janela</t>
  </si>
  <si>
    <t>1.5.1</t>
  </si>
  <si>
    <t>Verga em Porta</t>
  </si>
  <si>
    <t>1.5.2</t>
  </si>
  <si>
    <t>1.5.3</t>
  </si>
  <si>
    <t>1.5.4</t>
  </si>
  <si>
    <t>1.6.</t>
  </si>
  <si>
    <t>06_6º PAVTO</t>
  </si>
  <si>
    <t>REVESTIMENTO PAREDE INTERNO</t>
  </si>
  <si>
    <t>1.6.1</t>
  </si>
  <si>
    <t>EMBOÇO ARGAMASSADO EXTERNO</t>
  </si>
  <si>
    <t>1.6.2</t>
  </si>
  <si>
    <t>EMBOÇO ARGAMASSADO PARA ESTRUTURA EXTERNO</t>
  </si>
  <si>
    <t>1.6.3</t>
  </si>
  <si>
    <t>CHAPISCO ARGAMASSADO INTERNO</t>
  </si>
  <si>
    <t>1.6.4</t>
  </si>
  <si>
    <t>CHAPISCO ARGAMASSADO PARA ESTRUTURA INTERNO</t>
  </si>
  <si>
    <t>1.7.</t>
  </si>
  <si>
    <t>07_7º PAVTO</t>
  </si>
  <si>
    <t>REBOCO ARGAMASSADO INTERNO</t>
  </si>
  <si>
    <t>1.7.1</t>
  </si>
  <si>
    <t>REVESTIMENTO INTERNO, PAREDE - PORCELANATO</t>
  </si>
  <si>
    <t>1.7.2</t>
  </si>
  <si>
    <t>REVESTIMENTO INTERNO, PAREDE - CERAMICA</t>
  </si>
  <si>
    <t>1.7.3</t>
  </si>
  <si>
    <t>REVESTIMENTO INTERNO, PAREDE - PORCELANATO,  PISCINA</t>
  </si>
  <si>
    <t>1.7.4</t>
  </si>
  <si>
    <t>Moldura de acabamento de elevadores</t>
  </si>
  <si>
    <t>1.8.</t>
  </si>
  <si>
    <t>08_8º PAVTO</t>
  </si>
  <si>
    <t>1.8.1</t>
  </si>
  <si>
    <t>PROTEÇÃO MECÂNICA</t>
  </si>
  <si>
    <t>1.8.2</t>
  </si>
  <si>
    <t>REGULARIZAÇÃO</t>
  </si>
  <si>
    <t>1.8.3</t>
  </si>
  <si>
    <t>REGULARIZAÇÃO IMPERMEABILIZAÇÃO + TINTA, PAV. INSPEÇÃO</t>
  </si>
  <si>
    <t>1.8.4</t>
  </si>
  <si>
    <t>EMBOÇO ARGAMASSADO INTERNO</t>
  </si>
  <si>
    <t>1.9.</t>
  </si>
  <si>
    <t>09_9º PAVTO</t>
  </si>
  <si>
    <t>EMBOÇO ARGAMASSADO PARA ESTRUTURA INTERNO</t>
  </si>
  <si>
    <t>1.9.1</t>
  </si>
  <si>
    <t>1.9.2</t>
  </si>
  <si>
    <t>1.9.3</t>
  </si>
  <si>
    <t>1.9.4</t>
  </si>
  <si>
    <t>1.10.</t>
  </si>
  <si>
    <t>10_10º PAVTO</t>
  </si>
  <si>
    <t>IMPERMEABILIZAÇÃO</t>
  </si>
  <si>
    <t>1.10.1</t>
  </si>
  <si>
    <t>Geral</t>
  </si>
  <si>
    <t>1.10.2</t>
  </si>
  <si>
    <t>1.10.3</t>
  </si>
  <si>
    <t>1.10.4</t>
  </si>
  <si>
    <t>1.11.</t>
  </si>
  <si>
    <t>11_11º PAVTO</t>
  </si>
  <si>
    <t>1.11.1</t>
  </si>
  <si>
    <t>1.11.2</t>
  </si>
  <si>
    <t>wc</t>
  </si>
  <si>
    <t>Terraços</t>
  </si>
  <si>
    <t>1.11.3</t>
  </si>
  <si>
    <t>1.11.4</t>
  </si>
  <si>
    <t>1.12.</t>
  </si>
  <si>
    <t>12_12º PAVTO</t>
  </si>
  <si>
    <t>Esquadrias</t>
  </si>
  <si>
    <t>1.12.1</t>
  </si>
  <si>
    <t>1.12.2</t>
  </si>
  <si>
    <t>Deck</t>
  </si>
  <si>
    <t>1.12.3</t>
  </si>
  <si>
    <t>Piscina</t>
  </si>
  <si>
    <t>1.12.4</t>
  </si>
  <si>
    <t>IMPERMEABILIZAÇÃO + TINTA, ELEVADOR</t>
  </si>
  <si>
    <t>1.13.</t>
  </si>
  <si>
    <t>13_12º PAV./MEZAN.</t>
  </si>
  <si>
    <t>1.13.1</t>
  </si>
  <si>
    <t>1.13.2</t>
  </si>
  <si>
    <t>1.13.3</t>
  </si>
  <si>
    <t>REVESTIMENTO TETO</t>
  </si>
  <si>
    <t>1.13.4</t>
  </si>
  <si>
    <t>GESSO ACARTONADO + SELADOR + MASSA E LIXAMENTO + TINTAFORRO</t>
  </si>
  <si>
    <t>1.14.</t>
  </si>
  <si>
    <t>14_13º INSPEÇÃO</t>
  </si>
  <si>
    <t>ESTRUTURA RIPADA DE MADEIRACOBERTURA DE VIDRO - PERGOLADO</t>
  </si>
  <si>
    <t>1.14.1</t>
  </si>
  <si>
    <t>ARGAMASSADO EM TETO</t>
  </si>
  <si>
    <t>1.14.2</t>
  </si>
  <si>
    <t>ARGAMASSADO INTERNO EM TETO</t>
  </si>
  <si>
    <t>1.15.</t>
  </si>
  <si>
    <t>15_13º PAV./COBER.</t>
  </si>
  <si>
    <t>PINTURA EM TETO</t>
  </si>
  <si>
    <t>1.15.1</t>
  </si>
  <si>
    <t>SELADOR EM TETO</t>
  </si>
  <si>
    <t>1.15.2</t>
  </si>
  <si>
    <t>TEXTURA EM TETO</t>
  </si>
  <si>
    <t>1.15.3</t>
  </si>
  <si>
    <t>MASSA EM TETO</t>
  </si>
  <si>
    <t>1.15.4</t>
  </si>
  <si>
    <t>1.16.</t>
  </si>
  <si>
    <t>16_14º CASA DE MÁQUINAS</t>
  </si>
  <si>
    <t>1.16.1</t>
  </si>
  <si>
    <t>1.17.</t>
  </si>
  <si>
    <t>17_15º TELHADO/RES.</t>
  </si>
  <si>
    <t>REVESTIMENTO PISO</t>
  </si>
  <si>
    <t>1.17.1</t>
  </si>
  <si>
    <t>CERÂMICA CONTRAPISO COMUM, 0,05</t>
  </si>
  <si>
    <t>2.</t>
  </si>
  <si>
    <t>Alvenaria de vedação com bocos acf</t>
  </si>
  <si>
    <t>CONTRAPISO COMUM, 0,05</t>
  </si>
  <si>
    <t>2.1.</t>
  </si>
  <si>
    <t>CONTRAPISO COMUM, 0,08</t>
  </si>
  <si>
    <t>2.1.1</t>
  </si>
  <si>
    <t>CONTRAPISO - PEITORIL</t>
  </si>
  <si>
    <t>2.1.2</t>
  </si>
  <si>
    <t>CONTRAPISO - SOLEIRA</t>
  </si>
  <si>
    <t>2.2.</t>
  </si>
  <si>
    <t>REVESTIMENTO - PISO LADRILHO HIDRÁULICO</t>
  </si>
  <si>
    <t>2.2.1</t>
  </si>
  <si>
    <t>REVESTIMENTO - PISO CERÂMICA</t>
  </si>
  <si>
    <t>2.2.2</t>
  </si>
  <si>
    <t>REVESTIMENTO - PISO PORCELANATO</t>
  </si>
  <si>
    <t>2.3.</t>
  </si>
  <si>
    <t>REVESTIMENTO - PISO PEÇAS CERÂMICAS 7,5X7,5</t>
  </si>
  <si>
    <t>2.3.1</t>
  </si>
  <si>
    <t>REVESTIMENTO - PISO MADEIRA  - DECK COBERTURA (PISCINA)</t>
  </si>
  <si>
    <t>2.3.2</t>
  </si>
  <si>
    <t>REVESTIMENTO - PISO EMBORRACHADO  - FITNESS</t>
  </si>
  <si>
    <t>2.4.</t>
  </si>
  <si>
    <t>REVESTIMENTO - PEITORIL,  PEDRA NATURAL</t>
  </si>
  <si>
    <t>2.4.1</t>
  </si>
  <si>
    <t>REVESTIMENTO - PEITORIL,  SEM</t>
  </si>
  <si>
    <t>2.4.2</t>
  </si>
  <si>
    <t>REVESTIMENTO - PEITORIL,  PEDRA BASALTO</t>
  </si>
  <si>
    <t>2.5.</t>
  </si>
  <si>
    <t>2.5.1</t>
  </si>
  <si>
    <t>2.5.2</t>
  </si>
  <si>
    <t>2.6.</t>
  </si>
  <si>
    <t>2.6.1</t>
  </si>
  <si>
    <t>PG01 - PORTÃO BASCULANTE, 1 FOLHA, A DEFINIR, 300 x 250 cm</t>
  </si>
  <si>
    <t>2.6.2</t>
  </si>
  <si>
    <t>PG02 - PORTÃO BASCULANTE, 1 FOLHA, A DEFINIR, 350 x 250 cm</t>
  </si>
  <si>
    <t>2.7.</t>
  </si>
  <si>
    <t>ALUMINIO DE VIDRO</t>
  </si>
  <si>
    <t>PT01 - PORTA DE ABRIR, 1+1 FOLHAS, ALUMINIO E VIDRO, 113 x 290 cm</t>
  </si>
  <si>
    <t>2.7.1</t>
  </si>
  <si>
    <t>PT01 - PORTA FIXA, 1+1 FOLHAS, ALUMINIO E VIDRO, 222.02 x 290 cm</t>
  </si>
  <si>
    <t>2.7.2</t>
  </si>
  <si>
    <t>PT01 - PORTA FIXA, 1+1 FOLHAS, ALUMINIO E VIDRO, 245.1 x 290 cm</t>
  </si>
  <si>
    <t>2.8.</t>
  </si>
  <si>
    <t>V01 - PORTA FIXA, 1+1 FOLHAS, ALUMINIO E VIDRO, 421.50 x 290 cm</t>
  </si>
  <si>
    <t>2.8.1</t>
  </si>
  <si>
    <t>V02 - PORTA DE ABRIR, 1+1 FOLHAS, ALUMINIO E VIDRO, 100 x 290 cm</t>
  </si>
  <si>
    <t>2.8.2</t>
  </si>
  <si>
    <t>V02 - PORTA FIXA, 1+1 FOLHAS, ALUMINIO E VIDRO, 431.50 x 290 cm</t>
  </si>
  <si>
    <t>2.9.</t>
  </si>
  <si>
    <t>V03 - PORTA DE ABRIR, 1+1 FOLHAS, ALUMINIO E VIDRO, 113 x 290 cm</t>
  </si>
  <si>
    <t>2.9.1</t>
  </si>
  <si>
    <t>V03 - PORTA FIXA, 1+1 FOLHAS, ALUMINIO E VIDRO, 222.02 x 290 cm</t>
  </si>
  <si>
    <t>2.9.2</t>
  </si>
  <si>
    <t>V03 - PORTA FIXA, 1+1 FOLHAS, ALUMINIO E VIDRO, 245.1 x 290 cm</t>
  </si>
  <si>
    <t>2.10.</t>
  </si>
  <si>
    <t>PCF01 - PORTA DE ABRIR, 1 FOLHA, AÇO GALVANIZADO, 90 x 210 cm</t>
  </si>
  <si>
    <t>2.10.1</t>
  </si>
  <si>
    <t>JA01 - JANELA DE CORRER, 4 FOLHAS, ALUMÍNIO E VIDRO, 425 x 205 cm</t>
  </si>
  <si>
    <t>2.10.2</t>
  </si>
  <si>
    <t>JA02 - JANELA DE CORRER, 2 FOLHAS, ALUMÍNIO E VIDRO, 200 x 155 cm</t>
  </si>
  <si>
    <t>2.11.</t>
  </si>
  <si>
    <t>JA03 - JANELA DE CORRER, 2 FOLHAS, ALUMÍNIO E VIDRO, 120 x 135 cm</t>
  </si>
  <si>
    <t>2.11.1</t>
  </si>
  <si>
    <t>JA04 - JANELA FIXA, 1 FOLHA, ALUMÍNIO E VIDRO, 350 x 240 cm</t>
  </si>
  <si>
    <t>2.11.2</t>
  </si>
  <si>
    <t>JA05 - JANELA MAXIM-AR, 1 FOLHA, ALUMÍNIO E VIDRO, 80 x 140 cm</t>
  </si>
  <si>
    <t>2.12.</t>
  </si>
  <si>
    <t>JA06 - JANELA CORRER, 4 FOLHAS, ALUMÍNIO E VIDRO, 425 x 190 cm</t>
  </si>
  <si>
    <t>2.12.1</t>
  </si>
  <si>
    <t>JA07 - JANELA MAXIM-AR, 1 FOLHA, ALUMÍNIO E VIDRO, 80 x 105 cm</t>
  </si>
  <si>
    <t>2.12.2</t>
  </si>
  <si>
    <t>JA08 - JANELA MAXIM-AR, 1 FOLHA, ALUMÍNIO E VIDRO, 80 x 90 cm</t>
  </si>
  <si>
    <t>2.13.</t>
  </si>
  <si>
    <t>JA09 - JANELA FIXA, 1 FOLHA, ALUMÍNIO E VIDRO, 420 x 240 cm</t>
  </si>
  <si>
    <t>2.13.1</t>
  </si>
  <si>
    <t>JA10 - JANELA MAXIM-AR, 2 FOLHAS, ALUMÍNIO E VIDRO, 230 x 90 cm</t>
  </si>
  <si>
    <t>2.13.2</t>
  </si>
  <si>
    <t>JA11 - JANELA FIXA, 1 FOLHA, ALUMÍNIO E VIDRO, 130 x 180 cm</t>
  </si>
  <si>
    <t>2.14.</t>
  </si>
  <si>
    <t>JA12 - JANELA FIXA, 1 FOLHA, ALUMÍNIO E VIDRO, 110 x 180 cm</t>
  </si>
  <si>
    <t>2.14.1</t>
  </si>
  <si>
    <t>JA13 - JANELA DE CORRER, 2 FOLHAS, ALUMÍNIO E VIDRO, 230 x 140 cm</t>
  </si>
  <si>
    <t>2.14.2</t>
  </si>
  <si>
    <t>JA14 - JANELA DE CORRER, 2 FOLHAS, ALUMÍNIO E VIDRO, 180 x 140 cm</t>
  </si>
  <si>
    <t>2.15.</t>
  </si>
  <si>
    <t>JA18 - JANELA FIXA, 1 FOLHA, ALUMÍNIO E VIDRO, 425 x 240 cm</t>
  </si>
  <si>
    <t>2.15.1</t>
  </si>
  <si>
    <t>JA19 - JANELA FIXA, 1 FOLHA, ALUMÍNIO E VIDRO, 120 x 130 cm</t>
  </si>
  <si>
    <t>2.15.2</t>
  </si>
  <si>
    <t>PJA01 - PORTA-JANELA DE CORRER, 3 FOLHAS, ALUMÍNIO E VIDRO, 460 x 255 cm</t>
  </si>
  <si>
    <t>2.16.</t>
  </si>
  <si>
    <t>PJA02 - PORTA-JANELA DE CORRER, 3 FOLHAS, ALUMÍNIO E VIDRO, 450 x 255 cm</t>
  </si>
  <si>
    <t>2.16.1</t>
  </si>
  <si>
    <t>PJA03 - PORTA-JANELA CORRER, 2 FOLHAS, ALUMÍNIO E VIDRO, 200 x 255 cm</t>
  </si>
  <si>
    <t>2.16.2</t>
  </si>
  <si>
    <t>PJA04 - PORTA-JANELA CORRER, 2 FOLHAS, ALUMÍNIO E VIDRO, 180 x 255 cm</t>
  </si>
  <si>
    <t>3.</t>
  </si>
  <si>
    <t>Serviços complementares para alvenaria</t>
  </si>
  <si>
    <t>PJA05 - PORTA-JANELA CORRER, 2 FOLHAS, ALUMÍNIO E VIDRO, 250 x 240 cm</t>
  </si>
  <si>
    <t>3.1.</t>
  </si>
  <si>
    <t>PJA06 - PORTA-JANELA CORRER, 2 FOLHAS, ALUMÍNIO E VIDRO, 180 x 240 cm</t>
  </si>
  <si>
    <t>3.1.1</t>
  </si>
  <si>
    <t>PJA07 - PORTA-JANELA CORRER, 4 FOLHAS, ALUMÍNIO E VIDRO, 460 x 240 cm</t>
  </si>
  <si>
    <t>3.1.2</t>
  </si>
  <si>
    <t>PJA08 - PORTA-JANELA CORRER, 4 FOLHAS, ALUMÍNIO E VIDRO, 420 x 240 cm</t>
  </si>
  <si>
    <t>3.1.3</t>
  </si>
  <si>
    <t>PJA09 - PORTA-JANELA CORRER, 4 FOLHAS, ALUMÍNIO E VIDRO, 515 x 255 cm</t>
  </si>
  <si>
    <t>3.1.4</t>
  </si>
  <si>
    <t>PJA10 - PORTA-JANELA CORRER, 4 FOLHAS, ALUMÍNIO E VIDRO, 425 x 255 cm</t>
  </si>
  <si>
    <t>3.1.5</t>
  </si>
  <si>
    <t>PJA11 - PORTA-JANELA DE CORRER, 3 FOLHAS, ALUMÍNIO E VIDRO, 380 x 255 cm</t>
  </si>
  <si>
    <t>3.2.</t>
  </si>
  <si>
    <t>PA07 - JANELA FIXA, 1 FOLHA, ALUMÍNIO E VIDRO, 100 x 230 cm</t>
  </si>
  <si>
    <t>3.2.1</t>
  </si>
  <si>
    <t>PA07 - PORTA DE ABRIR, 1 FOLHA, ALUMINIO E VIDRO, 90 x 230 cm</t>
  </si>
  <si>
    <t>3.2.2</t>
  </si>
  <si>
    <t>PA08 - JANELA FIXA, 1 FOLHA, ALUMÍNIO E VIDRO, 20 x 230 cm</t>
  </si>
  <si>
    <t>3.2.3</t>
  </si>
  <si>
    <t>PA08 - PORTA DE ABRIR, 1 FOLHA, ALUMINIO E VIDRO, 90 x 230 cm</t>
  </si>
  <si>
    <t>3.2.4</t>
  </si>
  <si>
    <t>PA10 - JANELA FIXA, 1 FOLHA, ALUMÍNIO E VIDRO, 105 x 210 cm</t>
  </si>
  <si>
    <t>3.2.5</t>
  </si>
  <si>
    <t>PA10 - PORTA DE ABRIR, 1 FOLHA, ALUMINIO E VIDRO, 94.64 x 210 cm</t>
  </si>
  <si>
    <t>3.3.</t>
  </si>
  <si>
    <t>GUARDA-CORPO, ALUMÍNIO E VIDRO</t>
  </si>
  <si>
    <t>3.3.1</t>
  </si>
  <si>
    <t>55_DIVISÓRIA EM VIDRO  -  DIVISÓRIA EM VIDRO SKYLINE HYDRO, CEBRACE HABITAT PRATA, LAMINADO 21 mm,</t>
  </si>
  <si>
    <t>3.3.2</t>
  </si>
  <si>
    <t>MADEIRA</t>
  </si>
  <si>
    <t>PM01 - PORTA DE ABRIR, 1 FOLHA, MADEIRA, 60 x 210 cm</t>
  </si>
  <si>
    <t>3.3.3</t>
  </si>
  <si>
    <t>PM02 - PORTA DE ABRIR, 1 FOLHA, MADEIRA, 70 x 210 cm</t>
  </si>
  <si>
    <t>3.3.4</t>
  </si>
  <si>
    <t>PM03 - PORTA DE ABRIR, 1 FOLHA, MADEIRA, 80 x 210 cm</t>
  </si>
  <si>
    <t>3.3.5</t>
  </si>
  <si>
    <t>PM04 - PORTA DE ABRIR, 1 FOLHA, MADEIRA, 90 x 210 cm</t>
  </si>
  <si>
    <t>3.4.</t>
  </si>
  <si>
    <t>CORRIMÃO ESCADA_PAREDE - MADEIRA</t>
  </si>
  <si>
    <t>3.4.1</t>
  </si>
  <si>
    <t>ALUMINIO</t>
  </si>
  <si>
    <t>Contramarco de Alumínio</t>
  </si>
  <si>
    <t>3.4.2</t>
  </si>
  <si>
    <t>JA15 - JANELA FIXA, 1 FOLHA, ALUMÍNIO E VENEZIANADO, 90 x 120 cm</t>
  </si>
  <si>
    <t>3.4.3</t>
  </si>
  <si>
    <t>JA16 - JANELA FIXA, 1 FOLHA, ALUMÍNIO E VENEZIANADO, 140 x 60 cm</t>
  </si>
  <si>
    <t>3.4.4</t>
  </si>
  <si>
    <t>JA17 - JANELA FIXA, 1 FOLHA, ALUMÍNIO E VENEZIANADO, 80 x 250 cm</t>
  </si>
  <si>
    <t>3.4.5</t>
  </si>
  <si>
    <t>JA20 - JANELA FIXA, 1 FOLHA, ALUMÍNIO E VENEZIANADO, 245 x 115 cm</t>
  </si>
  <si>
    <t>3.5.</t>
  </si>
  <si>
    <t>PA01 - PORTA DE ABRIR, 1 FOLHA, ALUMINIO VENEZIANA, 60 x 210 cm</t>
  </si>
  <si>
    <t>3.5.1</t>
  </si>
  <si>
    <t>PA02 - PORTA DE ABRIR, 1 FOLHA, ALUMINIO VENEZIANA, 70 x 210 cm</t>
  </si>
  <si>
    <t>3.5.2</t>
  </si>
  <si>
    <t>PA03 - PORTA DE ABRIR, 1 FOLHA, ALUMINIO VENEZIANA, 80 x 210 cm</t>
  </si>
  <si>
    <t>3.5.3</t>
  </si>
  <si>
    <t>3.5.4</t>
  </si>
  <si>
    <t>PA04 - PORTA SANFONADA, 4 FOLHAS, ALUMINIO VENEZIANA, 397 x 207 cm</t>
  </si>
  <si>
    <t>3.5.5</t>
  </si>
  <si>
    <t>PA05 - PORTA DE ABRIR, 1 FOLHA, ALUMINIO, 80 x 210 cm</t>
  </si>
  <si>
    <t>3.6.</t>
  </si>
  <si>
    <t>PA09 - PORTA DE ABRIR, 2 FOLHAS, ALUMINIO, 140 x 150 cm</t>
  </si>
  <si>
    <t>3.6.1</t>
  </si>
  <si>
    <t>PA11 - PORTA DE ABRIR, 1 FOLHA, ALUMINIO, 90 x 230 cm</t>
  </si>
  <si>
    <t>3.6.2</t>
  </si>
  <si>
    <t>METAL</t>
  </si>
  <si>
    <t>Contramarco de Porta corta-fogo</t>
  </si>
  <si>
    <t>3.6.3</t>
  </si>
  <si>
    <t>GUARDA CORPO METALICO</t>
  </si>
  <si>
    <t>3.6.4</t>
  </si>
  <si>
    <t>PA06 - PORTA DE ABRIR, 1 FOLHA, GRADE METÁLICA, 80 x 210 cm</t>
  </si>
  <si>
    <t>3.6.5</t>
  </si>
  <si>
    <t>3.7.</t>
  </si>
  <si>
    <t>3.7.1</t>
  </si>
  <si>
    <t>3.7.2</t>
  </si>
  <si>
    <t>3.7.3</t>
  </si>
  <si>
    <t>REVESTIMENTO - PINTURA  - FLOREIRA</t>
  </si>
  <si>
    <t>3.7.4</t>
  </si>
  <si>
    <t>REVESTIMENTO - PINTURA  - FOSSO DO ELEVADOR (TÉRREO)</t>
  </si>
  <si>
    <t>3.7.5</t>
  </si>
  <si>
    <t>REVESTIMENTO INTERNO, PAREDE - PINTURA</t>
  </si>
  <si>
    <t>3.8.</t>
  </si>
  <si>
    <t>REVESTIMENTO INTERNO, PAREDE - SELADOR</t>
  </si>
  <si>
    <t>3.8.1</t>
  </si>
  <si>
    <t>REVESTIMENTO INTERNO, PAREDE - TEXTURA</t>
  </si>
  <si>
    <t>3.8.2</t>
  </si>
  <si>
    <t>REVESTIMENTO INTERNO, PAREDE - MASSA</t>
  </si>
  <si>
    <t>3.8.3</t>
  </si>
  <si>
    <t>3.8.4</t>
  </si>
  <si>
    <t>3.8.5</t>
  </si>
  <si>
    <t>3.9.</t>
  </si>
  <si>
    <t>REVESTIMENTO EXTERNO</t>
  </si>
  <si>
    <t>3.9.1</t>
  </si>
  <si>
    <t>CHAPISCO ARGAMASSADO PARA ESTRUTURA EXTERNO</t>
  </si>
  <si>
    <t>3.9.2</t>
  </si>
  <si>
    <t>CHAPISCO ARGAMASSADO EXTERNO</t>
  </si>
  <si>
    <t>3.9.3</t>
  </si>
  <si>
    <t>REBOCO ARGAMASSADO EXTERNO</t>
  </si>
  <si>
    <t>3.9.4</t>
  </si>
  <si>
    <t>CONCRETO APARENTE,</t>
  </si>
  <si>
    <t>3.9.5</t>
  </si>
  <si>
    <t>REVESTIMENTO FACHADA ESTRUTURA - COR 1 - REVESTIMENTO EM PLACA DE ACM  -  PLACA DE ACM (A DEFINIR),</t>
  </si>
  <si>
    <t>3.10.</t>
  </si>
  <si>
    <t>REVESTIMENTO FACHADA PAREDE - COR 1 - REVESTIMENTO EM PLACA DE ACM  -  PLACA DE ACM (A DEFINIR),</t>
  </si>
  <si>
    <t>3.10.1</t>
  </si>
  <si>
    <t>55_BRISE 10cm  -  FACHADA - BRISE A DEFINIR,</t>
  </si>
  <si>
    <t>3.10.2</t>
  </si>
  <si>
    <t>REVESTIMENTO EXTERNO - PINTURA PARA FACHADA, PINTURA SUVINIL PATATIVA</t>
  </si>
  <si>
    <t>3.10.3</t>
  </si>
  <si>
    <t>REVESTIMENTO EXTERNO - PINTURA PARA FACHADA, FLOREIRA</t>
  </si>
  <si>
    <t>3.10.4</t>
  </si>
  <si>
    <t>REVESTIMENTO EXTERNO - SELADOR PARA FACHADA, FLOREIRA</t>
  </si>
  <si>
    <t>3.10.5</t>
  </si>
  <si>
    <t>REVESTIMENTO EXTERNO -  FACHADA - BRISE EM ALUMÍNIO,</t>
  </si>
  <si>
    <t>3.11.</t>
  </si>
  <si>
    <t>REVESTIMENTO EXTERNO -  CABO DE AÇO - 10mm,</t>
  </si>
  <si>
    <t>3.11.1</t>
  </si>
  <si>
    <t>REVESTIMENTO EXTERNO -  CONCRETO APARENTE,</t>
  </si>
  <si>
    <t>3.11.2</t>
  </si>
  <si>
    <t>REVESTIMENTO EXTERNO -  PLACA DE ACM (A DEFINIR),</t>
  </si>
  <si>
    <t>3.11.3</t>
  </si>
  <si>
    <t>PISO - CALÇADA PISANTES, CONCRETO USINADO - PLACA DE CONCRETO PRÉ-MOLDADO (LAJOTA)</t>
  </si>
  <si>
    <t>3.11.4</t>
  </si>
  <si>
    <t>PISO - CALÇADA GRAMA, GRAMA</t>
  </si>
  <si>
    <t>3.11.5</t>
  </si>
  <si>
    <t>PISO - PASSEIO, LADRILHO HIDRÁULICO</t>
  </si>
  <si>
    <t>3.12.</t>
  </si>
  <si>
    <t>PERGOLADO COB. DUP. SUP:PERGOLADO COB. DUP. SUPPERGOLADO COB. DUP. SUP</t>
  </si>
  <si>
    <t>3.12.1</t>
  </si>
  <si>
    <t>REVESTIMENTO EXTERNO -  FACHADA - BRISE A DEFINIR,</t>
  </si>
  <si>
    <t>3.12.2</t>
  </si>
  <si>
    <t>3.12.3</t>
  </si>
  <si>
    <t>3.12.4</t>
  </si>
  <si>
    <t>3.12.5</t>
  </si>
  <si>
    <t>3.13.</t>
  </si>
  <si>
    <t>3.13.1</t>
  </si>
  <si>
    <t>3.13.2</t>
  </si>
  <si>
    <t>3.13.3</t>
  </si>
  <si>
    <t>3.13.4</t>
  </si>
  <si>
    <t>3.13.5</t>
  </si>
  <si>
    <t>3.14.</t>
  </si>
  <si>
    <t>3.14.1</t>
  </si>
  <si>
    <t>3.14.2</t>
  </si>
  <si>
    <t>3.15.</t>
  </si>
  <si>
    <t>3.15.1</t>
  </si>
  <si>
    <t>3.15.2</t>
  </si>
  <si>
    <t>3.15.3</t>
  </si>
  <si>
    <t>3.15.4</t>
  </si>
  <si>
    <t>3.15.5</t>
  </si>
  <si>
    <t>3.16.</t>
  </si>
  <si>
    <t>3.16.1</t>
  </si>
  <si>
    <t>3.16.2</t>
  </si>
  <si>
    <t>3.16.3</t>
  </si>
  <si>
    <t>3.17.</t>
  </si>
  <si>
    <t>3.17.1</t>
  </si>
  <si>
    <t>3.17.2</t>
  </si>
  <si>
    <t>4.</t>
  </si>
  <si>
    <t>Emboço Externo</t>
  </si>
  <si>
    <t>4.1.</t>
  </si>
  <si>
    <t>4.1.1</t>
  </si>
  <si>
    <t>4.1.2</t>
  </si>
  <si>
    <t>4.2.</t>
  </si>
  <si>
    <t>4.2.1</t>
  </si>
  <si>
    <t>4.2.2</t>
  </si>
  <si>
    <t>5.</t>
  </si>
  <si>
    <t>Emboço Interno</t>
  </si>
  <si>
    <t>5.1.</t>
  </si>
  <si>
    <t>5.1.1</t>
  </si>
  <si>
    <t>5.1.2</t>
  </si>
  <si>
    <t>5.2.</t>
  </si>
  <si>
    <t>5.2.1</t>
  </si>
  <si>
    <t>5.2.2</t>
  </si>
  <si>
    <t>5.3.</t>
  </si>
  <si>
    <t>5.3.1</t>
  </si>
  <si>
    <t>5.3.2</t>
  </si>
  <si>
    <t>5.4.</t>
  </si>
  <si>
    <t>5.4.1</t>
  </si>
  <si>
    <t>5.4.2</t>
  </si>
  <si>
    <t>5.5.</t>
  </si>
  <si>
    <t>5.5.1</t>
  </si>
  <si>
    <t>5.5.2</t>
  </si>
  <si>
    <t>5.6.</t>
  </si>
  <si>
    <t>5.6.1</t>
  </si>
  <si>
    <t>5.6.2</t>
  </si>
  <si>
    <t>5.7.</t>
  </si>
  <si>
    <t>5.7.1</t>
  </si>
  <si>
    <t>5.7.2</t>
  </si>
  <si>
    <t>5.8.</t>
  </si>
  <si>
    <t>5.8.1</t>
  </si>
  <si>
    <t>5.8.2</t>
  </si>
  <si>
    <t>5.9.</t>
  </si>
  <si>
    <t>5.9.1</t>
  </si>
  <si>
    <t>5.9.2</t>
  </si>
  <si>
    <t>5.10.</t>
  </si>
  <si>
    <t>5.10.1</t>
  </si>
  <si>
    <t>5.10.2</t>
  </si>
  <si>
    <t>5.11.</t>
  </si>
  <si>
    <t>5.11.1</t>
  </si>
  <si>
    <t>5.11.2</t>
  </si>
  <si>
    <t>5.12.</t>
  </si>
  <si>
    <t>5.12.1</t>
  </si>
  <si>
    <t>5.12.2</t>
  </si>
  <si>
    <t>5.13.</t>
  </si>
  <si>
    <t>5.13.1</t>
  </si>
  <si>
    <t>5.13.2</t>
  </si>
  <si>
    <t>5.14.</t>
  </si>
  <si>
    <t>5.14.1</t>
  </si>
  <si>
    <t>5.14.2</t>
  </si>
  <si>
    <t>5.15.</t>
  </si>
  <si>
    <t>5.15.1</t>
  </si>
  <si>
    <t>5.15.2</t>
  </si>
  <si>
    <t>5.16.</t>
  </si>
  <si>
    <t>5.16.1</t>
  </si>
  <si>
    <t>5.16.2</t>
  </si>
  <si>
    <t>5.17.</t>
  </si>
  <si>
    <t>5.17.1</t>
  </si>
  <si>
    <t>5.17.2</t>
  </si>
  <si>
    <t>5.18.</t>
  </si>
  <si>
    <t>18_16º FUNDO RES.</t>
  </si>
  <si>
    <t>5.18.1</t>
  </si>
  <si>
    <t>6.</t>
  </si>
  <si>
    <t>Chapisco Interno</t>
  </si>
  <si>
    <t>6.1.</t>
  </si>
  <si>
    <t>6.1.1</t>
  </si>
  <si>
    <t>6.1.2</t>
  </si>
  <si>
    <t>6.2.</t>
  </si>
  <si>
    <t>6.2.1</t>
  </si>
  <si>
    <t>6.2.2</t>
  </si>
  <si>
    <t>6.3.</t>
  </si>
  <si>
    <t>6.3.1</t>
  </si>
  <si>
    <t>6.3.2</t>
  </si>
  <si>
    <t>6.4.</t>
  </si>
  <si>
    <t>6.4.1</t>
  </si>
  <si>
    <t>6.4.2</t>
  </si>
  <si>
    <t>6.5.</t>
  </si>
  <si>
    <t>6.5.1</t>
  </si>
  <si>
    <t>6.5.2</t>
  </si>
  <si>
    <t>6.6.</t>
  </si>
  <si>
    <t>6.6.1</t>
  </si>
  <si>
    <t>6.6.2</t>
  </si>
  <si>
    <t>6.7.</t>
  </si>
  <si>
    <t>6.7.1</t>
  </si>
  <si>
    <t>6.7.2</t>
  </si>
  <si>
    <t>6.8.</t>
  </si>
  <si>
    <t>6.8.1</t>
  </si>
  <si>
    <t>6.8.2</t>
  </si>
  <si>
    <t>6.9.</t>
  </si>
  <si>
    <t>6.9.1</t>
  </si>
  <si>
    <t>6.9.2</t>
  </si>
  <si>
    <t>6.10.</t>
  </si>
  <si>
    <t>6.10.1</t>
  </si>
  <si>
    <t>6.10.2</t>
  </si>
  <si>
    <t>6.11.</t>
  </si>
  <si>
    <t>6.11.1</t>
  </si>
  <si>
    <t>6.11.2</t>
  </si>
  <si>
    <t>6.12.</t>
  </si>
  <si>
    <t>6.12.1</t>
  </si>
  <si>
    <t>6.12.2</t>
  </si>
  <si>
    <t>6.13.</t>
  </si>
  <si>
    <t>6.13.1</t>
  </si>
  <si>
    <t>6.13.2</t>
  </si>
  <si>
    <t>6.14.</t>
  </si>
  <si>
    <t>6.14.1</t>
  </si>
  <si>
    <t>6.14.2</t>
  </si>
  <si>
    <t>6.15.</t>
  </si>
  <si>
    <t>6.15.1</t>
  </si>
  <si>
    <t>6.15.2</t>
  </si>
  <si>
    <t>6.16.</t>
  </si>
  <si>
    <t>6.16.1</t>
  </si>
  <si>
    <t>6.16.2</t>
  </si>
  <si>
    <t>6.17.</t>
  </si>
  <si>
    <t>6.17.1</t>
  </si>
  <si>
    <t>6.17.2</t>
  </si>
  <si>
    <t>6.18.</t>
  </si>
  <si>
    <t>6.18.1</t>
  </si>
  <si>
    <t>7.</t>
  </si>
  <si>
    <t>Reboco Interno</t>
  </si>
  <si>
    <t>7.1.</t>
  </si>
  <si>
    <t>7.1.1</t>
  </si>
  <si>
    <t>7.2.</t>
  </si>
  <si>
    <t>7.2.1</t>
  </si>
  <si>
    <t>7.3.</t>
  </si>
  <si>
    <t>7.3.1</t>
  </si>
  <si>
    <t>7.4.</t>
  </si>
  <si>
    <t>7.4.1</t>
  </si>
  <si>
    <t>7.5.</t>
  </si>
  <si>
    <t>7.5.1</t>
  </si>
  <si>
    <t>7.6.</t>
  </si>
  <si>
    <t>7.6.1</t>
  </si>
  <si>
    <t>7.7.</t>
  </si>
  <si>
    <t>7.7.1</t>
  </si>
  <si>
    <t>7.8.</t>
  </si>
  <si>
    <t>7.8.1</t>
  </si>
  <si>
    <t>7.9.</t>
  </si>
  <si>
    <t>7.9.1</t>
  </si>
  <si>
    <t>7.10.</t>
  </si>
  <si>
    <t>7.10.1</t>
  </si>
  <si>
    <t>7.11.</t>
  </si>
  <si>
    <t>7.11.1</t>
  </si>
  <si>
    <t>7.12.</t>
  </si>
  <si>
    <t>7.12.1</t>
  </si>
  <si>
    <t>7.13.</t>
  </si>
  <si>
    <t>7.13.1</t>
  </si>
  <si>
    <t>7.14.</t>
  </si>
  <si>
    <t>7.14.1</t>
  </si>
  <si>
    <t>7.15.</t>
  </si>
  <si>
    <t>7.15.1</t>
  </si>
  <si>
    <t>7.16.</t>
  </si>
  <si>
    <t>7.16.1</t>
  </si>
  <si>
    <t>7.17.</t>
  </si>
  <si>
    <t>7.17.1</t>
  </si>
  <si>
    <t>7.18.</t>
  </si>
  <si>
    <t>7.18.1</t>
  </si>
  <si>
    <t>8.</t>
  </si>
  <si>
    <t>Acabamentos cerâmicos em parede</t>
  </si>
  <si>
    <t>8.1.</t>
  </si>
  <si>
    <t>8.1.1</t>
  </si>
  <si>
    <t>8.1.2</t>
  </si>
  <si>
    <t>8.1.3</t>
  </si>
  <si>
    <t>8.1.4</t>
  </si>
  <si>
    <t>8.2.</t>
  </si>
  <si>
    <t>8.2.1</t>
  </si>
  <si>
    <t>8.2.2</t>
  </si>
  <si>
    <t>8.2.3</t>
  </si>
  <si>
    <t>8.2.4</t>
  </si>
  <si>
    <t>8.2.5</t>
  </si>
  <si>
    <t>8.3.</t>
  </si>
  <si>
    <t>8.3.1</t>
  </si>
  <si>
    <t>8.3.2</t>
  </si>
  <si>
    <t>8.4.</t>
  </si>
  <si>
    <t>8.4.1</t>
  </si>
  <si>
    <t>8.4.2</t>
  </si>
  <si>
    <t>8.4.3</t>
  </si>
  <si>
    <t>8.4.4</t>
  </si>
  <si>
    <t>8.5.</t>
  </si>
  <si>
    <t>8.5.1</t>
  </si>
  <si>
    <t>8.5.2</t>
  </si>
  <si>
    <t>8.6.</t>
  </si>
  <si>
    <t>8.6.1</t>
  </si>
  <si>
    <t>8.6.2</t>
  </si>
  <si>
    <t>8.7.</t>
  </si>
  <si>
    <t>8.7.1</t>
  </si>
  <si>
    <t>8.7.2</t>
  </si>
  <si>
    <t>8.8.</t>
  </si>
  <si>
    <t>8.8.1</t>
  </si>
  <si>
    <t>8.8.2</t>
  </si>
  <si>
    <t>8.9.</t>
  </si>
  <si>
    <t>8.9.1</t>
  </si>
  <si>
    <t>8.9.2</t>
  </si>
  <si>
    <t>8.10.</t>
  </si>
  <si>
    <t>8.10.1</t>
  </si>
  <si>
    <t>8.10.2</t>
  </si>
  <si>
    <t>8.11.</t>
  </si>
  <si>
    <t>8.11.1</t>
  </si>
  <si>
    <t>8.11.2</t>
  </si>
  <si>
    <t>8.12.</t>
  </si>
  <si>
    <t>8.12.1</t>
  </si>
  <si>
    <t>8.12.2</t>
  </si>
  <si>
    <t>8.13.</t>
  </si>
  <si>
    <t>8.13.1</t>
  </si>
  <si>
    <t>8.13.2</t>
  </si>
  <si>
    <t>9.</t>
  </si>
  <si>
    <t>Moldura de Elevador</t>
  </si>
  <si>
    <t>9.1.</t>
  </si>
  <si>
    <t>9.1.1</t>
  </si>
  <si>
    <t>9.2.</t>
  </si>
  <si>
    <t>9.2.1</t>
  </si>
  <si>
    <t>9.3.</t>
  </si>
  <si>
    <t>9.3.1</t>
  </si>
  <si>
    <t>9.4.</t>
  </si>
  <si>
    <t>9.4.1</t>
  </si>
  <si>
    <t>9.5.</t>
  </si>
  <si>
    <t>9.5.1</t>
  </si>
  <si>
    <t>9.6.</t>
  </si>
  <si>
    <t>9.6.1</t>
  </si>
  <si>
    <t>9.7.</t>
  </si>
  <si>
    <t>9.7.1</t>
  </si>
  <si>
    <t>9.8.</t>
  </si>
  <si>
    <t>9.8.1</t>
  </si>
  <si>
    <t>9.9.</t>
  </si>
  <si>
    <t>9.9.1</t>
  </si>
  <si>
    <t>9.10.</t>
  </si>
  <si>
    <t>9.10.1</t>
  </si>
  <si>
    <t>9.11.</t>
  </si>
  <si>
    <t>9.11.1</t>
  </si>
  <si>
    <t>9.12.</t>
  </si>
  <si>
    <t>9.12.1</t>
  </si>
  <si>
    <t>9.13.</t>
  </si>
  <si>
    <t>9.13.1</t>
  </si>
  <si>
    <t>9.14.</t>
  </si>
  <si>
    <t>9.14.1</t>
  </si>
  <si>
    <t>10.</t>
  </si>
  <si>
    <t>10.1.</t>
  </si>
  <si>
    <t>10.1.1</t>
  </si>
  <si>
    <t>REGULARIZAÇÃO IMPERMEABILIZAÇÃO + TINTA, ELEVADOR</t>
  </si>
  <si>
    <t>10.2.</t>
  </si>
  <si>
    <t>10.2.1</t>
  </si>
  <si>
    <t>10.3.</t>
  </si>
  <si>
    <t>10.3.1</t>
  </si>
  <si>
    <t>10.4.</t>
  </si>
  <si>
    <t>10.4.1</t>
  </si>
  <si>
    <t>10.4.2</t>
  </si>
  <si>
    <t>10.5.</t>
  </si>
  <si>
    <t>10.5.1</t>
  </si>
  <si>
    <t>10.5.2</t>
  </si>
  <si>
    <t>10.6.</t>
  </si>
  <si>
    <t>10.6.1</t>
  </si>
  <si>
    <t>10.7.</t>
  </si>
  <si>
    <t>10.7.1</t>
  </si>
  <si>
    <t>10.7.2</t>
  </si>
  <si>
    <t>10.8.</t>
  </si>
  <si>
    <t>10.8.1</t>
  </si>
  <si>
    <t>10.9.</t>
  </si>
  <si>
    <t>10.9.1</t>
  </si>
  <si>
    <t>10.9.2</t>
  </si>
  <si>
    <t>10.10.</t>
  </si>
  <si>
    <t>10.10.1</t>
  </si>
  <si>
    <t>10.11.</t>
  </si>
  <si>
    <t>10.11.1</t>
  </si>
  <si>
    <t>10.12.</t>
  </si>
  <si>
    <t>10.12.1</t>
  </si>
  <si>
    <t>10.13.</t>
  </si>
  <si>
    <t>10.13.1</t>
  </si>
  <si>
    <t>10.13.2</t>
  </si>
  <si>
    <t>10.14.</t>
  </si>
  <si>
    <t>10.14.1</t>
  </si>
  <si>
    <t>10.15.</t>
  </si>
  <si>
    <t>10.15.1</t>
  </si>
  <si>
    <t>10.16.</t>
  </si>
  <si>
    <t>10.16.1</t>
  </si>
  <si>
    <t>10.17.</t>
  </si>
  <si>
    <t>10.17.1</t>
  </si>
  <si>
    <t>10.18.</t>
  </si>
  <si>
    <t>10.18.1</t>
  </si>
  <si>
    <t>10.19.</t>
  </si>
  <si>
    <t>10.19.1</t>
  </si>
  <si>
    <t>11.</t>
  </si>
  <si>
    <t>Impermeabilizaçao e tratamentos</t>
  </si>
  <si>
    <t>11.1.</t>
  </si>
  <si>
    <t>11.1.1</t>
  </si>
  <si>
    <t>11.2.</t>
  </si>
  <si>
    <t>11.2.1</t>
  </si>
  <si>
    <t>11.3.</t>
  </si>
  <si>
    <t>11.3.1</t>
  </si>
  <si>
    <t>11.4.</t>
  </si>
  <si>
    <t>11.4.1</t>
  </si>
  <si>
    <t>11.4.2</t>
  </si>
  <si>
    <t>11.4.3</t>
  </si>
  <si>
    <t>11.4.4</t>
  </si>
  <si>
    <t>11.4.5</t>
  </si>
  <si>
    <t>11.4.6</t>
  </si>
  <si>
    <t>11.4.7</t>
  </si>
  <si>
    <t>11.4.8</t>
  </si>
  <si>
    <t>11.4.9</t>
  </si>
  <si>
    <t>11.4.10</t>
  </si>
  <si>
    <t>11.5.</t>
  </si>
  <si>
    <t>11.5.1</t>
  </si>
  <si>
    <t>11.5.2</t>
  </si>
  <si>
    <t>11.5.3</t>
  </si>
  <si>
    <t>11.5.4</t>
  </si>
  <si>
    <t>11.5.5</t>
  </si>
  <si>
    <t>11.5.6</t>
  </si>
  <si>
    <t>11.5.7</t>
  </si>
  <si>
    <t>11.5.8</t>
  </si>
  <si>
    <t>11.5.9</t>
  </si>
  <si>
    <t>11.5.10</t>
  </si>
  <si>
    <t>11.6.</t>
  </si>
  <si>
    <t>11.6.1</t>
  </si>
  <si>
    <t>11.7.</t>
  </si>
  <si>
    <t>11.7.1</t>
  </si>
  <si>
    <t>11.7.2</t>
  </si>
  <si>
    <t>11.7.3</t>
  </si>
  <si>
    <t>11.7.4</t>
  </si>
  <si>
    <t>11.7.5</t>
  </si>
  <si>
    <t>11.7.6</t>
  </si>
  <si>
    <t>11.7.7</t>
  </si>
  <si>
    <t>11.7.8</t>
  </si>
  <si>
    <t>11.7.9</t>
  </si>
  <si>
    <t>11.7.10</t>
  </si>
  <si>
    <t>11.8.</t>
  </si>
  <si>
    <t>11.8.1</t>
  </si>
  <si>
    <t>11.9.</t>
  </si>
  <si>
    <t>11.9.1</t>
  </si>
  <si>
    <t>11.9.2</t>
  </si>
  <si>
    <t>11.9.3</t>
  </si>
  <si>
    <t>11.9.4</t>
  </si>
  <si>
    <t>11.9.5</t>
  </si>
  <si>
    <t>11.9.6</t>
  </si>
  <si>
    <t>11.9.7</t>
  </si>
  <si>
    <t>11.9.8</t>
  </si>
  <si>
    <t>11.9.9</t>
  </si>
  <si>
    <t>11.9.10</t>
  </si>
  <si>
    <t>11.10.</t>
  </si>
  <si>
    <t>11.10.1</t>
  </si>
  <si>
    <t>11.11.</t>
  </si>
  <si>
    <t>11.11.1</t>
  </si>
  <si>
    <t>11.11.2</t>
  </si>
  <si>
    <t>11.11.3</t>
  </si>
  <si>
    <t>11.11.4</t>
  </si>
  <si>
    <t>11.11.5</t>
  </si>
  <si>
    <t>11.11.6</t>
  </si>
  <si>
    <t>11.11.7</t>
  </si>
  <si>
    <t>11.11.8</t>
  </si>
  <si>
    <t>11.11.9</t>
  </si>
  <si>
    <t>11.11.10</t>
  </si>
  <si>
    <t>11.12.</t>
  </si>
  <si>
    <t>11.12.1</t>
  </si>
  <si>
    <t>11.13.</t>
  </si>
  <si>
    <t>11.13.1</t>
  </si>
  <si>
    <t>11.13.2</t>
  </si>
  <si>
    <t>11.13.3</t>
  </si>
  <si>
    <t>11.13.4</t>
  </si>
  <si>
    <t>11.13.5</t>
  </si>
  <si>
    <t>11.13.6</t>
  </si>
  <si>
    <t>11.13.7</t>
  </si>
  <si>
    <t>11.14.</t>
  </si>
  <si>
    <t>11.14.1</t>
  </si>
  <si>
    <t>11.15.</t>
  </si>
  <si>
    <t>11.15.1</t>
  </si>
  <si>
    <t>11.16.</t>
  </si>
  <si>
    <t>11.16.1</t>
  </si>
  <si>
    <t>11.17.</t>
  </si>
  <si>
    <t>11.17.1</t>
  </si>
  <si>
    <t>11.18.</t>
  </si>
  <si>
    <t>11.18.1</t>
  </si>
  <si>
    <t>11.19.</t>
  </si>
  <si>
    <t>11.19.1</t>
  </si>
  <si>
    <t>IMPERMEABILIZAÇÃO + TINTA, PAV. INSPEÇÃO</t>
  </si>
  <si>
    <t>12.</t>
  </si>
  <si>
    <t>Acabamento de gesso em teto</t>
  </si>
  <si>
    <t>12.1.</t>
  </si>
  <si>
    <t>12.1.1</t>
  </si>
  <si>
    <t>12.1.2</t>
  </si>
  <si>
    <t>12.1.3</t>
  </si>
  <si>
    <t>12.1.4</t>
  </si>
  <si>
    <t>12.1.5</t>
  </si>
  <si>
    <t>12.1.6</t>
  </si>
  <si>
    <t>12.1.7</t>
  </si>
  <si>
    <t>12.1.8</t>
  </si>
  <si>
    <t>12.1.9</t>
  </si>
  <si>
    <t>12.2.</t>
  </si>
  <si>
    <t>12.2.1</t>
  </si>
  <si>
    <t>12.2.2</t>
  </si>
  <si>
    <t>12.2.3</t>
  </si>
  <si>
    <t>12.2.4</t>
  </si>
  <si>
    <t>12.2.5</t>
  </si>
  <si>
    <t>12.2.6</t>
  </si>
  <si>
    <t>12.2.7</t>
  </si>
  <si>
    <t>12.3.</t>
  </si>
  <si>
    <t>12.3.1</t>
  </si>
  <si>
    <t>12.3.2</t>
  </si>
  <si>
    <t>12.3.3</t>
  </si>
  <si>
    <t>12.3.4</t>
  </si>
  <si>
    <t>12.3.5</t>
  </si>
  <si>
    <t>12.3.6</t>
  </si>
  <si>
    <t>12.4.</t>
  </si>
  <si>
    <t>12.4.1</t>
  </si>
  <si>
    <t>12.4.2</t>
  </si>
  <si>
    <t>12.4.3</t>
  </si>
  <si>
    <t>12.4.4</t>
  </si>
  <si>
    <t>12.4.5</t>
  </si>
  <si>
    <t>12.4.6</t>
  </si>
  <si>
    <t>12.4.7</t>
  </si>
  <si>
    <t>12.4.8</t>
  </si>
  <si>
    <t>12.4.9</t>
  </si>
  <si>
    <t>12.4.10</t>
  </si>
  <si>
    <t>12.4.11</t>
  </si>
  <si>
    <t>12.5.</t>
  </si>
  <si>
    <t>12.5.1</t>
  </si>
  <si>
    <t>12.5.2</t>
  </si>
  <si>
    <t>12.5.3</t>
  </si>
  <si>
    <t>12.5.4</t>
  </si>
  <si>
    <t>12.5.5</t>
  </si>
  <si>
    <t>12.5.6</t>
  </si>
  <si>
    <t>12.6.</t>
  </si>
  <si>
    <t>12.6.1</t>
  </si>
  <si>
    <t>12.6.2</t>
  </si>
  <si>
    <t>12.6.3</t>
  </si>
  <si>
    <t>12.6.4</t>
  </si>
  <si>
    <t>12.6.5</t>
  </si>
  <si>
    <t>12.6.6</t>
  </si>
  <si>
    <t>12.7.</t>
  </si>
  <si>
    <t>12.7.1</t>
  </si>
  <si>
    <t>12.7.2</t>
  </si>
  <si>
    <t>12.7.3</t>
  </si>
  <si>
    <t>12.7.4</t>
  </si>
  <si>
    <t>12.7.5</t>
  </si>
  <si>
    <t>12.7.6</t>
  </si>
  <si>
    <t>12.8.</t>
  </si>
  <si>
    <t>12.8.1</t>
  </si>
  <si>
    <t>12.8.2</t>
  </si>
  <si>
    <t>12.8.3</t>
  </si>
  <si>
    <t>12.8.4</t>
  </si>
  <si>
    <t>12.8.5</t>
  </si>
  <si>
    <t>12.8.6</t>
  </si>
  <si>
    <t>12.9.</t>
  </si>
  <si>
    <t>12.9.1</t>
  </si>
  <si>
    <t>12.9.2</t>
  </si>
  <si>
    <t>12.9.3</t>
  </si>
  <si>
    <t>12.9.4</t>
  </si>
  <si>
    <t>12.9.5</t>
  </si>
  <si>
    <t>12.9.6</t>
  </si>
  <si>
    <t>12.10.</t>
  </si>
  <si>
    <t>12.10.1</t>
  </si>
  <si>
    <t>12.10.2</t>
  </si>
  <si>
    <t>12.10.3</t>
  </si>
  <si>
    <t>12.10.4</t>
  </si>
  <si>
    <t>12.10.5</t>
  </si>
  <si>
    <t>12.10.6</t>
  </si>
  <si>
    <t>12.11.</t>
  </si>
  <si>
    <t>12.11.1</t>
  </si>
  <si>
    <t>12.11.2</t>
  </si>
  <si>
    <t>12.11.3</t>
  </si>
  <si>
    <t>12.11.4</t>
  </si>
  <si>
    <t>12.11.5</t>
  </si>
  <si>
    <t>12.11.6</t>
  </si>
  <si>
    <t>12.11.7</t>
  </si>
  <si>
    <t>12.11.8</t>
  </si>
  <si>
    <t>12.11.9</t>
  </si>
  <si>
    <t>12.12.</t>
  </si>
  <si>
    <t>12.12.1</t>
  </si>
  <si>
    <t>12.12.2</t>
  </si>
  <si>
    <t>12.12.3</t>
  </si>
  <si>
    <t>12.12.4</t>
  </si>
  <si>
    <t>12.12.5</t>
  </si>
  <si>
    <t>12.12.6</t>
  </si>
  <si>
    <t>12.12.7</t>
  </si>
  <si>
    <t>12.13.</t>
  </si>
  <si>
    <t>12.13.1</t>
  </si>
  <si>
    <t>12.13.2</t>
  </si>
  <si>
    <t>12.13.3</t>
  </si>
  <si>
    <t>12.13.4</t>
  </si>
  <si>
    <t>12.13.5</t>
  </si>
  <si>
    <t>12.13.6</t>
  </si>
  <si>
    <t>13.</t>
  </si>
  <si>
    <t>Acabamento especial em teto</t>
  </si>
  <si>
    <t>13.1.</t>
  </si>
  <si>
    <t>13.1.1</t>
  </si>
  <si>
    <t>13.2.</t>
  </si>
  <si>
    <t>13.2.1</t>
  </si>
  <si>
    <t>13.3.</t>
  </si>
  <si>
    <t>13.3.1</t>
  </si>
  <si>
    <t>13.4.</t>
  </si>
  <si>
    <t>13.4.1</t>
  </si>
  <si>
    <t>14.</t>
  </si>
  <si>
    <t>Revestimento interno argamassado em teto</t>
  </si>
  <si>
    <t>14.1.</t>
  </si>
  <si>
    <t>14.1.1</t>
  </si>
  <si>
    <t>14.1.2</t>
  </si>
  <si>
    <t>14.2.</t>
  </si>
  <si>
    <t>14.2.1</t>
  </si>
  <si>
    <t>14.2.2</t>
  </si>
  <si>
    <t>14.3.</t>
  </si>
  <si>
    <t>14.3.1</t>
  </si>
  <si>
    <t>14.3.2</t>
  </si>
  <si>
    <t>14.4.</t>
  </si>
  <si>
    <t>14.4.1</t>
  </si>
  <si>
    <t>14.4.2</t>
  </si>
  <si>
    <t>14.5.</t>
  </si>
  <si>
    <t>14.5.1</t>
  </si>
  <si>
    <t>14.5.2</t>
  </si>
  <si>
    <t>14.6.</t>
  </si>
  <si>
    <t>14.6.1</t>
  </si>
  <si>
    <t>14.6.2</t>
  </si>
  <si>
    <t>14.7.</t>
  </si>
  <si>
    <t>14.7.1</t>
  </si>
  <si>
    <t>14.7.2</t>
  </si>
  <si>
    <t>14.8.</t>
  </si>
  <si>
    <t>14.8.1</t>
  </si>
  <si>
    <t>14.8.2</t>
  </si>
  <si>
    <t>14.9.</t>
  </si>
  <si>
    <t>14.9.1</t>
  </si>
  <si>
    <t>14.9.2</t>
  </si>
  <si>
    <t>14.10.</t>
  </si>
  <si>
    <t>14.10.1</t>
  </si>
  <si>
    <t>14.10.2</t>
  </si>
  <si>
    <t>14.11.</t>
  </si>
  <si>
    <t>14.11.1</t>
  </si>
  <si>
    <t>14.11.2</t>
  </si>
  <si>
    <t>14.12.</t>
  </si>
  <si>
    <t>14.12.1</t>
  </si>
  <si>
    <t>14.12.2</t>
  </si>
  <si>
    <t>14.13.</t>
  </si>
  <si>
    <t>14.13.1</t>
  </si>
  <si>
    <t>14.13.2</t>
  </si>
  <si>
    <t>14.14.</t>
  </si>
  <si>
    <t>14.14.1</t>
  </si>
  <si>
    <t>14.15.</t>
  </si>
  <si>
    <t>14.15.1</t>
  </si>
  <si>
    <t>14.16.</t>
  </si>
  <si>
    <t>14.16.1</t>
  </si>
  <si>
    <t>14.17.</t>
  </si>
  <si>
    <t>14.17.1</t>
  </si>
  <si>
    <t>15.</t>
  </si>
  <si>
    <t>Contrapiso (Conferência)</t>
  </si>
  <si>
    <t>15.1.</t>
  </si>
  <si>
    <t>15.1.1</t>
  </si>
  <si>
    <t>A DEFINIR, 0</t>
  </si>
  <si>
    <t>16.</t>
  </si>
  <si>
    <t>16.1.</t>
  </si>
  <si>
    <t>16.1.1</t>
  </si>
  <si>
    <t>16.1.2</t>
  </si>
  <si>
    <t>16.1.3</t>
  </si>
  <si>
    <t>16.1.5</t>
  </si>
  <si>
    <t>16.2.</t>
  </si>
  <si>
    <t>16.2.1</t>
  </si>
  <si>
    <t>16.2.2</t>
  </si>
  <si>
    <t>16.2.3</t>
  </si>
  <si>
    <t>16.2.5</t>
  </si>
  <si>
    <t>16.3.</t>
  </si>
  <si>
    <t>16.3.1</t>
  </si>
  <si>
    <t>16.3.2</t>
  </si>
  <si>
    <t>16.3.3</t>
  </si>
  <si>
    <t>CONTRAPISO ACÚSTICO, 0,08</t>
  </si>
  <si>
    <t>16.3.4</t>
  </si>
  <si>
    <t>16.3.6</t>
  </si>
  <si>
    <t>16.4.</t>
  </si>
  <si>
    <t>16.4.1</t>
  </si>
  <si>
    <t>16.4.2</t>
  </si>
  <si>
    <t>16.4.3</t>
  </si>
  <si>
    <t>16.4.4</t>
  </si>
  <si>
    <t>16.4.6</t>
  </si>
  <si>
    <t>16.5.</t>
  </si>
  <si>
    <t>16.5.1</t>
  </si>
  <si>
    <t>16.5.2</t>
  </si>
  <si>
    <t>16.5.3</t>
  </si>
  <si>
    <t>16.5.4</t>
  </si>
  <si>
    <t>16.5.6</t>
  </si>
  <si>
    <t>16.6.</t>
  </si>
  <si>
    <t>16.6.1</t>
  </si>
  <si>
    <t>16.6.2</t>
  </si>
  <si>
    <t>16.6.3</t>
  </si>
  <si>
    <t>16.6.4</t>
  </si>
  <si>
    <t>16.6.6</t>
  </si>
  <si>
    <t>16.7.</t>
  </si>
  <si>
    <t>16.7.1</t>
  </si>
  <si>
    <t>16.7.2</t>
  </si>
  <si>
    <t>16.7.3</t>
  </si>
  <si>
    <t>16.7.4</t>
  </si>
  <si>
    <t>16.7.6</t>
  </si>
  <si>
    <t>16.8.</t>
  </si>
  <si>
    <t>16.8.1</t>
  </si>
  <si>
    <t>16.8.2</t>
  </si>
  <si>
    <t>16.8.3</t>
  </si>
  <si>
    <t>16.8.4</t>
  </si>
  <si>
    <t>16.8.6</t>
  </si>
  <si>
    <t>16.9.</t>
  </si>
  <si>
    <t>16.9.1</t>
  </si>
  <si>
    <t>16.9.2</t>
  </si>
  <si>
    <t>16.9.3</t>
  </si>
  <si>
    <t>16.9.4</t>
  </si>
  <si>
    <t>16.9.6</t>
  </si>
  <si>
    <t>16.10.</t>
  </si>
  <si>
    <t>16.10.1</t>
  </si>
  <si>
    <t>16.10.2</t>
  </si>
  <si>
    <t>16.10.3</t>
  </si>
  <si>
    <t>16.10.4</t>
  </si>
  <si>
    <t>16.10.6</t>
  </si>
  <si>
    <t>16.11.</t>
  </si>
  <si>
    <t>16.11.1</t>
  </si>
  <si>
    <t>16.11.2</t>
  </si>
  <si>
    <t>16.11.3</t>
  </si>
  <si>
    <t>16.11.4</t>
  </si>
  <si>
    <t>16.11.6</t>
  </si>
  <si>
    <t>16.12.</t>
  </si>
  <si>
    <t>16.12.1</t>
  </si>
  <si>
    <t>16.12.2</t>
  </si>
  <si>
    <t>16.12.3</t>
  </si>
  <si>
    <t>16.12.4</t>
  </si>
  <si>
    <t>16.12.6</t>
  </si>
  <si>
    <t>16.13.</t>
  </si>
  <si>
    <t>16.13.1</t>
  </si>
  <si>
    <t>16.13.2</t>
  </si>
  <si>
    <t>16.13.3</t>
  </si>
  <si>
    <t>16.13.4</t>
  </si>
  <si>
    <t>16.13.6</t>
  </si>
  <si>
    <t>16.14.</t>
  </si>
  <si>
    <t>16.14.1</t>
  </si>
  <si>
    <t>16.15.</t>
  </si>
  <si>
    <t>16.15.1</t>
  </si>
  <si>
    <t>16.15.2</t>
  </si>
  <si>
    <t>16.15.4</t>
  </si>
  <si>
    <t>16.16.</t>
  </si>
  <si>
    <t>16.16.1</t>
  </si>
  <si>
    <t>16.16.2</t>
  </si>
  <si>
    <t>16.16.4</t>
  </si>
  <si>
    <t>16.17.</t>
  </si>
  <si>
    <t>16.17.1</t>
  </si>
  <si>
    <t>16.18.</t>
  </si>
  <si>
    <t>16.18.1</t>
  </si>
  <si>
    <t>16.19.</t>
  </si>
  <si>
    <t>19_17º TAMPA DO RES.</t>
  </si>
  <si>
    <t>16.19.1</t>
  </si>
  <si>
    <t>17.</t>
  </si>
  <si>
    <t>17.1.</t>
  </si>
  <si>
    <t>17.1.1</t>
  </si>
  <si>
    <t>17.1.2</t>
  </si>
  <si>
    <t>17.1.3</t>
  </si>
  <si>
    <t>17.1.4</t>
  </si>
  <si>
    <t>17.1.5</t>
  </si>
  <si>
    <t>17.1.6</t>
  </si>
  <si>
    <t>17.1.7</t>
  </si>
  <si>
    <t>17.1.8</t>
  </si>
  <si>
    <t>17.1.9</t>
  </si>
  <si>
    <t>17.1.10</t>
  </si>
  <si>
    <t>17.1.11</t>
  </si>
  <si>
    <t>17.1.12</t>
  </si>
  <si>
    <t>17.1.13</t>
  </si>
  <si>
    <t>17.1.14</t>
  </si>
  <si>
    <t>17.1.15</t>
  </si>
  <si>
    <t>17.1.16</t>
  </si>
  <si>
    <t>17.1.17</t>
  </si>
  <si>
    <t>17.1.18</t>
  </si>
  <si>
    <t>17.1.19</t>
  </si>
  <si>
    <t>17.1.20</t>
  </si>
  <si>
    <t>17.1.21</t>
  </si>
  <si>
    <t>17.1.22</t>
  </si>
  <si>
    <t>17.1.23</t>
  </si>
  <si>
    <t>17.1.24</t>
  </si>
  <si>
    <t>17.1.25</t>
  </si>
  <si>
    <t>17.2.</t>
  </si>
  <si>
    <t>17.2.1</t>
  </si>
  <si>
    <t>17.2.2</t>
  </si>
  <si>
    <t>17.2.3</t>
  </si>
  <si>
    <t>17.2.4</t>
  </si>
  <si>
    <t>17.2.5</t>
  </si>
  <si>
    <t>17.2.6</t>
  </si>
  <si>
    <t>17.2.7</t>
  </si>
  <si>
    <t>17.3.</t>
  </si>
  <si>
    <t>17.3.1</t>
  </si>
  <si>
    <t>17.3.2</t>
  </si>
  <si>
    <t>17.3.3</t>
  </si>
  <si>
    <t>17.3.4</t>
  </si>
  <si>
    <t>17.3.5</t>
  </si>
  <si>
    <t>17.3.6</t>
  </si>
  <si>
    <t>17.3.7</t>
  </si>
  <si>
    <t>17.3.8</t>
  </si>
  <si>
    <t>17.3.9</t>
  </si>
  <si>
    <t>17.3.10</t>
  </si>
  <si>
    <t>17.3.11</t>
  </si>
  <si>
    <t>17.3.12</t>
  </si>
  <si>
    <t>17.3.13</t>
  </si>
  <si>
    <t>17.3.14</t>
  </si>
  <si>
    <t>17.3.15</t>
  </si>
  <si>
    <t>17.3.16</t>
  </si>
  <si>
    <t>17.3.17</t>
  </si>
  <si>
    <t>17.3.18</t>
  </si>
  <si>
    <t>17.3.19</t>
  </si>
  <si>
    <t>17.3.20</t>
  </si>
  <si>
    <t>17.3.21</t>
  </si>
  <si>
    <t>17.4.</t>
  </si>
  <si>
    <t>17.4.1</t>
  </si>
  <si>
    <t>17.4.2</t>
  </si>
  <si>
    <t>17.4.3</t>
  </si>
  <si>
    <t>17.4.4</t>
  </si>
  <si>
    <t>17.4.5</t>
  </si>
  <si>
    <t>17.4.6</t>
  </si>
  <si>
    <t>17.4.7</t>
  </si>
  <si>
    <t>17.4.8</t>
  </si>
  <si>
    <t>17.4.9</t>
  </si>
  <si>
    <t>17.4.10</t>
  </si>
  <si>
    <t>17.4.11</t>
  </si>
  <si>
    <t>17.4.12</t>
  </si>
  <si>
    <t>17.4.13</t>
  </si>
  <si>
    <t>17.4.14</t>
  </si>
  <si>
    <t>17.5.</t>
  </si>
  <si>
    <t>17.5.1</t>
  </si>
  <si>
    <t>17.5.2</t>
  </si>
  <si>
    <t>17.5.3</t>
  </si>
  <si>
    <t>17.5.4</t>
  </si>
  <si>
    <t>17.5.5</t>
  </si>
  <si>
    <t>17.5.6</t>
  </si>
  <si>
    <t>17.5.7</t>
  </si>
  <si>
    <t>17.5.8</t>
  </si>
  <si>
    <t>17.5.9</t>
  </si>
  <si>
    <t>17.5.10</t>
  </si>
  <si>
    <t>17.5.11</t>
  </si>
  <si>
    <t>17.5.12</t>
  </si>
  <si>
    <t>17.5.13</t>
  </si>
  <si>
    <t>17.5.14</t>
  </si>
  <si>
    <t>17.5.15</t>
  </si>
  <si>
    <t>17.5.16</t>
  </si>
  <si>
    <t>17.5.17</t>
  </si>
  <si>
    <t>17.5.18</t>
  </si>
  <si>
    <t>17.5.19</t>
  </si>
  <si>
    <t>17.6.</t>
  </si>
  <si>
    <t>17.6.1</t>
  </si>
  <si>
    <t>17.6.2</t>
  </si>
  <si>
    <t>17.6.3</t>
  </si>
  <si>
    <t>17.6.4</t>
  </si>
  <si>
    <t>17.6.5</t>
  </si>
  <si>
    <t>17.6.6</t>
  </si>
  <si>
    <t>17.6.7</t>
  </si>
  <si>
    <t>17.6.8</t>
  </si>
  <si>
    <t>17.6.9</t>
  </si>
  <si>
    <t>17.6.10</t>
  </si>
  <si>
    <t>17.6.11</t>
  </si>
  <si>
    <t>17.6.12</t>
  </si>
  <si>
    <t>17.6.13</t>
  </si>
  <si>
    <t>17.6.14</t>
  </si>
  <si>
    <t>17.7.</t>
  </si>
  <si>
    <t>17.7.1</t>
  </si>
  <si>
    <t>17.7.2</t>
  </si>
  <si>
    <t>17.7.3</t>
  </si>
  <si>
    <t>17.7.4</t>
  </si>
  <si>
    <t>17.7.5</t>
  </si>
  <si>
    <t>17.7.6</t>
  </si>
  <si>
    <t>17.7.7</t>
  </si>
  <si>
    <t>17.7.8</t>
  </si>
  <si>
    <t>17.7.9</t>
  </si>
  <si>
    <t>17.7.10</t>
  </si>
  <si>
    <t>17.7.11</t>
  </si>
  <si>
    <t>17.7.12</t>
  </si>
  <si>
    <t>17.7.13</t>
  </si>
  <si>
    <t>17.7.14</t>
  </si>
  <si>
    <t>17.8.</t>
  </si>
  <si>
    <t>17.8.1</t>
  </si>
  <si>
    <t>17.8.2</t>
  </si>
  <si>
    <t>17.8.3</t>
  </si>
  <si>
    <t>17.8.4</t>
  </si>
  <si>
    <t>17.8.5</t>
  </si>
  <si>
    <t>17.8.6</t>
  </si>
  <si>
    <t>17.8.7</t>
  </si>
  <si>
    <t>17.8.8</t>
  </si>
  <si>
    <t>17.8.9</t>
  </si>
  <si>
    <t>17.8.10</t>
  </si>
  <si>
    <t>17.8.11</t>
  </si>
  <si>
    <t>17.8.12</t>
  </si>
  <si>
    <t>17.8.13</t>
  </si>
  <si>
    <t>17.8.14</t>
  </si>
  <si>
    <t>17.9.</t>
  </si>
  <si>
    <t>17.9.1</t>
  </si>
  <si>
    <t>17.9.2</t>
  </si>
  <si>
    <t>17.9.3</t>
  </si>
  <si>
    <t>17.9.4</t>
  </si>
  <si>
    <t>17.9.5</t>
  </si>
  <si>
    <t>17.9.6</t>
  </si>
  <si>
    <t>17.9.7</t>
  </si>
  <si>
    <t>17.9.8</t>
  </si>
  <si>
    <t>17.9.9</t>
  </si>
  <si>
    <t>17.9.10</t>
  </si>
  <si>
    <t>17.9.11</t>
  </si>
  <si>
    <t>17.9.12</t>
  </si>
  <si>
    <t>17.9.13</t>
  </si>
  <si>
    <t>17.9.14</t>
  </si>
  <si>
    <t>17.10.</t>
  </si>
  <si>
    <t>17.10.1</t>
  </si>
  <si>
    <t>17.10.2</t>
  </si>
  <si>
    <t>17.10.3</t>
  </si>
  <si>
    <t>17.10.4</t>
  </si>
  <si>
    <t>17.10.5</t>
  </si>
  <si>
    <t>17.10.6</t>
  </si>
  <si>
    <t>17.10.7</t>
  </si>
  <si>
    <t>17.10.8</t>
  </si>
  <si>
    <t>17.10.9</t>
  </si>
  <si>
    <t>17.10.10</t>
  </si>
  <si>
    <t>17.10.11</t>
  </si>
  <si>
    <t>17.10.12</t>
  </si>
  <si>
    <t>17.10.13</t>
  </si>
  <si>
    <t>17.10.14</t>
  </si>
  <si>
    <t>17.11.</t>
  </si>
  <si>
    <t>17.11.1</t>
  </si>
  <si>
    <t>17.11.2</t>
  </si>
  <si>
    <t>17.11.3</t>
  </si>
  <si>
    <t>17.11.4</t>
  </si>
  <si>
    <t>17.11.5</t>
  </si>
  <si>
    <t>17.11.6</t>
  </si>
  <si>
    <t>17.11.7</t>
  </si>
  <si>
    <t>17.11.8</t>
  </si>
  <si>
    <t>17.11.9</t>
  </si>
  <si>
    <t>17.11.10</t>
  </si>
  <si>
    <t>17.11.11</t>
  </si>
  <si>
    <t>17.11.12</t>
  </si>
  <si>
    <t>17.11.13</t>
  </si>
  <si>
    <t>17.11.14</t>
  </si>
  <si>
    <t>17.12.</t>
  </si>
  <si>
    <t>17.12.1</t>
  </si>
  <si>
    <t>17.12.2</t>
  </si>
  <si>
    <t>17.12.3</t>
  </si>
  <si>
    <t>17.12.4</t>
  </si>
  <si>
    <t>17.12.5</t>
  </si>
  <si>
    <t>17.12.6</t>
  </si>
  <si>
    <t>17.12.7</t>
  </si>
  <si>
    <t>17.12.8</t>
  </si>
  <si>
    <t>17.12.9</t>
  </si>
  <si>
    <t>17.12.10</t>
  </si>
  <si>
    <t>17.12.11</t>
  </si>
  <si>
    <t>17.12.12</t>
  </si>
  <si>
    <t>17.12.13</t>
  </si>
  <si>
    <t>17.12.14</t>
  </si>
  <si>
    <t>17.12.15</t>
  </si>
  <si>
    <t>17.12.16</t>
  </si>
  <si>
    <t>17.13.</t>
  </si>
  <si>
    <t>17.13.1</t>
  </si>
  <si>
    <t>17.13.2</t>
  </si>
  <si>
    <t>17.13.3</t>
  </si>
  <si>
    <t>17.13.4</t>
  </si>
  <si>
    <t>17.13.5</t>
  </si>
  <si>
    <t>17.13.6</t>
  </si>
  <si>
    <t>17.13.7</t>
  </si>
  <si>
    <t>17.13.8</t>
  </si>
  <si>
    <t>17.13.9</t>
  </si>
  <si>
    <t>17.13.10</t>
  </si>
  <si>
    <t>17.13.11</t>
  </si>
  <si>
    <t>17.13.12</t>
  </si>
  <si>
    <t>17.14.</t>
  </si>
  <si>
    <t>17.14.1</t>
  </si>
  <si>
    <t>17.14.2</t>
  </si>
  <si>
    <t>17.14.3</t>
  </si>
  <si>
    <t>17.14.4</t>
  </si>
  <si>
    <t>17.14.5</t>
  </si>
  <si>
    <t>17.14.6</t>
  </si>
  <si>
    <t>17.14.7</t>
  </si>
  <si>
    <t>17.14.8</t>
  </si>
  <si>
    <t>17.14.9</t>
  </si>
  <si>
    <t>17.14.10</t>
  </si>
  <si>
    <t>17.14.11</t>
  </si>
  <si>
    <t>17.14.12</t>
  </si>
  <si>
    <t>17.14.13</t>
  </si>
  <si>
    <t>17.14.14</t>
  </si>
  <si>
    <t>REVESTIMENTO - PISO PORCELANATO  - VEST. (PISCINA)</t>
  </si>
  <si>
    <t>17.15.</t>
  </si>
  <si>
    <t>17.15.1</t>
  </si>
  <si>
    <t>17.15.2</t>
  </si>
  <si>
    <t>17.15.3</t>
  </si>
  <si>
    <t>17.15.4</t>
  </si>
  <si>
    <t>18.</t>
  </si>
  <si>
    <t>Acabamentos em madeira em piso</t>
  </si>
  <si>
    <t>18.1.</t>
  </si>
  <si>
    <t>18.1.1</t>
  </si>
  <si>
    <t>19.</t>
  </si>
  <si>
    <t>19.1.</t>
  </si>
  <si>
    <t>19.1.1</t>
  </si>
  <si>
    <t>20.</t>
  </si>
  <si>
    <t>Peitoris</t>
  </si>
  <si>
    <t>20.1.</t>
  </si>
  <si>
    <t>20.1.1</t>
  </si>
  <si>
    <t>20.1.2</t>
  </si>
  <si>
    <t>20.2.</t>
  </si>
  <si>
    <t>20.2.1</t>
  </si>
  <si>
    <t>20.2.2</t>
  </si>
  <si>
    <t>20.3.</t>
  </si>
  <si>
    <t>20.3.1</t>
  </si>
  <si>
    <t>20.3.2</t>
  </si>
  <si>
    <t>20.3.3</t>
  </si>
  <si>
    <t>20.3.4</t>
  </si>
  <si>
    <t>REVESTIMENTO - PEITORIL,  SOLEIRA COM PORCELANATO (IGUAL AO DO PISO)</t>
  </si>
  <si>
    <t>20.4.</t>
  </si>
  <si>
    <t>20.4.1</t>
  </si>
  <si>
    <t>20.4.2</t>
  </si>
  <si>
    <t>20.4.3</t>
  </si>
  <si>
    <t>20.4.4</t>
  </si>
  <si>
    <t>20.5.</t>
  </si>
  <si>
    <t>20.5.1</t>
  </si>
  <si>
    <t>20.5.2</t>
  </si>
  <si>
    <t>20.5.3</t>
  </si>
  <si>
    <t>20.5.4</t>
  </si>
  <si>
    <t>20.6.</t>
  </si>
  <si>
    <t>20.6.1</t>
  </si>
  <si>
    <t>20.6.2</t>
  </si>
  <si>
    <t>20.6.3</t>
  </si>
  <si>
    <t>20.6.4</t>
  </si>
  <si>
    <t>20.7.</t>
  </si>
  <si>
    <t>20.7.1</t>
  </si>
  <si>
    <t>20.7.2</t>
  </si>
  <si>
    <t>20.7.3</t>
  </si>
  <si>
    <t>20.7.4</t>
  </si>
  <si>
    <t>20.8.</t>
  </si>
  <si>
    <t>20.8.1</t>
  </si>
  <si>
    <t>20.8.2</t>
  </si>
  <si>
    <t>20.8.3</t>
  </si>
  <si>
    <t>20.8.4</t>
  </si>
  <si>
    <t>20.9.</t>
  </si>
  <si>
    <t>20.9.1</t>
  </si>
  <si>
    <t>20.9.2</t>
  </si>
  <si>
    <t>20.9.3</t>
  </si>
  <si>
    <t>20.9.4</t>
  </si>
  <si>
    <t>20.10.</t>
  </si>
  <si>
    <t>20.10.1</t>
  </si>
  <si>
    <t>20.10.2</t>
  </si>
  <si>
    <t>20.10.3</t>
  </si>
  <si>
    <t>20.10.4</t>
  </si>
  <si>
    <t>20.11.</t>
  </si>
  <si>
    <t>20.11.1</t>
  </si>
  <si>
    <t>20.11.2</t>
  </si>
  <si>
    <t>20.11.3</t>
  </si>
  <si>
    <t>20.11.4</t>
  </si>
  <si>
    <t>20.12.</t>
  </si>
  <si>
    <t>20.12.1</t>
  </si>
  <si>
    <t>20.12.2</t>
  </si>
  <si>
    <t>20.12.3</t>
  </si>
  <si>
    <t>20.13.</t>
  </si>
  <si>
    <t>20.13.1</t>
  </si>
  <si>
    <t>20.13.2</t>
  </si>
  <si>
    <t>20.14.</t>
  </si>
  <si>
    <t>20.14.1</t>
  </si>
  <si>
    <t>20.14.2</t>
  </si>
  <si>
    <t>20.14.3</t>
  </si>
  <si>
    <t>20.15.</t>
  </si>
  <si>
    <t>20.15.1</t>
  </si>
  <si>
    <t>20.15.2</t>
  </si>
  <si>
    <t>20.16.</t>
  </si>
  <si>
    <t>20.16.1</t>
  </si>
  <si>
    <t>21.</t>
  </si>
  <si>
    <t>Soleira</t>
  </si>
  <si>
    <t>21.1.</t>
  </si>
  <si>
    <t>21.1.1</t>
  </si>
  <si>
    <t>REVESTIMENTO - SOLEIRA,  CERÂMICA (IGUAL AO DO PISO)</t>
  </si>
  <si>
    <t>21.1.2</t>
  </si>
  <si>
    <t>REVESTIMENTO - SOLEIRA,  PORCELANATO (IGUAL AO DO PISO)</t>
  </si>
  <si>
    <t>21.1.3</t>
  </si>
  <si>
    <t>REVESTIMENTO - SOLEIRA,  SEM</t>
  </si>
  <si>
    <t>21.2.</t>
  </si>
  <si>
    <t>21.2.1</t>
  </si>
  <si>
    <t>21.3.</t>
  </si>
  <si>
    <t>21.3.1</t>
  </si>
  <si>
    <t>21.3.2</t>
  </si>
  <si>
    <t>21.4.</t>
  </si>
  <si>
    <t>21.4.1</t>
  </si>
  <si>
    <t>21.4.2</t>
  </si>
  <si>
    <t>21.4.3</t>
  </si>
  <si>
    <t>21.5.</t>
  </si>
  <si>
    <t>21.5.1</t>
  </si>
  <si>
    <t>21.5.2</t>
  </si>
  <si>
    <t>21.5.3</t>
  </si>
  <si>
    <t>21.6.</t>
  </si>
  <si>
    <t>21.6.1</t>
  </si>
  <si>
    <t>21.6.2</t>
  </si>
  <si>
    <t>21.6.3</t>
  </si>
  <si>
    <t>21.7.</t>
  </si>
  <si>
    <t>21.7.1</t>
  </si>
  <si>
    <t>21.7.2</t>
  </si>
  <si>
    <t>21.7.3</t>
  </si>
  <si>
    <t>21.8.</t>
  </si>
  <si>
    <t>21.8.1</t>
  </si>
  <si>
    <t>21.8.2</t>
  </si>
  <si>
    <t>21.8.3</t>
  </si>
  <si>
    <t>21.9.</t>
  </si>
  <si>
    <t>21.9.1</t>
  </si>
  <si>
    <t>21.9.2</t>
  </si>
  <si>
    <t>21.9.3</t>
  </si>
  <si>
    <t>21.10.</t>
  </si>
  <si>
    <t>21.10.1</t>
  </si>
  <si>
    <t>21.10.2</t>
  </si>
  <si>
    <t>21.10.3</t>
  </si>
  <si>
    <t>21.11.</t>
  </si>
  <si>
    <t>21.11.1</t>
  </si>
  <si>
    <t>21.11.2</t>
  </si>
  <si>
    <t>21.11.3</t>
  </si>
  <si>
    <t>21.12.</t>
  </si>
  <si>
    <t>21.12.1</t>
  </si>
  <si>
    <t>21.12.2</t>
  </si>
  <si>
    <t>21.12.3</t>
  </si>
  <si>
    <t>21.13.</t>
  </si>
  <si>
    <t>21.13.1</t>
  </si>
  <si>
    <t>21.14.</t>
  </si>
  <si>
    <t>21.14.1</t>
  </si>
  <si>
    <t>21.14.2</t>
  </si>
  <si>
    <t>21.15.</t>
  </si>
  <si>
    <t>21.15.1</t>
  </si>
  <si>
    <t>22.</t>
  </si>
  <si>
    <t>22.1.</t>
  </si>
  <si>
    <t>22.1.1</t>
  </si>
  <si>
    <t>22.2.</t>
  </si>
  <si>
    <t>22.2.1</t>
  </si>
  <si>
    <t>22.3.</t>
  </si>
  <si>
    <t>22.3.1</t>
  </si>
  <si>
    <t>22.4.</t>
  </si>
  <si>
    <t>22.4.1</t>
  </si>
  <si>
    <t>22.5.</t>
  </si>
  <si>
    <t>22.5.1</t>
  </si>
  <si>
    <t>22.6.</t>
  </si>
  <si>
    <t>22.6.1</t>
  </si>
  <si>
    <t>22.7.</t>
  </si>
  <si>
    <t>22.7.1</t>
  </si>
  <si>
    <t>22.8.</t>
  </si>
  <si>
    <t>22.8.1</t>
  </si>
  <si>
    <t>22.9.</t>
  </si>
  <si>
    <t>22.9.1</t>
  </si>
  <si>
    <t>22.10.</t>
  </si>
  <si>
    <t>22.10.1</t>
  </si>
  <si>
    <t>22.11.</t>
  </si>
  <si>
    <t>22.11.1</t>
  </si>
  <si>
    <t>22.12.</t>
  </si>
  <si>
    <t>22.12.1</t>
  </si>
  <si>
    <t>22.13.</t>
  </si>
  <si>
    <t>22.13.1</t>
  </si>
  <si>
    <t>23.</t>
  </si>
  <si>
    <t>Esquadrias de alumínio (Conferência)</t>
  </si>
  <si>
    <t>23.1.</t>
  </si>
  <si>
    <t>23.1.1</t>
  </si>
  <si>
    <t>23.1.2</t>
  </si>
  <si>
    <t>23.2.</t>
  </si>
  <si>
    <t>23.2.1</t>
  </si>
  <si>
    <t>24.</t>
  </si>
  <si>
    <t>24.1.</t>
  </si>
  <si>
    <t>24.1.1</t>
  </si>
  <si>
    <t>24.1.2</t>
  </si>
  <si>
    <t>24.1.3</t>
  </si>
  <si>
    <t>24.1.4</t>
  </si>
  <si>
    <t>24.1.5</t>
  </si>
  <si>
    <t>24.1.6</t>
  </si>
  <si>
    <t>24.1.7</t>
  </si>
  <si>
    <t>24.1.8</t>
  </si>
  <si>
    <t>24.1.9</t>
  </si>
  <si>
    <t>24.1.10</t>
  </si>
  <si>
    <t>24.1.11</t>
  </si>
  <si>
    <t>24.1.12</t>
  </si>
  <si>
    <t>PA10 - JANELA FIXA, 1 FOLHA, ALUMÍNIO E VIDRO, 162.36 x 210 cm</t>
  </si>
  <si>
    <t>24.1.13</t>
  </si>
  <si>
    <t>24.1.14</t>
  </si>
  <si>
    <t>24.1.15</t>
  </si>
  <si>
    <t>24.1.16</t>
  </si>
  <si>
    <t>24.1.17</t>
  </si>
  <si>
    <t>24.1.18</t>
  </si>
  <si>
    <t>24.1.19</t>
  </si>
  <si>
    <t>24.1.20</t>
  </si>
  <si>
    <t>24.1.21</t>
  </si>
  <si>
    <t>24.1.22</t>
  </si>
  <si>
    <t>24.2.</t>
  </si>
  <si>
    <t>24.2.1</t>
  </si>
  <si>
    <t>24.2.2</t>
  </si>
  <si>
    <t>GUARDA-CORPO, ALUMÍNIO E VIDRO, 110 cm</t>
  </si>
  <si>
    <t>24.2.3</t>
  </si>
  <si>
    <t>24.3.</t>
  </si>
  <si>
    <t>24.3.1</t>
  </si>
  <si>
    <t>24.3.2</t>
  </si>
  <si>
    <t>24.3.3</t>
  </si>
  <si>
    <t>24.3.4</t>
  </si>
  <si>
    <t>24.3.5</t>
  </si>
  <si>
    <t>24.3.6</t>
  </si>
  <si>
    <t>24.3.7</t>
  </si>
  <si>
    <t>24.3.8</t>
  </si>
  <si>
    <t>24.3.9</t>
  </si>
  <si>
    <t>24.3.10</t>
  </si>
  <si>
    <t>24.3.11</t>
  </si>
  <si>
    <t>24.4.</t>
  </si>
  <si>
    <t>24.4.1</t>
  </si>
  <si>
    <t>24.4.2</t>
  </si>
  <si>
    <t>24.4.3</t>
  </si>
  <si>
    <t>24.4.4</t>
  </si>
  <si>
    <t>24.4.5</t>
  </si>
  <si>
    <t>24.4.6</t>
  </si>
  <si>
    <t>24.4.7</t>
  </si>
  <si>
    <t>24.4.8</t>
  </si>
  <si>
    <t>24.5.</t>
  </si>
  <si>
    <t>24.5.1</t>
  </si>
  <si>
    <t>24.5.2</t>
  </si>
  <si>
    <t>24.5.3</t>
  </si>
  <si>
    <t>24.5.4</t>
  </si>
  <si>
    <t>24.5.5</t>
  </si>
  <si>
    <t>24.5.6</t>
  </si>
  <si>
    <t>24.5.7</t>
  </si>
  <si>
    <t>24.5.8</t>
  </si>
  <si>
    <t>24.6.</t>
  </si>
  <si>
    <t>24.6.1</t>
  </si>
  <si>
    <t>24.6.2</t>
  </si>
  <si>
    <t>24.6.3</t>
  </si>
  <si>
    <t>24.6.4</t>
  </si>
  <si>
    <t>24.6.5</t>
  </si>
  <si>
    <t>24.6.6</t>
  </si>
  <si>
    <t>24.6.7</t>
  </si>
  <si>
    <t>24.6.8</t>
  </si>
  <si>
    <t>24.7.</t>
  </si>
  <si>
    <t>24.7.1</t>
  </si>
  <si>
    <t>24.7.2</t>
  </si>
  <si>
    <t>24.7.3</t>
  </si>
  <si>
    <t>24.7.4</t>
  </si>
  <si>
    <t>24.7.5</t>
  </si>
  <si>
    <t>24.7.6</t>
  </si>
  <si>
    <t>24.7.7</t>
  </si>
  <si>
    <t>24.7.8</t>
  </si>
  <si>
    <t>24.8.</t>
  </si>
  <si>
    <t>24.8.1</t>
  </si>
  <si>
    <t>24.8.2</t>
  </si>
  <si>
    <t>24.8.3</t>
  </si>
  <si>
    <t>24.8.4</t>
  </si>
  <si>
    <t>24.8.5</t>
  </si>
  <si>
    <t>24.8.6</t>
  </si>
  <si>
    <t>24.8.7</t>
  </si>
  <si>
    <t>24.8.8</t>
  </si>
  <si>
    <t>24.9.</t>
  </si>
  <si>
    <t>24.9.1</t>
  </si>
  <si>
    <t>24.9.2</t>
  </si>
  <si>
    <t>24.9.3</t>
  </si>
  <si>
    <t>24.9.4</t>
  </si>
  <si>
    <t>24.9.5</t>
  </si>
  <si>
    <t>24.9.6</t>
  </si>
  <si>
    <t>24.9.7</t>
  </si>
  <si>
    <t>24.9.8</t>
  </si>
  <si>
    <t>24.10.</t>
  </si>
  <si>
    <t>24.10.1</t>
  </si>
  <si>
    <t>24.10.2</t>
  </si>
  <si>
    <t>24.10.3</t>
  </si>
  <si>
    <t>24.10.4</t>
  </si>
  <si>
    <t>24.10.5</t>
  </si>
  <si>
    <t>24.10.6</t>
  </si>
  <si>
    <t>24.10.7</t>
  </si>
  <si>
    <t>24.10.8</t>
  </si>
  <si>
    <t>24.11.</t>
  </si>
  <si>
    <t>24.11.1</t>
  </si>
  <si>
    <t>24.11.2</t>
  </si>
  <si>
    <t>24.11.3</t>
  </si>
  <si>
    <t>24.11.4</t>
  </si>
  <si>
    <t>24.11.5</t>
  </si>
  <si>
    <t>24.11.6</t>
  </si>
  <si>
    <t>24.11.7</t>
  </si>
  <si>
    <t>24.11.8</t>
  </si>
  <si>
    <t>24.12.</t>
  </si>
  <si>
    <t>24.12.1</t>
  </si>
  <si>
    <t>24.12.2</t>
  </si>
  <si>
    <t>24.12.3</t>
  </si>
  <si>
    <t>24.12.4</t>
  </si>
  <si>
    <t>24.12.5</t>
  </si>
  <si>
    <t>24.12.6</t>
  </si>
  <si>
    <t>24.12.7</t>
  </si>
  <si>
    <t>24.12.8</t>
  </si>
  <si>
    <t>24.12.9</t>
  </si>
  <si>
    <t>24.12.10</t>
  </si>
  <si>
    <t>24.12.11</t>
  </si>
  <si>
    <t>24.12.12</t>
  </si>
  <si>
    <t>24.12.13</t>
  </si>
  <si>
    <t>24.13.</t>
  </si>
  <si>
    <t>24.13.1</t>
  </si>
  <si>
    <t>24.13.2</t>
  </si>
  <si>
    <t>24.13.3</t>
  </si>
  <si>
    <t>24.13.4</t>
  </si>
  <si>
    <t>24.13.5</t>
  </si>
  <si>
    <t>24.13.6</t>
  </si>
  <si>
    <t>24.13.7</t>
  </si>
  <si>
    <t>24.13.8</t>
  </si>
  <si>
    <t>24.13.9</t>
  </si>
  <si>
    <t>24.14.</t>
  </si>
  <si>
    <t>24.14.1</t>
  </si>
  <si>
    <t>24.14.2</t>
  </si>
  <si>
    <t>24.14.3</t>
  </si>
  <si>
    <t>24.14.4</t>
  </si>
  <si>
    <t>24.14.5</t>
  </si>
  <si>
    <t>24.14.6</t>
  </si>
  <si>
    <t>24.14.7</t>
  </si>
  <si>
    <t>24.14.8</t>
  </si>
  <si>
    <t>24.14.9</t>
  </si>
  <si>
    <t>24.14.10</t>
  </si>
  <si>
    <t>24.15.</t>
  </si>
  <si>
    <t>24.15.1</t>
  </si>
  <si>
    <t>24.15.2</t>
  </si>
  <si>
    <t>24.15.3</t>
  </si>
  <si>
    <t>25.</t>
  </si>
  <si>
    <t>25.1.</t>
  </si>
  <si>
    <t>25.1.1</t>
  </si>
  <si>
    <t>26.</t>
  </si>
  <si>
    <t>26.1.</t>
  </si>
  <si>
    <t>26.1.1</t>
  </si>
  <si>
    <t>26.1.2</t>
  </si>
  <si>
    <t>26.1.3</t>
  </si>
  <si>
    <t>26.2.</t>
  </si>
  <si>
    <t>26.2.1</t>
  </si>
  <si>
    <t>26.3.</t>
  </si>
  <si>
    <t>26.3.1</t>
  </si>
  <si>
    <t>26.3.2</t>
  </si>
  <si>
    <t>26.3.3</t>
  </si>
  <si>
    <t>26.3.4</t>
  </si>
  <si>
    <t>26.3.5</t>
  </si>
  <si>
    <t>26.4.</t>
  </si>
  <si>
    <t>26.4.1</t>
  </si>
  <si>
    <t>26.4.2</t>
  </si>
  <si>
    <t>26.4.3</t>
  </si>
  <si>
    <t>26.4.4</t>
  </si>
  <si>
    <t>26.4.5</t>
  </si>
  <si>
    <t>26.5.</t>
  </si>
  <si>
    <t>26.5.1</t>
  </si>
  <si>
    <t>26.5.2</t>
  </si>
  <si>
    <t>26.5.3</t>
  </si>
  <si>
    <t>26.5.4</t>
  </si>
  <si>
    <t>26.5.5</t>
  </si>
  <si>
    <t>26.6.</t>
  </si>
  <si>
    <t>26.6.1</t>
  </si>
  <si>
    <t>26.6.2</t>
  </si>
  <si>
    <t>26.6.3</t>
  </si>
  <si>
    <t>26.6.4</t>
  </si>
  <si>
    <t>26.6.5</t>
  </si>
  <si>
    <t>26.7.</t>
  </si>
  <si>
    <t>26.7.1</t>
  </si>
  <si>
    <t>26.7.2</t>
  </si>
  <si>
    <t>26.7.3</t>
  </si>
  <si>
    <t>26.7.4</t>
  </si>
  <si>
    <t>26.7.5</t>
  </si>
  <si>
    <t>26.8.</t>
  </si>
  <si>
    <t>26.8.1</t>
  </si>
  <si>
    <t>26.8.2</t>
  </si>
  <si>
    <t>26.8.3</t>
  </si>
  <si>
    <t>26.8.4</t>
  </si>
  <si>
    <t>26.8.5</t>
  </si>
  <si>
    <t>26.9.</t>
  </si>
  <si>
    <t>26.9.1</t>
  </si>
  <si>
    <t>26.9.2</t>
  </si>
  <si>
    <t>26.9.3</t>
  </si>
  <si>
    <t>26.9.4</t>
  </si>
  <si>
    <t>26.9.5</t>
  </si>
  <si>
    <t>26.10.</t>
  </si>
  <si>
    <t>26.10.1</t>
  </si>
  <si>
    <t>26.10.2</t>
  </si>
  <si>
    <t>26.10.3</t>
  </si>
  <si>
    <t>26.10.4</t>
  </si>
  <si>
    <t>26.10.5</t>
  </si>
  <si>
    <t>26.11.</t>
  </si>
  <si>
    <t>26.11.1</t>
  </si>
  <si>
    <t>26.11.2</t>
  </si>
  <si>
    <t>26.11.3</t>
  </si>
  <si>
    <t>26.11.4</t>
  </si>
  <si>
    <t>26.11.5</t>
  </si>
  <si>
    <t>26.12.</t>
  </si>
  <si>
    <t>26.12.1</t>
  </si>
  <si>
    <t>26.12.2</t>
  </si>
  <si>
    <t>26.12.3</t>
  </si>
  <si>
    <t>26.12.4</t>
  </si>
  <si>
    <t>26.12.5</t>
  </si>
  <si>
    <t>26.13.</t>
  </si>
  <si>
    <t>26.13.1</t>
  </si>
  <si>
    <t>26.13.2</t>
  </si>
  <si>
    <t>26.13.3</t>
  </si>
  <si>
    <t>26.13.4</t>
  </si>
  <si>
    <t>26.14.</t>
  </si>
  <si>
    <t>26.14.1</t>
  </si>
  <si>
    <t>26.14.2</t>
  </si>
  <si>
    <t>26.14.3</t>
  </si>
  <si>
    <t>PM05 - PORTA DE ABRIR, 2 FOLHAS, MADEIRA, 120 x 210 cm</t>
  </si>
  <si>
    <t>27.</t>
  </si>
  <si>
    <t>27.1.</t>
  </si>
  <si>
    <t>27.1.1</t>
  </si>
  <si>
    <t>27.2.</t>
  </si>
  <si>
    <t>27.2.1</t>
  </si>
  <si>
    <t>27.3.</t>
  </si>
  <si>
    <t>27.3.1</t>
  </si>
  <si>
    <t>27.4.</t>
  </si>
  <si>
    <t>27.4.1</t>
  </si>
  <si>
    <t>27.5.</t>
  </si>
  <si>
    <t>27.5.1</t>
  </si>
  <si>
    <t>27.6.</t>
  </si>
  <si>
    <t>27.6.1</t>
  </si>
  <si>
    <t>27.7.</t>
  </si>
  <si>
    <t>27.7.1</t>
  </si>
  <si>
    <t>27.8.</t>
  </si>
  <si>
    <t>27.8.1</t>
  </si>
  <si>
    <t>27.9.</t>
  </si>
  <si>
    <t>27.9.1</t>
  </si>
  <si>
    <t>27.10.</t>
  </si>
  <si>
    <t>27.10.1</t>
  </si>
  <si>
    <t>27.11.</t>
  </si>
  <si>
    <t>27.11.1</t>
  </si>
  <si>
    <t>27.12.</t>
  </si>
  <si>
    <t>27.12.1</t>
  </si>
  <si>
    <t>27.13.</t>
  </si>
  <si>
    <t>27.13.1</t>
  </si>
  <si>
    <t>27.14.</t>
  </si>
  <si>
    <t>27.14.1</t>
  </si>
  <si>
    <t>28.</t>
  </si>
  <si>
    <t>28.1.</t>
  </si>
  <si>
    <t>28.1.1</t>
  </si>
  <si>
    <t>28.1.2</t>
  </si>
  <si>
    <t>28.1.3</t>
  </si>
  <si>
    <t>28.2.</t>
  </si>
  <si>
    <t>28.2.1</t>
  </si>
  <si>
    <t>28.3.</t>
  </si>
  <si>
    <t>28.3.1</t>
  </si>
  <si>
    <t>28.3.2</t>
  </si>
  <si>
    <t>28.3.3</t>
  </si>
  <si>
    <t>28.3.4</t>
  </si>
  <si>
    <t>28.3.5</t>
  </si>
  <si>
    <t>28.4.</t>
  </si>
  <si>
    <t>28.4.1</t>
  </si>
  <si>
    <t>28.4.2</t>
  </si>
  <si>
    <t>28.4.3</t>
  </si>
  <si>
    <t>28.5.</t>
  </si>
  <si>
    <t>28.5.1</t>
  </si>
  <si>
    <t>28.5.2</t>
  </si>
  <si>
    <t>28.5.3</t>
  </si>
  <si>
    <t>28.6.</t>
  </si>
  <si>
    <t>28.6.1</t>
  </si>
  <si>
    <t>28.6.2</t>
  </si>
  <si>
    <t>28.6.3</t>
  </si>
  <si>
    <t>28.7.</t>
  </si>
  <si>
    <t>28.7.1</t>
  </si>
  <si>
    <t>28.7.2</t>
  </si>
  <si>
    <t>28.7.3</t>
  </si>
  <si>
    <t>28.8.</t>
  </si>
  <si>
    <t>28.8.1</t>
  </si>
  <si>
    <t>28.8.2</t>
  </si>
  <si>
    <t>28.8.3</t>
  </si>
  <si>
    <t>28.9.</t>
  </si>
  <si>
    <t>28.9.1</t>
  </si>
  <si>
    <t>28.9.2</t>
  </si>
  <si>
    <t>28.9.3</t>
  </si>
  <si>
    <t>28.10.</t>
  </si>
  <si>
    <t>28.10.1</t>
  </si>
  <si>
    <t>28.10.2</t>
  </si>
  <si>
    <t>28.10.3</t>
  </si>
  <si>
    <t>28.11.</t>
  </si>
  <si>
    <t>28.11.1</t>
  </si>
  <si>
    <t>28.11.2</t>
  </si>
  <si>
    <t>28.11.3</t>
  </si>
  <si>
    <t>28.12.</t>
  </si>
  <si>
    <t>28.12.1</t>
  </si>
  <si>
    <t>28.12.2</t>
  </si>
  <si>
    <t>28.13.</t>
  </si>
  <si>
    <t>28.13.1</t>
  </si>
  <si>
    <t>CORRIMÃO DUPLO - METÁLICO</t>
  </si>
  <si>
    <t>28.13.2</t>
  </si>
  <si>
    <t>28.13.3</t>
  </si>
  <si>
    <t>28.14.</t>
  </si>
  <si>
    <t>28.14.1</t>
  </si>
  <si>
    <t>29.</t>
  </si>
  <si>
    <t>Sistema de pintura em piso</t>
  </si>
  <si>
    <t>29.1.</t>
  </si>
  <si>
    <t>29.1.1</t>
  </si>
  <si>
    <t>29.1.2</t>
  </si>
  <si>
    <t>29.2.</t>
  </si>
  <si>
    <t>29.2.1</t>
  </si>
  <si>
    <t>29.3.</t>
  </si>
  <si>
    <t>29.3.1</t>
  </si>
  <si>
    <t>29.4.</t>
  </si>
  <si>
    <t>29.4.1</t>
  </si>
  <si>
    <t>29.5.</t>
  </si>
  <si>
    <t>29.5.1</t>
  </si>
  <si>
    <t>29.6.</t>
  </si>
  <si>
    <t>29.6.1</t>
  </si>
  <si>
    <t>29.7.</t>
  </si>
  <si>
    <t>29.7.1</t>
  </si>
  <si>
    <t>29.8.</t>
  </si>
  <si>
    <t>29.8.1</t>
  </si>
  <si>
    <t>29.9.</t>
  </si>
  <si>
    <t>29.9.1</t>
  </si>
  <si>
    <t>29.10.</t>
  </si>
  <si>
    <t>29.10.1</t>
  </si>
  <si>
    <t>29.11.</t>
  </si>
  <si>
    <t>29.11.1</t>
  </si>
  <si>
    <t>29.12.</t>
  </si>
  <si>
    <t>29.12.1</t>
  </si>
  <si>
    <t>REVESTIMENTO - PINTURA  - PAV. INSPEÇÃO</t>
  </si>
  <si>
    <t>29.13.</t>
  </si>
  <si>
    <t>29.13.1</t>
  </si>
  <si>
    <t>REVESTIMENTO - PINTURA  - LAJE ACIMA DO ELEVADOR</t>
  </si>
  <si>
    <t>29.14.</t>
  </si>
  <si>
    <t>29.14.1</t>
  </si>
  <si>
    <t>REVESTIMENTO - PINTURA  - TAMPA DO RESERVATORIO</t>
  </si>
  <si>
    <t>30.</t>
  </si>
  <si>
    <t>Sistemas de pintura em parede</t>
  </si>
  <si>
    <t>30.1.</t>
  </si>
  <si>
    <t>30.1.1</t>
  </si>
  <si>
    <t>30.1.2</t>
  </si>
  <si>
    <t>30.1.3</t>
  </si>
  <si>
    <t>30.1.4</t>
  </si>
  <si>
    <t>30.1.5</t>
  </si>
  <si>
    <t>30.1.6</t>
  </si>
  <si>
    <t>30.1.7</t>
  </si>
  <si>
    <t>30.1.8</t>
  </si>
  <si>
    <t>30.1.9</t>
  </si>
  <si>
    <t>30.1.10</t>
  </si>
  <si>
    <t>30.1.11</t>
  </si>
  <si>
    <t>30.1.12</t>
  </si>
  <si>
    <t>30.1.13</t>
  </si>
  <si>
    <t>30.1.14</t>
  </si>
  <si>
    <t>30.1.15</t>
  </si>
  <si>
    <t>30.1.16</t>
  </si>
  <si>
    <t>30.1.17</t>
  </si>
  <si>
    <t>30.1.18</t>
  </si>
  <si>
    <t>30.1.19</t>
  </si>
  <si>
    <t>30.1.20</t>
  </si>
  <si>
    <t>30.1.21</t>
  </si>
  <si>
    <t>30.1.22</t>
  </si>
  <si>
    <t>30.1.23</t>
  </si>
  <si>
    <t>30.1.24</t>
  </si>
  <si>
    <t>30.1.25</t>
  </si>
  <si>
    <t>30.1.26</t>
  </si>
  <si>
    <t>REVESTIMENTO INTERNO, PAREDE -  FAIXAS DE GARAGEM</t>
  </si>
  <si>
    <t>30.1.27</t>
  </si>
  <si>
    <t>30.1.28</t>
  </si>
  <si>
    <t>30.1.29</t>
  </si>
  <si>
    <t>30.1.30</t>
  </si>
  <si>
    <t>30.1.31</t>
  </si>
  <si>
    <t>30.1.32</t>
  </si>
  <si>
    <t>30.1.33</t>
  </si>
  <si>
    <t>30.1.34</t>
  </si>
  <si>
    <t>30.1.35</t>
  </si>
  <si>
    <t>30.1.36</t>
  </si>
  <si>
    <t>30.1.37</t>
  </si>
  <si>
    <t>30.1.38</t>
  </si>
  <si>
    <t>30.1.39</t>
  </si>
  <si>
    <t>30.1.40</t>
  </si>
  <si>
    <t>30.1.41</t>
  </si>
  <si>
    <t>30.1.42</t>
  </si>
  <si>
    <t>30.1.43</t>
  </si>
  <si>
    <t>30.1.44</t>
  </si>
  <si>
    <t>30.1.45</t>
  </si>
  <si>
    <t>30.1.46</t>
  </si>
  <si>
    <t>30.1.47</t>
  </si>
  <si>
    <t>30.1.48</t>
  </si>
  <si>
    <t>30.1.49</t>
  </si>
  <si>
    <t>30.1.50</t>
  </si>
  <si>
    <t>30.1.51</t>
  </si>
  <si>
    <t>30.1.52</t>
  </si>
  <si>
    <t>30.1.53</t>
  </si>
  <si>
    <t>30.1.54</t>
  </si>
  <si>
    <t>30.1.55</t>
  </si>
  <si>
    <t>30.2.</t>
  </si>
  <si>
    <t>30.2.1</t>
  </si>
  <si>
    <t>30.2.2</t>
  </si>
  <si>
    <t>30.2.3</t>
  </si>
  <si>
    <t>30.2.4</t>
  </si>
  <si>
    <t>30.2.5</t>
  </si>
  <si>
    <t>30.2.6</t>
  </si>
  <si>
    <t>30.2.7</t>
  </si>
  <si>
    <t>30.2.8</t>
  </si>
  <si>
    <t>30.2.9</t>
  </si>
  <si>
    <t>30.2.10</t>
  </si>
  <si>
    <t>30.2.11</t>
  </si>
  <si>
    <t>30.2.12</t>
  </si>
  <si>
    <t>30.2.13</t>
  </si>
  <si>
    <t>30.2.14</t>
  </si>
  <si>
    <t>30.2.15</t>
  </si>
  <si>
    <t>30.2.16</t>
  </si>
  <si>
    <t>30.2.17</t>
  </si>
  <si>
    <t>30.2.18</t>
  </si>
  <si>
    <t>30.2.19</t>
  </si>
  <si>
    <t>30.2.20</t>
  </si>
  <si>
    <t>30.2.21</t>
  </si>
  <si>
    <t>30.2.22</t>
  </si>
  <si>
    <t>30.2.23</t>
  </si>
  <si>
    <t>30.2.24</t>
  </si>
  <si>
    <t>30.3.</t>
  </si>
  <si>
    <t>30.3.1</t>
  </si>
  <si>
    <t>30.3.2</t>
  </si>
  <si>
    <t>30.3.3</t>
  </si>
  <si>
    <t>REVESTIMENTO INTERNO, PAREDE - TEXTURA,</t>
  </si>
  <si>
    <t>30.3.4</t>
  </si>
  <si>
    <t>30.3.5</t>
  </si>
  <si>
    <t>30.3.6</t>
  </si>
  <si>
    <t>30.3.7</t>
  </si>
  <si>
    <t>30.3.8</t>
  </si>
  <si>
    <t>30.3.9</t>
  </si>
  <si>
    <t>30.3.10</t>
  </si>
  <si>
    <t>30.3.11</t>
  </si>
  <si>
    <t>30.3.12</t>
  </si>
  <si>
    <t>30.3.13</t>
  </si>
  <si>
    <t>30.3.14</t>
  </si>
  <si>
    <t>30.3.15</t>
  </si>
  <si>
    <t>30.3.16</t>
  </si>
  <si>
    <t>30.3.17</t>
  </si>
  <si>
    <t>30.3.18</t>
  </si>
  <si>
    <t>30.3.19</t>
  </si>
  <si>
    <t>30.3.20</t>
  </si>
  <si>
    <t>30.3.21</t>
  </si>
  <si>
    <t>30.3.22</t>
  </si>
  <si>
    <t>30.3.23</t>
  </si>
  <si>
    <t>30.3.24</t>
  </si>
  <si>
    <t>30.3.25</t>
  </si>
  <si>
    <t>30.3.26</t>
  </si>
  <si>
    <t>30.3.27</t>
  </si>
  <si>
    <t>30.3.28</t>
  </si>
  <si>
    <t>30.3.29</t>
  </si>
  <si>
    <t>30.3.30</t>
  </si>
  <si>
    <t>30.3.31</t>
  </si>
  <si>
    <t>30.4.</t>
  </si>
  <si>
    <t>30.4.1</t>
  </si>
  <si>
    <t>30.4.2</t>
  </si>
  <si>
    <t>30.4.3</t>
  </si>
  <si>
    <t>30.4.4</t>
  </si>
  <si>
    <t>30.4.5</t>
  </si>
  <si>
    <t>30.4.6</t>
  </si>
  <si>
    <t>30.4.7</t>
  </si>
  <si>
    <t>30.4.8</t>
  </si>
  <si>
    <t>30.4.9</t>
  </si>
  <si>
    <t>30.4.10</t>
  </si>
  <si>
    <t>30.4.11</t>
  </si>
  <si>
    <t>30.4.12</t>
  </si>
  <si>
    <t>30.4.13</t>
  </si>
  <si>
    <t>30.4.14</t>
  </si>
  <si>
    <t>30.4.15</t>
  </si>
  <si>
    <t>30.4.16</t>
  </si>
  <si>
    <t>30.4.17</t>
  </si>
  <si>
    <t>30.4.18</t>
  </si>
  <si>
    <t>30.4.19</t>
  </si>
  <si>
    <t>30.4.20</t>
  </si>
  <si>
    <t>30.4.21</t>
  </si>
  <si>
    <t>30.4.22</t>
  </si>
  <si>
    <t>30.4.23</t>
  </si>
  <si>
    <t>30.4.24</t>
  </si>
  <si>
    <t>30.4.25</t>
  </si>
  <si>
    <t>30.4.26</t>
  </si>
  <si>
    <t>30.4.27</t>
  </si>
  <si>
    <t>30.4.28</t>
  </si>
  <si>
    <t>30.5.</t>
  </si>
  <si>
    <t>30.5.1</t>
  </si>
  <si>
    <t>30.5.2</t>
  </si>
  <si>
    <t>30.5.3</t>
  </si>
  <si>
    <t>30.5.4</t>
  </si>
  <si>
    <t>30.5.5</t>
  </si>
  <si>
    <t>30.5.6</t>
  </si>
  <si>
    <t>30.5.7</t>
  </si>
  <si>
    <t>30.5.8</t>
  </si>
  <si>
    <t>30.5.9</t>
  </si>
  <si>
    <t>30.5.10</t>
  </si>
  <si>
    <t>30.5.11</t>
  </si>
  <si>
    <t>30.5.12</t>
  </si>
  <si>
    <t>30.5.13</t>
  </si>
  <si>
    <t>30.5.14</t>
  </si>
  <si>
    <t>30.5.15</t>
  </si>
  <si>
    <t>30.5.16</t>
  </si>
  <si>
    <t>30.5.17</t>
  </si>
  <si>
    <t>30.5.18</t>
  </si>
  <si>
    <t>30.5.19</t>
  </si>
  <si>
    <t>30.5.20</t>
  </si>
  <si>
    <t>30.5.21</t>
  </si>
  <si>
    <t>30.5.22</t>
  </si>
  <si>
    <t>30.5.23</t>
  </si>
  <si>
    <t>30.5.24</t>
  </si>
  <si>
    <t>30.5.25</t>
  </si>
  <si>
    <t>30.5.26</t>
  </si>
  <si>
    <t>30.5.27</t>
  </si>
  <si>
    <t>30.5.28</t>
  </si>
  <si>
    <t>30.5.29</t>
  </si>
  <si>
    <t>30.5.30</t>
  </si>
  <si>
    <t>30.5.31</t>
  </si>
  <si>
    <t>30.5.32</t>
  </si>
  <si>
    <t>30.5.33</t>
  </si>
  <si>
    <t>30.5.34</t>
  </si>
  <si>
    <t>30.5.35</t>
  </si>
  <si>
    <t>30.5.36</t>
  </si>
  <si>
    <t>30.5.37</t>
  </si>
  <si>
    <t>30.6.</t>
  </si>
  <si>
    <t>30.6.1</t>
  </si>
  <si>
    <t>30.6.2</t>
  </si>
  <si>
    <t>30.6.3</t>
  </si>
  <si>
    <t>30.6.4</t>
  </si>
  <si>
    <t>30.6.5</t>
  </si>
  <si>
    <t>30.6.6</t>
  </si>
  <si>
    <t>30.6.7</t>
  </si>
  <si>
    <t>30.6.8</t>
  </si>
  <si>
    <t>30.6.9</t>
  </si>
  <si>
    <t>30.6.10</t>
  </si>
  <si>
    <t>30.6.11</t>
  </si>
  <si>
    <t>30.6.12</t>
  </si>
  <si>
    <t>30.6.13</t>
  </si>
  <si>
    <t>30.6.14</t>
  </si>
  <si>
    <t>30.6.15</t>
  </si>
  <si>
    <t>30.6.16</t>
  </si>
  <si>
    <t>30.6.17</t>
  </si>
  <si>
    <t>30.6.18</t>
  </si>
  <si>
    <t>30.6.19</t>
  </si>
  <si>
    <t>30.6.20</t>
  </si>
  <si>
    <t>30.6.21</t>
  </si>
  <si>
    <t>30.6.22</t>
  </si>
  <si>
    <t>30.6.23</t>
  </si>
  <si>
    <t>30.6.24</t>
  </si>
  <si>
    <t>30.6.25</t>
  </si>
  <si>
    <t>30.6.26</t>
  </si>
  <si>
    <t>30.6.27</t>
  </si>
  <si>
    <t>30.6.28</t>
  </si>
  <si>
    <t>30.7.</t>
  </si>
  <si>
    <t>30.7.1</t>
  </si>
  <si>
    <t>30.7.2</t>
  </si>
  <si>
    <t>30.7.3</t>
  </si>
  <si>
    <t>30.7.4</t>
  </si>
  <si>
    <t>30.7.5</t>
  </si>
  <si>
    <t>30.7.6</t>
  </si>
  <si>
    <t>30.7.7</t>
  </si>
  <si>
    <t>30.7.8</t>
  </si>
  <si>
    <t>30.7.9</t>
  </si>
  <si>
    <t>30.7.10</t>
  </si>
  <si>
    <t>30.7.11</t>
  </si>
  <si>
    <t>30.7.12</t>
  </si>
  <si>
    <t>30.7.13</t>
  </si>
  <si>
    <t>30.7.14</t>
  </si>
  <si>
    <t>30.7.15</t>
  </si>
  <si>
    <t>30.7.16</t>
  </si>
  <si>
    <t>30.7.17</t>
  </si>
  <si>
    <t>30.7.18</t>
  </si>
  <si>
    <t>30.7.19</t>
  </si>
  <si>
    <t>30.7.20</t>
  </si>
  <si>
    <t>30.7.21</t>
  </si>
  <si>
    <t>30.7.22</t>
  </si>
  <si>
    <t>30.7.23</t>
  </si>
  <si>
    <t>30.7.24</t>
  </si>
  <si>
    <t>30.7.25</t>
  </si>
  <si>
    <t>30.7.26</t>
  </si>
  <si>
    <t>30.7.27</t>
  </si>
  <si>
    <t>30.7.28</t>
  </si>
  <si>
    <t>30.8.</t>
  </si>
  <si>
    <t>30.8.1</t>
  </si>
  <si>
    <t>30.8.2</t>
  </si>
  <si>
    <t>30.8.3</t>
  </si>
  <si>
    <t>30.8.4</t>
  </si>
  <si>
    <t>30.8.5</t>
  </si>
  <si>
    <t>30.8.6</t>
  </si>
  <si>
    <t>30.8.7</t>
  </si>
  <si>
    <t>30.8.8</t>
  </si>
  <si>
    <t>30.8.9</t>
  </si>
  <si>
    <t>30.8.10</t>
  </si>
  <si>
    <t>30.8.11</t>
  </si>
  <si>
    <t>30.8.12</t>
  </si>
  <si>
    <t>30.8.13</t>
  </si>
  <si>
    <t>30.8.14</t>
  </si>
  <si>
    <t>30.8.15</t>
  </si>
  <si>
    <t>30.8.16</t>
  </si>
  <si>
    <t>30.8.17</t>
  </si>
  <si>
    <t>30.8.18</t>
  </si>
  <si>
    <t>30.8.19</t>
  </si>
  <si>
    <t>30.8.20</t>
  </si>
  <si>
    <t>30.8.21</t>
  </si>
  <si>
    <t>30.8.22</t>
  </si>
  <si>
    <t>30.8.23</t>
  </si>
  <si>
    <t>30.8.24</t>
  </si>
  <si>
    <t>30.8.25</t>
  </si>
  <si>
    <t>30.8.26</t>
  </si>
  <si>
    <t>30.8.27</t>
  </si>
  <si>
    <t>30.8.28</t>
  </si>
  <si>
    <t>30.9.</t>
  </si>
  <si>
    <t>30.9.1</t>
  </si>
  <si>
    <t>30.9.2</t>
  </si>
  <si>
    <t>30.9.3</t>
  </si>
  <si>
    <t>30.9.4</t>
  </si>
  <si>
    <t>30.9.5</t>
  </si>
  <si>
    <t>30.9.6</t>
  </si>
  <si>
    <t>30.9.7</t>
  </si>
  <si>
    <t>30.9.8</t>
  </si>
  <si>
    <t>30.9.9</t>
  </si>
  <si>
    <t>30.9.10</t>
  </si>
  <si>
    <t>30.9.11</t>
  </si>
  <si>
    <t>30.9.12</t>
  </si>
  <si>
    <t>30.9.13</t>
  </si>
  <si>
    <t>30.9.14</t>
  </si>
  <si>
    <t>30.9.15</t>
  </si>
  <si>
    <t>30.9.16</t>
  </si>
  <si>
    <t>30.9.17</t>
  </si>
  <si>
    <t>30.9.18</t>
  </si>
  <si>
    <t>30.9.19</t>
  </si>
  <si>
    <t>30.9.20</t>
  </si>
  <si>
    <t>30.9.21</t>
  </si>
  <si>
    <t>30.9.22</t>
  </si>
  <si>
    <t>30.9.23</t>
  </si>
  <si>
    <t>30.9.24</t>
  </si>
  <si>
    <t>30.9.25</t>
  </si>
  <si>
    <t>30.9.26</t>
  </si>
  <si>
    <t>30.9.27</t>
  </si>
  <si>
    <t>30.9.28</t>
  </si>
  <si>
    <t>30.10.</t>
  </si>
  <si>
    <t>30.10.1</t>
  </si>
  <si>
    <t>30.10.2</t>
  </si>
  <si>
    <t>30.10.3</t>
  </si>
  <si>
    <t>30.10.4</t>
  </si>
  <si>
    <t>30.10.5</t>
  </si>
  <si>
    <t>30.10.6</t>
  </si>
  <si>
    <t>30.10.7</t>
  </si>
  <si>
    <t>30.10.8</t>
  </si>
  <si>
    <t>30.10.9</t>
  </si>
  <si>
    <t>30.10.10</t>
  </si>
  <si>
    <t>30.10.11</t>
  </si>
  <si>
    <t>30.10.12</t>
  </si>
  <si>
    <t>30.10.13</t>
  </si>
  <si>
    <t>30.10.14</t>
  </si>
  <si>
    <t>30.10.15</t>
  </si>
  <si>
    <t>30.10.16</t>
  </si>
  <si>
    <t>30.10.17</t>
  </si>
  <si>
    <t>30.10.18</t>
  </si>
  <si>
    <t>30.10.19</t>
  </si>
  <si>
    <t>30.10.20</t>
  </si>
  <si>
    <t>30.10.21</t>
  </si>
  <si>
    <t>30.10.22</t>
  </si>
  <si>
    <t>30.10.23</t>
  </si>
  <si>
    <t>30.10.24</t>
  </si>
  <si>
    <t>30.10.25</t>
  </si>
  <si>
    <t>30.10.26</t>
  </si>
  <si>
    <t>30.10.27</t>
  </si>
  <si>
    <t>30.10.28</t>
  </si>
  <si>
    <t>30.11.</t>
  </si>
  <si>
    <t>30.11.1</t>
  </si>
  <si>
    <t>30.11.2</t>
  </si>
  <si>
    <t>30.11.3</t>
  </si>
  <si>
    <t>30.11.4</t>
  </si>
  <si>
    <t>30.11.5</t>
  </si>
  <si>
    <t>30.11.6</t>
  </si>
  <si>
    <t>30.11.7</t>
  </si>
  <si>
    <t>30.11.8</t>
  </si>
  <si>
    <t>30.11.9</t>
  </si>
  <si>
    <t>30.11.10</t>
  </si>
  <si>
    <t>30.11.11</t>
  </si>
  <si>
    <t>30.11.12</t>
  </si>
  <si>
    <t>30.11.13</t>
  </si>
  <si>
    <t>30.11.14</t>
  </si>
  <si>
    <t>30.11.15</t>
  </si>
  <si>
    <t>30.11.16</t>
  </si>
  <si>
    <t>30.11.17</t>
  </si>
  <si>
    <t>30.11.18</t>
  </si>
  <si>
    <t>30.11.19</t>
  </si>
  <si>
    <t>30.11.20</t>
  </si>
  <si>
    <t>30.11.21</t>
  </si>
  <si>
    <t>30.11.22</t>
  </si>
  <si>
    <t>30.11.23</t>
  </si>
  <si>
    <t>30.11.24</t>
  </si>
  <si>
    <t>30.11.25</t>
  </si>
  <si>
    <t>30.11.26</t>
  </si>
  <si>
    <t>30.11.27</t>
  </si>
  <si>
    <t>30.11.28</t>
  </si>
  <si>
    <t>30.12.</t>
  </si>
  <si>
    <t>30.12.1</t>
  </si>
  <si>
    <t>30.12.2</t>
  </si>
  <si>
    <t>30.12.3</t>
  </si>
  <si>
    <t>30.12.4</t>
  </si>
  <si>
    <t>30.12.5</t>
  </si>
  <si>
    <t>30.12.6</t>
  </si>
  <si>
    <t>30.12.7</t>
  </si>
  <si>
    <t>30.12.8</t>
  </si>
  <si>
    <t>30.12.9</t>
  </si>
  <si>
    <t>30.12.10</t>
  </si>
  <si>
    <t>30.12.11</t>
  </si>
  <si>
    <t>30.12.12</t>
  </si>
  <si>
    <t>30.12.13</t>
  </si>
  <si>
    <t>30.12.14</t>
  </si>
  <si>
    <t>30.12.15</t>
  </si>
  <si>
    <t>30.12.16</t>
  </si>
  <si>
    <t>30.12.17</t>
  </si>
  <si>
    <t>30.12.18</t>
  </si>
  <si>
    <t>30.12.19</t>
  </si>
  <si>
    <t>30.12.20</t>
  </si>
  <si>
    <t>30.12.21</t>
  </si>
  <si>
    <t>30.12.22</t>
  </si>
  <si>
    <t>30.12.23</t>
  </si>
  <si>
    <t>30.12.24</t>
  </si>
  <si>
    <t>30.12.25</t>
  </si>
  <si>
    <t>30.12.26</t>
  </si>
  <si>
    <t>30.12.27</t>
  </si>
  <si>
    <t>30.12.28</t>
  </si>
  <si>
    <t>30.12.29</t>
  </si>
  <si>
    <t>30.12.30</t>
  </si>
  <si>
    <t>30.12.31</t>
  </si>
  <si>
    <t>30.12.32</t>
  </si>
  <si>
    <t>30.12.33</t>
  </si>
  <si>
    <t>30.12.34</t>
  </si>
  <si>
    <t>30.13.</t>
  </si>
  <si>
    <t>30.13.1</t>
  </si>
  <si>
    <t>30.13.2</t>
  </si>
  <si>
    <t>30.13.3</t>
  </si>
  <si>
    <t>30.13.4</t>
  </si>
  <si>
    <t>30.13.5</t>
  </si>
  <si>
    <t>30.13.6</t>
  </si>
  <si>
    <t>30.13.7</t>
  </si>
  <si>
    <t>30.13.8</t>
  </si>
  <si>
    <t>30.13.9</t>
  </si>
  <si>
    <t>30.13.10</t>
  </si>
  <si>
    <t>30.13.11</t>
  </si>
  <si>
    <t>30.13.12</t>
  </si>
  <si>
    <t>30.13.13</t>
  </si>
  <si>
    <t>30.13.14</t>
  </si>
  <si>
    <t>30.13.15</t>
  </si>
  <si>
    <t>30.13.16</t>
  </si>
  <si>
    <t>30.13.17</t>
  </si>
  <si>
    <t>30.13.18</t>
  </si>
  <si>
    <t>30.13.19</t>
  </si>
  <si>
    <t>30.13.20</t>
  </si>
  <si>
    <t>30.13.21</t>
  </si>
  <si>
    <t>30.13.22</t>
  </si>
  <si>
    <t>30.13.23</t>
  </si>
  <si>
    <t>30.13.24</t>
  </si>
  <si>
    <t>30.13.25</t>
  </si>
  <si>
    <t>30.13.26</t>
  </si>
  <si>
    <t>30.13.27</t>
  </si>
  <si>
    <t>30.13.28</t>
  </si>
  <si>
    <t>30.13.29</t>
  </si>
  <si>
    <t>30.13.30</t>
  </si>
  <si>
    <t>30.13.31</t>
  </si>
  <si>
    <t>30.14.</t>
  </si>
  <si>
    <t>30.14.1</t>
  </si>
  <si>
    <t>30.14.2</t>
  </si>
  <si>
    <t>30.14.3</t>
  </si>
  <si>
    <t>30.14.4</t>
  </si>
  <si>
    <t>30.14.5</t>
  </si>
  <si>
    <t>30.14.6</t>
  </si>
  <si>
    <t>30.14.7</t>
  </si>
  <si>
    <t>30.14.8</t>
  </si>
  <si>
    <t>30.14.9</t>
  </si>
  <si>
    <t>30.14.10</t>
  </si>
  <si>
    <t>30.14.11</t>
  </si>
  <si>
    <t>30.14.12</t>
  </si>
  <si>
    <t>30.14.13</t>
  </si>
  <si>
    <t>30.14.14</t>
  </si>
  <si>
    <t>30.14.15</t>
  </si>
  <si>
    <t>30.14.16</t>
  </si>
  <si>
    <t>30.14.17</t>
  </si>
  <si>
    <t>30.15.</t>
  </si>
  <si>
    <t>30.15.1</t>
  </si>
  <si>
    <t>30.15.2</t>
  </si>
  <si>
    <t>30.15.3</t>
  </si>
  <si>
    <t>30.15.4</t>
  </si>
  <si>
    <t>30.15.5</t>
  </si>
  <si>
    <t>30.15.6</t>
  </si>
  <si>
    <t>30.15.7</t>
  </si>
  <si>
    <t>30.15.8</t>
  </si>
  <si>
    <t>30.15.9</t>
  </si>
  <si>
    <t>30.15.10</t>
  </si>
  <si>
    <t>30.15.11</t>
  </si>
  <si>
    <t>30.15.12</t>
  </si>
  <si>
    <t>30.15.13</t>
  </si>
  <si>
    <t>30.15.14</t>
  </si>
  <si>
    <t>30.15.15</t>
  </si>
  <si>
    <t>30.15.16</t>
  </si>
  <si>
    <t>30.15.17</t>
  </si>
  <si>
    <t>30.15.18</t>
  </si>
  <si>
    <t>30.15.19</t>
  </si>
  <si>
    <t>30.15.20</t>
  </si>
  <si>
    <t>30.15.21</t>
  </si>
  <si>
    <t>30.15.22</t>
  </si>
  <si>
    <t>30.15.23</t>
  </si>
  <si>
    <t>30.15.24</t>
  </si>
  <si>
    <t>30.15.25</t>
  </si>
  <si>
    <t>30.15.26</t>
  </si>
  <si>
    <t>30.15.27</t>
  </si>
  <si>
    <t>30.15.28</t>
  </si>
  <si>
    <t>30.15.29</t>
  </si>
  <si>
    <t>30.15.30</t>
  </si>
  <si>
    <t>30.15.31</t>
  </si>
  <si>
    <t>30.15.32</t>
  </si>
  <si>
    <t>30.15.33</t>
  </si>
  <si>
    <t>30.15.34</t>
  </si>
  <si>
    <t>30.15.35</t>
  </si>
  <si>
    <t>30.15.36</t>
  </si>
  <si>
    <t>30.15.37</t>
  </si>
  <si>
    <t>30.15.38</t>
  </si>
  <si>
    <t>30.15.39</t>
  </si>
  <si>
    <t>30.15.40</t>
  </si>
  <si>
    <t>30.16.</t>
  </si>
  <si>
    <t>30.16.1</t>
  </si>
  <si>
    <t>30.16.2</t>
  </si>
  <si>
    <t>30.16.3</t>
  </si>
  <si>
    <t>30.16.4</t>
  </si>
  <si>
    <t>30.16.5</t>
  </si>
  <si>
    <t>30.16.6</t>
  </si>
  <si>
    <t>30.16.7</t>
  </si>
  <si>
    <t>30.16.8</t>
  </si>
  <si>
    <t>30.16.9</t>
  </si>
  <si>
    <t>30.16.10</t>
  </si>
  <si>
    <t>30.16.11</t>
  </si>
  <si>
    <t>30.16.12</t>
  </si>
  <si>
    <t>30.16.13</t>
  </si>
  <si>
    <t>30.16.14</t>
  </si>
  <si>
    <t>30.16.15</t>
  </si>
  <si>
    <t>30.17.</t>
  </si>
  <si>
    <t>30.17.1</t>
  </si>
  <si>
    <t>Altura (cm)</t>
  </si>
  <si>
    <t>À. Total</t>
  </si>
  <si>
    <t>V. m²</t>
  </si>
  <si>
    <t>V. total</t>
  </si>
  <si>
    <t>30.17.2</t>
  </si>
  <si>
    <t>30.17.3</t>
  </si>
  <si>
    <t>30.18.</t>
  </si>
  <si>
    <t>30.18.1</t>
  </si>
  <si>
    <t>30.18.2</t>
  </si>
  <si>
    <t>30.18.3</t>
  </si>
  <si>
    <t>31.</t>
  </si>
  <si>
    <t>31.1.</t>
  </si>
  <si>
    <t>31.1.1</t>
  </si>
  <si>
    <t>31.1.2</t>
  </si>
  <si>
    <t>31.1.3</t>
  </si>
  <si>
    <t>31.1.4</t>
  </si>
  <si>
    <t>Largura (cm)</t>
  </si>
  <si>
    <t>V. unit</t>
  </si>
  <si>
    <t>31.1.5</t>
  </si>
  <si>
    <t>31.1.6</t>
  </si>
  <si>
    <t>31.1.7</t>
  </si>
  <si>
    <t>31.1.8</t>
  </si>
  <si>
    <t>31.1.9</t>
  </si>
  <si>
    <t>31.1.10</t>
  </si>
  <si>
    <t>31.1.11</t>
  </si>
  <si>
    <t>31.1.12</t>
  </si>
  <si>
    <t>31.1.13</t>
  </si>
  <si>
    <t>31.1.14</t>
  </si>
  <si>
    <t>31.1.15</t>
  </si>
  <si>
    <t>31.1.16</t>
  </si>
  <si>
    <t>31.1.17</t>
  </si>
  <si>
    <t>31.1.18</t>
  </si>
  <si>
    <t>31.1.19</t>
  </si>
  <si>
    <t>31.1.20</t>
  </si>
  <si>
    <t>31.1.21</t>
  </si>
  <si>
    <t>31.1.22</t>
  </si>
  <si>
    <t>31.1.23</t>
  </si>
  <si>
    <t>31.1.24</t>
  </si>
  <si>
    <t>31.1.25</t>
  </si>
  <si>
    <t>31.1.26</t>
  </si>
  <si>
    <t>31.1.27</t>
  </si>
  <si>
    <t>31.1.28</t>
  </si>
  <si>
    <t>31.1.29</t>
  </si>
  <si>
    <t>31.1.30</t>
  </si>
  <si>
    <t>31.1.31</t>
  </si>
  <si>
    <t>31.1.32</t>
  </si>
  <si>
    <t>31.1.33</t>
  </si>
  <si>
    <t>31.1.34</t>
  </si>
  <si>
    <t>31.1.35</t>
  </si>
  <si>
    <t>31.1.36</t>
  </si>
  <si>
    <t>31.1.37</t>
  </si>
  <si>
    <t>31.1.38</t>
  </si>
  <si>
    <t>31.1.39</t>
  </si>
  <si>
    <t>31.1.40</t>
  </si>
  <si>
    <t>contramarco =</t>
  </si>
  <si>
    <t>31.1.41</t>
  </si>
  <si>
    <t>31.1.42</t>
  </si>
  <si>
    <t>31.1.43</t>
  </si>
  <si>
    <t>31.1.44</t>
  </si>
  <si>
    <t>31.1.45</t>
  </si>
  <si>
    <t>31.1.46</t>
  </si>
  <si>
    <t>31.1.47</t>
  </si>
  <si>
    <t>31.1.48</t>
  </si>
  <si>
    <t>31.1.49</t>
  </si>
  <si>
    <t>31.1.50</t>
  </si>
  <si>
    <t>31.1.51</t>
  </si>
  <si>
    <t>31.1.52</t>
  </si>
  <si>
    <t>31.1.53</t>
  </si>
  <si>
    <t>31.1.54</t>
  </si>
  <si>
    <t>31.1.55</t>
  </si>
  <si>
    <t>31.1.56</t>
  </si>
  <si>
    <t>31.1.57</t>
  </si>
  <si>
    <t>31.2.</t>
  </si>
  <si>
    <t>31.2.1</t>
  </si>
  <si>
    <t>31.2.2</t>
  </si>
  <si>
    <t>31.2.3</t>
  </si>
  <si>
    <t>31.2.4</t>
  </si>
  <si>
    <t>31.2.5</t>
  </si>
  <si>
    <t>31.2.6</t>
  </si>
  <si>
    <t>31.2.7</t>
  </si>
  <si>
    <t>31.2.8</t>
  </si>
  <si>
    <t>31.2.9</t>
  </si>
  <si>
    <t>31.2.10</t>
  </si>
  <si>
    <t>31.2.11</t>
  </si>
  <si>
    <t>31.2.12</t>
  </si>
  <si>
    <t>31.3.</t>
  </si>
  <si>
    <t>31.3.1</t>
  </si>
  <si>
    <t>31.3.2</t>
  </si>
  <si>
    <t>31.3.3</t>
  </si>
  <si>
    <t>31.3.4</t>
  </si>
  <si>
    <t>31.3.5</t>
  </si>
  <si>
    <t>31.3.6</t>
  </si>
  <si>
    <t>31.3.7</t>
  </si>
  <si>
    <t>31.3.8</t>
  </si>
  <si>
    <t>31.3.9</t>
  </si>
  <si>
    <t>31.3.10</t>
  </si>
  <si>
    <t>31.3.11</t>
  </si>
  <si>
    <t>31.3.12</t>
  </si>
  <si>
    <t>31.3.13</t>
  </si>
  <si>
    <t>31.3.14</t>
  </si>
  <si>
    <t>31.3.15</t>
  </si>
  <si>
    <t>31.3.16</t>
  </si>
  <si>
    <t>31.3.17</t>
  </si>
  <si>
    <t>31.3.18</t>
  </si>
  <si>
    <t>31.3.19</t>
  </si>
  <si>
    <t>31.3.20</t>
  </si>
  <si>
    <t>31.3.21</t>
  </si>
  <si>
    <t>31.3.22</t>
  </si>
  <si>
    <t>31.3.23</t>
  </si>
  <si>
    <t>31.3.24</t>
  </si>
  <si>
    <t>31.3.25</t>
  </si>
  <si>
    <t>31.3.26</t>
  </si>
  <si>
    <t>31.3.27</t>
  </si>
  <si>
    <t>31.3.28</t>
  </si>
  <si>
    <t>31.3.29</t>
  </si>
  <si>
    <t>31.3.30</t>
  </si>
  <si>
    <t>31.3.31</t>
  </si>
  <si>
    <t>31.3.32</t>
  </si>
  <si>
    <t>31.4.</t>
  </si>
  <si>
    <t>31.4.1</t>
  </si>
  <si>
    <t>31.4.2</t>
  </si>
  <si>
    <t>31.4.3</t>
  </si>
  <si>
    <t>31.4.4</t>
  </si>
  <si>
    <t>MASSA EM TETO  - BANHO (COZINHA)</t>
  </si>
  <si>
    <t>31.4.5</t>
  </si>
  <si>
    <t>PINTURA EM TETO  - BANHO (COZINHA)</t>
  </si>
  <si>
    <t>31.4.6</t>
  </si>
  <si>
    <t>SELADOR EM TETO  - BANHO (COZINHA)</t>
  </si>
  <si>
    <t>31.4.7</t>
  </si>
  <si>
    <t>MASSA EM TETO  - BANHO (DORMITORIO)</t>
  </si>
  <si>
    <t>31.4.8</t>
  </si>
  <si>
    <t>PINTURA EM TETO  - BANHO (DORMITORIO)</t>
  </si>
  <si>
    <t>31.4.9</t>
  </si>
  <si>
    <t>SELADOR EM TETO  - BANHO (DORMITORIO)</t>
  </si>
  <si>
    <t>31.4.10</t>
  </si>
  <si>
    <t>MASSA EM TETO  - CIRC. / COZINHA / AREA SOCIAL</t>
  </si>
  <si>
    <t>31.4.11</t>
  </si>
  <si>
    <t>PINTURA EM TETO  - CIRC. / COZINHA / AREA SOCIAL</t>
  </si>
  <si>
    <t>31.4.12</t>
  </si>
  <si>
    <t>SELADOR EM TETO  - CIRC. / COZINHA / AREA SOCIAL</t>
  </si>
  <si>
    <t>31.4.13</t>
  </si>
  <si>
    <t>MASSA EM TETO  - CIRC. / COZINHA / STUDIO</t>
  </si>
  <si>
    <t>31.4.14</t>
  </si>
  <si>
    <t>PINTURA EM TETO  - CIRC. / COZINHA / STUDIO</t>
  </si>
  <si>
    <t>31.4.15</t>
  </si>
  <si>
    <t>SELADOR EM TETO  - CIRC. / COZINHA / STUDIO</t>
  </si>
  <si>
    <t>31.4.16</t>
  </si>
  <si>
    <t>MASSA EM TETO  - CIRCULACAO (HALL DO ELEVADOR)</t>
  </si>
  <si>
    <t>31.4.17</t>
  </si>
  <si>
    <t>PINTURA EM TETO  - CIRCULACAO (HALL DO ELEVADOR)</t>
  </si>
  <si>
    <t>31.4.18</t>
  </si>
  <si>
    <t>SELADOR EM TETO  - CIRCULACAO (HALL DO ELEVADOR)</t>
  </si>
  <si>
    <t>31.4.19</t>
  </si>
  <si>
    <t>MASSA EM TETO  - DORMITORIO</t>
  </si>
  <si>
    <t>31.4.20</t>
  </si>
  <si>
    <t>PINTURA EM TETO  - DORMITORIO</t>
  </si>
  <si>
    <t>31.4.21</t>
  </si>
  <si>
    <t>SELADOR EM TETO  - DORMITORIO</t>
  </si>
  <si>
    <t>31.4.22</t>
  </si>
  <si>
    <t>PINTURA EM TETO  - ESCADA</t>
  </si>
  <si>
    <t>31.4.23</t>
  </si>
  <si>
    <t>SELADOR EM TETO  - ESCADA</t>
  </si>
  <si>
    <t>31.4.24</t>
  </si>
  <si>
    <t>TEXTURA EM TETO   - ESCADA</t>
  </si>
  <si>
    <t>31.4.25</t>
  </si>
  <si>
    <t>31.4.26</t>
  </si>
  <si>
    <t>31.4.27</t>
  </si>
  <si>
    <t>31.5.</t>
  </si>
  <si>
    <t>31.5.1</t>
  </si>
  <si>
    <t>PINTURA EM TETO  - ANTECAMARA</t>
  </si>
  <si>
    <t>31.5.2</t>
  </si>
  <si>
    <t>SELADOR EM TETO  - ANTECAMARA</t>
  </si>
  <si>
    <t>31.5.3</t>
  </si>
  <si>
    <t>TEXTURA EM TETO   - ANTECAMARA</t>
  </si>
  <si>
    <t>31.5.4</t>
  </si>
  <si>
    <t>31.5.5</t>
  </si>
  <si>
    <t>31.5.6</t>
  </si>
  <si>
    <t>31.5.7</t>
  </si>
  <si>
    <t>31.5.8</t>
  </si>
  <si>
    <t>31.5.9</t>
  </si>
  <si>
    <t>31.5.10</t>
  </si>
  <si>
    <t>MASSA EM TETO  - BANHO (SUITE)</t>
  </si>
  <si>
    <t>31.5.11</t>
  </si>
  <si>
    <t>PINTURA EM TETO  - BANHO (SUITE)</t>
  </si>
  <si>
    <t>31.5.12</t>
  </si>
  <si>
    <t>31.5.13</t>
  </si>
  <si>
    <t>31.5.14</t>
  </si>
  <si>
    <t>31.5.15</t>
  </si>
  <si>
    <t>31.5.16</t>
  </si>
  <si>
    <t>31.5.17</t>
  </si>
  <si>
    <t>31.5.18</t>
  </si>
  <si>
    <t>31.5.19</t>
  </si>
  <si>
    <t>31.5.20</t>
  </si>
  <si>
    <t>31.5.21</t>
  </si>
  <si>
    <t>31.5.22</t>
  </si>
  <si>
    <t>31.5.23</t>
  </si>
  <si>
    <t>31.5.24</t>
  </si>
  <si>
    <t>31.5.25</t>
  </si>
  <si>
    <t>31.5.26</t>
  </si>
  <si>
    <t>31.5.27</t>
  </si>
  <si>
    <t>31.5.28</t>
  </si>
  <si>
    <t>31.5.29</t>
  </si>
  <si>
    <t>31.5.30</t>
  </si>
  <si>
    <t>31.5.31</t>
  </si>
  <si>
    <t>31.5.32</t>
  </si>
  <si>
    <t>31.5.33</t>
  </si>
  <si>
    <t>31.5.34</t>
  </si>
  <si>
    <t>31.5.35</t>
  </si>
  <si>
    <t>31.5.36</t>
  </si>
  <si>
    <t>31.5.37</t>
  </si>
  <si>
    <t>31.5.38</t>
  </si>
  <si>
    <t>31.5.39</t>
  </si>
  <si>
    <t>31.5.40</t>
  </si>
  <si>
    <t>31.5.41</t>
  </si>
  <si>
    <t>31.5.42</t>
  </si>
  <si>
    <t>31.6.</t>
  </si>
  <si>
    <t>31.6.1</t>
  </si>
  <si>
    <t>31.6.2</t>
  </si>
  <si>
    <t>31.6.3</t>
  </si>
  <si>
    <t>31.6.4</t>
  </si>
  <si>
    <t>31.6.5</t>
  </si>
  <si>
    <t>31.6.6</t>
  </si>
  <si>
    <t>31.6.7</t>
  </si>
  <si>
    <t>31.6.8</t>
  </si>
  <si>
    <t>31.6.9</t>
  </si>
  <si>
    <t>31.6.10</t>
  </si>
  <si>
    <t>31.6.11</t>
  </si>
  <si>
    <t>31.6.12</t>
  </si>
  <si>
    <t>31.6.13</t>
  </si>
  <si>
    <t>31.6.14</t>
  </si>
  <si>
    <t>31.6.15</t>
  </si>
  <si>
    <t>31.6.16</t>
  </si>
  <si>
    <t>31.6.17</t>
  </si>
  <si>
    <t>31.6.18</t>
  </si>
  <si>
    <t>31.6.19</t>
  </si>
  <si>
    <t>31.6.20</t>
  </si>
  <si>
    <t>31.6.21</t>
  </si>
  <si>
    <t>31.6.22</t>
  </si>
  <si>
    <t>31.6.23</t>
  </si>
  <si>
    <t>31.6.24</t>
  </si>
  <si>
    <t>31.6.25</t>
  </si>
  <si>
    <t>31.6.26</t>
  </si>
  <si>
    <t>31.6.27</t>
  </si>
  <si>
    <t>31.7.</t>
  </si>
  <si>
    <t>31.7.1</t>
  </si>
  <si>
    <t>31.7.2</t>
  </si>
  <si>
    <t>31.7.3</t>
  </si>
  <si>
    <t>31.7.4</t>
  </si>
  <si>
    <t>31.7.5</t>
  </si>
  <si>
    <t>31.7.6</t>
  </si>
  <si>
    <t>31.7.7</t>
  </si>
  <si>
    <t>31.7.8</t>
  </si>
  <si>
    <t>31.7.9</t>
  </si>
  <si>
    <t>31.7.10</t>
  </si>
  <si>
    <t>31.7.11</t>
  </si>
  <si>
    <t>31.7.12</t>
  </si>
  <si>
    <t>31.7.13</t>
  </si>
  <si>
    <t>31.7.14</t>
  </si>
  <si>
    <t>31.7.15</t>
  </si>
  <si>
    <t>31.7.16</t>
  </si>
  <si>
    <t>31.7.17</t>
  </si>
  <si>
    <t>31.7.18</t>
  </si>
  <si>
    <t>31.7.19</t>
  </si>
  <si>
    <t>31.7.20</t>
  </si>
  <si>
    <t>31.7.21</t>
  </si>
  <si>
    <t>31.7.22</t>
  </si>
  <si>
    <t>31.7.23</t>
  </si>
  <si>
    <t>31.7.24</t>
  </si>
  <si>
    <t>31.7.25</t>
  </si>
  <si>
    <t>31.7.26</t>
  </si>
  <si>
    <t>31.7.27</t>
  </si>
  <si>
    <t>31.8.</t>
  </si>
  <si>
    <t>31.8.1</t>
  </si>
  <si>
    <t>31.8.2</t>
  </si>
  <si>
    <t>31.8.3</t>
  </si>
  <si>
    <t>31.8.4</t>
  </si>
  <si>
    <t>31.8.5</t>
  </si>
  <si>
    <t>31.8.6</t>
  </si>
  <si>
    <t>31.8.7</t>
  </si>
  <si>
    <t>31.8.8</t>
  </si>
  <si>
    <t>31.8.9</t>
  </si>
  <si>
    <t>31.8.10</t>
  </si>
  <si>
    <t>31.8.11</t>
  </si>
  <si>
    <t>31.8.12</t>
  </si>
  <si>
    <t>31.8.13</t>
  </si>
  <si>
    <t>31.8.14</t>
  </si>
  <si>
    <t>31.8.15</t>
  </si>
  <si>
    <t>31.8.16</t>
  </si>
  <si>
    <t>31.8.17</t>
  </si>
  <si>
    <t>31.8.18</t>
  </si>
  <si>
    <t>31.8.19</t>
  </si>
  <si>
    <t>31.8.20</t>
  </si>
  <si>
    <t>31.8.21</t>
  </si>
  <si>
    <t>31.8.22</t>
  </si>
  <si>
    <t>31.8.23</t>
  </si>
  <si>
    <t>31.8.24</t>
  </si>
  <si>
    <t>31.8.25</t>
  </si>
  <si>
    <t>31.8.26</t>
  </si>
  <si>
    <t>31.8.27</t>
  </si>
  <si>
    <t>31.9.</t>
  </si>
  <si>
    <t>31.9.1</t>
  </si>
  <si>
    <t>31.9.2</t>
  </si>
  <si>
    <t>31.9.3</t>
  </si>
  <si>
    <t>31.9.4</t>
  </si>
  <si>
    <t>31.9.5</t>
  </si>
  <si>
    <t>31.9.6</t>
  </si>
  <si>
    <t>31.9.7</t>
  </si>
  <si>
    <t>31.9.8</t>
  </si>
  <si>
    <t>31.9.9</t>
  </si>
  <si>
    <t>31.9.10</t>
  </si>
  <si>
    <t>31.9.11</t>
  </si>
  <si>
    <t>31.9.12</t>
  </si>
  <si>
    <t>31.9.13</t>
  </si>
  <si>
    <t>31.9.14</t>
  </si>
  <si>
    <t>31.9.15</t>
  </si>
  <si>
    <t>31.9.16</t>
  </si>
  <si>
    <t>31.9.17</t>
  </si>
  <si>
    <t>31.9.18</t>
  </si>
  <si>
    <t>31.9.19</t>
  </si>
  <si>
    <t>31.9.20</t>
  </si>
  <si>
    <t>31.9.21</t>
  </si>
  <si>
    <t>31.9.22</t>
  </si>
  <si>
    <t>31.9.23</t>
  </si>
  <si>
    <t>31.9.24</t>
  </si>
  <si>
    <t>31.9.25</t>
  </si>
  <si>
    <t>31.9.26</t>
  </si>
  <si>
    <t>31.9.27</t>
  </si>
  <si>
    <t>31.10.</t>
  </si>
  <si>
    <t>31.10.1</t>
  </si>
  <si>
    <t>31.10.2</t>
  </si>
  <si>
    <t>31.10.3</t>
  </si>
  <si>
    <t>31.10.4</t>
  </si>
  <si>
    <t>31.10.5</t>
  </si>
  <si>
    <t>31.10.6</t>
  </si>
  <si>
    <t>31.10.7</t>
  </si>
  <si>
    <t>31.10.8</t>
  </si>
  <si>
    <t>31.10.9</t>
  </si>
  <si>
    <t>31.10.10</t>
  </si>
  <si>
    <t>31.10.11</t>
  </si>
  <si>
    <t>31.10.12</t>
  </si>
  <si>
    <t>31.10.13</t>
  </si>
  <si>
    <t>31.10.14</t>
  </si>
  <si>
    <t>31.10.15</t>
  </si>
  <si>
    <t>31.10.16</t>
  </si>
  <si>
    <t>31.10.17</t>
  </si>
  <si>
    <t>31.10.18</t>
  </si>
  <si>
    <t>31.10.19</t>
  </si>
  <si>
    <t>31.10.20</t>
  </si>
  <si>
    <t>31.10.21</t>
  </si>
  <si>
    <t>31.10.22</t>
  </si>
  <si>
    <t>31.10.23</t>
  </si>
  <si>
    <t>31.10.24</t>
  </si>
  <si>
    <t>31.10.25</t>
  </si>
  <si>
    <t>31.10.26</t>
  </si>
  <si>
    <t>31.10.27</t>
  </si>
  <si>
    <t>31.11.</t>
  </si>
  <si>
    <t>31.11.1</t>
  </si>
  <si>
    <t>31.11.2</t>
  </si>
  <si>
    <t>31.11.3</t>
  </si>
  <si>
    <t>31.11.4</t>
  </si>
  <si>
    <t>31.11.5</t>
  </si>
  <si>
    <t>31.11.6</t>
  </si>
  <si>
    <t>31.11.7</t>
  </si>
  <si>
    <t>31.11.8</t>
  </si>
  <si>
    <t>31.11.9</t>
  </si>
  <si>
    <t>31.11.10</t>
  </si>
  <si>
    <t>31.11.11</t>
  </si>
  <si>
    <t>31.11.12</t>
  </si>
  <si>
    <t>31.11.13</t>
  </si>
  <si>
    <t>31.11.14</t>
  </si>
  <si>
    <t>31.11.15</t>
  </si>
  <si>
    <t>31.11.16</t>
  </si>
  <si>
    <t>31.11.17</t>
  </si>
  <si>
    <t>31.11.18</t>
  </si>
  <si>
    <t>31.11.19</t>
  </si>
  <si>
    <t>31.11.20</t>
  </si>
  <si>
    <t>31.11.21</t>
  </si>
  <si>
    <t>31.11.22</t>
  </si>
  <si>
    <t>31.11.23</t>
  </si>
  <si>
    <t>31.11.24</t>
  </si>
  <si>
    <t>31.11.25</t>
  </si>
  <si>
    <t>31.11.26</t>
  </si>
  <si>
    <t>31.11.27</t>
  </si>
  <si>
    <t>31.12.</t>
  </si>
  <si>
    <t>31.12.1</t>
  </si>
  <si>
    <t>31.12.2</t>
  </si>
  <si>
    <t>31.12.3</t>
  </si>
  <si>
    <t>TEXTURA EM TETU</t>
  </si>
  <si>
    <t>31.12.4</t>
  </si>
  <si>
    <t>31.12.5</t>
  </si>
  <si>
    <t>31.12.6</t>
  </si>
  <si>
    <t>31.12.7</t>
  </si>
  <si>
    <t>31.12.8</t>
  </si>
  <si>
    <t>31.12.9</t>
  </si>
  <si>
    <t>31.12.10</t>
  </si>
  <si>
    <t>31.12.11</t>
  </si>
  <si>
    <t>31.12.12</t>
  </si>
  <si>
    <t>31.12.13</t>
  </si>
  <si>
    <t>31.12.14</t>
  </si>
  <si>
    <t>31.12.15</t>
  </si>
  <si>
    <t>31.12.16</t>
  </si>
  <si>
    <t>31.12.17</t>
  </si>
  <si>
    <t>31.12.18</t>
  </si>
  <si>
    <t>31.12.19</t>
  </si>
  <si>
    <t>31.12.20</t>
  </si>
  <si>
    <t>31.12.21</t>
  </si>
  <si>
    <t>31.12.22</t>
  </si>
  <si>
    <t>31.12.23</t>
  </si>
  <si>
    <t>31.12.24</t>
  </si>
  <si>
    <t>31.12.25</t>
  </si>
  <si>
    <t>31.12.26</t>
  </si>
  <si>
    <t>31.12.27</t>
  </si>
  <si>
    <t>31.12.28</t>
  </si>
  <si>
    <t>31.12.29</t>
  </si>
  <si>
    <t>31.12.30</t>
  </si>
  <si>
    <t>31.12.31</t>
  </si>
  <si>
    <t>31.12.32</t>
  </si>
  <si>
    <t>31.12.33</t>
  </si>
  <si>
    <t>31.12.34</t>
  </si>
  <si>
    <t>31.12.35</t>
  </si>
  <si>
    <t>31.12.36</t>
  </si>
  <si>
    <t>31.13.</t>
  </si>
  <si>
    <t>31.13.1</t>
  </si>
  <si>
    <t>31.13.2</t>
  </si>
  <si>
    <t>31.13.3</t>
  </si>
  <si>
    <t>31.13.4</t>
  </si>
  <si>
    <t>31.13.5</t>
  </si>
  <si>
    <t>31.13.6</t>
  </si>
  <si>
    <t>31.13.7</t>
  </si>
  <si>
    <t>31.13.8</t>
  </si>
  <si>
    <t>31.13.9</t>
  </si>
  <si>
    <t>31.13.10</t>
  </si>
  <si>
    <t>31.13.11</t>
  </si>
  <si>
    <t>31.13.12</t>
  </si>
  <si>
    <t>31.13.13</t>
  </si>
  <si>
    <t>31.13.14</t>
  </si>
  <si>
    <t>31.13.15</t>
  </si>
  <si>
    <t>31.13.16</t>
  </si>
  <si>
    <t>31.13.17</t>
  </si>
  <si>
    <t>31.13.18</t>
  </si>
  <si>
    <t>31.13.19</t>
  </si>
  <si>
    <t>31.13.20</t>
  </si>
  <si>
    <t>31.13.21</t>
  </si>
  <si>
    <t>31.13.22</t>
  </si>
  <si>
    <t>31.13.23</t>
  </si>
  <si>
    <t>31.13.24</t>
  </si>
  <si>
    <t>31.13.25</t>
  </si>
  <si>
    <t>31.13.26</t>
  </si>
  <si>
    <t>31.13.27</t>
  </si>
  <si>
    <t>31.14.</t>
  </si>
  <si>
    <t>31.14.1</t>
  </si>
  <si>
    <t>31.15.</t>
  </si>
  <si>
    <t>31.15.1</t>
  </si>
  <si>
    <t>31.15.2</t>
  </si>
  <si>
    <t>31.15.3</t>
  </si>
  <si>
    <t>31.15.4</t>
  </si>
  <si>
    <t>31.15.5</t>
  </si>
  <si>
    <t>31.15.6</t>
  </si>
  <si>
    <t>31.15.7</t>
  </si>
  <si>
    <t>31.15.8</t>
  </si>
  <si>
    <t>31.15.9</t>
  </si>
  <si>
    <t>31.15.10</t>
  </si>
  <si>
    <t>31.15.11</t>
  </si>
  <si>
    <t>31.15.12</t>
  </si>
  <si>
    <t>31.15.13</t>
  </si>
  <si>
    <t>31.15.14</t>
  </si>
  <si>
    <t>31.15.15</t>
  </si>
  <si>
    <t>31.15.16</t>
  </si>
  <si>
    <t>31.15.17</t>
  </si>
  <si>
    <t>31.15.18</t>
  </si>
  <si>
    <t>31.15.19</t>
  </si>
  <si>
    <t>31.15.20</t>
  </si>
  <si>
    <t>31.15.21</t>
  </si>
  <si>
    <t>31.15.22</t>
  </si>
  <si>
    <t>31.15.23</t>
  </si>
  <si>
    <t>31.15.24</t>
  </si>
  <si>
    <t>31.16.</t>
  </si>
  <si>
    <t>31.16.1</t>
  </si>
  <si>
    <t>31.16.2</t>
  </si>
  <si>
    <t>31.16.3</t>
  </si>
  <si>
    <t>31.16.4</t>
  </si>
  <si>
    <t>31.16.5</t>
  </si>
  <si>
    <t>31.16.6</t>
  </si>
  <si>
    <t>31.16.7</t>
  </si>
  <si>
    <t>31.16.8</t>
  </si>
  <si>
    <t>31.16.9</t>
  </si>
  <si>
    <t>31.16.10</t>
  </si>
  <si>
    <t>31.16.11</t>
  </si>
  <si>
    <t>31.16.12</t>
  </si>
  <si>
    <t>31.17.</t>
  </si>
  <si>
    <t>31.17.1</t>
  </si>
  <si>
    <t>31.17.2</t>
  </si>
  <si>
    <t>31.17.3</t>
  </si>
  <si>
    <t>31.18.</t>
  </si>
  <si>
    <t>31.18.1</t>
  </si>
  <si>
    <t>31.18.2</t>
  </si>
  <si>
    <t>31.18.3</t>
  </si>
  <si>
    <t>32.</t>
  </si>
  <si>
    <t>Chapisco Externo</t>
  </si>
  <si>
    <t>32.1.</t>
  </si>
  <si>
    <t>32.1.1</t>
  </si>
  <si>
    <t>32.1.2</t>
  </si>
  <si>
    <t>32.1.3</t>
  </si>
  <si>
    <t>32.1.4</t>
  </si>
  <si>
    <t>32.1.5</t>
  </si>
  <si>
    <t>32.1.6</t>
  </si>
  <si>
    <t>32.1.7</t>
  </si>
  <si>
    <t>32.1.8</t>
  </si>
  <si>
    <t>32.2.</t>
  </si>
  <si>
    <t>32.2.1</t>
  </si>
  <si>
    <t>32.2.2</t>
  </si>
  <si>
    <t>32.2.3</t>
  </si>
  <si>
    <t>32.2.4</t>
  </si>
  <si>
    <t>32.2.5</t>
  </si>
  <si>
    <t>32.2.6</t>
  </si>
  <si>
    <t>32.2.7</t>
  </si>
  <si>
    <t>32.2.8</t>
  </si>
  <si>
    <t>32.3.</t>
  </si>
  <si>
    <t>32.3.1</t>
  </si>
  <si>
    <t>32.3.2</t>
  </si>
  <si>
    <t>32.3.3</t>
  </si>
  <si>
    <t>32.3.4</t>
  </si>
  <si>
    <t>32.3.5</t>
  </si>
  <si>
    <t>32.3.6</t>
  </si>
  <si>
    <t>32.3.7</t>
  </si>
  <si>
    <t>32.3.8</t>
  </si>
  <si>
    <t>32.3.9</t>
  </si>
  <si>
    <t>32.3.10</t>
  </si>
  <si>
    <t>32.4.</t>
  </si>
  <si>
    <t>32.4.1</t>
  </si>
  <si>
    <t>32.4.2</t>
  </si>
  <si>
    <t>32.4.3</t>
  </si>
  <si>
    <t>32.4.4</t>
  </si>
  <si>
    <t>32.4.5</t>
  </si>
  <si>
    <t>32.4.6</t>
  </si>
  <si>
    <t>32.4.7</t>
  </si>
  <si>
    <t>32.4.8</t>
  </si>
  <si>
    <t>32.4.9</t>
  </si>
  <si>
    <t>32.4.10</t>
  </si>
  <si>
    <t>32.5.</t>
  </si>
  <si>
    <t>32.5.1</t>
  </si>
  <si>
    <t>32.5.2</t>
  </si>
  <si>
    <t>32.5.3</t>
  </si>
  <si>
    <t>32.5.4</t>
  </si>
  <si>
    <t>32.5.5</t>
  </si>
  <si>
    <t>32.5.6</t>
  </si>
  <si>
    <t>32.5.7</t>
  </si>
  <si>
    <t>32.5.8</t>
  </si>
  <si>
    <t>32.5.9</t>
  </si>
  <si>
    <t>32.5.10</t>
  </si>
  <si>
    <t>32.6.</t>
  </si>
  <si>
    <t>32.6.1</t>
  </si>
  <si>
    <t>32.6.2</t>
  </si>
  <si>
    <t>32.6.3</t>
  </si>
  <si>
    <t>32.6.4</t>
  </si>
  <si>
    <t>32.6.5</t>
  </si>
  <si>
    <t>32.6.6</t>
  </si>
  <si>
    <t>32.6.7</t>
  </si>
  <si>
    <t>32.6.8</t>
  </si>
  <si>
    <t>32.6.9</t>
  </si>
  <si>
    <t>32.6.10</t>
  </si>
  <si>
    <t>32.7.</t>
  </si>
  <si>
    <t>32.7.1</t>
  </si>
  <si>
    <t>32.7.2</t>
  </si>
  <si>
    <t>32.7.3</t>
  </si>
  <si>
    <t>32.7.4</t>
  </si>
  <si>
    <t>32.7.5</t>
  </si>
  <si>
    <t>32.7.6</t>
  </si>
  <si>
    <t>32.7.7</t>
  </si>
  <si>
    <t>32.7.8</t>
  </si>
  <si>
    <t>32.7.9</t>
  </si>
  <si>
    <t>32.7.10</t>
  </si>
  <si>
    <t>32.8.</t>
  </si>
  <si>
    <t>32.8.1</t>
  </si>
  <si>
    <t>32.8.2</t>
  </si>
  <si>
    <t>32.8.3</t>
  </si>
  <si>
    <t>32.8.4</t>
  </si>
  <si>
    <t>32.8.5</t>
  </si>
  <si>
    <t>32.8.6</t>
  </si>
  <si>
    <t>32.8.7</t>
  </si>
  <si>
    <t>32.8.8</t>
  </si>
  <si>
    <t>32.8.9</t>
  </si>
  <si>
    <t>32.8.10</t>
  </si>
  <si>
    <t>32.9.</t>
  </si>
  <si>
    <t>32.9.1</t>
  </si>
  <si>
    <t>32.9.2</t>
  </si>
  <si>
    <t>32.9.3</t>
  </si>
  <si>
    <t>32.9.4</t>
  </si>
  <si>
    <t>32.9.5</t>
  </si>
  <si>
    <t>32.9.6</t>
  </si>
  <si>
    <t>32.9.7</t>
  </si>
  <si>
    <t>32.9.8</t>
  </si>
  <si>
    <t>32.9.9</t>
  </si>
  <si>
    <t>32.9.10</t>
  </si>
  <si>
    <t>32.10.</t>
  </si>
  <si>
    <t>32.10.1</t>
  </si>
  <si>
    <t>32.10.2</t>
  </si>
  <si>
    <t>32.10.3</t>
  </si>
  <si>
    <t>32.10.4</t>
  </si>
  <si>
    <t>32.10.5</t>
  </si>
  <si>
    <t>32.10.6</t>
  </si>
  <si>
    <t>32.10.7</t>
  </si>
  <si>
    <t>32.10.8</t>
  </si>
  <si>
    <t>32.10.9</t>
  </si>
  <si>
    <t>32.10.10</t>
  </si>
  <si>
    <t>32.11.</t>
  </si>
  <si>
    <t>32.11.1</t>
  </si>
  <si>
    <t>32.11.2</t>
  </si>
  <si>
    <t>32.11.3</t>
  </si>
  <si>
    <t>32.11.4</t>
  </si>
  <si>
    <t>32.11.5</t>
  </si>
  <si>
    <t>32.11.6</t>
  </si>
  <si>
    <t>32.11.7</t>
  </si>
  <si>
    <t>32.11.8</t>
  </si>
  <si>
    <t>32.11.9</t>
  </si>
  <si>
    <t>32.11.10</t>
  </si>
  <si>
    <t>32.12.</t>
  </si>
  <si>
    <t>32.12.1</t>
  </si>
  <si>
    <t>32.12.2</t>
  </si>
  <si>
    <t>32.12.3</t>
  </si>
  <si>
    <t>32.12.4</t>
  </si>
  <si>
    <t>32.12.5</t>
  </si>
  <si>
    <t>32.12.6</t>
  </si>
  <si>
    <t>32.12.7</t>
  </si>
  <si>
    <t>32.12.8</t>
  </si>
  <si>
    <t>32.12.9</t>
  </si>
  <si>
    <t>32.12.10</t>
  </si>
  <si>
    <t>32.13.</t>
  </si>
  <si>
    <t>32.13.1</t>
  </si>
  <si>
    <t>32.13.2</t>
  </si>
  <si>
    <t xml:space="preserve">CHAPISCO ARGAMASSADO EXTERNO </t>
  </si>
  <si>
    <t>32.13.3</t>
  </si>
  <si>
    <t>32.13.4</t>
  </si>
  <si>
    <t>32.13.5</t>
  </si>
  <si>
    <t>32.13.6</t>
  </si>
  <si>
    <t>32.13.7</t>
  </si>
  <si>
    <t>32.13.8</t>
  </si>
  <si>
    <t>32.13.9</t>
  </si>
  <si>
    <t>32.14.</t>
  </si>
  <si>
    <t>32.14.1</t>
  </si>
  <si>
    <t>32.14.2</t>
  </si>
  <si>
    <t>32.14.3</t>
  </si>
  <si>
    <t>32.14.4</t>
  </si>
  <si>
    <t>32.14.5</t>
  </si>
  <si>
    <t>32.14.6</t>
  </si>
  <si>
    <t>32.14.7</t>
  </si>
  <si>
    <t>32.14.8</t>
  </si>
  <si>
    <t>32.14.9</t>
  </si>
  <si>
    <t>32.14.10</t>
  </si>
  <si>
    <t>32.15.</t>
  </si>
  <si>
    <t>32.15.1</t>
  </si>
  <si>
    <t>CHAPISCO ARGAMASSADO EXTERNO   -  FACHADA FRONTAL</t>
  </si>
  <si>
    <t>32.15.2</t>
  </si>
  <si>
    <t>CHAPISCO ARGAMASSADO PARA ESTRUTURA EXTERNO   -  FACHADA FRONTAL</t>
  </si>
  <si>
    <t>32.15.3</t>
  </si>
  <si>
    <t>CHAPISCO ARGAMASSADO EXTERNO   -  FACHADA LATERAL DIREITA</t>
  </si>
  <si>
    <t>32.15.4</t>
  </si>
  <si>
    <t>CHAPISCO ARGAMASSADO PARA ESTRUTURA EXTERNO   -  FACHADA LATERAL DIREITA</t>
  </si>
  <si>
    <t>32.15.5</t>
  </si>
  <si>
    <t>CHAPISCO ARGAMASSADO PARA ESTRUTURA EXTERNO   -  FACHADA LATERAL ESQUERDA</t>
  </si>
  <si>
    <t>32.15.6</t>
  </si>
  <si>
    <t>CHAPISCO ARGAMASSADO EXTERNO   -  FACHADA POSTERIOR</t>
  </si>
  <si>
    <t>32.15.7</t>
  </si>
  <si>
    <t>CHAPISCO ARGAMASSADO PARA ESTRUTURA EXTERNO   -  FACHADA POSTERIOR</t>
  </si>
  <si>
    <t>32.16.</t>
  </si>
  <si>
    <t>32.16.1</t>
  </si>
  <si>
    <t>32.16.2</t>
  </si>
  <si>
    <t>32.16.3</t>
  </si>
  <si>
    <t>32.16.4</t>
  </si>
  <si>
    <t>32.16.5</t>
  </si>
  <si>
    <t>32.16.6</t>
  </si>
  <si>
    <t>32.17.</t>
  </si>
  <si>
    <t>32.17.1</t>
  </si>
  <si>
    <t>32.17.2</t>
  </si>
  <si>
    <t>32.18.</t>
  </si>
  <si>
    <t>32.18.1</t>
  </si>
  <si>
    <t>33.</t>
  </si>
  <si>
    <t>Reboco Externo</t>
  </si>
  <si>
    <t>33.1.</t>
  </si>
  <si>
    <t>33.1.1</t>
  </si>
  <si>
    <t>33.1.2</t>
  </si>
  <si>
    <t>33.1.3</t>
  </si>
  <si>
    <t>33.1.4</t>
  </si>
  <si>
    <t>33.1.5</t>
  </si>
  <si>
    <t>33.2.</t>
  </si>
  <si>
    <t>33.2.1</t>
  </si>
  <si>
    <t>33.2.2</t>
  </si>
  <si>
    <t>33.2.3</t>
  </si>
  <si>
    <t>33.2.4</t>
  </si>
  <si>
    <t>33.2.5</t>
  </si>
  <si>
    <t>33.3.</t>
  </si>
  <si>
    <t>33.3.1</t>
  </si>
  <si>
    <t>33.3.2</t>
  </si>
  <si>
    <t>33.3.3</t>
  </si>
  <si>
    <t>33.3.4</t>
  </si>
  <si>
    <t>33.3.5</t>
  </si>
  <si>
    <t>33.4.</t>
  </si>
  <si>
    <t>33.4.1</t>
  </si>
  <si>
    <t>33.4.2</t>
  </si>
  <si>
    <t>33.4.3</t>
  </si>
  <si>
    <t>33.4.4</t>
  </si>
  <si>
    <t>33.4.5</t>
  </si>
  <si>
    <t>33.5.</t>
  </si>
  <si>
    <t>33.5.1</t>
  </si>
  <si>
    <t>33.5.2</t>
  </si>
  <si>
    <t>33.5.3</t>
  </si>
  <si>
    <t>33.5.4</t>
  </si>
  <si>
    <t>33.5.5</t>
  </si>
  <si>
    <t>33.6.</t>
  </si>
  <si>
    <t>33.6.1</t>
  </si>
  <si>
    <t>33.6.2</t>
  </si>
  <si>
    <t>33.6.3</t>
  </si>
  <si>
    <t>33.6.4</t>
  </si>
  <si>
    <t>33.6.5</t>
  </si>
  <si>
    <t>33.7.</t>
  </si>
  <si>
    <t>33.7.1</t>
  </si>
  <si>
    <t>33.7.2</t>
  </si>
  <si>
    <t>33.7.3</t>
  </si>
  <si>
    <t>33.7.4</t>
  </si>
  <si>
    <t>33.7.5</t>
  </si>
  <si>
    <t>33.8.</t>
  </si>
  <si>
    <t>33.8.1</t>
  </si>
  <si>
    <t>33.8.2</t>
  </si>
  <si>
    <t>33.8.3</t>
  </si>
  <si>
    <t>33.8.4</t>
  </si>
  <si>
    <t>33.8.5</t>
  </si>
  <si>
    <t>33.9.</t>
  </si>
  <si>
    <t>33.9.1</t>
  </si>
  <si>
    <t>33.9.2</t>
  </si>
  <si>
    <t>33.9.3</t>
  </si>
  <si>
    <t>33.9.4</t>
  </si>
  <si>
    <t>33.9.5</t>
  </si>
  <si>
    <t>33.10.</t>
  </si>
  <si>
    <t>33.10.1</t>
  </si>
  <si>
    <t>33.10.2</t>
  </si>
  <si>
    <t>33.10.3</t>
  </si>
  <si>
    <t>33.10.4</t>
  </si>
  <si>
    <t>33.10.5</t>
  </si>
  <si>
    <t>33.11.</t>
  </si>
  <si>
    <t>33.11.1</t>
  </si>
  <si>
    <t>33.11.2</t>
  </si>
  <si>
    <t>33.11.3</t>
  </si>
  <si>
    <t>33.11.4</t>
  </si>
  <si>
    <t>33.11.5</t>
  </si>
  <si>
    <t>33.12.</t>
  </si>
  <si>
    <t>33.12.1</t>
  </si>
  <si>
    <t>33.12.2</t>
  </si>
  <si>
    <t>33.12.3</t>
  </si>
  <si>
    <t>33.12.4</t>
  </si>
  <si>
    <t>33.12.5</t>
  </si>
  <si>
    <t>33.13.</t>
  </si>
  <si>
    <t>33.13.1</t>
  </si>
  <si>
    <t>33.13.2</t>
  </si>
  <si>
    <t>33.13.3</t>
  </si>
  <si>
    <t>33.13.4</t>
  </si>
  <si>
    <t>33.13.5</t>
  </si>
  <si>
    <t>33.14.</t>
  </si>
  <si>
    <t>33.14.1</t>
  </si>
  <si>
    <t>33.14.2</t>
  </si>
  <si>
    <t>33.14.3</t>
  </si>
  <si>
    <t>33.14.4</t>
  </si>
  <si>
    <t>33.14.5</t>
  </si>
  <si>
    <t>33.15.</t>
  </si>
  <si>
    <t>33.15.1</t>
  </si>
  <si>
    <t>33.15.2</t>
  </si>
  <si>
    <t>33.15.3</t>
  </si>
  <si>
    <t>33.15.4</t>
  </si>
  <si>
    <t>33.16.</t>
  </si>
  <si>
    <t>33.16.1</t>
  </si>
  <si>
    <t>33.16.2</t>
  </si>
  <si>
    <t>33.16.3</t>
  </si>
  <si>
    <t>33.16.4</t>
  </si>
  <si>
    <t>33.17.</t>
  </si>
  <si>
    <t>33.17.1</t>
  </si>
  <si>
    <t>33.18.</t>
  </si>
  <si>
    <t>33.18.1</t>
  </si>
  <si>
    <t>34.</t>
  </si>
  <si>
    <t>Estucamento Externo em parede</t>
  </si>
  <si>
    <t>34.1.</t>
  </si>
  <si>
    <t>34.1.1</t>
  </si>
  <si>
    <t>34.2.</t>
  </si>
  <si>
    <t>34.2.1</t>
  </si>
  <si>
    <t>34.3.</t>
  </si>
  <si>
    <t>34.3.1</t>
  </si>
  <si>
    <t>34.4.</t>
  </si>
  <si>
    <t>34.4.1</t>
  </si>
  <si>
    <t>34.5.</t>
  </si>
  <si>
    <t>34.5.1</t>
  </si>
  <si>
    <t>34.6.</t>
  </si>
  <si>
    <t>34.6.1</t>
  </si>
  <si>
    <t>34.7.</t>
  </si>
  <si>
    <t>34.7.1</t>
  </si>
  <si>
    <t>34.8.</t>
  </si>
  <si>
    <t>34.8.1</t>
  </si>
  <si>
    <t>34.9.</t>
  </si>
  <si>
    <t>34.9.1</t>
  </si>
  <si>
    <t>35.</t>
  </si>
  <si>
    <t>Revestimento Argamassado Externo em parede (a definir)</t>
  </si>
  <si>
    <t>35.1.</t>
  </si>
  <si>
    <t>35.1.1</t>
  </si>
  <si>
    <t>35.1.2</t>
  </si>
  <si>
    <t>35.2.</t>
  </si>
  <si>
    <t>35.2.1</t>
  </si>
  <si>
    <t>35.2.2</t>
  </si>
  <si>
    <t>35.3.</t>
  </si>
  <si>
    <t>35.3.1</t>
  </si>
  <si>
    <t>35.3.2</t>
  </si>
  <si>
    <t>35.4.</t>
  </si>
  <si>
    <t>35.4.1</t>
  </si>
  <si>
    <t>35.4.2</t>
  </si>
  <si>
    <t>35.5.</t>
  </si>
  <si>
    <t>35.5.1</t>
  </si>
  <si>
    <t>35.5.2</t>
  </si>
  <si>
    <t>35.6.</t>
  </si>
  <si>
    <t>35.6.1</t>
  </si>
  <si>
    <t>35.6.2</t>
  </si>
  <si>
    <t>35.7.</t>
  </si>
  <si>
    <t>35.7.1</t>
  </si>
  <si>
    <t>35.7.2</t>
  </si>
  <si>
    <t>35.8.</t>
  </si>
  <si>
    <t>35.8.1</t>
  </si>
  <si>
    <t>35.8.2</t>
  </si>
  <si>
    <t>35.9.</t>
  </si>
  <si>
    <t>35.9.1</t>
  </si>
  <si>
    <t>35.9.2</t>
  </si>
  <si>
    <t>35.10.</t>
  </si>
  <si>
    <t>35.10.1</t>
  </si>
  <si>
    <t>35.11.</t>
  </si>
  <si>
    <t>35.11.1</t>
  </si>
  <si>
    <t>35.11.2</t>
  </si>
  <si>
    <t>35.12.</t>
  </si>
  <si>
    <t>35.12.1</t>
  </si>
  <si>
    <t>36.</t>
  </si>
  <si>
    <t>36.1.</t>
  </si>
  <si>
    <t>36.1.1</t>
  </si>
  <si>
    <t>36.1.2</t>
  </si>
  <si>
    <t>36.1.3</t>
  </si>
  <si>
    <t>36.1.4</t>
  </si>
  <si>
    <t>36.1.5</t>
  </si>
  <si>
    <t>36.1.6</t>
  </si>
  <si>
    <t>36.1.7</t>
  </si>
  <si>
    <t>REVESTIMENTO EXTERNO - PINTURA PARA FACHADA , PINTURA SUVINIL PATATIVA</t>
  </si>
  <si>
    <t>36.2.</t>
  </si>
  <si>
    <t>36.2.1</t>
  </si>
  <si>
    <t>36.2.2</t>
  </si>
  <si>
    <t>36.2.3</t>
  </si>
  <si>
    <t>36.2.4</t>
  </si>
  <si>
    <t>36.2.5</t>
  </si>
  <si>
    <t>36.3.</t>
  </si>
  <si>
    <t>36.3.1</t>
  </si>
  <si>
    <t>36.3.2</t>
  </si>
  <si>
    <t>36.3.3</t>
  </si>
  <si>
    <t>36.3.4</t>
  </si>
  <si>
    <t>36.3.5</t>
  </si>
  <si>
    <t>36.3.6</t>
  </si>
  <si>
    <t>36.3.7</t>
  </si>
  <si>
    <t>36.4.</t>
  </si>
  <si>
    <t>36.4.1</t>
  </si>
  <si>
    <t>36.4.2</t>
  </si>
  <si>
    <t>36.4.3</t>
  </si>
  <si>
    <t>36.4.4</t>
  </si>
  <si>
    <t>36.4.5</t>
  </si>
  <si>
    <t>36.5.</t>
  </si>
  <si>
    <t>36.5.1</t>
  </si>
  <si>
    <t>36.5.2</t>
  </si>
  <si>
    <t>36.5.3</t>
  </si>
  <si>
    <t>36.5.4</t>
  </si>
  <si>
    <t>36.5.5</t>
  </si>
  <si>
    <t>36.6.</t>
  </si>
  <si>
    <t>36.6.1</t>
  </si>
  <si>
    <t>36.6.2</t>
  </si>
  <si>
    <t>36.6.3</t>
  </si>
  <si>
    <t>36.6.4</t>
  </si>
  <si>
    <t>36.6.5</t>
  </si>
  <si>
    <t>36.7.</t>
  </si>
  <si>
    <t>36.7.1</t>
  </si>
  <si>
    <t>36.7.2</t>
  </si>
  <si>
    <t>36.7.3</t>
  </si>
  <si>
    <t>36.7.4</t>
  </si>
  <si>
    <t>36.7.5</t>
  </si>
  <si>
    <t>36.8.</t>
  </si>
  <si>
    <t>36.8.1</t>
  </si>
  <si>
    <t>36.8.2</t>
  </si>
  <si>
    <t>36.8.3</t>
  </si>
  <si>
    <t>36.8.4</t>
  </si>
  <si>
    <t>36.8.5</t>
  </si>
  <si>
    <t>36.9.</t>
  </si>
  <si>
    <t>36.9.1</t>
  </si>
  <si>
    <t>36.9.2</t>
  </si>
  <si>
    <t>36.9.3</t>
  </si>
  <si>
    <t>36.9.4</t>
  </si>
  <si>
    <t>36.9.5</t>
  </si>
  <si>
    <t>36.10.</t>
  </si>
  <si>
    <t>36.10.1</t>
  </si>
  <si>
    <t>36.10.2</t>
  </si>
  <si>
    <t>36.10.3</t>
  </si>
  <si>
    <t>36.10.4</t>
  </si>
  <si>
    <t>36.10.5</t>
  </si>
  <si>
    <t>36.11.</t>
  </si>
  <si>
    <t>36.11.1</t>
  </si>
  <si>
    <t>36.11.2</t>
  </si>
  <si>
    <t>36.11.3</t>
  </si>
  <si>
    <t>36.11.4</t>
  </si>
  <si>
    <t>36.11.5</t>
  </si>
  <si>
    <t>36.12.</t>
  </si>
  <si>
    <t>36.12.1</t>
  </si>
  <si>
    <t>36.12.2</t>
  </si>
  <si>
    <t>36.12.3</t>
  </si>
  <si>
    <t>36.12.4</t>
  </si>
  <si>
    <t>36.12.5</t>
  </si>
  <si>
    <t>36.13.</t>
  </si>
  <si>
    <t>36.13.1</t>
  </si>
  <si>
    <t>36.13.2</t>
  </si>
  <si>
    <t>36.13.3</t>
  </si>
  <si>
    <t>36.13.4</t>
  </si>
  <si>
    <t>36.13.5</t>
  </si>
  <si>
    <t>36.14.</t>
  </si>
  <si>
    <t>36.14.1</t>
  </si>
  <si>
    <t>36.14.2</t>
  </si>
  <si>
    <t>36.14.3</t>
  </si>
  <si>
    <t>36.14.4</t>
  </si>
  <si>
    <t>36.14.5</t>
  </si>
  <si>
    <t>36.15.</t>
  </si>
  <si>
    <t>36.15.1</t>
  </si>
  <si>
    <t>36.15.2</t>
  </si>
  <si>
    <t>36.15.3</t>
  </si>
  <si>
    <t>36.15.4</t>
  </si>
  <si>
    <t>36.16.</t>
  </si>
  <si>
    <t>36.16.1</t>
  </si>
  <si>
    <t>36.16.2</t>
  </si>
  <si>
    <t>36.16.3</t>
  </si>
  <si>
    <t>36.16.4</t>
  </si>
  <si>
    <t>36.17.</t>
  </si>
  <si>
    <t>36.17.1</t>
  </si>
  <si>
    <t>36.18.</t>
  </si>
  <si>
    <t>36.18.1</t>
  </si>
  <si>
    <t>37.</t>
  </si>
  <si>
    <t>37.1.</t>
  </si>
  <si>
    <t>37.1.1</t>
  </si>
  <si>
    <t>37.2.</t>
  </si>
  <si>
    <t>37.2.1</t>
  </si>
  <si>
    <t>37.3.</t>
  </si>
  <si>
    <t>37.3.1</t>
  </si>
  <si>
    <t>37.3.2</t>
  </si>
  <si>
    <t>37.4.</t>
  </si>
  <si>
    <t>37.4.1</t>
  </si>
  <si>
    <t>37.4.2</t>
  </si>
  <si>
    <t>37.4.3</t>
  </si>
  <si>
    <t>37.5.</t>
  </si>
  <si>
    <t>37.5.1</t>
  </si>
  <si>
    <t>37.5.2</t>
  </si>
  <si>
    <t>37.5.3</t>
  </si>
  <si>
    <t>37.6.</t>
  </si>
  <si>
    <t>37.6.1</t>
  </si>
  <si>
    <t>37.6.2</t>
  </si>
  <si>
    <t>37.6.3</t>
  </si>
  <si>
    <t>37.7.</t>
  </si>
  <si>
    <t>37.7.1</t>
  </si>
  <si>
    <t>37.7.2</t>
  </si>
  <si>
    <t>37.7.3</t>
  </si>
  <si>
    <t>37.8.</t>
  </si>
  <si>
    <t>37.8.1</t>
  </si>
  <si>
    <t>37.8.2</t>
  </si>
  <si>
    <t>37.8.3</t>
  </si>
  <si>
    <t>37.9.</t>
  </si>
  <si>
    <t>37.9.1</t>
  </si>
  <si>
    <t>37.9.2</t>
  </si>
  <si>
    <t>37.9.3</t>
  </si>
  <si>
    <t>37.10.</t>
  </si>
  <si>
    <t>37.10.1</t>
  </si>
  <si>
    <t>37.10.2</t>
  </si>
  <si>
    <t>37.10.3</t>
  </si>
  <si>
    <t>37.11.</t>
  </si>
  <si>
    <t>37.11.1</t>
  </si>
  <si>
    <t>37.11.2</t>
  </si>
  <si>
    <t>37.11.3</t>
  </si>
  <si>
    <t>37.12.</t>
  </si>
  <si>
    <t>37.12.1</t>
  </si>
  <si>
    <t>37.12.2</t>
  </si>
  <si>
    <t>37.13.</t>
  </si>
  <si>
    <t>37.13.1</t>
  </si>
  <si>
    <t>37.13.2</t>
  </si>
  <si>
    <t>37.13.3</t>
  </si>
  <si>
    <t>REVESTIMENTO FACHADA FORRO SOBRE ESTRUTURA - COR 1 - REVESTIMENTO EM PLACA DE ACM</t>
  </si>
  <si>
    <t>37.14.</t>
  </si>
  <si>
    <t>37.14.1</t>
  </si>
  <si>
    <t>38.</t>
  </si>
  <si>
    <t>Calçadas e passeios</t>
  </si>
  <si>
    <t>38.1.</t>
  </si>
  <si>
    <t>38.1.1</t>
  </si>
  <si>
    <t>38.1.2</t>
  </si>
  <si>
    <t>38.1.3</t>
  </si>
  <si>
    <t>39.</t>
  </si>
  <si>
    <t>Serviços complementares - cobertura</t>
  </si>
  <si>
    <t>39.1.</t>
  </si>
  <si>
    <t>39.1.1</t>
  </si>
  <si>
    <t>39.2.</t>
  </si>
  <si>
    <t>39.2.1</t>
  </si>
  <si>
    <t>39.3.</t>
  </si>
  <si>
    <t>39.3.1</t>
  </si>
  <si>
    <t>39.4.</t>
  </si>
  <si>
    <t>39.4.1</t>
  </si>
  <si>
    <t>Nome</t>
  </si>
  <si>
    <t>JANELA DE CORRER, 2 FOLHAS, ALUMÍNIO E VIDRO</t>
  </si>
  <si>
    <t>JANELA DE CORRER, 2 FOLHAS + PEITORIL FIXO, ALUMÍNIO E VIDRO</t>
  </si>
  <si>
    <t>JANELA FIXA, 1 FOLHA, ALUMÍNIO E VIDRO</t>
  </si>
  <si>
    <t>JANELA FIXA, 1 FOLHA, VIDRO</t>
  </si>
  <si>
    <t>JANELA MAXIM-AIR, 1 FOLHA, ALUMÍNIO E VIDRO</t>
  </si>
  <si>
    <t>PORTA DE ABRIR, 1 FOLHA, ALUMÍNIO VENEZIANA</t>
  </si>
  <si>
    <t>PORTA DE ABRIR, 1 FOLHA + LUZ LATERAL, ALUMÍNIO E VIDRO</t>
  </si>
  <si>
    <t>PORTA DE ABRIR, 1 FOLHA, VIDRO E ALUMÍNIO</t>
  </si>
  <si>
    <t>PORTA DE ABRIR, 2 FOLHAS, ALUMÍNIO VENEZIANA</t>
  </si>
  <si>
    <t>PORTA DE ABRIR, 2 FOLHAS, VIDRO E ALUMÍNIO</t>
  </si>
  <si>
    <t>PORTA DE ABRIR, VENEZIANA, 1 FOLHA, ALUMÍNIO BRANCO</t>
  </si>
  <si>
    <t>PORTÃO DE ABRIR, 1 FOLHA, ALUMÍNIO VENEZIANA</t>
  </si>
  <si>
    <t>PORTA DE CORRER, 2 FOLHAS, ALUMÍNIO VENEZIANA</t>
  </si>
  <si>
    <t>PORTA DE CORRER, 2 FOLHAS, VIDRO E ALUMÍNIO</t>
  </si>
  <si>
    <t>PORTA DE CORRER, 2 FOLHAS, VIDRO TEMPERADO</t>
  </si>
  <si>
    <t>PORTA DE CORRER, 3 FOLHAS, VIDRO E ALUMÍNIO</t>
  </si>
  <si>
    <t>PORTÃO BASCULANTE, 1 FOLHA, ALUMÍNIO</t>
  </si>
  <si>
    <t>ABERTURA PARA CHURRASQUEIRA, ALUMÍNIO</t>
  </si>
  <si>
    <t>BOX LAVA PÉS, 2 FOLHAS, VIDRO TEMPERADO</t>
  </si>
  <si>
    <t>VENTILAÇÃO PERMANENTE</t>
  </si>
  <si>
    <t>Térreo</t>
  </si>
  <si>
    <t>G1</t>
  </si>
  <si>
    <t>Mezanino G1</t>
  </si>
  <si>
    <t>Tipo 1</t>
  </si>
  <si>
    <t>Tipo 2 x4</t>
  </si>
  <si>
    <t>Tipo 3 x6</t>
  </si>
  <si>
    <t>Tipo 4 x2</t>
  </si>
  <si>
    <t>Tipo 5</t>
  </si>
  <si>
    <t>Rooftop</t>
  </si>
  <si>
    <t>Bar/resev/heli</t>
  </si>
  <si>
    <t>INSTALAÇÕES</t>
  </si>
  <si>
    <t>Valor (R$)</t>
  </si>
  <si>
    <t>Consideração</t>
  </si>
  <si>
    <t>Status</t>
  </si>
  <si>
    <t>Pavimentos</t>
  </si>
  <si>
    <t>Garagens</t>
  </si>
  <si>
    <t>Lazer</t>
  </si>
  <si>
    <t>Tipoz x21</t>
  </si>
  <si>
    <t>REFERÊNCIAS</t>
  </si>
  <si>
    <t>Entrada de Energia</t>
  </si>
  <si>
    <t>Média</t>
  </si>
  <si>
    <t>Lançado Sienge</t>
  </si>
  <si>
    <t>Quadros e Disjuntores</t>
  </si>
  <si>
    <t>Eletrodutos e Eletrocalhas</t>
  </si>
  <si>
    <t>Cabos e Fiacoes</t>
  </si>
  <si>
    <t>Pontos de Tomadas e Interruptores</t>
  </si>
  <si>
    <t>Luminarias</t>
  </si>
  <si>
    <t>Mao de obra de instalacoes eletricas</t>
  </si>
  <si>
    <t>COMUNICAÇÕES</t>
  </si>
  <si>
    <t>Infraestrutura de automação dos apartamentos (Iluminação, cortinas, áudio, ar cond.)</t>
  </si>
  <si>
    <t xml:space="preserve">SISTEMAS E INSTALAÇÕES HIDROSSANITÁRIAS | DRENAGEM </t>
  </si>
  <si>
    <t>Instalacoes de Agua Fria</t>
  </si>
  <si>
    <t>Cotação</t>
  </si>
  <si>
    <t>Instalacoes de Agua Quente</t>
  </si>
  <si>
    <t>Valvulas e complementos</t>
  </si>
  <si>
    <t>Estação redutora de pressão</t>
  </si>
  <si>
    <t>Hidrometros</t>
  </si>
  <si>
    <t>Sistema de tratamento de esgoto</t>
  </si>
  <si>
    <t>Instalações de Gás e GLP</t>
  </si>
  <si>
    <t>Instalações Preventivas - hidrantese bombas</t>
  </si>
  <si>
    <t>Instalações Preventivas - sinalização e alarmes</t>
  </si>
  <si>
    <t>Instalações de Proteção e Aterramento - SPDA</t>
  </si>
  <si>
    <t>Mao de obra - Preventiva</t>
  </si>
  <si>
    <t>Instalações de GLP</t>
  </si>
  <si>
    <t>Mão de obra - GLP</t>
  </si>
  <si>
    <t>Infraestrutura para instalacao de ar condicionado</t>
  </si>
  <si>
    <t>Ponto</t>
  </si>
  <si>
    <t>Equipamento de ar-condicionado</t>
  </si>
  <si>
    <t xml:space="preserve">Estrutura de exaustão </t>
  </si>
  <si>
    <t>Exaustores Churrasqueira - contar pontos</t>
  </si>
  <si>
    <t>Equipamento Escada Pressurizada</t>
  </si>
  <si>
    <t>PAVIMENTO</t>
  </si>
  <si>
    <t>GRUPO/EAP</t>
  </si>
  <si>
    <t>SUBGRUPO</t>
  </si>
  <si>
    <t>Perda</t>
  </si>
  <si>
    <t>Qte com perda</t>
  </si>
  <si>
    <t>Custo Total</t>
  </si>
  <si>
    <t>CABEAMENTO</t>
  </si>
  <si>
    <t>Telefonia/lógica/internet</t>
  </si>
  <si>
    <t>Caixas de Embutir</t>
  </si>
  <si>
    <t>Caixa de Luz 4''x2'', de embutir, em PVC na cor amarelo para eletroduto corrugado</t>
  </si>
  <si>
    <t>pç</t>
  </si>
  <si>
    <t>Caixa de Piso Baixa 4x2 em alumínio, 3/4''</t>
  </si>
  <si>
    <t>Caixa de Piso Baixa 4x4 em alumínio, 3/4''</t>
  </si>
  <si>
    <t>Conduletes de PVC</t>
  </si>
  <si>
    <t>Condulete de PVC multiplo antichamas na cor cinza, Ø1'', sem tampa, com 5 entradas</t>
  </si>
  <si>
    <t>Tampa para Tomada Hexagonal Horizontal para Condulete de PVC antichama na cor cinza</t>
  </si>
  <si>
    <t>Condulete de alumínio Tipo ''LB'' sem rosca; com tampa cega; parafusos em aço zincado; pintura epoxi cor cinza; para eletroduto rígido de diâmetro nominal Ø25</t>
  </si>
  <si>
    <t>Derivações sem Rosca</t>
  </si>
  <si>
    <t>Condulete de alumínio Tipo ''LR'' sem rosca, com tampa cega, parafusos em aço zincado, pintura epoxi cor cinza, para eletroduto rígido de diâmetro nominal Ø25</t>
  </si>
  <si>
    <t>Curva Horizontal 90°, para eletrocalha, chapa de aço carbono galvanizada, largura 50 mm e altura da aba 50 mm</t>
  </si>
  <si>
    <t>Derivações de Eletrocalhas</t>
  </si>
  <si>
    <t>Curva Vertical Externa 90°, para eletrocalha, chapa de aço carbono galvanizada, largura 50 mm e altura da aba 50 mm</t>
  </si>
  <si>
    <t>Curva Vertical Interna 90°, para eletrocalha, chapa de aço carbono galvanizada, largura 50 mm e altura da aba 50 mm</t>
  </si>
  <si>
    <t>Saída Horizontal para Eletroduto</t>
  </si>
  <si>
    <t>Derivações de Eletrodutos</t>
  </si>
  <si>
    <t>Condulete Multiplo Tipo X, para instalação com conectores CPX, em liga de alumínio, com tampa cega, para eletroduto rígido de diâmetro nominal Ø25</t>
  </si>
  <si>
    <t>Conector para condulete multiplo de alumínio, sem rosca, para eletroduto rígido de diâmetro nominal Ø25</t>
  </si>
  <si>
    <t>Derivações para Eletrodutos de PVC Rígido</t>
  </si>
  <si>
    <t>Curva 90° para eletroduto rígido de PVC, DN25mm, rosca Ø3/4</t>
  </si>
  <si>
    <t>Curva 90° para eletroduto rígido de PVC, DN65mm, rosca Ø2</t>
  </si>
  <si>
    <t>Luva para eletroduto de PVC rígido, DN25mm, rosca Ø3/4</t>
  </si>
  <si>
    <t>Luva para eletroduto de PVC rígido, DN65mm, rosca Ø2</t>
  </si>
  <si>
    <t>Fixações Elétricas</t>
  </si>
  <si>
    <t>Arruela lisa Ø3/8'', de aço carbono galvanizado</t>
  </si>
  <si>
    <t>Chumbador de Expansão, rosca Ø3/8'', de aço carbono galvanizado, tipo CB</t>
  </si>
  <si>
    <t>Gancho para perfilado, aço galvanizado, 38x38mm</t>
  </si>
  <si>
    <t>Perfilado Perfurado para Suportes, de chapa de aço carbono galvanizado, 38 mm de largura e 38 mm de altura da aba e  200 mm de comprimento</t>
  </si>
  <si>
    <t>Porca sextavada, rosca Ø3/8'', de aço carbono galvanizado</t>
  </si>
  <si>
    <t>Vergalhão com rosca total de aço, galvanizado, rosca Ø3/8'' e 250 mm de comprimento</t>
  </si>
  <si>
    <t>Vergalhão com rosca total de aço, galvanizado, rosca Ø3/8'' e 450 mm de comprimento</t>
  </si>
  <si>
    <t>Vergalhão com rosca total de aço, galvanizado, rosca Ø3/8'' e 500 mm de comprimento</t>
  </si>
  <si>
    <t>Vergalhão com rosca total de aço, galvanizado, rosca Ø3/8'' e 525 mm de comprimento</t>
  </si>
  <si>
    <t>Vergalhão com rosca total de aço, galvanizado, rosca Ø3/8'' e 600 mm de comprimento</t>
  </si>
  <si>
    <t>Vergalhão com rosca total de aço, galvanizado, rosca Ø3/8'' e 650 mm de comprimento</t>
  </si>
  <si>
    <t>Vergalhão com rosca total de aço, galvanizado, rosca Ø3/8'' e 1400 mm de comprimento</t>
  </si>
  <si>
    <t>Vergalhão com rosca total de aço, galvanizado, rosca Ø3/8'' e 1450 mm de comprimento</t>
  </si>
  <si>
    <t>Quadros</t>
  </si>
  <si>
    <t>Quadro de telefonia de embutir em PVC 30x30x12cm</t>
  </si>
  <si>
    <t>Quadro de telefonia de embutir em PVC 40x40x12cm</t>
  </si>
  <si>
    <t>Quadro de telefonia distribuidor geral 60x60x12cm</t>
  </si>
  <si>
    <t>Quadro de telefonia distribuidor geral 80x40x12cm</t>
  </si>
  <si>
    <t>Quadro de telefonia distribuidor geral 80x80x12cm</t>
  </si>
  <si>
    <t>Tomadas para Telefone e Antena de TV</t>
  </si>
  <si>
    <t>Tomada de piso para TV, com tampa tipo unha, 4''x4''</t>
  </si>
  <si>
    <t>Conjunto montado de 1 Tomada de piso RJ45, com tampa tipo unha, 4''x2''</t>
  </si>
  <si>
    <t>Conjunto montado de 1 para Telefone, RJ45, 4''x2''</t>
  </si>
  <si>
    <t>Conjunto montado de 1 tomada para antena de TV, para cabo coaxial de 75ohms, 4"x2"</t>
  </si>
  <si>
    <t>Plug Coaxial</t>
  </si>
  <si>
    <t>Plug RJ45</t>
  </si>
  <si>
    <t>Tomadas para Conduletes de PVC</t>
  </si>
  <si>
    <t>1 para Telefone, RJ45, sem placa, para montagem em Condulete de PVC</t>
  </si>
  <si>
    <t>Caixas de passagem, eletrodutos e eletrocalhas</t>
  </si>
  <si>
    <t>Eletroduto de PVC Rígido Roscável, anti chama, na cor preta Ø65</t>
  </si>
  <si>
    <t>Eletroduto de PVC Rígido Roscável, anti chama, na cor preta Ø25</t>
  </si>
  <si>
    <t>Eletroduto flexível corrugado PEAD Ø100</t>
  </si>
  <si>
    <t>Eletroduto flexível corrugado PEAD Ø75</t>
  </si>
  <si>
    <t>Eletroduto flexível corrugado Reforçado, em PVC na cor laranja antichamas Ø32</t>
  </si>
  <si>
    <t>Eletroduto flexível corrugado Reforçado, em PVC na cor laranja antichamas Ø25</t>
  </si>
  <si>
    <t>Caixa de passagem de concreto 60x35x50cm, com tampa de ferro fundido escrito telecom</t>
  </si>
  <si>
    <t>Cabeamento</t>
  </si>
  <si>
    <t>Cabo Coaxial RG06</t>
  </si>
  <si>
    <t>Cabo de Rede UTP 4 pares, Cat6</t>
  </si>
  <si>
    <t>TOTAL:</t>
  </si>
  <si>
    <t>R00 - Letícia</t>
  </si>
  <si>
    <t>TELEFONE</t>
  </si>
  <si>
    <t>Considerado de 7 saidas</t>
  </si>
  <si>
    <t xml:space="preserve">R00 </t>
  </si>
  <si>
    <t>QUANTIFICAÇÃO</t>
  </si>
  <si>
    <t>Piscina Garden (x2) (2,31*(7,94+2,65) 23m³</t>
  </si>
  <si>
    <t>Descrição quantitativo</t>
  </si>
  <si>
    <t>unidade</t>
  </si>
  <si>
    <t>Preço unitário</t>
  </si>
  <si>
    <t>Preço total</t>
  </si>
  <si>
    <t>RALO DE FUNDO QUADRA ANTI-TURBILHÃO (16X16cm) E ANTI-APRISIONAMENTO COM DIFUSOR DE
SOBREPOR EM AÇO INOX CRISTAL LED</t>
  </si>
  <si>
    <t xml:space="preserve">un </t>
  </si>
  <si>
    <t>BOCAL DE ASPIRAÇÃO QUADRA ANTI-TURBILHÃO E ANTI-APRISIONAMENTO AÇO INOX 316-L CRISTAL
LED ENCAIXE P/ TUBO DE 50mm</t>
  </si>
  <si>
    <t>BR - BOCAL DE RETORNO QUADRA AÇO INOX 316-L CRISTAL LED ENCAIXE P/ TUBO DE 50mm</t>
  </si>
  <si>
    <t xml:space="preserve">COADEIRA COMPACTA CRISTAL LED EM ABS C/ ACABAMENTO FRENTE EM INOX </t>
  </si>
  <si>
    <t>FILTRO SODRAMAR FM-40 – em termoplastico com areia</t>
  </si>
  <si>
    <t>MOTOBOMBA SYLLENT AUTO ESCORVANTE BM-50 1/2 CV Mono</t>
  </si>
  <si>
    <t>GERADOR DE COLORO BZ -30</t>
  </si>
  <si>
    <t>TAMPA ARTICULADA GDA 110X110cm CÓDIGO 3140</t>
  </si>
  <si>
    <t>Piscina Cobertura (2,3x12,875) 35m³</t>
  </si>
  <si>
    <t>Interfonia</t>
  </si>
  <si>
    <t>Aparelho interfone</t>
  </si>
  <si>
    <t>Porteiro externo</t>
  </si>
  <si>
    <t>Centro de acesso digital</t>
  </si>
  <si>
    <t>Fechadura solenoide</t>
  </si>
  <si>
    <t>Fechadura eletromagnetica</t>
  </si>
  <si>
    <t>Fonte alimentação</t>
  </si>
  <si>
    <t>no Break</t>
  </si>
  <si>
    <t>Bateria</t>
  </si>
  <si>
    <t>Botão de saida</t>
  </si>
  <si>
    <t>Tag id</t>
  </si>
  <si>
    <t>Mão de obra para instlação de interfonia</t>
  </si>
  <si>
    <t>M³</t>
  </si>
  <si>
    <t>PORTÕES</t>
  </si>
  <si>
    <t>Automatização de portões</t>
  </si>
  <si>
    <t>MOTOR BASCULANTE BV HOME CUSTON CALHA 1,4 M</t>
  </si>
  <si>
    <t>No break portão</t>
  </si>
  <si>
    <t>BATERIA MOURA 12MN45 ESTACIONARIA</t>
  </si>
  <si>
    <t>CABO PARA BATERIA EXTERNA</t>
  </si>
  <si>
    <t>SENSOR ANTI ESMAGAMENTO</t>
  </si>
  <si>
    <t>PLACA CONTROLADORA IP 01 PORTAS -
C3-200</t>
  </si>
  <si>
    <t>Disciplina</t>
  </si>
  <si>
    <t>GERAL</t>
  </si>
  <si>
    <t>INCENDIO</t>
  </si>
  <si>
    <t>Incêndio</t>
  </si>
  <si>
    <t>Sinalização e Extintor</t>
  </si>
  <si>
    <t>Extintor</t>
  </si>
  <si>
    <t>Extintor de Pó Químico – PQS 4 kg</t>
  </si>
  <si>
    <t>Abrigo p/ 1 extintor de Pó Químico – PQS 4 Kg (central de gás)</t>
  </si>
  <si>
    <t>Placa indicativa p/ extintor 13x20cm</t>
  </si>
  <si>
    <t>Gás</t>
  </si>
  <si>
    <t>Placa proibido colocar materiais 20x20cm</t>
  </si>
  <si>
    <t>SPDA</t>
  </si>
  <si>
    <t>Pintura quadro no piso 1,0x1,0m para sinalização extintores.</t>
  </si>
  <si>
    <t>Conjunto Hidrantes</t>
  </si>
  <si>
    <t>Adaptador 1.1/2” storz p/ 2.1/2” rosca p/ globo 5FPP</t>
  </si>
  <si>
    <t>Esguicho com requinte storz Ø13mm</t>
  </si>
  <si>
    <t>Registro Globo angular Ø 2 1/2”</t>
  </si>
  <si>
    <t>Caixa para abrigo de mangueiras 60x90x17 cm, embutir</t>
  </si>
  <si>
    <t>Vidro c/ adesivo incêndio p/ cx. Mangueira 22X24cm</t>
  </si>
  <si>
    <t>Mangueira predial 1 20+20m - tipo 1 (térreo)</t>
  </si>
  <si>
    <t>Mangueira predial 1 ½" 15+15m - tipo 1</t>
  </si>
  <si>
    <t>Hidrante de Recalque</t>
  </si>
  <si>
    <t>Válvula angular hidrante Ø 2 1/2"X45º (registro globo)</t>
  </si>
  <si>
    <t>Engate rápido STORZ Ø 2 ½" com tampão</t>
  </si>
  <si>
    <t>Tubulação</t>
  </si>
  <si>
    <t>Barra Tubo Fe. Galv comprimento 6,00 m - ø3''</t>
  </si>
  <si>
    <t>Barra Tubo Fe. Galv comprimento 6,00 m - ø2 1.2''</t>
  </si>
  <si>
    <t>Conexão</t>
  </si>
  <si>
    <t>Niple duplo Ø 2 1/2”</t>
  </si>
  <si>
    <t>Curva 90º Fêmea Ø 2 1/2”</t>
  </si>
  <si>
    <t>Curva 90º Fêmea Ø 3”</t>
  </si>
  <si>
    <t>Flange com Sextavado Ø ”3 para caixa dágua RTI</t>
  </si>
  <si>
    <t>Luva de Red. Ø3" -  Ø 2 1/2”</t>
  </si>
  <si>
    <t>Tê 90º Ø 2 1/2”</t>
  </si>
  <si>
    <t>Tê 90º Ø 3”</t>
  </si>
  <si>
    <t>Válvula de retenção Ø 3”</t>
  </si>
  <si>
    <t>Registro de gaveta Ø 3”</t>
  </si>
  <si>
    <t>Registro Globo angular Ø2 1/2”</t>
  </si>
  <si>
    <t>Placa de Saída não luminosa, acrílico transparente. (Distância de visualização 12m)</t>
  </si>
  <si>
    <t>Placa de Saída não luminosa, acrílico transparente. (Distância de visualização 6m)</t>
  </si>
  <si>
    <t>Placas de Saída Indicação de Sentido (Distância de visualização de 12m)</t>
  </si>
  <si>
    <t>Placas de Indicação do Pavimento (Distância de visualização de 6m)</t>
  </si>
  <si>
    <t>Placa de Saída indicação do sentido de fuga em escadas (Distância de visualização de 6m)</t>
  </si>
  <si>
    <t>Placa Símbulo Acessibilidade Cadeirante Escada</t>
  </si>
  <si>
    <t>Luminária de Emergência 5 lux</t>
  </si>
  <si>
    <t>Luminária de Emergência 3 lux</t>
  </si>
  <si>
    <t>Alarmes</t>
  </si>
  <si>
    <t>Eletroduto de PVC rígido, anti-chama de 1", barra de 3 metros</t>
  </si>
  <si>
    <t>Luva para eletroduto de PVC rígido, de 1"</t>
  </si>
  <si>
    <t>Cabo trançado 0,5mm², 3 vias, blindado</t>
  </si>
  <si>
    <t>Detetor de fumaça</t>
  </si>
  <si>
    <t xml:space="preserve">Acionador manual </t>
  </si>
  <si>
    <t>Central de alarme de incêndio, convencional, com bateria 220 Vca – 12 Vcc – 20 laços</t>
  </si>
  <si>
    <t>Alarme sonoro</t>
  </si>
  <si>
    <t>GÁS</t>
  </si>
  <si>
    <t>Tubulação de gás</t>
  </si>
  <si>
    <t>Tubulação de aço galvanizado com costura f 1”</t>
  </si>
  <si>
    <t>Tubulação de aço galvanizado com costura f 3/4”</t>
  </si>
  <si>
    <t>Tubulação de aço galvanizado com costura f 1/2”</t>
  </si>
  <si>
    <t>Registro de corte tipo fecho rápidof1/2”</t>
  </si>
  <si>
    <t>Cotovelo 90º - Ø1" NPT</t>
  </si>
  <si>
    <t>Cotovelo 90º - Ø 3/4" NPT</t>
  </si>
  <si>
    <t>Cotovelo 90º - Ø 1/2" NPT</t>
  </si>
  <si>
    <t>Central de gás</t>
  </si>
  <si>
    <t>Tredolet c/ válvula de retenção</t>
  </si>
  <si>
    <t>Pigtail de cobre ou borrachaf6,4 mm</t>
  </si>
  <si>
    <t>Gambiarraf½ “</t>
  </si>
  <si>
    <t>Placa p/Abrigo de gás com a inscrição “ Cuidado Abrigo de Gás”</t>
  </si>
  <si>
    <t>Abertura de ventilação permanente 20cm(alt.) x20cm(larg.) com veneziana alumínio  (espessura mínima entre as placas de 8mm)</t>
  </si>
  <si>
    <t>Bujão em ferro maleável 300# - Ø1/2" NPT</t>
  </si>
  <si>
    <t>Tampão - Ø ½" NPT</t>
  </si>
  <si>
    <t>Manômetro 300# - Ø ¼" NPT</t>
  </si>
  <si>
    <t>Niple duplo em ferro maleável  300# - Ø1/2 NPT</t>
  </si>
  <si>
    <t>Niple redução duplo em ferro maleável  300# - Ø ¼"para Ø1/2 NPT</t>
  </si>
  <si>
    <t>Quadro de manobra de alúminio  (30x60x20cm) dimensões internas</t>
  </si>
  <si>
    <t>União em ferro maleável com assento em bronze 300# - Ø1/2” NPT</t>
  </si>
  <si>
    <t>Válvula  tipo fecho rápido</t>
  </si>
  <si>
    <t>Tê redução em ferro maleável 300# - Ø ½" NPT</t>
  </si>
  <si>
    <t>Cilindros P45 kg</t>
  </si>
  <si>
    <t>Válvula de esfera com Alavanca vermelha 3/4</t>
  </si>
  <si>
    <t>Porta veneziana 100x210</t>
  </si>
  <si>
    <t>Medidores</t>
  </si>
  <si>
    <t>Abrigo de gás</t>
  </si>
  <si>
    <t>Abrigo p/ Medidores</t>
  </si>
  <si>
    <t>Medidor de gás</t>
  </si>
  <si>
    <t>Válvula de retenção NPT FIM DE LINHA</t>
  </si>
  <si>
    <t>Cone Borboleta SAE 3/8”</t>
  </si>
  <si>
    <t>Registro Fecho Rápido NPT 1/8"</t>
  </si>
  <si>
    <t>Niple Duplo latão 1/8” SPT</t>
  </si>
  <si>
    <t>Regulador de Pressão GLP 2º estágio</t>
  </si>
  <si>
    <t>União NPT X SAE 3/8"</t>
  </si>
  <si>
    <t>Porca latão 3/8"</t>
  </si>
  <si>
    <t>Tubo de Cobre 3/8” parede 1/32”</t>
  </si>
  <si>
    <t>Cabo de cobre nú #35mm², conforme NBR6524</t>
  </si>
  <si>
    <t>Cabo de cobre nú #50mm², conforme NBR6524</t>
  </si>
  <si>
    <t>Eletroduto de PVC Rígido Roscável, anti chama, na cor preta, conforme NBR 15465</t>
  </si>
  <si>
    <t>Barra redonda de aço, Ø8mm (50mm²)</t>
  </si>
  <si>
    <t>Barras Chatas em Alumínio,  7/8″ x 1/8″ (70mm²), com Furos Ø7 mm</t>
  </si>
  <si>
    <t>Caixa de Equalização com Terminais para uso Interno, 210 x 210 x 90mm, em aço</t>
  </si>
  <si>
    <t>Curva 90° de Barra Chata em Alumínio, 7/8″ x 1/8″ x 300 mm (70mm²)</t>
  </si>
  <si>
    <t>Curva 90° Horizontal de Barra Chata em Cobre, 7/8″ x 1/8″ x 300mm (70mm²)</t>
  </si>
  <si>
    <t>Hastes de aterramento Cobreada Alta Camada, Ø3/4'' x 3,00m (Ø 17,3mm – Efetivo)</t>
  </si>
  <si>
    <t>Minicaptor em Barra Chata de Alumínio, 3/4″ x 1/4″ x 600 mm</t>
  </si>
  <si>
    <t>Minicaptor em Barra Chata de Alumínio, 7/8″ x 1/8″ x 300 mm</t>
  </si>
  <si>
    <t>Para-Raio Tipo Franklin, montagem tipo porta bandeira, fornecido completo com mastro de 6mx2'', com 2 descidas, com captor, com sinaleiro, com abraçadeiras</t>
  </si>
  <si>
    <t>Parafuso Autoatarrachante em Aço Inox, Ø4,2 x 32mm, fornecido com bucha de nylon</t>
  </si>
  <si>
    <t>Parafuso Cabeça Chata para Emenda de Barras, Ø1/4″ x7/8″, fornecido com porca sextavada</t>
  </si>
  <si>
    <t>Parafuso sextavado em Aço Inox, M6x60mm, fornecido com bucha de nylon</t>
  </si>
  <si>
    <t>Presilha em Latão para fixação direta de cabos, furo Ø 5mm, largura 15mm, para cabos de cobre ou aço 35–50mm²</t>
  </si>
  <si>
    <t>Solda Exotérmica, molde HCL 5/8.50-5 REF.: MHCL5850-05, cartucho Nº115 REF.: NSEC0115, alicate Z-201 REF.: NSEZ0201)</t>
  </si>
  <si>
    <t>Tensionador em aço GF para cabos de alumínio ou aço GF 16-70mm²</t>
  </si>
  <si>
    <t>Pio4</t>
  </si>
  <si>
    <t>Viva4</t>
  </si>
  <si>
    <t>VIV_PIO_PCI_PE_000_QUANTITATIVO_R00.xlsx</t>
  </si>
  <si>
    <t>PREVENTIVO CONTRA INCÊNDIO</t>
  </si>
  <si>
    <t>GRUPO</t>
  </si>
  <si>
    <t>HIDRÁULICO</t>
  </si>
  <si>
    <t>SANITÁRIO</t>
  </si>
  <si>
    <t xml:space="preserve">PEÇAS </t>
  </si>
  <si>
    <t>REGISTROS E VÁLVULAS</t>
  </si>
  <si>
    <t>Tubos</t>
  </si>
  <si>
    <t>Tubo Soldável Marrom 25mm</t>
  </si>
  <si>
    <t>Tubo Soldável Marrom 32mm</t>
  </si>
  <si>
    <t>Tubo Soldável Marrom 40mm</t>
  </si>
  <si>
    <t>Sistema de bombas</t>
  </si>
  <si>
    <t>Tubo Soldável Marrom 50mm</t>
  </si>
  <si>
    <t>Tubo Soldável Marrom 60mm</t>
  </si>
  <si>
    <t>Conexões</t>
  </si>
  <si>
    <t>Adapatador Soldável Curto com Bolsa e Rosca para Registro 25 x 3/4", PVC Marrom, Água Fria - TIGRE</t>
  </si>
  <si>
    <t>Adapatador Soldável Curto com Bolsa e Rosca para Registro 32 x 1", PVC Marrom, Água Fria - TIGRE</t>
  </si>
  <si>
    <t>Adapatador Soldável Curto com Bolsa e Rosca para Registro 40 x 1.1/4", PVC Marrom, Água Fria - TIGRE</t>
  </si>
  <si>
    <t>Adapatador Soldável Curto com Bolsa e Rosca para Registro 50 x 1.1/2", PVC Marrom, Água Fria - TIGRE</t>
  </si>
  <si>
    <t>Bucha de Redução Soldável Curta 32x25mm, PVC Marrom, Água Fria - TIGRE</t>
  </si>
  <si>
    <t>Bucha de Redução Soldável Curta 50x32mm, PVC Marrom, Água Fria - TIGRE</t>
  </si>
  <si>
    <t>Bucha de Redução Soldável longa 50x25mm, PVC Marrom, Água Fria - TIGRE</t>
  </si>
  <si>
    <t>Bucha de Redução Soldável longa 60x32mm, PVC Marrom, Água Fria - TIGRE</t>
  </si>
  <si>
    <t>Bucha de Redução Soldável longa 60x50mm, PVC Marrom, Água Fria - TIGRE</t>
  </si>
  <si>
    <t>Curva 90º Soldável 25mm, PVC Marrom, Água Fria - TIGRE</t>
  </si>
  <si>
    <t>Joelho 45º Soldável 25mm, PVC Marrom, Água Fria - TIGRE</t>
  </si>
  <si>
    <t>Joelho 45º Soldável 60mm, PVC Marrom, Água Fria - TIGRE</t>
  </si>
  <si>
    <t>Joelho 90º Soldável 25mm, PVC Marrom, Água Fria - TIGRE</t>
  </si>
  <si>
    <t>Joelho 90º Soldável 32mm, PVC Marrom, Água Fria - TIGRE</t>
  </si>
  <si>
    <t>Joelho 90º Soldável 40mm, PVC Marrom, Água Fria - TIGRE</t>
  </si>
  <si>
    <t>Joelho 90º Soldável 50mm, PVC Marrom, Água Fria - TIGRE</t>
  </si>
  <si>
    <t>Joelho 90º Soldável 60mm, PVC Marrom, Água Fria - TIGRE</t>
  </si>
  <si>
    <t>Joelho 90º Soldável com Bucha Latão 25x3/4mm, PVC Marrom, Água Fria - TIGRE</t>
  </si>
  <si>
    <t>Luva Soldável 25mm, PVC Marrom, Água Fria - TIGRE</t>
  </si>
  <si>
    <t>Luva Soldável  com Bucha de Latão 25 x 3/4'', PVC Marrom, Água Fria - TIGRE</t>
  </si>
  <si>
    <t>Luva Soldável  com Bucha de Latão 32x 1'', PVC Marrom, Água Fria - TIGRE</t>
  </si>
  <si>
    <t>Tê de Redução Soldável 32x25mm, PVC Marrom, Água Fria - TIGRE</t>
  </si>
  <si>
    <t>Tê de Redução Soldável 40x25mm, PVC Marrom, Água Fria - TIGRE</t>
  </si>
  <si>
    <t>Tê de Redução Soldável 60x50mm, PVC Marrom, Água Fria - TIGRE</t>
  </si>
  <si>
    <t>Tê Soldável 25mm, PVC Marrom, Água Fria - TIGRE</t>
  </si>
  <si>
    <t>Tê Soldável 32mm, PVC Marrom, Água Fria - TIGRE</t>
  </si>
  <si>
    <t>Tê Soldável 40mm, PVC Marrom, Água Fria - TIGRE</t>
  </si>
  <si>
    <t>Tê Soldável 50mm, PVC Marrom, Água Fria - TIGRE</t>
  </si>
  <si>
    <t>Tê Soldável 60mm, PVC Marrom, Água Fria - TIGRE</t>
  </si>
  <si>
    <t>Tê Soldável com Bucha Latão 25x3/4", PVC Marrom, Água Fria - TIGRE</t>
  </si>
  <si>
    <t>Tubo PPR PN25 25mm</t>
  </si>
  <si>
    <t>Tubo PPR PN25 32mm</t>
  </si>
  <si>
    <t>Tubo PPR PN25 40mm</t>
  </si>
  <si>
    <t>Bucha de Redução 32x25, PPR Termofusão - TIGRE</t>
  </si>
  <si>
    <t>Bucha de Redução 40x25, PPR Termofusão - TIGRE</t>
  </si>
  <si>
    <t>Bucha de Redução 40x32, PPR Termofusão - TIGRE</t>
  </si>
  <si>
    <t>Conector fêmea 25x3/4, PPR Termofusão - TIGRE</t>
  </si>
  <si>
    <t>Conector Macho 25x3/4, PPR Termofusão - TIGRE</t>
  </si>
  <si>
    <t>Conector Macho 32x1", PPR Termofusão - TIGRE</t>
  </si>
  <si>
    <t>Conector Macho 32x3/4 PPR Termofusão - TIGRE</t>
  </si>
  <si>
    <t>Conector Macho 40x1.1/4 PPR Termofusão - TIGRE</t>
  </si>
  <si>
    <t>Curva de Transposição 25mm, PPR Termofusão - TIGRE</t>
  </si>
  <si>
    <t>Joelho 45º 25mm, PPR Termofusão - TIGRE</t>
  </si>
  <si>
    <t>Joelho 90º 25mm, PPR Termofusão - TIGRE</t>
  </si>
  <si>
    <t>Joelho 90º 32mm, PPR Termofusão - TIGRE</t>
  </si>
  <si>
    <t>Joelho 90º com Rosca Fêmea 25x3/4, PPR Termofusão - TIGRE</t>
  </si>
  <si>
    <t>Tê de Redução Central 32x25x32mm, PPR Termofusão - TIGRE</t>
  </si>
  <si>
    <t>Tê de Redução Central 40x25x40mm, PPR Termofusão - TIGRE</t>
  </si>
  <si>
    <t>Tê de Redução Central 40x32x40mm, PPR Termofusão - TIGRE</t>
  </si>
  <si>
    <t>Tê de Redução Central 32x32x25mm, PPR Termofusão - TIGRE</t>
  </si>
  <si>
    <t>Tê Normal 25x25x25mm, PPR Termofusão - TIGRE</t>
  </si>
  <si>
    <t>Tê Normal 32x32x32mm, PPR Termofusão - TIGRE</t>
  </si>
  <si>
    <t>Tê Normal 40x40x40mm, PPR Termofusão - TIGRE</t>
  </si>
  <si>
    <t>Tubo PVC Branco Série Normal 40mm</t>
  </si>
  <si>
    <t>Tubo PVC Branco Série Normal 50mm</t>
  </si>
  <si>
    <t>Tubo PVC Branco Série Normal 75mm</t>
  </si>
  <si>
    <t>Tubo PVC Branco Série Normal 100mm</t>
  </si>
  <si>
    <t>Tubo PVC Branco Série Normal 150mm</t>
  </si>
  <si>
    <t>Tubo PVC Branco Série Normal 200mm</t>
  </si>
  <si>
    <t>Anel de vedação para conexão Série N, 40mm</t>
  </si>
  <si>
    <t>Anel de vedação para conexão Série N, 50mm</t>
  </si>
  <si>
    <t>Anel de vedação para conexão Série N, 75mm</t>
  </si>
  <si>
    <t>Anel de vedação para conexão Série N, 100mm</t>
  </si>
  <si>
    <t>Anel de vedação para conexão Série N, 150mm</t>
  </si>
  <si>
    <t>Anel de vedação de Vaso Sanitário</t>
  </si>
  <si>
    <t>Bucha de Redução Longa 50x40mm, Esgoto Série Normal - TIGRE</t>
  </si>
  <si>
    <t>Cap 75mm, Esgoto Serie Normal - TIGRE</t>
  </si>
  <si>
    <t>Cap 100mm, Esgoto Serie Normal - TIGRE</t>
  </si>
  <si>
    <t>Joelho 45º 40mm, Esgoto Série Normal - TIGRE</t>
  </si>
  <si>
    <t>Joelho 45º 50mm, Esgoto Série Normal - TIGRE</t>
  </si>
  <si>
    <t>Joelho 45º 75mm, Esgoto Série Normal - TIGRE</t>
  </si>
  <si>
    <t>Joelho 45º 100mm, Esgoto Série Normal - TIGRE</t>
  </si>
  <si>
    <t>Joelho 90º 40mm, Esgoto Série Normal - TIGRE</t>
  </si>
  <si>
    <t>Joelho 90º 50mm, Esgoto Série Normal - TIGRE</t>
  </si>
  <si>
    <t>Joelho 90º 75mm, Esgoto Série Normal - TIGRE</t>
  </si>
  <si>
    <t>Joelho 90º 100mm, Esgoto Série Normal - TIGRE</t>
  </si>
  <si>
    <t>Junção Simples 40 x 40mm, Esgoto Série Normal - TIGRE</t>
  </si>
  <si>
    <t>Junção Simples 50 x 50mm, Esgoto Série Normal - TIGRE</t>
  </si>
  <si>
    <t>Junção Simples 75 x 50mm, Esgoto Série Normal - TIGRE</t>
  </si>
  <si>
    <t>Junção Simples 75 x 75mm, Esgoto Série Normal - TIGRE</t>
  </si>
  <si>
    <t>Junção Simples 100 x 50mm, Esgoto Série Normal - TIGRE</t>
  </si>
  <si>
    <t>Junção Simples 100 x 75mm, Esgoto Série Normal - TIGRE</t>
  </si>
  <si>
    <t>Junção Simples 100 x 100mm, Esgoto Série Normal - TIGRE</t>
  </si>
  <si>
    <t>Luva Simples 40mm, Esgoto Série Normal - TIGRE</t>
  </si>
  <si>
    <t>Luva Simples 50mm, Esgoto Série Normal - TIGRE</t>
  </si>
  <si>
    <t>Luva Simples 75mm, Esgoto Série Normal - TIGRE</t>
  </si>
  <si>
    <t>Luva Simples 100mm, Esgoto Série Normal - TIGRE</t>
  </si>
  <si>
    <t>Terminal de Ventilação 100mm, Esgoto Série Normal - TIGRE</t>
  </si>
  <si>
    <t>Redução Excêntrica 75x50mm, Esgoto Série Normal - TIGRE</t>
  </si>
  <si>
    <t>Redução Excêntrica 100x50mm, Esgoto Série Normal - TIGRE</t>
  </si>
  <si>
    <t>Redução Excêntrica 100x75mm, Esgoto Série Normal - TIGRE</t>
  </si>
  <si>
    <t>Tê 40 x 40mm, Esgoto Série Normal - TIGRE</t>
  </si>
  <si>
    <t>Tê 50 x 50mm, Esgoto Série Normal - TIGRE</t>
  </si>
  <si>
    <t>Tê 75 x 50mm, Esgoto Série Normal - TIGRE</t>
  </si>
  <si>
    <t>Tê 75 x 75mm, Esgoto Série Normal - TIGRE</t>
  </si>
  <si>
    <t>Tê 100 x 50mm, Esgoto Série Normal - TIGRE</t>
  </si>
  <si>
    <t>Tê 100 x 75mm, Esgoto Série Normal - TIGRE</t>
  </si>
  <si>
    <t>Tê 100 x 100mm, Esgoto Série Normal - TIGRE</t>
  </si>
  <si>
    <t>Equipamento</t>
  </si>
  <si>
    <t>Boiler Alta Pressão - 1500l (A validar)</t>
  </si>
  <si>
    <t>Antiespuma 100mm, Esgoto - Tigre</t>
  </si>
  <si>
    <t>Caixa Sifonada  150 x 150 x 50mm</t>
  </si>
  <si>
    <t>Caixa Sifonada  100 x 100 x 50mm</t>
  </si>
  <si>
    <t>Caixa Sifonada  100 x 150 x 50mm</t>
  </si>
  <si>
    <t>Prolongador sem entrada DN300, Esgoto - TIGRE</t>
  </si>
  <si>
    <t>Prolongamento p/ Caixa Sifonada 150 x 200mm, Esgoto - TIGRE</t>
  </si>
  <si>
    <t>Prolongamento p/ Caixa Sifonada 100 x 100mm, Esgoto - TIGRE</t>
  </si>
  <si>
    <t>Ralo Linear 50cm com grelha inox</t>
  </si>
  <si>
    <t>Ralo Linear 70cm com grelha inox</t>
  </si>
  <si>
    <t>Torneira Bóia 3,4", Fortlev</t>
  </si>
  <si>
    <t>Registros</t>
  </si>
  <si>
    <t>Registro de gaveta 3/4"</t>
  </si>
  <si>
    <t>Registro de gaveta Europa  1"</t>
  </si>
  <si>
    <t>Registro de pressão 3/4"</t>
  </si>
  <si>
    <t>Registro Esfera VS Soldável 25mm - TIGRE</t>
  </si>
  <si>
    <t>Registro Esfera VS Soldável 32mm - TIGRE</t>
  </si>
  <si>
    <t>Registro Esfera VS Soldável 50mm - TIGRE</t>
  </si>
  <si>
    <t>Registro Esfera VS Soldável 60mm - TIGRE</t>
  </si>
  <si>
    <t>Válvula de esfera 1"</t>
  </si>
  <si>
    <t>Válvula de retenção Horizontal 1"</t>
  </si>
  <si>
    <t>Hidrômetro 25mm para Água fria</t>
  </si>
  <si>
    <t>Hidrômetro 25mm para Água Quente</t>
  </si>
  <si>
    <t>Válvula de esfera com alavanca 3/4 "</t>
  </si>
  <si>
    <t>Válvula de esfera com alavanca 1. 1/4 "</t>
  </si>
  <si>
    <t>Válvula de esfera com alavanca 4"</t>
  </si>
  <si>
    <t>Boia para Caixa dágua DN 32</t>
  </si>
  <si>
    <t>Flanges Cobre para Caixa dágua   1"</t>
  </si>
  <si>
    <t>Flanges Cobre para Caixa dágua   1.1/2"</t>
  </si>
  <si>
    <t>Flanges Cobre para Caixa dágua   1.1/4"</t>
  </si>
  <si>
    <t>Flanges Cobre para Caixa dágua   2"</t>
  </si>
  <si>
    <t>Flanges Cobre para Caixa dágua   3/4"</t>
  </si>
  <si>
    <t>Material Hidráulico</t>
  </si>
  <si>
    <t>Vaso de expansão 80L</t>
  </si>
  <si>
    <t>Adicionado através do detalhe de projeto</t>
  </si>
  <si>
    <t>Válvula redutora de Pressão ação direta 1. 1/4"</t>
  </si>
  <si>
    <t>Motobomba Pressurizadora Recalque Potável ME-IN 1530</t>
  </si>
  <si>
    <t>Motobomba para recirculação placa solar Solaris</t>
  </si>
  <si>
    <t>Motobomba Reaproveitamento Pluvial BCR-2000</t>
  </si>
  <si>
    <t>Motobomba para Recirculação de Água Quente na Prumada</t>
  </si>
  <si>
    <t>Motobomba de Recalque Pluvial Submersível Brava DV05 1/2 CV</t>
  </si>
  <si>
    <t>Cisterna Tecnotri 600L</t>
  </si>
  <si>
    <t>Filtro VF1</t>
  </si>
  <si>
    <t>HIDROSSANITÁRIO</t>
  </si>
  <si>
    <t>Flexível monocomando 400mm aço inox</t>
  </si>
  <si>
    <t>Misturador de mesa bica móvel para cozinha</t>
  </si>
  <si>
    <t>Misturador monocomando de mesa</t>
  </si>
  <si>
    <t>Torneira de jardim</t>
  </si>
  <si>
    <t>Eletrodutos e eletrocalhas</t>
  </si>
  <si>
    <t>Caixa de Luz 4''x4'', de embutir, em PVC na cor amarelo para eletroduto corrugado</t>
  </si>
  <si>
    <t>Pontos de tomadas e interruptores</t>
  </si>
  <si>
    <t>Caixa octogonal 4''x4'' com fundo móvel reforçado, em PVC na cor laranja para eletroduto corrugado</t>
  </si>
  <si>
    <t>Caixa de Pasagem Elétrica de Parede 80x40x20cm, de Embutir, em PVC antichama</t>
  </si>
  <si>
    <t>Caixa de Pasagem Elétrica de Parede 40x40x12cm, de Embutir, em PVC antichama</t>
  </si>
  <si>
    <t>Caixa de Pasagem Elétrica de Parede 20x20x12cm, de Embutir, em PVC antichama</t>
  </si>
  <si>
    <t>Campainha</t>
  </si>
  <si>
    <t>Conjunto montado com 1 campainha tipo cigarra ou equivalente, 10A 250V~, 4''x2''</t>
  </si>
  <si>
    <t>Conjunto montado com 1 Pulsador para campainha, ou equivalente, 10A 250V~, 4''x2''</t>
  </si>
  <si>
    <t>Tampa para Tomada Hexagonal Vertical para Condulete de PVC antichama na cor cinza</t>
  </si>
  <si>
    <t>Curva Horizontal 90°, para eletrocalha, chapa de aço carbono galvanizada, largura 200 mm e altura da aba 200 mm</t>
  </si>
  <si>
    <t>Curva Vertical Externa 90°, para eletrocalha, chapa de aço carbono galvanizada, largura 200 mm e altura da aba 200 mm</t>
  </si>
  <si>
    <t>Curva Vertical Interna 90°, para eletrocalha, chapa de aço carbono galvanizada, largura 200 mm e altura da aba 200 mm</t>
  </si>
  <si>
    <t>Condulete Multiplo Tipo L, para instalação com conectores CPX, em liga de alumínio, parafusos aço zincado, com tampa cega, para eletroduto rígido de diâmetro nominal Ø25</t>
  </si>
  <si>
    <t>Perfilado Perfurado para Suportes, de chapa de aço carbono galvanizado, 38 mm de largura e 38 mm de altura da aba e  350 mm de comprimento</t>
  </si>
  <si>
    <t>Perfilado Perfurado para Suportes, de chapa de aço carbono galvanizado, 38 mm de largura e 38 mm de altura da aba e  450 mm de comprimento</t>
  </si>
  <si>
    <t>Vergalhão com rosca total de aço, galvanizado, rosca Ø3/8'' e 1300 mm de comprimento</t>
  </si>
  <si>
    <t>Vergalhão com rosca total de aço, galvanizado, rosca Ø3/8'' e 1350 mm de comprimento</t>
  </si>
  <si>
    <t>Interruptores</t>
  </si>
  <si>
    <t>Conjunto montado com 1 Interruptor Intermediário, 10A 250V~, 4''x2''</t>
  </si>
  <si>
    <t>Conjunto montado com 1 Interruptor Paralelo, 10A 250V~, 4''x2''</t>
  </si>
  <si>
    <t>Conjunto montado com 1 Interruptor Simples, 10A 250V~, 4''x2''</t>
  </si>
  <si>
    <t>Conjunto montado com  4 módulos de Interruptores paralelo, com placa e suporte 4''x4''</t>
  </si>
  <si>
    <t>Conjunto montado de Interruptor com 1 tecla simples e 1 tecla paralelo, 4''x2''</t>
  </si>
  <si>
    <t>Conjunto montado de Interruptor com 1 tecla simples e 2 teclas paralelo, 4''x2''</t>
  </si>
  <si>
    <t>Conjunto montado de Interruptor com 2 teclas paralelo, 4''x2''</t>
  </si>
  <si>
    <t>Conjunto montado de Interruptor com 2 teclas simples e 1 tecla paralelo, 4''x2''</t>
  </si>
  <si>
    <t>Conjunto montado de Interruptor com 2 teclas simples, 4''x2''</t>
  </si>
  <si>
    <t>Conjunto montado de Interruptor com 3 teclas paralelo, 4''x2''</t>
  </si>
  <si>
    <t>Conjunto montado de Interruptor com 3 teclas simples, 4''x2''</t>
  </si>
  <si>
    <t>Interruptores + Tomadas</t>
  </si>
  <si>
    <t>Conjunto montado de 1 Interruptor Paralelo+ 1 Tomada 2P+T, 10A, 4''x2''</t>
  </si>
  <si>
    <t>Conjunto montado de 1 Interruptor Simples + 1 Tomada 2P+T, 10A, 4''x2''</t>
  </si>
  <si>
    <t>Conjunto montado de 2 Interruptores Paralelos + 1 Tomada 2P+T, 10A, 4''x2''</t>
  </si>
  <si>
    <t>Conjunto montado de 2 Interruptores Simples + 1 Tomada 2P+T, 10A, 4''x2''</t>
  </si>
  <si>
    <t>Placa saída de fio</t>
  </si>
  <si>
    <t>Conjunto montado de 1 Placa para Saída de Fio Ø11mm, 4''x2''</t>
  </si>
  <si>
    <t>Quadro de distribuição</t>
  </si>
  <si>
    <t>Quadro de Distribuição 12/16 Disjuntores, de embutir, fabricado em PVC antichamas, com barramento de terra e neutro, porta branca, dimensões 250x344,6x78,7mm.</t>
  </si>
  <si>
    <t>Quadro de Distribuição 18/24 Disjuntores, de embutir, fabricado em PVC antichamas, com barramento de terra e neutro, porta branca, dimensões 350x379x78,7mm.</t>
  </si>
  <si>
    <t>Quadro de Distribuição 27/36 Disjuntores, de embutir, fabricado em PVC antichamas, com barramento de terra e neutro, porta branca, dimensões 355,4x5252x78,7mm.</t>
  </si>
  <si>
    <t>Quadro de distribuição trifásico, de embutir, corrente nominal 225A, capacidade para 70 disjuntores DIN, completo com barramentos</t>
  </si>
  <si>
    <t>Quadro de distribuição trifásico, de sobrepor, corrente nominal 150A, capacidade para 24 disjuntores DIN, completo com barramentos</t>
  </si>
  <si>
    <t>Quadro de medição de energia com 12 medidores, incluindo barramento de cobre para fases e BEP</t>
  </si>
  <si>
    <t>Quadro de medição de energia com 33 medidores, incluindo barramento de cobre para fases e BEP</t>
  </si>
  <si>
    <t>Quadro de Proteção Geral 65x25x1200cm</t>
  </si>
  <si>
    <t>Sensores</t>
  </si>
  <si>
    <t>Conjunto montado com 1 Sensor de presença de teto, 10A 250V~, 4''x2''</t>
  </si>
  <si>
    <t>Conjunto montado com 1 Sensor de presença, 10A 250V~, 4''x2''</t>
  </si>
  <si>
    <t>Disjuntores</t>
  </si>
  <si>
    <t>Mini Disjuntor Monopolar 10A Curva C, conforme ABNT NBR NM 60898, encaixe perfil DIN 35mm</t>
  </si>
  <si>
    <t>Mini Disjuntor Monopolar 16A Curva C, conforme ABNT NBR NM 60898, encaixe perfil DIN 35mm</t>
  </si>
  <si>
    <t>Mini Disjuntor Monopolar 20A Curva C, conforme ABNT NBR NM 60898, encaixe perfil DIN 35mm</t>
  </si>
  <si>
    <t>Mini Disjuntor Monopolar 25A Curva C, conforme ABNT NBR NM 60898, encaixe perfil DIN 35mm</t>
  </si>
  <si>
    <t>Mini Disjuntor Monopolar 32A Curva C, conforme ABNT NBR NM 60898, encaixe perfil DIN 35mm</t>
  </si>
  <si>
    <t>Mini Disjuntor Monopolar 40A Curva C, conforme ABNT NBR NM 60898, encaixe perfil DIN 35mm</t>
  </si>
  <si>
    <t>Mini Disjuntor Bipolar 32A Curva C, conforme ABNT NBR NM 60898, encaixe perfil DIN 35mm</t>
  </si>
  <si>
    <t>Mini Disjuntor Bipolar 50A Curva C, conforme ABNT NBR NM 60898, encaixe perfil DIN 35mm</t>
  </si>
  <si>
    <t>Mini Disjuntor Bipolar 63A Curva C, conforme ABNT NBR NM 60898, encaixe perfil DIN 35mm</t>
  </si>
  <si>
    <t>Mini Disjuntor tripolar 16A Curva C, conforme ABNT NBR NM 60898, encaixe perfil DIN 35mm</t>
  </si>
  <si>
    <t>Mini Disjuntor tripolar 20A Curva C, conforme ABNT NBR NM 60898, encaixe perfil DIN 35mm</t>
  </si>
  <si>
    <t>Mini Disjuntor tripolar 25A Curva C, conforme ABNT NBR NM 60898, encaixe perfil DIN 35mm</t>
  </si>
  <si>
    <t>Mini Disjuntor tripolar 40A Curva C, conforme ABNT NBR NM 60898, encaixe perfil DIN 35mm</t>
  </si>
  <si>
    <t>Mini Disjuntor tripolar 50A Curva C, conforme ABNT NBR NM 60898, encaixe perfil DIN 35mm</t>
  </si>
  <si>
    <t>Mini Disjuntor tripolar 63A Curva C, conforme ABNT NBR NM 60898, encaixe perfil DIN 35mm</t>
  </si>
  <si>
    <t>Disjuntor tripolar em caixa moldada 80 A</t>
  </si>
  <si>
    <t>Disjuntor tripolar em caixa moldada 100 A</t>
  </si>
  <si>
    <t>Disjuntor tripolar em caixa moldada 125 A</t>
  </si>
  <si>
    <t>Disjuntor tripolar em caixa moldada 150 A</t>
  </si>
  <si>
    <t>Disjuntor tripolar em caixa moldada 200 A</t>
  </si>
  <si>
    <t>Disjuntor tripolar em caixa moldada 450 A</t>
  </si>
  <si>
    <t>Interruptor residual bipolar 25 A, 30mA</t>
  </si>
  <si>
    <t>Interruptor residual tetrapolar 40 A, 30mA</t>
  </si>
  <si>
    <t>Interruptor residual tetrapolar 63 A, 30mA</t>
  </si>
  <si>
    <t>Dispositivo de proteção contra surtos 20 kA - 385 V</t>
  </si>
  <si>
    <t>Dispositivo de proteção contra surtos 20 kA - 275 V</t>
  </si>
  <si>
    <t>Aterramento</t>
  </si>
  <si>
    <t>Caixa de inspeçao para instalação de Haste, Ø300mm, com tampa de ferro fundido reforçada</t>
  </si>
  <si>
    <t>Hastes de aterramento Cobreada Alta Camada, Ø5/8'' x 2,40m (Ø 14,3mm – Efetivo)</t>
  </si>
  <si>
    <t>Tomadas</t>
  </si>
  <si>
    <t>Conjunto montado de 1 Tomada 2P+T 10A e 1 Tomada 2P+T 20A, postos horizontais, 4''x2''</t>
  </si>
  <si>
    <t>Conjunto montado de 1 Tomada 2P+T, 10A, posto horizontal, 4''x2''</t>
  </si>
  <si>
    <t>Conjunto montado de 1 Tomada 2P+T, 20A, posto horizontal, 4''x2''</t>
  </si>
  <si>
    <t>Conjunto montado de 1 Tomada de piso 2P+T, 10A e 1 Tomada de piso 2P+T, 20A, com tampa tipo unha dupla, 4''x4''</t>
  </si>
  <si>
    <t>Conjunto montado de 1 Tomada de piso 2P+T, 10A, com tampa tipo unha, 4''x2''</t>
  </si>
  <si>
    <t>Conjunto montado de 2 Tomadas 2P+T, 10A, postos horizontais, 4''x2''</t>
  </si>
  <si>
    <t>Conjunto montado de 2 Tomadas de piso 2P+T, 10A, com tampa tipo unha dupla, 4''x4''</t>
  </si>
  <si>
    <t>Conjunto montado de 3 Tomadas 2P+T, 10A, postos horizontais, 4''x2''</t>
  </si>
  <si>
    <t>1 Tomada 2P+T 10A, sem placa, para montagem em Condulete de PVC</t>
  </si>
  <si>
    <t>1 Tomada 2P+T 20A, sem placa, para montagem em Condulete de PVC</t>
  </si>
  <si>
    <t>Eletrodutos</t>
  </si>
  <si>
    <t>Eletroduto de aço galvanizado, com Rosca BSP conforme NBR5598 Ø25</t>
  </si>
  <si>
    <t>Eletroduto flexível corrugado PEAD, conforme NBR15715 Ø100</t>
  </si>
  <si>
    <t>Eletroduto flexível corrugado PEAD, conforme NBR15715 Ø63</t>
  </si>
  <si>
    <t>Eletroduto flexível corrugado PEAD, conforme NBR15715 Ø50</t>
  </si>
  <si>
    <t>Eletroduto flexível corrugado PEAD, conforme NBR15715 Ø32</t>
  </si>
  <si>
    <t>Eletroduto flexível corrugado PEAD, conforme NBR15715 Ø25</t>
  </si>
  <si>
    <t>Eletroduto flexível corrugado Reforçado, em PVC na cor laranja antichamas, conforme NBR15465 Ø32</t>
  </si>
  <si>
    <t>Eletroduto flexível corrugado Reforçado, em PVC na cor laranja antichamas, conforme NBR15465 Ø25</t>
  </si>
  <si>
    <t>Eletrocalhas</t>
  </si>
  <si>
    <t>Perfilado Perfurado, de chapa de aço carbono galvanizada 200x200mm</t>
  </si>
  <si>
    <t>Cabos</t>
  </si>
  <si>
    <t>Cabo isolado de cobre em PVC, 750 V - 2.5 mm² - Cor preta</t>
  </si>
  <si>
    <t>Cabo isolado de cobre em PVC, 750 V - 2.5 mm² - Cor vermelha</t>
  </si>
  <si>
    <t>Cabo isolado de cobre em PVC, 750 V - 2.5 mm² - Cor branco</t>
  </si>
  <si>
    <t>Cabo isolado de cobre em PVC, 750 V - 2.5 mm² - Cor azul claro</t>
  </si>
  <si>
    <t>Cabo isolado de cobre em PVC, 750 V - 2.5 mm² - Cor amarelo</t>
  </si>
  <si>
    <t>Cabo isolado de cobre em PVC, 750 V - 2.5 mm² - Cor verde</t>
  </si>
  <si>
    <t>Cabo isolado de cobre em PVC, 750 V - 4 mm² - Cor preta</t>
  </si>
  <si>
    <t>Cabo isolado de cobre em PVC, 750 V - 4 mm² - Cor vermelha</t>
  </si>
  <si>
    <t>Cabo isolado de cobre em PVC, 750 V - 4 mm² - Cor branco</t>
  </si>
  <si>
    <t>Cabo isolado de cobre em PVC, 750 V - 4 mm² - Cor azul claro</t>
  </si>
  <si>
    <t>Cabo isolado de cobre em PVC, 750 V - 4 mm² - Cor verde</t>
  </si>
  <si>
    <t>Cabo isolado de cobre em PVC, 750 V - 6 mm² - Cor preta</t>
  </si>
  <si>
    <t>Cabo isolado de cobre em PVC, 750 V - 6 mm² - Cor vermelha</t>
  </si>
  <si>
    <t>Cabo isolado de cobre em PVC, 750 V - 6 mm² - Cor azul claro</t>
  </si>
  <si>
    <t>Cabo isolado de cobre em PVC, 750 V - 6 mm² - Cor verde</t>
  </si>
  <si>
    <t>Cabo isolado de cobre em PVC, 1 KV - 10 mm² - Cor preta</t>
  </si>
  <si>
    <t>Cabo isolado de cobre em PVC, 1 KV - 10 mm² - Cor vermelha</t>
  </si>
  <si>
    <t>Cabo isolado de cobre em PVC, 1 KV - 10 mm² - Cor branco</t>
  </si>
  <si>
    <t>Cabo isolado de cobre em PVC, 1 KV - 10 mm² - Cor azul claro</t>
  </si>
  <si>
    <t>Cabo isolado de cobre em PVC, 1 KV - 10 mm² - Cor verde</t>
  </si>
  <si>
    <t>Cabo isolado de cobre em PVC, 1 KV - 16 mm² - Cor preta</t>
  </si>
  <si>
    <t>Cabo isolado de cobre em PVC, 1 KV - 16 mm² - Cor vermelha</t>
  </si>
  <si>
    <t>Cabo isolado de cobre em PVC, 1 KV - 16 mm² - Cor branco</t>
  </si>
  <si>
    <t>Cabo isolado de cobre em PVC, 1 KV - 16 mm² - Cor azul claro</t>
  </si>
  <si>
    <t>Cabo isolado de cobre em PVC, 1 KV - 16 mm² - Cor verde</t>
  </si>
  <si>
    <t>Cabo isolado de cobre em PVC, 1 KV - 25 mm² - Cor preta</t>
  </si>
  <si>
    <t>Cabo isolado de cobre em PVC, 1 KV - 25 mm² - Cor vermelha</t>
  </si>
  <si>
    <t>Cabo isolado de cobre em PVC, 1 KV - 25 mm² - Cor branco</t>
  </si>
  <si>
    <t>Cabo isolado de cobre em PVC, 1 KV - 25 mm² - Cor azul claro</t>
  </si>
  <si>
    <t>Cabo isolado de cobre em PVC, 1 KV - 25 mm² - Cor verde</t>
  </si>
  <si>
    <t>Cabo isolado de cobre em EPR, 1 KV - 25 mm² - Cor verde</t>
  </si>
  <si>
    <t>Cabo isolado de cobre em PVC, 1 KV - 35 mm² - Cor preta</t>
  </si>
  <si>
    <t>Cabo isolado de cobre em PVC, 1 KV - 35 mm² - Cor vermelha</t>
  </si>
  <si>
    <t>Cabo isolado de cobre em PVC, 1 KV - 35 mm² - Cor branco</t>
  </si>
  <si>
    <t>Cabo isolado de cobre em PVC, 1 KV - 35 mm² - Cor azul claro</t>
  </si>
  <si>
    <t>Cabo isolado de cobre em EPR, 1 KV - 35 mm² - Cor preta</t>
  </si>
  <si>
    <t>Cabo isolado de cobre em EPR, 1 KV - 35 mm² - Cor vermelha</t>
  </si>
  <si>
    <t>Cabo isolado de cobre em EPR, 1 KV - 35 mm² - Cor branco</t>
  </si>
  <si>
    <t>Cabo isolado de cobre em EPR, 1 KV - 35 mm² - Cor azul claro</t>
  </si>
  <si>
    <t>Cabo isolado de cobre em EPR, 1 KV - 50 mm² - Cor verde</t>
  </si>
  <si>
    <t>Cabo isolado de cobre em EPR, 1 KV - 95 mm² - Cor preta</t>
  </si>
  <si>
    <t>Cabo isolado de cobre em EPR, 1 KV - 95 mm² - Cor vermelha</t>
  </si>
  <si>
    <t>Cabo isolado de cobre em EPR, 1 KV - 95 mm² - Cor branco</t>
  </si>
  <si>
    <t>Cabo isolado de cobre em EPR, 1 KV - 95 mm² - Cor azul claro</t>
  </si>
  <si>
    <t>Cabo isolado de cobre em EPR, 1 KV - 95 mm² - Cor verde</t>
  </si>
  <si>
    <t>Cabo isolado de cobre em EPR, 1 KV  - 185 mm² - Cor preta</t>
  </si>
  <si>
    <t>Cabo isolado de cobre em EPR, 1 KV  - 185 mm² - Cor vermelha</t>
  </si>
  <si>
    <t>Cabo isolado de cobre em EPR, 1 KV  - 185 mm² - Cor branca</t>
  </si>
  <si>
    <t>Cabo isolado de cobre em EPR, 1 KV  - 185 mm² - Cor azul claro</t>
  </si>
  <si>
    <t>Caixa de passagem subterrânea 85x65x80cm com tampa de ferro fundido</t>
  </si>
  <si>
    <t>24021-Mosaico_ele_qt  //  24021-Mosaico_cab_qt</t>
  </si>
  <si>
    <t>R00 - Ana Luisa</t>
  </si>
  <si>
    <t>ELÉTRICA</t>
  </si>
  <si>
    <t>Preço montado (6,97 interruptor paralelo*4+ 4,04 Tampa 4x2 para 4 postos)</t>
  </si>
  <si>
    <t>Preço montado (22,82 modulo interruptor intermediário + 3,74 placa 4x2 para 1 posto)</t>
  </si>
  <si>
    <t>Preço montado (4,80 interruptor simples + 4,04 Tampa 4x2 para 2 postos)</t>
  </si>
  <si>
    <t>Preço montado (6,97 interruptor paralelo + 5,61 tomada 10A + 4,04 Tampa 4x2 para 2 postos)</t>
  </si>
  <si>
    <t>Preço montado (4,80 interruptor simples + 5,61 tomada 10A + 4,04 Tampa 4x2 para 2 postos)</t>
  </si>
  <si>
    <t>Preço montado (2,76 modulo saida de fio + 3,74 placa 4x2 para 1 posto)</t>
  </si>
  <si>
    <t>Preço montado (6,42 tomada 20A + 5,61 tomada 10A + 4,04 Tampa 4x2 para 2 postos)</t>
  </si>
  <si>
    <t>Preço montado (5,61 tomada 10A + 3,74 placa 4x2 para 1 posto)</t>
  </si>
  <si>
    <t>Preço montado (6,42 tomada 20A + 3,74 placa 4x2 para 1 posto)</t>
  </si>
  <si>
    <t>Preço montado (6,42 tomada 20A + 5,61 tomada 10A + 21,13 Tampa 4x2 tipo unha)</t>
  </si>
  <si>
    <t>Preço montado ( 5,61 tomada 10A + 21,13 Tampa 4x2 tipo unha)</t>
  </si>
  <si>
    <t>Preço montado (6,97 interruptor paralelo *2 + 5,61 tomada 10A + 4,04 Tampa 4x2 para 3 postos)</t>
  </si>
  <si>
    <t>Preço montado (4,80 interruptor simples *2 + 5,61 tomada 10A + 4,04 Tampa 4x2 para 3 postos)</t>
  </si>
  <si>
    <t>Preço montado (5,61 tomada 10A *2 + 4,04 Tampa 4x2 para 2 postos)</t>
  </si>
  <si>
    <t>Preço montado ( 5,61 tomada 10A *2 + 21,13 Tampa 4x2 tipo unha)</t>
  </si>
  <si>
    <t>Preço montado (5,61 tomada 10A *3 + 4,04 Tampa 4x2 para 3 postos)</t>
  </si>
  <si>
    <t>Preço montado (4,80 interruptor simples + 6,97 interruptor paralelo+ 4,04 Tampa 4x2 para 2 postos)</t>
  </si>
  <si>
    <t>Preço montado (4,80 interruptor simples + 6,97 interruptor paralelo*2+ 4,04 Tampa 4x2 para 3 postos)</t>
  </si>
  <si>
    <t>Preço montado (6,97 interruptor paralelo*2+ 4,04 Tampa 4x2 para 2 postos)</t>
  </si>
  <si>
    <t>Preço montado (4,80 interruptor simples*2 + 6,97 interruptor paralelo+ 4,04 Tampa 4x2 para 3 postos)</t>
  </si>
  <si>
    <t>Preço montado (4,80 interruptor simples *2+ 4,04 Tampa 4x2 para 2 postos)</t>
  </si>
  <si>
    <t>Preço montado (6,97 interruptor paralelo*3+ 4,04 Tampa 4x2 para 3 postos)</t>
  </si>
  <si>
    <t>Preço montado (4,80 interruptor simples*3 + 4,04 Tampa 4x2 para 3 postos)</t>
  </si>
  <si>
    <t>DISCIPLINA</t>
  </si>
  <si>
    <t>CLIMATIZAÇÃO</t>
  </si>
  <si>
    <t>Climatização</t>
  </si>
  <si>
    <t>PONTO PARA CLIMARIZADOR  24.000 BTU/H.</t>
  </si>
  <si>
    <t>Exaustão</t>
  </si>
  <si>
    <t>PONTO PARA CLIMARIZADOR  18.000 BTU/H.</t>
  </si>
  <si>
    <t>PONTO PARA CLIMARIZADOR  12.000 BTU/H.</t>
  </si>
  <si>
    <t>PONTO PARA CLIMARIZADOR  9.000 BTU/H.</t>
  </si>
  <si>
    <t>CLIMATIZADOR SPLIT HI-WALL COM CAPACIDADE DE 24.000 BTU/H.</t>
  </si>
  <si>
    <t>CLIMATIZADOR SPLIT HI-WALL COM CAPACIDADE DE 18.000 BTU/H.</t>
  </si>
  <si>
    <t xml:space="preserve">CLIMATIZADOR SPLIT HI-WALL COM CAPACIDADE DE 12.000 BTU/H. </t>
  </si>
  <si>
    <t xml:space="preserve">CLIMATIZADOR SPLIT HI-WALL COM CAPACIDADE DE 9.000 BTU/H. </t>
  </si>
  <si>
    <t xml:space="preserve">CLIMATIZADOR CENTRAL COM CAPACIDADE DE 30.700 BTU/H. </t>
  </si>
  <si>
    <t>EXAUSTÃO DE SANITÁRIOS</t>
  </si>
  <si>
    <t>Ventiladores</t>
  </si>
  <si>
    <t>EXAUSTOR AXIAL EXTRA FINO, IPX4, CLASSE II, COM COMPORTA ANTI RETORNO INCORPORADA, COM PROTETOR TÉRMICO, PARA OPERAR EM TEMPERATURAS DE ATÉ 40°C. REF.: SOLER &amp; PALAU - DECOR-200</t>
  </si>
  <si>
    <t>Tubulação ar</t>
  </si>
  <si>
    <t>LEVANTAMENTO MOBILIÁRIOS E EQUIPAMENTOS DE LAZER</t>
  </si>
  <si>
    <t>TOTAL PAVIMENTOS:</t>
  </si>
  <si>
    <t>ÁREA TOTAL:</t>
  </si>
  <si>
    <t>CUSTO ACABAMENTOS ESPECIAIS:</t>
  </si>
  <si>
    <t>CUSTO/ M2</t>
  </si>
  <si>
    <t>Ambiente</t>
  </si>
  <si>
    <t>Quantidade (un)</t>
  </si>
  <si>
    <t>Preço Unitário</t>
  </si>
  <si>
    <t>Preço Total</t>
  </si>
  <si>
    <t xml:space="preserve">Observações </t>
  </si>
  <si>
    <t>TÉRREO</t>
  </si>
  <si>
    <t xml:space="preserve"> </t>
  </si>
  <si>
    <t>Hall</t>
  </si>
  <si>
    <t xml:space="preserve">Área: </t>
  </si>
  <si>
    <t>Espelho parede toda (4,20 x 2,96m)</t>
  </si>
  <si>
    <t>Considerado R$ 350,00 m²</t>
  </si>
  <si>
    <t>Sofá 3 Lugares 200cm Orgânico Luxo Recepção Amore Linho - Amarena Móveis - Verde</t>
  </si>
  <si>
    <t>POLTRONA WOMB CHAIR - Couro Ecológico (Sintético) - Base Inox</t>
  </si>
  <si>
    <t>Mesa de Centro Sangiovese Mármore Calacatta Premium</t>
  </si>
  <si>
    <t>Tapete Riscado Moderno SIE01 3,00x4,00 Marrom</t>
  </si>
  <si>
    <t>Mesa de Apoio Bouman</t>
  </si>
  <si>
    <t>Marcenaria</t>
  </si>
  <si>
    <t>Considerado R$ 250,00 m²</t>
  </si>
  <si>
    <t>Portaria</t>
  </si>
  <si>
    <t>Cadeira de Escritório Flexy Way Plus Preta Tela Mesh Preta, Base Giratória e Sistema Relax</t>
  </si>
  <si>
    <t>SOFÁ 2 LUGARES MUY</t>
  </si>
  <si>
    <t>Banheiro Portaria</t>
  </si>
  <si>
    <t>Espelho Orgânico Piedra 68 cm x 79 cm Preto</t>
  </si>
  <si>
    <t>Papeleira Versa Cromado Deca</t>
  </si>
  <si>
    <t>Toalha de Rosto Trussardi 100% Algodão Imperiale Branco</t>
  </si>
  <si>
    <t>Cabide Versa Cromado Deca</t>
  </si>
  <si>
    <t>Lixo</t>
  </si>
  <si>
    <t>Lixeira</t>
  </si>
  <si>
    <t>Lavanderia</t>
  </si>
  <si>
    <t>Iluminação</t>
  </si>
  <si>
    <t>Maquina lava e seca</t>
  </si>
  <si>
    <t>W.C PCD</t>
  </si>
  <si>
    <t>Salão Gourmet</t>
  </si>
  <si>
    <t>Mesa de Jantar de Madeira Rústica com 10 cadeiras Aurora - Mesa 300 X 120cm - 10 cadeiras</t>
  </si>
  <si>
    <t>Mesa de Jantar Redonda com Tampo Giratório Madeira Natural de Carvalho 10 Lugares</t>
  </si>
  <si>
    <t>Poltrona Aimê 1 Lugar Giratória Estofada Formas Orgânicas Linho 1048</t>
  </si>
  <si>
    <t>Mesa Lateral Rohany Redonda Tampo Lâmina Madeira Cinamomo Estrutura Aço Carbono Pintura Metalizada</t>
  </si>
  <si>
    <t>Geladeira Electrolux Frost Free Inverter 590L AutoSense 3 Portas Cor Inox Look (IM8S)</t>
  </si>
  <si>
    <t>Cooktop 5 Bocas Electrolux a Gás Prata com Tripla Chama e Grade Ferro Fundido Home Pro (GC75U) - Bivolt</t>
  </si>
  <si>
    <t>Coifa Ilha Crissair Isola Cilindro G4</t>
  </si>
  <si>
    <t>Cortina Wave para Trilho Suíço 4,00m de Linho Gaze Areia com Forro de Microfibra</t>
  </si>
  <si>
    <t>Cortina Wave para Trilho Suíço 5,00m de Linho Gaze Areia com Forro de Microfibra</t>
  </si>
  <si>
    <t>Forno de Embutir Electrolux Elétrico 80L Experience com FoodSensor Preto (OE8EF)</t>
  </si>
  <si>
    <t>Banqueta Viena Baixa Madeira Maciça Pinhão Tela Natural Linho Palha</t>
  </si>
  <si>
    <t>Sofá Bogarim 2 Lugares de Alumínio para jardim área externa</t>
  </si>
  <si>
    <t>Conjunto Sofá + Chaise Veludo Lançamento</t>
  </si>
  <si>
    <t>Churrasqueira Gourmet Completa</t>
  </si>
  <si>
    <t>Lavabo</t>
  </si>
  <si>
    <t>Vestiario</t>
  </si>
  <si>
    <t>Academia</t>
  </si>
  <si>
    <t>Esteira Ergométrica Athletic Advanced 16 Km/H</t>
  </si>
  <si>
    <t>Elíptico Athletic Advanced Magnetron</t>
  </si>
  <si>
    <t>CROSSOVER ANGULADO COM SMITH MACHINE</t>
  </si>
  <si>
    <t>Espaldar De Ferro Exercit Esportes 9 Barras</t>
  </si>
  <si>
    <t>Gourmet</t>
  </si>
  <si>
    <t>Kit 2 Espreguiçadeiras Lótus Ondulada em Tela Sling e Alumínio</t>
  </si>
  <si>
    <t>Data</t>
  </si>
  <si>
    <t>TABELA DE LOUÇAS E METAIS</t>
  </si>
  <si>
    <t xml:space="preserve"> Qtde/ Pavimento</t>
  </si>
  <si>
    <t>Aplicação</t>
  </si>
  <si>
    <t>Descrição do Material</t>
  </si>
  <si>
    <t>Un.</t>
  </si>
  <si>
    <t xml:space="preserve">Total </t>
  </si>
  <si>
    <t>2° PAV</t>
  </si>
  <si>
    <t>3° PAV</t>
  </si>
  <si>
    <t>4° PAV</t>
  </si>
  <si>
    <t>5º - 8º - 10º</t>
  </si>
  <si>
    <t>6º - 7º - 9º - 11º</t>
  </si>
  <si>
    <t>12º pav + Mezanino</t>
  </si>
  <si>
    <t>13º pav</t>
  </si>
  <si>
    <t>louças e aparelhos sanitários</t>
  </si>
  <si>
    <t>Banheiro - Lavatorio / Suspenso</t>
  </si>
  <si>
    <t>Banheiro - Lavatorio PNE</t>
  </si>
  <si>
    <t>Cozinha - Cuba Dupla / Inox</t>
  </si>
  <si>
    <t>Cozinha - Pia Sintetica</t>
  </si>
  <si>
    <t>Tanque Louça c/ Coluna</t>
  </si>
  <si>
    <t>Tanque Fibra</t>
  </si>
  <si>
    <t>Mictório Louça</t>
  </si>
  <si>
    <t>Mictório Inox</t>
  </si>
  <si>
    <t>metais para acabamentos</t>
  </si>
  <si>
    <t>Sifão ajustável multiuso</t>
  </si>
  <si>
    <t>Anel de vedação, 100 mm, para saíde de bacia sanitária</t>
  </si>
  <si>
    <t>Engate/ rabicho flexível inóx 1/2"x40mm</t>
  </si>
  <si>
    <t>Parafuso niquelado para fixação de bacia sanitária - tamanho S-10</t>
  </si>
  <si>
    <t>Válvula de escoamento para lavatório</t>
  </si>
  <si>
    <t>Válvula de escoamento para Pia</t>
  </si>
  <si>
    <t>Válvula de escoamento para tanque</t>
  </si>
  <si>
    <t>artefatos em pedra</t>
  </si>
  <si>
    <t>Bancada Cozinha</t>
  </si>
  <si>
    <t>Bancada Banheiros</t>
  </si>
  <si>
    <t>Bancada Tanque</t>
  </si>
  <si>
    <t>Forma para infraestrutura em Tábuas de Madeira Serrada, reaproveitamento 2X</t>
  </si>
  <si>
    <t>Armação aço CA-50 ø 6,3mm para infraestrutura (corte e dobra em industria)</t>
  </si>
  <si>
    <t>Armação aço CA-50 ø 8,0mm para infraestrutura (corte e dobra em industria)</t>
  </si>
  <si>
    <t>Armação aço CA-50 ø 10,0mm para infraestrutura (corte e dobra em industria)</t>
  </si>
  <si>
    <t>Armação aço CA-50 ø 12,5mm para infraestrutura (corte e dobra em industria)</t>
  </si>
  <si>
    <t>Armação aço CA-50 ø 16,0mm para infraestrutura (corte e dobra em industria)</t>
  </si>
  <si>
    <t>Armação aço CA-50 ø 20,0mm para infraestrutura (corte e dobra em industria)</t>
  </si>
  <si>
    <t>Armação aço CA-50 ø 25,0mm para infraestrutura (corte e dobra em industria)</t>
  </si>
  <si>
    <t>Armação aço CA-60 ø 5,00mm para infraestrutura (corte e dobra em industria)</t>
  </si>
  <si>
    <t>Corte e dobra</t>
  </si>
  <si>
    <t>Armação aço CA-50 ø 32,0mm para infraestrutura (corte e dobra em industria)</t>
  </si>
  <si>
    <t>Fabricação de Fôrma para Pilares, em Chapa de Madeira Compensada Plastificada, E=17mm</t>
  </si>
  <si>
    <t>CHAPA/PAINEL DE MADEIRA COMPENSADA PLASTIFICADA, DE 2200 X 1100 MM, E = 17 MM</t>
  </si>
  <si>
    <t>Fabricação de Fôrma para Vigas, em Chapa de Madeira Compensada Plastificada, E=17mm</t>
  </si>
  <si>
    <t>Fabricação de Fôrma para Lajes, em Chapa de Madeira Compensada Plastificada, E=17mm</t>
  </si>
  <si>
    <t>Montagem e Desmontagem de Fôrma de Pilares, em Chapa de Madeira Compensada Plastificada</t>
  </si>
  <si>
    <t>Montagem e Desmontagem de Fôrma de Vigas, em Chapa de Madeira Compensada Plastificada</t>
  </si>
  <si>
    <t>Montagem e Desmontagem de Fôrma de Lajes, em Chapa de Madeira Compensada Plastificada</t>
  </si>
  <si>
    <t>PROJETO: 004-24-EX-EST-PL-09-145-A | 004-24-EX-EST-PL-10-145-A</t>
  </si>
  <si>
    <t>Quantitativos trazidos das pranchas, ausente em resumo estrutural</t>
  </si>
  <si>
    <t>Quantidade disponibilizada pelo projetista, distruibuição por proproção</t>
  </si>
  <si>
    <t>Quantidade disponibilizada pelo projetista - 2 jogos do 3º pavimento</t>
  </si>
  <si>
    <t>Lajota</t>
  </si>
  <si>
    <t>Lajota 54x54</t>
  </si>
  <si>
    <t>EPS 50X50</t>
  </si>
  <si>
    <t>Locação de escoramento metálico</t>
  </si>
  <si>
    <t>BLOCO CERÂMICO - 9X19X19cm</t>
  </si>
  <si>
    <t>BLOCO CERÂMICO - 14X19X19cm</t>
  </si>
  <si>
    <t>Alvenaria de vedacao de blocos ceramicos furados na horizontal de 14x19x19cm (espessura 14cm) com argamassa industrializada de assentamento</t>
  </si>
  <si>
    <t>BLOCO CERÂMICO - 11,5X19X19cm</t>
  </si>
  <si>
    <t>BLOCO DE VEDACAO CONCRETO 17X19X19 CM</t>
  </si>
  <si>
    <t>Alvenaria em Bloco De Concreto Celular 60x30x10cm Sical com argamassa industrializada de assentamento</t>
  </si>
  <si>
    <t>Bloco Concreto Celular 10x30x60</t>
  </si>
  <si>
    <t>Alvenaria de vedacao de blocos ceramicos furados na horizontal de 17x19x19cm (espessura 17cm) com argamassa industrializada de assentamento</t>
  </si>
  <si>
    <t>Alvenaria de vedacao de blocos ceramicos furados na horizontal de 11,5x19x19cm (espessura 11,5cm) com argamassa industrializada de assentamento</t>
  </si>
  <si>
    <t>LOUÇAS</t>
  </si>
  <si>
    <t>METAIS</t>
  </si>
  <si>
    <t>BANCADAS</t>
  </si>
  <si>
    <t>Mão de obra de instalação de equipamentos</t>
  </si>
  <si>
    <t xml:space="preserve">REVESTIMENTOS INTERNOS DE TETO </t>
  </si>
  <si>
    <t>Emboço interno em argamassa estabilizada, espessura de 1,5 cm, com execução de taliscas</t>
  </si>
  <si>
    <t>Massa unica em argamassa estabilizada, espessura de 1,0 cm, com execução de taliscas</t>
  </si>
  <si>
    <t>Reboco interno em argamassa estabilizada, espessura de 0,5cm, com execução de taliscas</t>
  </si>
  <si>
    <t>Encunhamento De Alvenaria De Vedação Com Espuma de Poliuretnano</t>
  </si>
  <si>
    <t>ESPUMA EXPANSIVA DE POLIURETANO, APLICACAO MANUAL - 500 ML</t>
  </si>
  <si>
    <t>Churrasqueira pre-moldada</t>
  </si>
  <si>
    <t>Mão de obra por área descontando vãos maiores que 2m²</t>
  </si>
  <si>
    <t>Massa unica em argamassa estabilizada, espessura de 2,5 cm, com execução de taliscas</t>
  </si>
  <si>
    <t>Peitoril</t>
  </si>
  <si>
    <t>Mão de obra Alvenaria</t>
  </si>
  <si>
    <t>MÃO DE OBRA BLOCO ANTI CHAMAS</t>
  </si>
  <si>
    <t>MÃO DE OBRA BLOCO CERAMICO</t>
  </si>
  <si>
    <t>4.3.</t>
  </si>
  <si>
    <t>4.3.1</t>
  </si>
  <si>
    <t>4.3.2</t>
  </si>
  <si>
    <t>4.4.</t>
  </si>
  <si>
    <t>4.4.1</t>
  </si>
  <si>
    <t>4.4.2</t>
  </si>
  <si>
    <t>4.5.</t>
  </si>
  <si>
    <t>4.5.1</t>
  </si>
  <si>
    <t>4.5.2</t>
  </si>
  <si>
    <t>4.6.</t>
  </si>
  <si>
    <t>4.6.1</t>
  </si>
  <si>
    <t>4.6.2</t>
  </si>
  <si>
    <t>4.7.</t>
  </si>
  <si>
    <t>4.7.1</t>
  </si>
  <si>
    <t>4.7.2</t>
  </si>
  <si>
    <t>4.8.</t>
  </si>
  <si>
    <t>4.8.1</t>
  </si>
  <si>
    <t>4.8.2</t>
  </si>
  <si>
    <t>4.9.</t>
  </si>
  <si>
    <t>4.9.1</t>
  </si>
  <si>
    <t>4.9.2</t>
  </si>
  <si>
    <t>4.10.</t>
  </si>
  <si>
    <t>4.10.1</t>
  </si>
  <si>
    <t>4.10.2</t>
  </si>
  <si>
    <t>4.11.</t>
  </si>
  <si>
    <t>4.11.1</t>
  </si>
  <si>
    <t>4.11.2</t>
  </si>
  <si>
    <t>4.12.</t>
  </si>
  <si>
    <t>4.12.1</t>
  </si>
  <si>
    <t>4.12.2</t>
  </si>
  <si>
    <t>4.13.</t>
  </si>
  <si>
    <t>4.13.1</t>
  </si>
  <si>
    <t>4.13.2</t>
  </si>
  <si>
    <t>4.14.</t>
  </si>
  <si>
    <t>4.14.1</t>
  </si>
  <si>
    <t>4.14.2</t>
  </si>
  <si>
    <t>4.15.</t>
  </si>
  <si>
    <t>4.15.1</t>
  </si>
  <si>
    <t>4.15.2</t>
  </si>
  <si>
    <t>4.16.</t>
  </si>
  <si>
    <t>4.16.1</t>
  </si>
  <si>
    <t>4.16.2</t>
  </si>
  <si>
    <t>4.17.</t>
  </si>
  <si>
    <t>4.17.1</t>
  </si>
  <si>
    <t>Mão de Obra Reboco Interno</t>
  </si>
  <si>
    <t>MÃO DE OBRA REBOCO ARGAMASSADO INTERNO</t>
  </si>
  <si>
    <t>9.15.</t>
  </si>
  <si>
    <t>9.15.1</t>
  </si>
  <si>
    <t>9.16.</t>
  </si>
  <si>
    <t>9.16.1</t>
  </si>
  <si>
    <t>9.17.</t>
  </si>
  <si>
    <t>9.17.1</t>
  </si>
  <si>
    <t>9.18.</t>
  </si>
  <si>
    <t>9.18.1</t>
  </si>
  <si>
    <t>Mão de obra para colocação de peitoril, moldura e pingadeira</t>
  </si>
  <si>
    <t>Peitoril em pedra basalto,  esp. 2cm</t>
  </si>
  <si>
    <t>Pedra Basalto  para Revestimento</t>
  </si>
  <si>
    <t>PERGOLADO</t>
  </si>
  <si>
    <t>Contrapiso comum em argamassa ciemnto e areia, traço 1:4, nao aderido, espessura 5cm</t>
  </si>
  <si>
    <t>Contrapiso comum em argamassa ciemnto e areia, traço 1:4, nao aderido, espessura 8cm</t>
  </si>
  <si>
    <t>Manta lã de pet mm</t>
  </si>
  <si>
    <t>Acústica para Contrapiso, lã de PET 8mm</t>
  </si>
  <si>
    <t xml:space="preserve">Revestimento em Pastilhas Cerâmicas Para Marcação de vagas , 7,5 x 7,5cm com Junta de 3mm </t>
  </si>
  <si>
    <t>Parede e piso piscinas</t>
  </si>
  <si>
    <t>Piso das garagens e escadas</t>
  </si>
  <si>
    <t>Mão de obra para assentamento de Pastilhas em Piso</t>
  </si>
  <si>
    <t>Rodapés</t>
  </si>
  <si>
    <t>Rodapé de cerâmico h=10cm</t>
  </si>
  <si>
    <t>Rodapes</t>
  </si>
  <si>
    <t>RODAPÉ EM CERÂMICA (IGUAL AO PISO) - 10 cm, ANTECAMARA</t>
  </si>
  <si>
    <t>RODAPÉ EM CERÂMICA (IGUAL AO PISO) - 10 cm, ESCADARIA</t>
  </si>
  <si>
    <t>23.1.3</t>
  </si>
  <si>
    <t>RODAPÉ EM CERÂMICA (IGUAL AO PISO) - 10 cm, ESCRITORIO</t>
  </si>
  <si>
    <t>23.1.4</t>
  </si>
  <si>
    <t>RODAPÉ EM CERÂMICA (IGUAL AO PISO) - 10 cm, ESTACIONAMENTO</t>
  </si>
  <si>
    <t>23.1.5</t>
  </si>
  <si>
    <t>RODAPÉ EM CERÂMICA (IGUAL AO PISO) - 10 cm, GLP</t>
  </si>
  <si>
    <t>23.1.6</t>
  </si>
  <si>
    <t>RODAPÉ EM POLIESTIRENO BRANCO - 10 cm, HALL</t>
  </si>
  <si>
    <t>23.1.7</t>
  </si>
  <si>
    <t>RODAPÉ DE PORCELANATO (IGUAL AO PISO) - 10 cm, LAVABO PNE (LOJA 01)</t>
  </si>
  <si>
    <t>23.1.8</t>
  </si>
  <si>
    <t>RODAPÉ DE PORCELANATO (IGUAL AO PISO) - 10 cm, LAVABO PNE (LOJA 02)</t>
  </si>
  <si>
    <t>23.1.9</t>
  </si>
  <si>
    <t>RODAPÉ DE PORCELANATO (IGUAL AO PISO) - 10 cm, LOJA 01</t>
  </si>
  <si>
    <t>23.1.10</t>
  </si>
  <si>
    <t>RODAPÉ DE PORCELANATO (IGUAL AO PISO) - 10 cm, LOJA 02</t>
  </si>
  <si>
    <t>23.1.11</t>
  </si>
  <si>
    <t>RODAPÉ EM CERÂMICA (IGUAL AO PISO) - 10 cm, MEDIDORES</t>
  </si>
  <si>
    <t>23.1.12</t>
  </si>
  <si>
    <t>RODAPÉ EM CERÂMICA (IGUAL AO PISO) - 10 cm, PORTARIA</t>
  </si>
  <si>
    <t>23.2.2</t>
  </si>
  <si>
    <t>23.2.3</t>
  </si>
  <si>
    <t>23.3.</t>
  </si>
  <si>
    <t>23.3.1</t>
  </si>
  <si>
    <t>23.3.2</t>
  </si>
  <si>
    <t>RODAPÉ DE PORCELANATO (IGUAL AO PISO) - 10 cm, CIRC. / COZINHA / AREA SOCIAL</t>
  </si>
  <si>
    <t>23.3.3</t>
  </si>
  <si>
    <t>RODAPÉ DE PORCELANATO (IGUAL AO PISO) - 10 cm, CIRC. / COZINHA / STUDIO</t>
  </si>
  <si>
    <t>23.3.4</t>
  </si>
  <si>
    <t>RODAPÉ EM POLIESTIRENO BRANCO - 10 cm, CIRCULACAO</t>
  </si>
  <si>
    <t>23.3.5</t>
  </si>
  <si>
    <t>RODAPÉ DE PORCELANATO (IGUAL AO PISO) - 10 cm, DORMITORIO</t>
  </si>
  <si>
    <t>23.3.6</t>
  </si>
  <si>
    <t>23.3.7</t>
  </si>
  <si>
    <t>RODAPÉ DE PORCELANATO (IGUAL AO PISO) - 10 cm, SACADA</t>
  </si>
  <si>
    <t>23.3.8</t>
  </si>
  <si>
    <t>RODAPÉ DE PORCELANATO (IGUAL AO PISO) - 10 cm, SUITE MASTER</t>
  </si>
  <si>
    <t>23.4.</t>
  </si>
  <si>
    <t>23.4.1</t>
  </si>
  <si>
    <t>23.4.2</t>
  </si>
  <si>
    <t>23.4.3</t>
  </si>
  <si>
    <t>23.4.4</t>
  </si>
  <si>
    <t>23.4.5</t>
  </si>
  <si>
    <t>23.4.6</t>
  </si>
  <si>
    <t>23.4.7</t>
  </si>
  <si>
    <t>23.5.</t>
  </si>
  <si>
    <t>23.5.1</t>
  </si>
  <si>
    <t>23.5.2</t>
  </si>
  <si>
    <t>23.5.3</t>
  </si>
  <si>
    <t>23.5.4</t>
  </si>
  <si>
    <t>RODAPÉ EM POLIESTIRENO BRANCO - 10 cm, CIRCULACAO (HALL DO ELEVADOR)</t>
  </si>
  <si>
    <t>23.5.5</t>
  </si>
  <si>
    <t>23.5.6</t>
  </si>
  <si>
    <t>23.5.7</t>
  </si>
  <si>
    <t>RODAPÉ DE PORCELANATO (IGUAL AO PISO) - 10 cm, LAVABO (COZINHA)</t>
  </si>
  <si>
    <t>23.5.8</t>
  </si>
  <si>
    <t>23.5.9</t>
  </si>
  <si>
    <t>RODAPÉ DE PORCELANATO (IGUAL AO PISO) - 10 cm, SUITE</t>
  </si>
  <si>
    <t>23.5.10</t>
  </si>
  <si>
    <t>23.6.</t>
  </si>
  <si>
    <t>23.6.1</t>
  </si>
  <si>
    <t>23.6.2</t>
  </si>
  <si>
    <t>23.6.3</t>
  </si>
  <si>
    <t>23.6.4</t>
  </si>
  <si>
    <t>23.6.5</t>
  </si>
  <si>
    <t>23.6.6</t>
  </si>
  <si>
    <t>23.6.7</t>
  </si>
  <si>
    <t>23.7.</t>
  </si>
  <si>
    <t>23.7.1</t>
  </si>
  <si>
    <t>23.7.2</t>
  </si>
  <si>
    <t>23.7.3</t>
  </si>
  <si>
    <t>23.7.4</t>
  </si>
  <si>
    <t>23.7.5</t>
  </si>
  <si>
    <t>23.7.6</t>
  </si>
  <si>
    <t>23.7.7</t>
  </si>
  <si>
    <t>23.8.</t>
  </si>
  <si>
    <t>23.8.1</t>
  </si>
  <si>
    <t>23.8.2</t>
  </si>
  <si>
    <t>23.8.3</t>
  </si>
  <si>
    <t>23.8.4</t>
  </si>
  <si>
    <t>23.8.5</t>
  </si>
  <si>
    <t>23.8.6</t>
  </si>
  <si>
    <t>23.8.7</t>
  </si>
  <si>
    <t>23.9.</t>
  </si>
  <si>
    <t>23.9.1</t>
  </si>
  <si>
    <t>23.9.2</t>
  </si>
  <si>
    <t>23.9.3</t>
  </si>
  <si>
    <t>23.9.4</t>
  </si>
  <si>
    <t>23.9.5</t>
  </si>
  <si>
    <t>23.9.6</t>
  </si>
  <si>
    <t>23.9.7</t>
  </si>
  <si>
    <t>23.10.</t>
  </si>
  <si>
    <t>23.10.1</t>
  </si>
  <si>
    <t>23.10.2</t>
  </si>
  <si>
    <t>23.10.3</t>
  </si>
  <si>
    <t>23.10.4</t>
  </si>
  <si>
    <t>23.10.5</t>
  </si>
  <si>
    <t>23.10.6</t>
  </si>
  <si>
    <t>23.10.7</t>
  </si>
  <si>
    <t>23.11.</t>
  </si>
  <si>
    <t>23.11.1</t>
  </si>
  <si>
    <t>23.11.2</t>
  </si>
  <si>
    <t>23.11.3</t>
  </si>
  <si>
    <t>23.11.4</t>
  </si>
  <si>
    <t>23.11.5</t>
  </si>
  <si>
    <t>23.11.6</t>
  </si>
  <si>
    <t>23.11.7</t>
  </si>
  <si>
    <t>23.12.</t>
  </si>
  <si>
    <t>23.12.1</t>
  </si>
  <si>
    <t>23.12.2</t>
  </si>
  <si>
    <t>RODAPÉ DE PORCELANATO (IGUAL AO PISO) - 10 cm, CIRC. / COZINHA / AREA DE SERVICO</t>
  </si>
  <si>
    <t>23.12.3</t>
  </si>
  <si>
    <t>23.12.4</t>
  </si>
  <si>
    <t>23.12.5</t>
  </si>
  <si>
    <t>23.12.6</t>
  </si>
  <si>
    <t>23.12.7</t>
  </si>
  <si>
    <t>23.12.8</t>
  </si>
  <si>
    <t>23.13.</t>
  </si>
  <si>
    <t>23.13.1</t>
  </si>
  <si>
    <t>23.13.2</t>
  </si>
  <si>
    <t>23.13.3</t>
  </si>
  <si>
    <t>23.13.4</t>
  </si>
  <si>
    <t>23.13.5</t>
  </si>
  <si>
    <t>RODAPÉ EM POLIESTIRENO BRANCO - 10 cm, HALL (ELEVADOR)</t>
  </si>
  <si>
    <t>23.13.6</t>
  </si>
  <si>
    <t>RODAPÉ DE PORCELANATO (IGUAL AO PISO) - 10 cm, OFFICE</t>
  </si>
  <si>
    <t>23.13.7</t>
  </si>
  <si>
    <t>23.14.</t>
  </si>
  <si>
    <t>23.14.1</t>
  </si>
  <si>
    <t>23.15.</t>
  </si>
  <si>
    <t>23.15.1</t>
  </si>
  <si>
    <t>23.15.2</t>
  </si>
  <si>
    <t>RODAPÉ DE PORCELANATO (IGUAL AO PISO) - 10 cm, APOIO (CIRCULACAO)</t>
  </si>
  <si>
    <t>23.15.3</t>
  </si>
  <si>
    <t>RODAPÉ DE PORCELANATO (IGUAL AO PISO) - 10 cm, APOIO (SALAO DE FESTAS)</t>
  </si>
  <si>
    <t>23.15.4</t>
  </si>
  <si>
    <t>23.15.5</t>
  </si>
  <si>
    <t>23.15.6</t>
  </si>
  <si>
    <t>RODAPÉ DE PORCELANATO (IGUAL AO PISO) - 10 cm, GOURMET / PISCINA</t>
  </si>
  <si>
    <t>23.15.7</t>
  </si>
  <si>
    <t>RODAPÉ DE PORCELANATO (IGUAL AO PISO) - 10 cm, LAVABO (SALAO DE FESTAS)</t>
  </si>
  <si>
    <t>23.15.8</t>
  </si>
  <si>
    <t>RODAPÉ DE PORCELANATO (IGUAL AO PISO) - 10 cm, SALAO DE FESTAS</t>
  </si>
  <si>
    <t>23.16.</t>
  </si>
  <si>
    <t>23.16.1</t>
  </si>
  <si>
    <t>RODAPE</t>
  </si>
  <si>
    <t>RODAPÉ EM CERÂMICA (IGUAL AO PISO) - 10 cm</t>
  </si>
  <si>
    <t>RODAPÉ EM POLIESTIRENO BRANCO - 10 cm</t>
  </si>
  <si>
    <t>RODAPÉ DE PORCELANATO (IGUAL AO PISO) - 10 cm</t>
  </si>
  <si>
    <t>Revestimento Cerâmico de Piso Interno 60x60</t>
  </si>
  <si>
    <t>Pintura em tinta para piso, Aplicação Manual, 2 Demãos</t>
  </si>
  <si>
    <t>Tinta Piso</t>
  </si>
  <si>
    <t>Fosso de elevador</t>
  </si>
  <si>
    <t>Pintura em Látex Acrilica para demarcação de Paredes, 2 demão</t>
  </si>
  <si>
    <t>Selador acrilico em Paredes Internas</t>
  </si>
  <si>
    <t>Emassamento de Paredes Internas, 2 demãos</t>
  </si>
  <si>
    <t>Selador acrilico em Teto</t>
  </si>
  <si>
    <t>Pintura em teto com tinta látex acrílica, 3 demãos</t>
  </si>
  <si>
    <t>Emassamento em Teto, 2 demãos</t>
  </si>
  <si>
    <t>Mão de obra para pintura em pisos , 2 demãos</t>
  </si>
  <si>
    <t>Mão de obra para demarcação de vagas em parede, 2 demãos</t>
  </si>
  <si>
    <t>Guarda Corpo Gradil - fornecimento e instalação</t>
  </si>
  <si>
    <t>Portão basculante 3x2,5 - fornecimento e instalação</t>
  </si>
  <si>
    <t>Portão basculante 3,5x2,5 - fornecimento e instalação</t>
  </si>
  <si>
    <t>Porta corta-fogo, 1 folha, 90x210 cm</t>
  </si>
  <si>
    <t>um</t>
  </si>
  <si>
    <t>Massa unica para reboco externo em Argamassa preparada em central / usinada, espessura de 30mm</t>
  </si>
  <si>
    <t>Mão de obra Reboco Externo</t>
  </si>
  <si>
    <t>MÃO DE OBRA REBOCO ARGAMASSADO EXTERNO   -  FACHADA FRONTAL</t>
  </si>
  <si>
    <t>37.1.2</t>
  </si>
  <si>
    <t>MÃO DE OBRA REBOCO ARGAMASSADO EXTERNO   -  FACHADA LATERAL DIREITA</t>
  </si>
  <si>
    <t>37.1.3</t>
  </si>
  <si>
    <t>MÃO DE OBRA REBOCO ARGAMASSADO EXTERNO   -  FACHADA LATERAL ESQUERDA</t>
  </si>
  <si>
    <t>37.1.4</t>
  </si>
  <si>
    <t>MÃO DE OBRA REBOCO ARGAMASSADO EXTERNO   -  FACHADA POSTERIOR</t>
  </si>
  <si>
    <t>37.2.2</t>
  </si>
  <si>
    <t>37.2.3</t>
  </si>
  <si>
    <t>37.2.4</t>
  </si>
  <si>
    <t>37.3.3</t>
  </si>
  <si>
    <t>37.3.4</t>
  </si>
  <si>
    <t>37.3.5</t>
  </si>
  <si>
    <t>MÃO DE OBRA REBOCO ARGAMASSADO EXTERNO</t>
  </si>
  <si>
    <t>37.4.4</t>
  </si>
  <si>
    <t>37.4.5</t>
  </si>
  <si>
    <t>37.5.4</t>
  </si>
  <si>
    <t>37.5.5</t>
  </si>
  <si>
    <t>37.6.4</t>
  </si>
  <si>
    <t>37.6.5</t>
  </si>
  <si>
    <t>37.7.4</t>
  </si>
  <si>
    <t>37.7.5</t>
  </si>
  <si>
    <t>37.8.4</t>
  </si>
  <si>
    <t>37.8.5</t>
  </si>
  <si>
    <t>37.9.4</t>
  </si>
  <si>
    <t>37.9.5</t>
  </si>
  <si>
    <t>37.10.4</t>
  </si>
  <si>
    <t>37.10.5</t>
  </si>
  <si>
    <t>37.11.4</t>
  </si>
  <si>
    <t>37.11.5</t>
  </si>
  <si>
    <t>37.12.3</t>
  </si>
  <si>
    <t>37.12.4</t>
  </si>
  <si>
    <t>37.12.5</t>
  </si>
  <si>
    <t>37.13.4</t>
  </si>
  <si>
    <t>37.14.2</t>
  </si>
  <si>
    <t>37.14.3</t>
  </si>
  <si>
    <t>37.14.4</t>
  </si>
  <si>
    <t>37.14.5</t>
  </si>
  <si>
    <t>37.15.</t>
  </si>
  <si>
    <t>37.15.1</t>
  </si>
  <si>
    <t>37.15.2</t>
  </si>
  <si>
    <t>37.15.3</t>
  </si>
  <si>
    <t>37.15.4</t>
  </si>
  <si>
    <t>37.16.</t>
  </si>
  <si>
    <t>37.16.1</t>
  </si>
  <si>
    <t>37.16.2</t>
  </si>
  <si>
    <t>37.16.3</t>
  </si>
  <si>
    <t>37.16.4</t>
  </si>
  <si>
    <t>37.17.</t>
  </si>
  <si>
    <t>37.17.1</t>
  </si>
  <si>
    <t>37.18.</t>
  </si>
  <si>
    <t>37.18.1</t>
  </si>
  <si>
    <t>Tiras de cabo de aço</t>
  </si>
  <si>
    <t>VERNIZ</t>
  </si>
  <si>
    <t>Textura acrilica Cinza escura - Sto Brasil</t>
  </si>
  <si>
    <t>Pergolado (Cobertura Vidro) - Material e mão de obra</t>
  </si>
  <si>
    <t>Revestimento Pastilha 7,5x7,5cm</t>
  </si>
  <si>
    <t>10.1.2</t>
  </si>
  <si>
    <t>10.3.2</t>
  </si>
  <si>
    <t>10.6.2</t>
  </si>
  <si>
    <t>10.8.2</t>
  </si>
  <si>
    <t>10.10.2</t>
  </si>
  <si>
    <t>10.11.2</t>
  </si>
  <si>
    <t>10.12.2</t>
  </si>
  <si>
    <t>10.14.2</t>
  </si>
  <si>
    <t>10.14.3</t>
  </si>
  <si>
    <t>10.15.2</t>
  </si>
  <si>
    <t>11.1.2</t>
  </si>
  <si>
    <t>IMPERMEABILIZACAO  -  FLOREIRA</t>
  </si>
  <si>
    <t>11.1.3</t>
  </si>
  <si>
    <t>FLOREIRA - IMPERMEABILIZACAO</t>
  </si>
  <si>
    <t>11.1.4</t>
  </si>
  <si>
    <t>FOSSO ELEVADOR - IMPERMEABILIZACAO</t>
  </si>
  <si>
    <t>11.1.5</t>
  </si>
  <si>
    <t>TERRAÇO - IMPERMEABILIZACAO</t>
  </si>
  <si>
    <t>IMPERMEABILIZACAO  -  BANHEIRO</t>
  </si>
  <si>
    <t>11.3.2</t>
  </si>
  <si>
    <t>IMPERMEABILIZACAO  -  BOX BANHEIRO</t>
  </si>
  <si>
    <t>11.3.3</t>
  </si>
  <si>
    <t>11.3.4</t>
  </si>
  <si>
    <t>IMPERMEABILIZACAO  -  ESQUADRIA</t>
  </si>
  <si>
    <t>11.3.5</t>
  </si>
  <si>
    <t>11.3.6</t>
  </si>
  <si>
    <t>BANHEIRO - IMPERMEABILIZACAO</t>
  </si>
  <si>
    <t>11.3.7</t>
  </si>
  <si>
    <t>BOX BANHEIRO - IMPERMEABILIZACAO</t>
  </si>
  <si>
    <t>11.3.8</t>
  </si>
  <si>
    <t>ESQUADRIA - IMPERMEABILIZACAO</t>
  </si>
  <si>
    <t>11.3.9</t>
  </si>
  <si>
    <t>11.3.10</t>
  </si>
  <si>
    <t>PISCINA - IMPERMEABILIZACAO</t>
  </si>
  <si>
    <t>11.3.11</t>
  </si>
  <si>
    <t>SACADA - IMPERMEABILIZACAO</t>
  </si>
  <si>
    <t>11.3.12</t>
  </si>
  <si>
    <t>11.3.13</t>
  </si>
  <si>
    <t>IMPERMEABILIZACAO  -  PISCINA</t>
  </si>
  <si>
    <t>11.6.2</t>
  </si>
  <si>
    <t>11.6.3</t>
  </si>
  <si>
    <t>11.6.4</t>
  </si>
  <si>
    <t>11.6.5</t>
  </si>
  <si>
    <t>11.6.6</t>
  </si>
  <si>
    <t>11.6.7</t>
  </si>
  <si>
    <t>11.6.8</t>
  </si>
  <si>
    <t>11.6.9</t>
  </si>
  <si>
    <t>11.6.10</t>
  </si>
  <si>
    <t>11.8.2</t>
  </si>
  <si>
    <t>11.8.3</t>
  </si>
  <si>
    <t>11.8.4</t>
  </si>
  <si>
    <t>11.8.5</t>
  </si>
  <si>
    <t>11.8.6</t>
  </si>
  <si>
    <t>11.8.7</t>
  </si>
  <si>
    <t>11.8.8</t>
  </si>
  <si>
    <t>11.8.9</t>
  </si>
  <si>
    <t>11.8.10</t>
  </si>
  <si>
    <t>11.10.2</t>
  </si>
  <si>
    <t>11.10.3</t>
  </si>
  <si>
    <t>11.10.4</t>
  </si>
  <si>
    <t>11.10.5</t>
  </si>
  <si>
    <t>11.10.6</t>
  </si>
  <si>
    <t>11.10.7</t>
  </si>
  <si>
    <t>11.10.8</t>
  </si>
  <si>
    <t>11.10.9</t>
  </si>
  <si>
    <t>11.10.10</t>
  </si>
  <si>
    <t>11.12.2</t>
  </si>
  <si>
    <t>11.12.3</t>
  </si>
  <si>
    <t>11.12.4</t>
  </si>
  <si>
    <t>11.12.5</t>
  </si>
  <si>
    <t>11.12.6</t>
  </si>
  <si>
    <t>11.12.7</t>
  </si>
  <si>
    <t>11.12.8</t>
  </si>
  <si>
    <t>IMPERMEABILIZACAO  -  ÁREA TÉCNICA</t>
  </si>
  <si>
    <t>11.14.2</t>
  </si>
  <si>
    <t>11.14.3</t>
  </si>
  <si>
    <t>ÁREA TÉCNICA - IMPERMEABILIZACAO</t>
  </si>
  <si>
    <t>11.14.4</t>
  </si>
  <si>
    <t>11.14.5</t>
  </si>
  <si>
    <t>11.15.2</t>
  </si>
  <si>
    <t>11.15.3</t>
  </si>
  <si>
    <t>11.15.4</t>
  </si>
  <si>
    <t>11.15.5</t>
  </si>
  <si>
    <t>11.15.6</t>
  </si>
  <si>
    <t>11.15.7</t>
  </si>
  <si>
    <t>11.15.8</t>
  </si>
  <si>
    <t>11.15.9</t>
  </si>
  <si>
    <t>IMPERMEABILIZACAO  -  TERRAÇO</t>
  </si>
  <si>
    <t>11.16.2</t>
  </si>
  <si>
    <t>11.16.3</t>
  </si>
  <si>
    <t>IMPERMEABILIZAÇÃO -  MANTA ALUMINIZADA  - PISO GENERICO</t>
  </si>
  <si>
    <t>RESERVATÓRIO - IMPERMEABILIZACAO</t>
  </si>
  <si>
    <t>11.17.2</t>
  </si>
  <si>
    <t>11.17.3</t>
  </si>
  <si>
    <t>IMPERMEABILIZACAO  -  RESERVATÓRIO</t>
  </si>
  <si>
    <t>11.18.2</t>
  </si>
  <si>
    <t>11.18.3</t>
  </si>
  <si>
    <t>11.18.4</t>
  </si>
  <si>
    <t>TAMPA DE RESERVATÓRIO - IMPERMEABILIZACAO</t>
  </si>
  <si>
    <t>Tinta asfaltica</t>
  </si>
  <si>
    <t>Manta</t>
  </si>
  <si>
    <t>Argamassa polimerica</t>
  </si>
  <si>
    <t>Manta liquida</t>
  </si>
  <si>
    <t>Manta aluminizada</t>
  </si>
  <si>
    <t xml:space="preserve">Floreiras </t>
  </si>
  <si>
    <t xml:space="preserve">Piscina </t>
  </si>
  <si>
    <t>Impermeabilização de lajes e terraços</t>
  </si>
  <si>
    <t>Impermeabilização de fundação e contenção</t>
  </si>
  <si>
    <t>Impermeabilização de piscinas e espelhos d´água</t>
  </si>
  <si>
    <t>Impermeabilização de banheiro, cozinha e sacada</t>
  </si>
  <si>
    <t>Armação Aço CA-50, Diâmetro de 6,3mm para Supraestrutura, Corte e Dobra em Industria</t>
  </si>
  <si>
    <t>Armação Aço CA-50, Diâmetro de 8,0mm para Supraestrutura, Corte e Dobra em Industria</t>
  </si>
  <si>
    <t>Armação Aço CA-50, Diâmetro de 10,0mm para Supraestrutura, Corte e Dobra em Industria</t>
  </si>
  <si>
    <t>Armação Aço CA-50, Diâmetro de 12,5mm para Supraestrutura, Corte e Dobra em Industria</t>
  </si>
  <si>
    <t>Armação Aço CA-50, Diâmetro de 16,0mm para Supraestrutura, Corte e Dobra em Industria</t>
  </si>
  <si>
    <t>Armação Aço CA-50, Diâmetro de 20,0mm para Supraestrutura, Corte e Dobra em Industria</t>
  </si>
  <si>
    <t>Armação Aço CA-50, Diâmetro de 25,0mm para Supraestrutura, Corte e Dobra em Industria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</si>
</sst>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-* #,##0.00_-;\-* #,##0.00_-;_-* &quot;-&quot;??_-;_-@_-"/>
    <numFmt numFmtId="164" formatCode="dd/mm/yy"/>
    <numFmt numFmtId="165" formatCode="#,##0.0000"/>
    <numFmt numFmtId="166" formatCode="_-* #,##0.00_-;\-* #,##0.00_-;_-* &quot;-&quot;??_-;_-@"/>
    <numFmt numFmtId="167" formatCode="_-&quot;R$&quot;\ * #,##0.00_-;\-&quot;R$&quot;\ * #,##0.00_-;_-&quot;R$&quot;\ * &quot;-&quot;??_-;_-@"/>
    <numFmt numFmtId="168" formatCode="_(&quot;R$&quot;* #,##0.00_);_(&quot;R$&quot;* \(#,##0.00\);_(&quot;R$&quot;* &quot;-&quot;??_);_(@_)"/>
    <numFmt numFmtId="169" formatCode="[$-416]mmm\-yy"/>
    <numFmt numFmtId="170" formatCode="0#"/>
    <numFmt numFmtId="171" formatCode="00#"/>
    <numFmt numFmtId="172" formatCode="_(* #,##0.00_);_(* \(#,##0.00\);_(* &quot;-&quot;??_);_(@_)"/>
    <numFmt numFmtId="173" formatCode="_-* #,##0.00000_-;\-* #,##0.00000_-;_-* &quot;-&quot;??_-;_-@"/>
    <numFmt numFmtId="174" formatCode="#,##0.0"/>
    <numFmt numFmtId="175" formatCode="_(* #,##0_);_(* \(#,##0\);_(* &quot;-&quot;??_);_(@_)"/>
    <numFmt numFmtId="176" formatCode="_-&quot;R$&quot;\ * #,##0.00000000_-;\-&quot;R$&quot;\ * #,##0.00000000_-;_-&quot;R$&quot;\ * &quot;-&quot;??_-;_-@"/>
    <numFmt numFmtId="177" formatCode="#,000"/>
    <numFmt numFmtId="178" formatCode="_-* #,##0.00000_-;\-* #,##0.00000_-;_-* &quot;-&quot;??_-;_-@_-"/>
  </numFmts>
  <fonts count="11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205867"/>
      <name val="Calibri"/>
    </font>
    <font>
      <sz val="10"/>
      <name val="Arial"/>
    </font>
    <font>
      <b/>
      <sz val="10"/>
      <color theme="1"/>
      <name val="Calibri"/>
    </font>
    <font>
      <sz val="10"/>
      <color theme="1"/>
      <name val="Calibri"/>
    </font>
    <font>
      <sz val="9"/>
      <color theme="1"/>
      <name val="Calibri"/>
    </font>
    <font>
      <b/>
      <sz val="14"/>
      <color theme="0"/>
      <name val="Calibri"/>
    </font>
    <font>
      <b/>
      <sz val="8"/>
      <color theme="0"/>
      <name val="Calibri"/>
    </font>
    <font>
      <sz val="8"/>
      <color rgb="FF121212"/>
      <name val="Calibri"/>
    </font>
    <font>
      <i/>
      <sz val="8"/>
      <color rgb="FF121212"/>
      <name val="Calibri"/>
    </font>
    <font>
      <sz val="8"/>
      <color theme="1"/>
      <name val="Calibri"/>
    </font>
    <font>
      <b/>
      <sz val="8"/>
      <color rgb="FFFFFFFF"/>
      <name val="Calibri"/>
    </font>
    <font>
      <b/>
      <sz val="10"/>
      <color rgb="FF121212"/>
      <name val="Poppins"/>
    </font>
    <font>
      <sz val="10"/>
      <color rgb="FF121212"/>
      <name val="Poppins"/>
    </font>
    <font>
      <sz val="8"/>
      <color rgb="FF121212"/>
      <name val="Poppins"/>
    </font>
    <font>
      <sz val="11"/>
      <color theme="1"/>
      <name val="Poppins"/>
    </font>
    <font>
      <sz val="11"/>
      <color theme="1"/>
      <name val="Calibri"/>
    </font>
    <font>
      <b/>
      <sz val="15"/>
      <color theme="0"/>
      <name val="Poppins"/>
    </font>
    <font>
      <sz val="11"/>
      <color rgb="FF121212"/>
      <name val="Poppins"/>
    </font>
    <font>
      <sz val="11"/>
      <color rgb="FFE36C09"/>
      <name val="Calibri"/>
    </font>
    <font>
      <sz val="10"/>
      <color theme="1"/>
      <name val="Arial"/>
    </font>
    <font>
      <b/>
      <sz val="8"/>
      <color theme="0"/>
      <name val="Poppins"/>
    </font>
    <font>
      <sz val="8"/>
      <color rgb="FFFF0000"/>
      <name val="Poppins"/>
    </font>
    <font>
      <sz val="8"/>
      <color theme="1"/>
      <name val="Poppins"/>
    </font>
    <font>
      <b/>
      <sz val="8"/>
      <color rgb="FF121212"/>
      <name val="Poppins"/>
    </font>
    <font>
      <b/>
      <sz val="8"/>
      <color rgb="FFFF0000"/>
      <name val="Poppins"/>
    </font>
    <font>
      <b/>
      <sz val="9"/>
      <color theme="0"/>
      <name val="Poppins"/>
    </font>
    <font>
      <b/>
      <sz val="9"/>
      <color rgb="FFD23200"/>
      <name val="Calibri"/>
    </font>
    <font>
      <sz val="9"/>
      <color theme="1"/>
      <name val="Poppins"/>
    </font>
    <font>
      <b/>
      <sz val="9"/>
      <color rgb="FF7F7F7F"/>
      <name val="Poppins"/>
    </font>
    <font>
      <b/>
      <u/>
      <sz val="9"/>
      <color theme="1"/>
      <name val="Poppins"/>
    </font>
    <font>
      <b/>
      <sz val="9"/>
      <color theme="1"/>
      <name val="Calibri"/>
    </font>
    <font>
      <sz val="10"/>
      <color rgb="FF000000"/>
      <name val="Arial"/>
    </font>
    <font>
      <sz val="8"/>
      <color rgb="FF7F7F7F"/>
      <name val="Calibri"/>
    </font>
    <font>
      <b/>
      <sz val="10"/>
      <color theme="0"/>
      <name val="Calibri"/>
    </font>
    <font>
      <sz val="8"/>
      <color rgb="FF7F7F7F"/>
      <name val="Arial"/>
    </font>
    <font>
      <b/>
      <sz val="9"/>
      <color theme="0"/>
      <name val="Calibri"/>
    </font>
    <font>
      <sz val="8"/>
      <color rgb="FFFFFFFF"/>
      <name val="Calibri"/>
    </font>
    <font>
      <sz val="8"/>
      <color rgb="FFFF0000"/>
      <name val="Calibri"/>
    </font>
    <font>
      <b/>
      <sz val="8"/>
      <color theme="1"/>
      <name val="Calibri"/>
    </font>
    <font>
      <sz val="8"/>
      <color theme="1"/>
      <name val="Arial"/>
    </font>
    <font>
      <b/>
      <sz val="8"/>
      <color theme="1"/>
      <name val="Arial"/>
    </font>
    <font>
      <sz val="9"/>
      <color rgb="FFBFBFBF"/>
      <name val="Calibri"/>
    </font>
    <font>
      <sz val="8"/>
      <color rgb="FF000000"/>
      <name val="Calibri"/>
    </font>
    <font>
      <sz val="7"/>
      <color theme="1"/>
      <name val="Arial"/>
    </font>
    <font>
      <b/>
      <sz val="11"/>
      <color theme="1"/>
      <name val="Calibri"/>
    </font>
    <font>
      <b/>
      <sz val="10"/>
      <color theme="1"/>
      <name val="Arial"/>
    </font>
    <font>
      <b/>
      <sz val="7"/>
      <color rgb="FFFFFFFF"/>
      <name val="Arial"/>
    </font>
    <font>
      <sz val="10"/>
      <color theme="1"/>
      <name val="Arial"/>
    </font>
    <font>
      <u/>
      <sz val="7"/>
      <color rgb="FF0000FF"/>
      <name val="Arial"/>
    </font>
    <font>
      <sz val="7"/>
      <color rgb="FFFFFFFF"/>
      <name val="Arial"/>
    </font>
    <font>
      <sz val="8"/>
      <color rgb="FF000000"/>
      <name val="Arial"/>
    </font>
    <font>
      <sz val="9"/>
      <color theme="1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b/>
      <sz val="9"/>
      <color rgb="FFD23200"/>
      <name val="Arial"/>
    </font>
    <font>
      <sz val="9"/>
      <color rgb="FF0000FF"/>
      <name val="Arial"/>
    </font>
    <font>
      <b/>
      <sz val="9"/>
      <color theme="1"/>
      <name val="Arial"/>
    </font>
    <font>
      <b/>
      <sz val="9"/>
      <color rgb="FF0000FF"/>
      <name val="Arial"/>
    </font>
    <font>
      <sz val="8"/>
      <color rgb="FFF43800"/>
      <name val="Arial"/>
    </font>
    <font>
      <b/>
      <sz val="10"/>
      <color rgb="FF205867"/>
      <name val="Calibri"/>
    </font>
    <font>
      <b/>
      <sz val="12"/>
      <color theme="0"/>
      <name val="Calibri"/>
    </font>
    <font>
      <b/>
      <sz val="12"/>
      <color rgb="FFFFFFFF"/>
      <name val="Calibri"/>
    </font>
    <font>
      <sz val="9"/>
      <color rgb="FFFFFFFF"/>
      <name val="Calibri"/>
    </font>
    <font>
      <b/>
      <sz val="10"/>
      <color rgb="FFFFFFFF"/>
      <name val="Calibri"/>
    </font>
    <font>
      <sz val="10"/>
      <color rgb="FFFFFFFF"/>
      <name val="Calibri"/>
    </font>
    <font>
      <sz val="9"/>
      <color rgb="FF0000FF"/>
      <name val="Calibri"/>
    </font>
    <font>
      <b/>
      <sz val="14"/>
      <color rgb="FFFFFFFF"/>
      <name val="Calibri"/>
    </font>
    <font>
      <b/>
      <sz val="9"/>
      <color rgb="FFFFFFFF"/>
      <name val="Calibri"/>
    </font>
    <font>
      <b/>
      <sz val="12"/>
      <color rgb="FFFFFFFF"/>
      <name val="Arial"/>
    </font>
    <font>
      <sz val="9"/>
      <color rgb="FFFF0000"/>
      <name val="Arial"/>
    </font>
    <font>
      <b/>
      <sz val="10"/>
      <color rgb="FFFFFFFF"/>
      <name val="Arial"/>
    </font>
    <font>
      <sz val="10"/>
      <color rgb="FFFFFFFF"/>
      <name val="Arial"/>
    </font>
    <font>
      <i/>
      <sz val="11"/>
      <color rgb="FF1851D6"/>
      <name val="Calibri"/>
    </font>
    <font>
      <i/>
      <sz val="11"/>
      <color theme="1"/>
      <name val="Calibri"/>
    </font>
    <font>
      <b/>
      <sz val="10"/>
      <color rgb="FFFFFFFF"/>
      <name val="Poppins"/>
    </font>
    <font>
      <b/>
      <sz val="11"/>
      <color rgb="FFFFFFFF"/>
      <name val="Calibri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theme="0"/>
      <name val="Poppins"/>
    </font>
    <font>
      <sz val="11"/>
      <color rgb="FF0070C0"/>
      <name val="Calibri"/>
    </font>
    <font>
      <sz val="10"/>
      <color rgb="FF0070C0"/>
      <name val="Arial"/>
    </font>
    <font>
      <sz val="11"/>
      <color rgb="FF385623"/>
      <name val="Calibri"/>
    </font>
    <font>
      <sz val="5"/>
      <color theme="1"/>
      <name val="Arial Narrow"/>
    </font>
    <font>
      <b/>
      <sz val="5"/>
      <color theme="1"/>
      <name val="Roboto"/>
    </font>
    <font>
      <sz val="5"/>
      <color theme="1"/>
      <name val="Roboto"/>
    </font>
    <font>
      <b/>
      <sz val="5"/>
      <color rgb="FF121212"/>
      <name val="Roboto"/>
    </font>
    <font>
      <sz val="11"/>
      <color theme="1"/>
      <name val="Arial Narrow"/>
    </font>
    <font>
      <sz val="10"/>
      <color theme="1"/>
      <name val="Roboto"/>
    </font>
    <font>
      <b/>
      <sz val="10"/>
      <color theme="0"/>
      <name val="Arial"/>
    </font>
    <font>
      <b/>
      <sz val="10"/>
      <color rgb="FF002060"/>
      <name val="Calibri"/>
    </font>
    <font>
      <sz val="16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sz val="9"/>
      <color rgb="FF7F7F7F"/>
      <name val="Poppins"/>
    </font>
    <font>
      <b/>
      <sz val="9"/>
      <color rgb="FF1851D6"/>
      <name val="Poppins"/>
    </font>
    <font>
      <sz val="10"/>
      <color theme="1"/>
      <name val="Arial"/>
      <family val="2"/>
    </font>
    <font>
      <b/>
      <sz val="9"/>
      <color rgb="FFD23200"/>
      <name val="Calibri"/>
      <family val="2"/>
    </font>
    <font>
      <sz val="9"/>
      <color rgb="FF0070C0"/>
      <name val="Calibri"/>
      <family val="2"/>
    </font>
    <font>
      <sz val="10"/>
      <color rgb="FF0070C0"/>
      <name val="Arial"/>
      <family val="2"/>
    </font>
    <font>
      <sz val="8"/>
      <color theme="1"/>
      <name val="Calibri"/>
      <family val="2"/>
    </font>
    <font>
      <sz val="10"/>
      <color rgb="FF000000"/>
      <name val="Arial"/>
      <family val="2"/>
      <scheme val="minor"/>
    </font>
    <font>
      <sz val="7"/>
      <color theme="1"/>
      <name val="Arial"/>
      <family val="2"/>
    </font>
    <font>
      <sz val="10"/>
      <name val="Arial"/>
      <family val="2"/>
    </font>
    <font>
      <sz val="7"/>
      <name val="Arial"/>
      <family val="2"/>
    </font>
    <font>
      <b/>
      <sz val="10"/>
      <color theme="1"/>
      <name val="Calibri"/>
      <family val="2"/>
    </font>
    <font>
      <sz val="8"/>
      <color rgb="FF000000"/>
      <name val="Calibri"/>
      <family val="2"/>
    </font>
    <font>
      <sz val="10"/>
      <color theme="0"/>
      <name val="Arial"/>
      <family val="2"/>
    </font>
    <font>
      <sz val="8"/>
      <color theme="0" tint="-0.499984740745262"/>
      <name val="Arial"/>
      <family val="2"/>
    </font>
    <font>
      <sz val="8"/>
      <name val="Arial"/>
      <family val="2"/>
      <scheme val="minor"/>
    </font>
    <font>
      <sz val="2"/>
      <name val="Arial"/>
      <family val="2"/>
    </font>
    <font>
      <b/>
      <sz val="9"/>
      <color rgb="FF121212"/>
      <name val="Poppins"/>
    </font>
    <font>
      <sz val="9"/>
      <color rgb="FF121212"/>
      <name val="Poppins"/>
    </font>
    <font>
      <sz val="9"/>
      <color rgb="FF000000"/>
      <name val="Arial"/>
      <family val="2"/>
      <scheme val="minor"/>
    </font>
    <font>
      <sz val="9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1851D6"/>
        <bgColor rgb="FF1851D6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29292F"/>
        <bgColor rgb="FF29292F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71A0DB"/>
        <bgColor rgb="FF71A0DB"/>
      </patternFill>
    </fill>
    <fill>
      <patternFill patternType="solid">
        <fgColor rgb="FFD7D7D7"/>
        <bgColor rgb="FFD7D7D7"/>
      </patternFill>
    </fill>
    <fill>
      <patternFill patternType="solid">
        <fgColor rgb="FF800080"/>
        <bgColor rgb="FF800080"/>
      </patternFill>
    </fill>
    <fill>
      <patternFill patternType="solid">
        <fgColor rgb="FF571078"/>
        <bgColor rgb="FF571078"/>
      </patternFill>
    </fill>
    <fill>
      <patternFill patternType="solid">
        <fgColor rgb="FFA077B5"/>
        <bgColor rgb="FFA077B5"/>
      </patternFill>
    </fill>
    <fill>
      <patternFill patternType="solid">
        <fgColor rgb="FFF6F4F6"/>
        <bgColor rgb="FFF6F4F6"/>
      </patternFill>
    </fill>
    <fill>
      <patternFill patternType="solid">
        <fgColor rgb="FF989DD0"/>
        <bgColor rgb="FF989DD0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CC4125"/>
        <bgColor rgb="FFCC4125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rgb="FFBFBFBF"/>
        <bgColor rgb="FFBFBFBF"/>
      </patternFill>
    </fill>
    <fill>
      <patternFill patternType="solid">
        <fgColor rgb="FF0C0C0C"/>
        <bgColor rgb="FF0C0C0C"/>
      </patternFill>
    </fill>
    <fill>
      <patternFill patternType="solid">
        <fgColor rgb="FFB4C6E7"/>
        <bgColor rgb="FFB4C6E7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4B4B4B"/>
        <bgColor rgb="FF4B4B4B"/>
      </patternFill>
    </fill>
    <fill>
      <patternFill patternType="solid">
        <fgColor rgb="FFA8D08D"/>
        <bgColor rgb="FFA8D08D"/>
      </patternFill>
    </fill>
    <fill>
      <patternFill patternType="solid">
        <fgColor rgb="FF2F5496"/>
        <bgColor rgb="FF2F5496"/>
      </patternFill>
    </fill>
    <fill>
      <patternFill patternType="solid">
        <fgColor rgb="FF571078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/>
        <bgColor indexed="64"/>
      </patternFill>
    </fill>
  </fills>
  <borders count="301">
    <border>
      <left/>
      <right/>
      <top/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/>
      <top style="thin">
        <color rgb="FF29292F"/>
      </top>
      <bottom style="thin">
        <color rgb="FF000000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29292F"/>
      </right>
      <top style="thin">
        <color rgb="FF000000"/>
      </top>
      <bottom/>
      <diagonal/>
    </border>
    <border>
      <left style="thin">
        <color rgb="FF29292F"/>
      </left>
      <right/>
      <top style="thin">
        <color rgb="FF000000"/>
      </top>
      <bottom style="thin">
        <color rgb="FF29292F"/>
      </bottom>
      <diagonal/>
    </border>
    <border>
      <left/>
      <right/>
      <top style="thin">
        <color rgb="FF000000"/>
      </top>
      <bottom style="thin">
        <color rgb="FF29292F"/>
      </bottom>
      <diagonal/>
    </border>
    <border>
      <left style="thin">
        <color rgb="FF000000"/>
      </left>
      <right/>
      <top/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 style="thin">
        <color rgb="FF000000"/>
      </left>
      <right/>
      <top/>
      <bottom style="thin">
        <color rgb="FF29292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29292F"/>
      </top>
      <bottom style="hair">
        <color rgb="FF7F7F7F"/>
      </bottom>
      <diagonal/>
    </border>
    <border>
      <left/>
      <right/>
      <top style="thin">
        <color rgb="FF29292F"/>
      </top>
      <bottom style="hair">
        <color rgb="FF7F7F7F"/>
      </bottom>
      <diagonal/>
    </border>
    <border>
      <left/>
      <right/>
      <top style="thin">
        <color rgb="FF29292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 style="hair">
        <color rgb="FF7F7F7F"/>
      </left>
      <right/>
      <top style="hair">
        <color rgb="FF7F7F7F"/>
      </top>
      <bottom/>
      <diagonal/>
    </border>
    <border>
      <left/>
      <right style="hair">
        <color rgb="FF7F7F7F"/>
      </right>
      <top style="hair">
        <color rgb="FF7F7F7F"/>
      </top>
      <bottom/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/>
      <diagonal/>
    </border>
    <border>
      <left/>
      <right/>
      <top/>
      <bottom style="hair">
        <color rgb="FF7F7F7F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29292F"/>
      </left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 style="thin">
        <color rgb="FF29292F"/>
      </right>
      <top/>
      <bottom/>
      <diagonal/>
    </border>
    <border>
      <left style="thin">
        <color rgb="FF29292F"/>
      </left>
      <right style="thin">
        <color rgb="FF29292F"/>
      </right>
      <top/>
      <bottom style="thin">
        <color rgb="FF29292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/>
      <right style="thin">
        <color rgb="FF000000"/>
      </right>
      <top style="thin">
        <color rgb="FF29292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29292F"/>
      </top>
      <bottom/>
      <diagonal/>
    </border>
    <border>
      <left style="thin">
        <color rgb="FF000000"/>
      </left>
      <right/>
      <top style="thin">
        <color rgb="FF29292F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7F7F7F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7F7F7F"/>
      </right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thin">
        <color rgb="FF7F7F7F"/>
      </right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29292F"/>
      </top>
      <bottom style="thin">
        <color rgb="FF000000"/>
      </bottom>
      <diagonal/>
    </border>
    <border>
      <left/>
      <right/>
      <top style="thin">
        <color rgb="FF29292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thin">
        <color rgb="FF29292F"/>
      </right>
      <top style="thin">
        <color rgb="FF29292F"/>
      </top>
      <bottom style="thin">
        <color rgb="FF29292F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/>
      <diagonal/>
    </border>
    <border>
      <left/>
      <right style="thin">
        <color rgb="FFA5A5A5"/>
      </right>
      <top/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hair">
        <color rgb="FF000000"/>
      </left>
      <right style="hair">
        <color rgb="FF000000"/>
      </right>
      <top style="thin">
        <color rgb="FFA5A5A5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A5A5A5"/>
      </top>
      <bottom/>
      <diagonal/>
    </border>
    <border>
      <left style="hair">
        <color rgb="FF000000"/>
      </left>
      <right style="hair">
        <color rgb="FF000000"/>
      </right>
      <top/>
      <bottom style="thin">
        <color rgb="FFA5A5A5"/>
      </bottom>
      <diagonal/>
    </border>
    <border>
      <left style="hair">
        <color rgb="FF000000"/>
      </left>
      <right style="hair">
        <color rgb="FF000000"/>
      </right>
      <top style="thin">
        <color rgb="FFA5A5A5"/>
      </top>
      <bottom/>
      <diagonal/>
    </border>
    <border>
      <left style="hair">
        <color rgb="FF000000"/>
      </left>
      <right style="hair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29292F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7F7F7F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  <border>
      <left style="thin">
        <color rgb="FFD0CECE"/>
      </left>
      <right/>
      <top style="thin">
        <color rgb="FFD0CECE"/>
      </top>
      <bottom style="thin">
        <color rgb="FFD0CECE"/>
      </bottom>
      <diagonal/>
    </border>
    <border>
      <left style="thin">
        <color rgb="FFF2F2F2"/>
      </left>
      <right/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 style="thin">
        <color rgb="FFF2F2F2"/>
      </left>
      <right/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/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/>
      <right/>
      <top/>
      <bottom style="thin">
        <color rgb="FFF2F2F2"/>
      </bottom>
      <diagonal/>
    </border>
    <border>
      <left style="thin">
        <color rgb="FFD0CECE"/>
      </left>
      <right/>
      <top/>
      <bottom/>
      <diagonal/>
    </border>
    <border>
      <left/>
      <right style="thin">
        <color rgb="FFD0CECE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757070"/>
      </left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thin">
        <color rgb="FF757070"/>
      </left>
      <right style="thin">
        <color rgb="FF757070"/>
      </right>
      <top/>
      <bottom/>
      <diagonal/>
    </border>
    <border>
      <left style="thin">
        <color rgb="FF938953"/>
      </left>
      <right style="thin">
        <color rgb="FF938953"/>
      </right>
      <top style="thin">
        <color rgb="FF938953"/>
      </top>
      <bottom style="thin">
        <color rgb="FF938953"/>
      </bottom>
      <diagonal/>
    </border>
    <border>
      <left style="thin">
        <color rgb="FF938953"/>
      </left>
      <right style="thin">
        <color rgb="FF938953"/>
      </right>
      <top style="thin">
        <color rgb="FF938953"/>
      </top>
      <bottom/>
      <diagonal/>
    </border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7F7F7F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/>
      <bottom style="thin">
        <color rgb="FF29292F"/>
      </bottom>
      <diagonal/>
    </border>
    <border>
      <left/>
      <right style="thin">
        <color rgb="FF000000"/>
      </right>
      <top style="thin">
        <color rgb="FF29292F"/>
      </top>
      <bottom style="thin">
        <color rgb="FF29292F"/>
      </bottom>
      <diagonal/>
    </border>
    <border>
      <left/>
      <right style="thin">
        <color rgb="FF000000"/>
      </right>
      <top style="thin">
        <color rgb="FF29292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rgb="FF938953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05" fillId="0" borderId="228"/>
    <xf numFmtId="0" fontId="105" fillId="0" borderId="228" applyNumberFormat="0" applyFont="0" applyFill="0" applyBorder="0" applyAlignment="0" applyProtection="0"/>
    <xf numFmtId="172" fontId="105" fillId="0" borderId="228" applyNumberFormat="0" applyFont="0" applyFill="0" applyBorder="0" applyAlignment="0" applyProtection="0"/>
    <xf numFmtId="43" fontId="1" fillId="0" borderId="228" applyFont="0" applyFill="0" applyBorder="0" applyAlignment="0" applyProtection="0"/>
  </cellStyleXfs>
  <cellXfs count="1175">
    <xf numFmtId="0" fontId="0" fillId="0" borderId="0" xfId="0"/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64" fontId="6" fillId="0" borderId="7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165" fontId="5" fillId="0" borderId="8" xfId="0" applyNumberFormat="1" applyFont="1" applyBorder="1" applyAlignment="1">
      <alignment horizontal="left" vertical="center"/>
    </xf>
    <xf numFmtId="14" fontId="5" fillId="0" borderId="9" xfId="0" applyNumberFormat="1" applyFont="1" applyBorder="1" applyAlignment="1">
      <alignment horizontal="left" vertical="center"/>
    </xf>
    <xf numFmtId="0" fontId="5" fillId="0" borderId="0" xfId="0" applyFont="1"/>
    <xf numFmtId="0" fontId="8" fillId="3" borderId="14" xfId="0" applyFont="1" applyFill="1" applyBorder="1" applyAlignment="1">
      <alignment horizontal="center" vertical="center"/>
    </xf>
    <xf numFmtId="166" fontId="8" fillId="3" borderId="17" xfId="0" applyNumberFormat="1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vertical="center" wrapText="1"/>
    </xf>
    <xf numFmtId="166" fontId="9" fillId="4" borderId="24" xfId="0" applyNumberFormat="1" applyFont="1" applyFill="1" applyBorder="1" applyAlignment="1">
      <alignment vertical="center" wrapText="1"/>
    </xf>
    <xf numFmtId="0" fontId="5" fillId="0" borderId="25" xfId="0" applyFont="1" applyBorder="1"/>
    <xf numFmtId="0" fontId="5" fillId="0" borderId="26" xfId="0" applyFont="1" applyBorder="1"/>
    <xf numFmtId="0" fontId="9" fillId="4" borderId="29" xfId="0" applyFont="1" applyFill="1" applyBorder="1" applyAlignment="1">
      <alignment vertical="center" wrapText="1"/>
    </xf>
    <xf numFmtId="166" fontId="11" fillId="4" borderId="24" xfId="0" applyNumberFormat="1" applyFont="1" applyFill="1" applyBorder="1" applyAlignment="1">
      <alignment vertical="center" wrapText="1"/>
    </xf>
    <xf numFmtId="0" fontId="9" fillId="4" borderId="29" xfId="0" applyFont="1" applyFill="1" applyBorder="1" applyAlignment="1">
      <alignment horizontal="left" vertical="center" wrapText="1"/>
    </xf>
    <xf numFmtId="0" fontId="10" fillId="4" borderId="29" xfId="0" applyFont="1" applyFill="1" applyBorder="1" applyAlignment="1">
      <alignment horizontal="right" vertical="center" wrapText="1"/>
    </xf>
    <xf numFmtId="0" fontId="10" fillId="4" borderId="30" xfId="0" applyFont="1" applyFill="1" applyBorder="1" applyAlignment="1">
      <alignment horizontal="right" vertical="center" wrapText="1"/>
    </xf>
    <xf numFmtId="166" fontId="9" fillId="4" borderId="33" xfId="0" applyNumberFormat="1" applyFont="1" applyFill="1" applyBorder="1" applyAlignment="1">
      <alignment vertical="center" wrapText="1"/>
    </xf>
    <xf numFmtId="0" fontId="8" fillId="3" borderId="34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4" borderId="37" xfId="0" applyFont="1" applyFill="1" applyBorder="1" applyAlignment="1">
      <alignment horizontal="left" vertical="center"/>
    </xf>
    <xf numFmtId="167" fontId="11" fillId="4" borderId="38" xfId="0" applyNumberFormat="1" applyFont="1" applyFill="1" applyBorder="1" applyAlignment="1">
      <alignment horizontal="center" vertical="center"/>
    </xf>
    <xf numFmtId="10" fontId="11" fillId="4" borderId="38" xfId="0" applyNumberFormat="1" applyFont="1" applyFill="1" applyBorder="1" applyAlignment="1">
      <alignment horizontal="center" vertical="center"/>
    </xf>
    <xf numFmtId="167" fontId="11" fillId="4" borderId="39" xfId="0" applyNumberFormat="1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left" vertical="center"/>
    </xf>
    <xf numFmtId="167" fontId="11" fillId="5" borderId="38" xfId="0" applyNumberFormat="1" applyFont="1" applyFill="1" applyBorder="1" applyAlignment="1">
      <alignment horizontal="center" vertical="center"/>
    </xf>
    <xf numFmtId="10" fontId="11" fillId="5" borderId="38" xfId="0" applyNumberFormat="1" applyFont="1" applyFill="1" applyBorder="1" applyAlignment="1">
      <alignment horizontal="center" vertical="center"/>
    </xf>
    <xf numFmtId="167" fontId="11" fillId="5" borderId="39" xfId="0" applyNumberFormat="1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left" vertical="center"/>
    </xf>
    <xf numFmtId="168" fontId="8" fillId="3" borderId="41" xfId="0" applyNumberFormat="1" applyFont="1" applyFill="1" applyBorder="1" applyAlignment="1">
      <alignment horizontal="center" vertical="center"/>
    </xf>
    <xf numFmtId="9" fontId="8" fillId="3" borderId="41" xfId="0" applyNumberFormat="1" applyFont="1" applyFill="1" applyBorder="1" applyAlignment="1">
      <alignment horizontal="center" vertical="center"/>
    </xf>
    <xf numFmtId="168" fontId="8" fillId="3" borderId="42" xfId="0" applyNumberFormat="1" applyFont="1" applyFill="1" applyBorder="1" applyAlignment="1">
      <alignment horizontal="center" vertical="center"/>
    </xf>
    <xf numFmtId="0" fontId="8" fillId="3" borderId="43" xfId="0" applyFont="1" applyFill="1" applyBorder="1" applyAlignment="1">
      <alignment horizontal="left" vertical="center"/>
    </xf>
    <xf numFmtId="168" fontId="8" fillId="3" borderId="44" xfId="0" applyNumberFormat="1" applyFont="1" applyFill="1" applyBorder="1" applyAlignment="1">
      <alignment horizontal="left" vertical="center"/>
    </xf>
    <xf numFmtId="169" fontId="12" fillId="3" borderId="44" xfId="0" applyNumberFormat="1" applyFont="1" applyFill="1" applyBorder="1" applyAlignment="1">
      <alignment horizontal="center" vertical="center"/>
    </xf>
    <xf numFmtId="168" fontId="8" fillId="3" borderId="45" xfId="0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13" fillId="6" borderId="34" xfId="0" applyFont="1" applyFill="1" applyBorder="1" applyAlignment="1">
      <alignment vertical="center" wrapText="1"/>
    </xf>
    <xf numFmtId="0" fontId="14" fillId="4" borderId="46" xfId="0" applyFont="1" applyFill="1" applyBorder="1" applyAlignment="1">
      <alignment horizontal="left" vertical="center" wrapText="1"/>
    </xf>
    <xf numFmtId="0" fontId="14" fillId="4" borderId="47" xfId="0" applyFont="1" applyFill="1" applyBorder="1" applyAlignment="1">
      <alignment horizontal="center" vertical="center" wrapText="1"/>
    </xf>
    <xf numFmtId="166" fontId="14" fillId="4" borderId="47" xfId="0" applyNumberFormat="1" applyFont="1" applyFill="1" applyBorder="1" applyAlignment="1">
      <alignment horizontal="left" vertical="center" wrapText="1"/>
    </xf>
    <xf numFmtId="0" fontId="15" fillId="4" borderId="47" xfId="0" applyFont="1" applyFill="1" applyBorder="1" applyAlignment="1">
      <alignment horizontal="center" vertical="center" wrapText="1"/>
    </xf>
    <xf numFmtId="0" fontId="15" fillId="4" borderId="48" xfId="0" applyFont="1" applyFill="1" applyBorder="1" applyAlignment="1">
      <alignment horizontal="center" vertical="center" wrapText="1"/>
    </xf>
    <xf numFmtId="0" fontId="16" fillId="4" borderId="49" xfId="0" applyFont="1" applyFill="1" applyBorder="1"/>
    <xf numFmtId="0" fontId="17" fillId="0" borderId="0" xfId="0" applyFont="1"/>
    <xf numFmtId="0" fontId="13" fillId="6" borderId="40" xfId="0" applyFont="1" applyFill="1" applyBorder="1" applyAlignment="1">
      <alignment vertical="center" wrapText="1"/>
    </xf>
    <xf numFmtId="0" fontId="14" fillId="4" borderId="50" xfId="0" applyFont="1" applyFill="1" applyBorder="1" applyAlignment="1">
      <alignment horizontal="left" vertical="center" wrapText="1"/>
    </xf>
    <xf numFmtId="0" fontId="14" fillId="4" borderId="51" xfId="0" applyFont="1" applyFill="1" applyBorder="1" applyAlignment="1">
      <alignment horizontal="center" vertical="center" wrapText="1"/>
    </xf>
    <xf numFmtId="166" fontId="14" fillId="4" borderId="51" xfId="0" applyNumberFormat="1" applyFont="1" applyFill="1" applyBorder="1" applyAlignment="1">
      <alignment horizontal="left" vertical="center" wrapText="1"/>
    </xf>
    <xf numFmtId="0" fontId="15" fillId="4" borderId="51" xfId="0" applyFont="1" applyFill="1" applyBorder="1" applyAlignment="1">
      <alignment horizontal="center" vertical="center" wrapText="1"/>
    </xf>
    <xf numFmtId="0" fontId="15" fillId="4" borderId="52" xfId="0" applyFont="1" applyFill="1" applyBorder="1" applyAlignment="1">
      <alignment horizontal="center" vertical="center" wrapText="1"/>
    </xf>
    <xf numFmtId="0" fontId="16" fillId="4" borderId="53" xfId="0" applyFont="1" applyFill="1" applyBorder="1"/>
    <xf numFmtId="0" fontId="15" fillId="4" borderId="54" xfId="0" applyFont="1" applyFill="1" applyBorder="1" applyAlignment="1">
      <alignment horizontal="center" vertical="center" wrapText="1"/>
    </xf>
    <xf numFmtId="0" fontId="17" fillId="0" borderId="41" xfId="0" applyFont="1" applyBorder="1" applyAlignment="1">
      <alignment horizontal="center"/>
    </xf>
    <xf numFmtId="0" fontId="15" fillId="4" borderId="61" xfId="0" applyFont="1" applyFill="1" applyBorder="1"/>
    <xf numFmtId="0" fontId="19" fillId="4" borderId="62" xfId="0" applyFont="1" applyFill="1" applyBorder="1" applyAlignment="1">
      <alignment horizontal="center"/>
    </xf>
    <xf numFmtId="166" fontId="19" fillId="4" borderId="62" xfId="0" applyNumberFormat="1" applyFont="1" applyFill="1" applyBorder="1" applyAlignment="1">
      <alignment horizontal="center"/>
    </xf>
    <xf numFmtId="0" fontId="15" fillId="4" borderId="62" xfId="0" applyFont="1" applyFill="1" applyBorder="1" applyAlignment="1">
      <alignment horizontal="center"/>
    </xf>
    <xf numFmtId="0" fontId="19" fillId="4" borderId="63" xfId="0" applyFont="1" applyFill="1" applyBorder="1"/>
    <xf numFmtId="0" fontId="17" fillId="0" borderId="41" xfId="0" applyFont="1" applyBorder="1"/>
    <xf numFmtId="0" fontId="15" fillId="4" borderId="52" xfId="0" applyFont="1" applyFill="1" applyBorder="1"/>
    <xf numFmtId="0" fontId="19" fillId="4" borderId="64" xfId="0" applyFont="1" applyFill="1" applyBorder="1" applyAlignment="1">
      <alignment horizontal="center"/>
    </xf>
    <xf numFmtId="166" fontId="19" fillId="4" borderId="64" xfId="0" applyNumberFormat="1" applyFont="1" applyFill="1" applyBorder="1" applyAlignment="1">
      <alignment horizontal="center"/>
    </xf>
    <xf numFmtId="0" fontId="15" fillId="4" borderId="64" xfId="0" applyFont="1" applyFill="1" applyBorder="1" applyAlignment="1">
      <alignment horizontal="center"/>
    </xf>
    <xf numFmtId="0" fontId="19" fillId="4" borderId="53" xfId="0" applyFont="1" applyFill="1" applyBorder="1"/>
    <xf numFmtId="0" fontId="20" fillId="0" borderId="41" xfId="0" applyFont="1" applyBorder="1"/>
    <xf numFmtId="166" fontId="21" fillId="0" borderId="41" xfId="0" applyNumberFormat="1" applyFont="1" applyBorder="1"/>
    <xf numFmtId="166" fontId="21" fillId="0" borderId="41" xfId="0" applyNumberFormat="1" applyFont="1" applyBorder="1" applyAlignment="1">
      <alignment horizontal="right"/>
    </xf>
    <xf numFmtId="0" fontId="22" fillId="3" borderId="34" xfId="0" applyFont="1" applyFill="1" applyBorder="1" applyAlignment="1">
      <alignment horizontal="center" vertical="center"/>
    </xf>
    <xf numFmtId="0" fontId="22" fillId="3" borderId="35" xfId="0" applyFont="1" applyFill="1" applyBorder="1" applyAlignment="1">
      <alignment horizontal="center" vertical="center" wrapText="1"/>
    </xf>
    <xf numFmtId="166" fontId="22" fillId="3" borderId="36" xfId="0" applyNumberFormat="1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vertical="center" wrapText="1"/>
    </xf>
    <xf numFmtId="166" fontId="15" fillId="4" borderId="67" xfId="0" applyNumberFormat="1" applyFont="1" applyFill="1" applyBorder="1" applyAlignment="1">
      <alignment horizontal="center" vertical="center" wrapText="1"/>
    </xf>
    <xf numFmtId="166" fontId="15" fillId="4" borderId="68" xfId="0" applyNumberFormat="1" applyFont="1" applyFill="1" applyBorder="1" applyAlignment="1">
      <alignment vertical="center" wrapText="1"/>
    </xf>
    <xf numFmtId="0" fontId="15" fillId="4" borderId="52" xfId="0" applyFont="1" applyFill="1" applyBorder="1" applyAlignment="1">
      <alignment horizontal="center"/>
    </xf>
    <xf numFmtId="0" fontId="15" fillId="4" borderId="53" xfId="0" applyFont="1" applyFill="1" applyBorder="1" applyAlignment="1">
      <alignment horizontal="center"/>
    </xf>
    <xf numFmtId="166" fontId="15" fillId="4" borderId="69" xfId="0" applyNumberFormat="1" applyFont="1" applyFill="1" applyBorder="1" applyAlignment="1">
      <alignment vertical="center" wrapText="1"/>
    </xf>
    <xf numFmtId="0" fontId="22" fillId="7" borderId="43" xfId="0" applyFont="1" applyFill="1" applyBorder="1" applyAlignment="1">
      <alignment vertical="center" wrapText="1"/>
    </xf>
    <xf numFmtId="166" fontId="22" fillId="7" borderId="44" xfId="0" applyNumberFormat="1" applyFont="1" applyFill="1" applyBorder="1" applyAlignment="1">
      <alignment horizontal="center" vertical="center" wrapText="1"/>
    </xf>
    <xf numFmtId="166" fontId="22" fillId="7" borderId="45" xfId="0" applyNumberFormat="1" applyFont="1" applyFill="1" applyBorder="1" applyAlignment="1">
      <alignment vertical="center" wrapText="1"/>
    </xf>
    <xf numFmtId="0" fontId="19" fillId="4" borderId="52" xfId="0" applyFont="1" applyFill="1" applyBorder="1"/>
    <xf numFmtId="0" fontId="23" fillId="4" borderId="64" xfId="0" applyFont="1" applyFill="1" applyBorder="1" applyAlignment="1">
      <alignment horizontal="left"/>
    </xf>
    <xf numFmtId="0" fontId="15" fillId="4" borderId="64" xfId="0" applyFont="1" applyFill="1" applyBorder="1" applyAlignment="1">
      <alignment horizontal="left"/>
    </xf>
    <xf numFmtId="0" fontId="15" fillId="4" borderId="54" xfId="0" applyFont="1" applyFill="1" applyBorder="1" applyAlignment="1">
      <alignment horizontal="center"/>
    </xf>
    <xf numFmtId="0" fontId="15" fillId="4" borderId="70" xfId="0" applyFont="1" applyFill="1" applyBorder="1" applyAlignment="1">
      <alignment horizontal="center"/>
    </xf>
    <xf numFmtId="0" fontId="19" fillId="4" borderId="53" xfId="0" applyFont="1" applyFill="1" applyBorder="1" applyAlignment="1">
      <alignment horizontal="left"/>
    </xf>
    <xf numFmtId="0" fontId="22" fillId="3" borderId="71" xfId="0" applyFont="1" applyFill="1" applyBorder="1" applyAlignment="1">
      <alignment horizontal="center" vertical="center"/>
    </xf>
    <xf numFmtId="0" fontId="22" fillId="3" borderId="72" xfId="0" applyFont="1" applyFill="1" applyBorder="1" applyAlignment="1">
      <alignment horizontal="center" vertical="center" wrapText="1"/>
    </xf>
    <xf numFmtId="166" fontId="22" fillId="3" borderId="73" xfId="0" applyNumberFormat="1" applyFont="1" applyFill="1" applyBorder="1" applyAlignment="1">
      <alignment horizontal="center" vertical="center" wrapText="1"/>
    </xf>
    <xf numFmtId="0" fontId="24" fillId="4" borderId="74" xfId="0" applyFont="1" applyFill="1" applyBorder="1" applyAlignment="1">
      <alignment vertical="center" wrapText="1"/>
    </xf>
    <xf numFmtId="166" fontId="24" fillId="4" borderId="75" xfId="0" applyNumberFormat="1" applyFont="1" applyFill="1" applyBorder="1" applyAlignment="1">
      <alignment horizontal="center" vertical="center" wrapText="1"/>
    </xf>
    <xf numFmtId="166" fontId="24" fillId="0" borderId="68" xfId="0" applyNumberFormat="1" applyFont="1" applyBorder="1" applyAlignment="1">
      <alignment vertical="center" wrapText="1"/>
    </xf>
    <xf numFmtId="0" fontId="22" fillId="7" borderId="76" xfId="0" applyFont="1" applyFill="1" applyBorder="1" applyAlignment="1">
      <alignment vertical="center" wrapText="1"/>
    </xf>
    <xf numFmtId="166" fontId="22" fillId="7" borderId="77" xfId="0" applyNumberFormat="1" applyFont="1" applyFill="1" applyBorder="1" applyAlignment="1">
      <alignment horizontal="center" vertical="center" wrapText="1"/>
    </xf>
    <xf numFmtId="166" fontId="22" fillId="7" borderId="78" xfId="0" applyNumberFormat="1" applyFont="1" applyFill="1" applyBorder="1" applyAlignment="1">
      <alignment vertical="center" wrapText="1"/>
    </xf>
    <xf numFmtId="0" fontId="15" fillId="4" borderId="62" xfId="0" applyFont="1" applyFill="1" applyBorder="1" applyAlignment="1">
      <alignment horizontal="left"/>
    </xf>
    <xf numFmtId="0" fontId="19" fillId="4" borderId="63" xfId="0" applyFont="1" applyFill="1" applyBorder="1" applyAlignment="1">
      <alignment horizontal="left"/>
    </xf>
    <xf numFmtId="0" fontId="9" fillId="4" borderId="74" xfId="0" applyFont="1" applyFill="1" applyBorder="1" applyAlignment="1">
      <alignment vertical="center" wrapText="1"/>
    </xf>
    <xf numFmtId="166" fontId="9" fillId="4" borderId="75" xfId="0" applyNumberFormat="1" applyFont="1" applyFill="1" applyBorder="1" applyAlignment="1">
      <alignment horizontal="center" vertical="center" wrapText="1"/>
    </xf>
    <xf numFmtId="166" fontId="9" fillId="4" borderId="68" xfId="0" applyNumberFormat="1" applyFont="1" applyFill="1" applyBorder="1" applyAlignment="1">
      <alignment vertical="center" wrapText="1"/>
    </xf>
    <xf numFmtId="0" fontId="9" fillId="4" borderId="79" xfId="0" applyFont="1" applyFill="1" applyBorder="1" applyAlignment="1">
      <alignment vertical="center" wrapText="1"/>
    </xf>
    <xf numFmtId="166" fontId="9" fillId="4" borderId="80" xfId="0" applyNumberFormat="1" applyFont="1" applyFill="1" applyBorder="1" applyAlignment="1">
      <alignment horizontal="center" vertical="center" wrapText="1"/>
    </xf>
    <xf numFmtId="166" fontId="9" fillId="4" borderId="81" xfId="0" applyNumberFormat="1" applyFont="1" applyFill="1" applyBorder="1" applyAlignment="1">
      <alignment vertical="center" wrapText="1"/>
    </xf>
    <xf numFmtId="0" fontId="8" fillId="7" borderId="40" xfId="0" applyFont="1" applyFill="1" applyBorder="1" applyAlignment="1">
      <alignment vertical="center" wrapText="1"/>
    </xf>
    <xf numFmtId="166" fontId="8" fillId="7" borderId="41" xfId="0" applyNumberFormat="1" applyFont="1" applyFill="1" applyBorder="1" applyAlignment="1">
      <alignment horizontal="center" vertical="center" wrapText="1"/>
    </xf>
    <xf numFmtId="166" fontId="8" fillId="7" borderId="42" xfId="0" applyNumberFormat="1" applyFont="1" applyFill="1" applyBorder="1" applyAlignment="1">
      <alignment vertical="center" wrapText="1"/>
    </xf>
    <xf numFmtId="166" fontId="15" fillId="4" borderId="64" xfId="0" applyNumberFormat="1" applyFont="1" applyFill="1" applyBorder="1" applyAlignment="1">
      <alignment horizontal="center"/>
    </xf>
    <xf numFmtId="0" fontId="15" fillId="4" borderId="53" xfId="0" applyFont="1" applyFill="1" applyBorder="1"/>
    <xf numFmtId="166" fontId="24" fillId="8" borderId="24" xfId="0" applyNumberFormat="1" applyFont="1" applyFill="1" applyBorder="1" applyAlignment="1">
      <alignment vertical="center" wrapText="1"/>
    </xf>
    <xf numFmtId="166" fontId="24" fillId="4" borderId="24" xfId="0" applyNumberFormat="1" applyFont="1" applyFill="1" applyBorder="1" applyAlignment="1">
      <alignment vertical="center" wrapText="1"/>
    </xf>
    <xf numFmtId="0" fontId="22" fillId="7" borderId="79" xfId="0" applyFont="1" applyFill="1" applyBorder="1" applyAlignment="1">
      <alignment vertical="center" wrapText="1"/>
    </xf>
    <xf numFmtId="166" fontId="22" fillId="7" borderId="80" xfId="0" applyNumberFormat="1" applyFont="1" applyFill="1" applyBorder="1" applyAlignment="1">
      <alignment horizontal="center" vertical="center" wrapText="1"/>
    </xf>
    <xf numFmtId="166" fontId="22" fillId="7" borderId="81" xfId="0" applyNumberFormat="1" applyFont="1" applyFill="1" applyBorder="1" applyAlignment="1">
      <alignment vertical="center" wrapText="1"/>
    </xf>
    <xf numFmtId="0" fontId="15" fillId="6" borderId="29" xfId="0" applyFont="1" applyFill="1" applyBorder="1" applyAlignment="1">
      <alignment wrapText="1"/>
    </xf>
    <xf numFmtId="166" fontId="15" fillId="6" borderId="67" xfId="0" applyNumberFormat="1" applyFont="1" applyFill="1" applyBorder="1" applyAlignment="1">
      <alignment horizontal="center" wrapText="1"/>
    </xf>
    <xf numFmtId="166" fontId="24" fillId="6" borderId="24" xfId="0" applyNumberFormat="1" applyFont="1" applyFill="1" applyBorder="1" applyAlignment="1">
      <alignment horizontal="right" wrapText="1"/>
    </xf>
    <xf numFmtId="0" fontId="15" fillId="4" borderId="74" xfId="0" applyFont="1" applyFill="1" applyBorder="1" applyAlignment="1">
      <alignment vertical="center" wrapText="1"/>
    </xf>
    <xf numFmtId="166" fontId="15" fillId="4" borderId="75" xfId="0" applyNumberFormat="1" applyFont="1" applyFill="1" applyBorder="1" applyAlignment="1">
      <alignment horizontal="center" vertical="center" wrapText="1"/>
    </xf>
    <xf numFmtId="166" fontId="15" fillId="4" borderId="81" xfId="0" applyNumberFormat="1" applyFont="1" applyFill="1" applyBorder="1" applyAlignment="1">
      <alignment vertical="center" wrapText="1"/>
    </xf>
    <xf numFmtId="0" fontId="22" fillId="7" borderId="40" xfId="0" applyFont="1" applyFill="1" applyBorder="1" applyAlignment="1">
      <alignment vertical="center" wrapText="1"/>
    </xf>
    <xf numFmtId="166" fontId="22" fillId="7" borderId="41" xfId="0" applyNumberFormat="1" applyFont="1" applyFill="1" applyBorder="1" applyAlignment="1">
      <alignment horizontal="center" vertical="center" wrapText="1"/>
    </xf>
    <xf numFmtId="166" fontId="22" fillId="7" borderId="42" xfId="0" applyNumberFormat="1" applyFont="1" applyFill="1" applyBorder="1" applyAlignment="1">
      <alignment vertical="center" wrapText="1"/>
    </xf>
    <xf numFmtId="0" fontId="15" fillId="4" borderId="79" xfId="0" applyFont="1" applyFill="1" applyBorder="1" applyAlignment="1">
      <alignment vertical="center" wrapText="1"/>
    </xf>
    <xf numFmtId="166" fontId="15" fillId="4" borderId="80" xfId="0" applyNumberFormat="1" applyFont="1" applyFill="1" applyBorder="1" applyAlignment="1">
      <alignment horizontal="center" vertical="center" wrapText="1"/>
    </xf>
    <xf numFmtId="166" fontId="15" fillId="4" borderId="24" xfId="0" applyNumberFormat="1" applyFont="1" applyFill="1" applyBorder="1" applyAlignment="1">
      <alignment vertical="center" wrapText="1"/>
    </xf>
    <xf numFmtId="0" fontId="16" fillId="4" borderId="82" xfId="0" applyFont="1" applyFill="1" applyBorder="1"/>
    <xf numFmtId="0" fontId="16" fillId="4" borderId="83" xfId="0" applyFont="1" applyFill="1" applyBorder="1"/>
    <xf numFmtId="0" fontId="15" fillId="4" borderId="64" xfId="0" applyFont="1" applyFill="1" applyBorder="1" applyAlignment="1">
      <alignment horizontal="center" vertical="center" wrapText="1"/>
    </xf>
    <xf numFmtId="166" fontId="15" fillId="4" borderId="68" xfId="0" applyNumberFormat="1" applyFont="1" applyFill="1" applyBorder="1" applyAlignment="1">
      <alignment horizontal="center" vertical="center" wrapText="1"/>
    </xf>
    <xf numFmtId="166" fontId="15" fillId="9" borderId="81" xfId="0" applyNumberFormat="1" applyFont="1" applyFill="1" applyBorder="1" applyAlignment="1">
      <alignment horizontal="center" vertical="center" wrapText="1"/>
    </xf>
    <xf numFmtId="0" fontId="25" fillId="4" borderId="74" xfId="0" applyFont="1" applyFill="1" applyBorder="1" applyAlignment="1">
      <alignment vertical="center" wrapText="1"/>
    </xf>
    <xf numFmtId="166" fontId="25" fillId="4" borderId="75" xfId="0" applyNumberFormat="1" applyFont="1" applyFill="1" applyBorder="1" applyAlignment="1">
      <alignment horizontal="center" vertical="center" wrapText="1"/>
    </xf>
    <xf numFmtId="166" fontId="25" fillId="4" borderId="68" xfId="0" applyNumberFormat="1" applyFont="1" applyFill="1" applyBorder="1" applyAlignment="1">
      <alignment horizontal="center" vertical="center" wrapText="1"/>
    </xf>
    <xf numFmtId="0" fontId="25" fillId="4" borderId="79" xfId="0" applyFont="1" applyFill="1" applyBorder="1" applyAlignment="1">
      <alignment vertical="center" wrapText="1"/>
    </xf>
    <xf numFmtId="166" fontId="25" fillId="4" borderId="80" xfId="0" applyNumberFormat="1" applyFont="1" applyFill="1" applyBorder="1" applyAlignment="1">
      <alignment horizontal="center" vertical="center" wrapText="1"/>
    </xf>
    <xf numFmtId="166" fontId="25" fillId="4" borderId="81" xfId="0" applyNumberFormat="1" applyFont="1" applyFill="1" applyBorder="1" applyAlignment="1">
      <alignment horizontal="center" vertical="center" wrapText="1"/>
    </xf>
    <xf numFmtId="0" fontId="15" fillId="4" borderId="84" xfId="0" applyFont="1" applyFill="1" applyBorder="1" applyAlignment="1">
      <alignment vertical="center" wrapText="1"/>
    </xf>
    <xf numFmtId="166" fontId="15" fillId="4" borderId="85" xfId="0" applyNumberFormat="1" applyFont="1" applyFill="1" applyBorder="1" applyAlignment="1">
      <alignment horizontal="center" vertical="center" wrapText="1"/>
    </xf>
    <xf numFmtId="166" fontId="15" fillId="4" borderId="69" xfId="0" applyNumberFormat="1" applyFont="1" applyFill="1" applyBorder="1" applyAlignment="1">
      <alignment horizontal="center" vertical="center" wrapText="1"/>
    </xf>
    <xf numFmtId="0" fontId="15" fillId="4" borderId="64" xfId="0" applyFont="1" applyFill="1" applyBorder="1"/>
    <xf numFmtId="166" fontId="15" fillId="4" borderId="24" xfId="0" applyNumberFormat="1" applyFont="1" applyFill="1" applyBorder="1" applyAlignment="1">
      <alignment horizontal="center" vertical="center" wrapText="1"/>
    </xf>
    <xf numFmtId="167" fontId="15" fillId="4" borderId="69" xfId="0" applyNumberFormat="1" applyFont="1" applyFill="1" applyBorder="1" applyAlignment="1">
      <alignment horizontal="center" vertical="center" wrapText="1"/>
    </xf>
    <xf numFmtId="0" fontId="17" fillId="4" borderId="52" xfId="0" applyFont="1" applyFill="1" applyBorder="1"/>
    <xf numFmtId="167" fontId="15" fillId="4" borderId="64" xfId="0" applyNumberFormat="1" applyFont="1" applyFill="1" applyBorder="1"/>
    <xf numFmtId="0" fontId="17" fillId="4" borderId="53" xfId="0" applyFont="1" applyFill="1" applyBorder="1"/>
    <xf numFmtId="0" fontId="15" fillId="4" borderId="86" xfId="0" applyFont="1" applyFill="1" applyBorder="1" applyAlignment="1">
      <alignment vertical="center" wrapText="1"/>
    </xf>
    <xf numFmtId="166" fontId="15" fillId="4" borderId="87" xfId="0" applyNumberFormat="1" applyFont="1" applyFill="1" applyBorder="1" applyAlignment="1">
      <alignment horizontal="center" vertical="center" wrapText="1"/>
    </xf>
    <xf numFmtId="166" fontId="15" fillId="4" borderId="88" xfId="0" applyNumberFormat="1" applyFont="1" applyFill="1" applyBorder="1" applyAlignment="1">
      <alignment horizontal="center" vertical="center" wrapText="1"/>
    </xf>
    <xf numFmtId="0" fontId="22" fillId="3" borderId="36" xfId="0" applyFont="1" applyFill="1" applyBorder="1" applyAlignment="1">
      <alignment horizontal="center" vertical="center" wrapText="1"/>
    </xf>
    <xf numFmtId="0" fontId="15" fillId="4" borderId="30" xfId="0" applyFont="1" applyFill="1" applyBorder="1" applyAlignment="1">
      <alignment vertical="center" wrapText="1"/>
    </xf>
    <xf numFmtId="166" fontId="22" fillId="10" borderId="92" xfId="0" applyNumberFormat="1" applyFont="1" applyFill="1" applyBorder="1" applyAlignment="1">
      <alignment horizontal="center" vertical="center" wrapText="1"/>
    </xf>
    <xf numFmtId="0" fontId="15" fillId="4" borderId="93" xfId="0" applyFont="1" applyFill="1" applyBorder="1" applyAlignment="1">
      <alignment vertical="center" wrapText="1"/>
    </xf>
    <xf numFmtId="166" fontId="15" fillId="4" borderId="94" xfId="0" applyNumberFormat="1" applyFont="1" applyFill="1" applyBorder="1" applyAlignment="1">
      <alignment horizontal="center" vertical="center" wrapText="1"/>
    </xf>
    <xf numFmtId="166" fontId="15" fillId="4" borderId="95" xfId="0" applyNumberFormat="1" applyFont="1" applyFill="1" applyBorder="1" applyAlignment="1">
      <alignment horizontal="center" vertical="center" wrapText="1"/>
    </xf>
    <xf numFmtId="0" fontId="17" fillId="0" borderId="25" xfId="0" applyFont="1" applyBorder="1"/>
    <xf numFmtId="0" fontId="15" fillId="4" borderId="74" xfId="0" applyFont="1" applyFill="1" applyBorder="1" applyAlignment="1">
      <alignment vertical="center"/>
    </xf>
    <xf numFmtId="166" fontId="15" fillId="11" borderId="85" xfId="0" applyNumberFormat="1" applyFont="1" applyFill="1" applyBorder="1" applyAlignment="1">
      <alignment horizontal="center" vertical="center" wrapText="1"/>
    </xf>
    <xf numFmtId="166" fontId="15" fillId="11" borderId="69" xfId="0" applyNumberFormat="1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vertical="center"/>
    </xf>
    <xf numFmtId="0" fontId="15" fillId="4" borderId="93" xfId="0" applyFont="1" applyFill="1" applyBorder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6" fontId="22" fillId="0" borderId="0" xfId="0" applyNumberFormat="1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4" fillId="4" borderId="98" xfId="0" applyFont="1" applyFill="1" applyBorder="1" applyAlignment="1">
      <alignment vertical="center"/>
    </xf>
    <xf numFmtId="0" fontId="5" fillId="4" borderId="99" xfId="0" applyFont="1" applyFill="1" applyBorder="1" applyAlignment="1">
      <alignment vertical="center"/>
    </xf>
    <xf numFmtId="0" fontId="2" fillId="4" borderId="99" xfId="0" applyFont="1" applyFill="1" applyBorder="1" applyAlignment="1">
      <alignment vertical="center"/>
    </xf>
    <xf numFmtId="0" fontId="2" fillId="4" borderId="77" xfId="0" applyFont="1" applyFill="1" applyBorder="1" applyAlignment="1">
      <alignment vertical="center"/>
    </xf>
    <xf numFmtId="0" fontId="4" fillId="4" borderId="101" xfId="0" applyFont="1" applyFill="1" applyBorder="1" applyAlignment="1">
      <alignment vertical="center"/>
    </xf>
    <xf numFmtId="0" fontId="5" fillId="4" borderId="102" xfId="0" applyFont="1" applyFill="1" applyBorder="1" applyAlignment="1">
      <alignment vertical="center"/>
    </xf>
    <xf numFmtId="0" fontId="5" fillId="4" borderId="94" xfId="0" applyFont="1" applyFill="1" applyBorder="1" applyAlignment="1">
      <alignment vertical="center"/>
    </xf>
    <xf numFmtId="165" fontId="5" fillId="4" borderId="104" xfId="0" applyNumberFormat="1" applyFont="1" applyFill="1" applyBorder="1" applyAlignment="1">
      <alignment horizontal="left" vertical="center"/>
    </xf>
    <xf numFmtId="0" fontId="27" fillId="12" borderId="108" xfId="0" applyFont="1" applyFill="1" applyBorder="1" applyAlignment="1">
      <alignment horizontal="center" vertical="center"/>
    </xf>
    <xf numFmtId="0" fontId="27" fillId="12" borderId="108" xfId="0" applyFont="1" applyFill="1" applyBorder="1" applyAlignment="1">
      <alignment horizontal="center" vertical="center" wrapText="1"/>
    </xf>
    <xf numFmtId="0" fontId="27" fillId="12" borderId="109" xfId="0" applyFont="1" applyFill="1" applyBorder="1" applyAlignment="1">
      <alignment horizontal="center" vertical="center" wrapText="1"/>
    </xf>
    <xf numFmtId="4" fontId="27" fillId="12" borderId="108" xfId="0" applyNumberFormat="1" applyFont="1" applyFill="1" applyBorder="1" applyAlignment="1">
      <alignment horizontal="center" vertical="center" wrapText="1"/>
    </xf>
    <xf numFmtId="167" fontId="27" fillId="12" borderId="108" xfId="0" applyNumberFormat="1" applyFont="1" applyFill="1" applyBorder="1" applyAlignment="1">
      <alignment horizontal="center" vertical="center" wrapText="1"/>
    </xf>
    <xf numFmtId="0" fontId="27" fillId="12" borderId="110" xfId="0" applyFont="1" applyFill="1" applyBorder="1" applyAlignment="1">
      <alignment horizontal="center" vertical="center"/>
    </xf>
    <xf numFmtId="4" fontId="21" fillId="13" borderId="111" xfId="0" applyNumberFormat="1" applyFont="1" applyFill="1" applyBorder="1"/>
    <xf numFmtId="4" fontId="28" fillId="13" borderId="112" xfId="0" applyNumberFormat="1" applyFont="1" applyFill="1" applyBorder="1"/>
    <xf numFmtId="4" fontId="21" fillId="13" borderId="112" xfId="0" applyNumberFormat="1" applyFont="1" applyFill="1" applyBorder="1"/>
    <xf numFmtId="4" fontId="28" fillId="13" borderId="112" xfId="0" applyNumberFormat="1" applyFont="1" applyFill="1" applyBorder="1" applyAlignment="1">
      <alignment horizontal="right"/>
    </xf>
    <xf numFmtId="0" fontId="29" fillId="14" borderId="113" xfId="0" applyFont="1" applyFill="1" applyBorder="1" applyAlignment="1">
      <alignment horizontal="center"/>
    </xf>
    <xf numFmtId="0" fontId="29" fillId="14" borderId="113" xfId="0" applyFont="1" applyFill="1" applyBorder="1" applyAlignment="1">
      <alignment wrapText="1"/>
    </xf>
    <xf numFmtId="167" fontId="29" fillId="0" borderId="113" xfId="0" applyNumberFormat="1" applyFont="1" applyBorder="1" applyAlignment="1">
      <alignment horizontal="right"/>
    </xf>
    <xf numFmtId="4" fontId="29" fillId="14" borderId="113" xfId="0" applyNumberFormat="1" applyFont="1" applyFill="1" applyBorder="1" applyAlignment="1">
      <alignment horizontal="center"/>
    </xf>
    <xf numFmtId="167" fontId="29" fillId="14" borderId="113" xfId="0" applyNumberFormat="1" applyFont="1" applyFill="1" applyBorder="1" applyAlignment="1">
      <alignment horizontal="right"/>
    </xf>
    <xf numFmtId="4" fontId="21" fillId="0" borderId="113" xfId="0" applyNumberFormat="1" applyFont="1" applyBorder="1"/>
    <xf numFmtId="4" fontId="30" fillId="0" borderId="113" xfId="0" applyNumberFormat="1" applyFont="1" applyBorder="1" applyAlignment="1">
      <alignment wrapText="1"/>
    </xf>
    <xf numFmtId="0" fontId="29" fillId="14" borderId="108" xfId="0" applyFont="1" applyFill="1" applyBorder="1" applyAlignment="1">
      <alignment horizontal="center"/>
    </xf>
    <xf numFmtId="167" fontId="29" fillId="0" borderId="114" xfId="0" applyNumberFormat="1" applyFont="1" applyBorder="1" applyAlignment="1">
      <alignment horizontal="right"/>
    </xf>
    <xf numFmtId="167" fontId="29" fillId="14" borderId="108" xfId="0" applyNumberFormat="1" applyFont="1" applyFill="1" applyBorder="1" applyAlignment="1">
      <alignment horizontal="right"/>
    </xf>
    <xf numFmtId="4" fontId="30" fillId="0" borderId="114" xfId="0" applyNumberFormat="1" applyFont="1" applyBorder="1" applyAlignment="1">
      <alignment wrapText="1"/>
    </xf>
    <xf numFmtId="4" fontId="21" fillId="14" borderId="113" xfId="0" applyNumberFormat="1" applyFont="1" applyFill="1" applyBorder="1"/>
    <xf numFmtId="0" fontId="29" fillId="14" borderId="113" xfId="0" applyFont="1" applyFill="1" applyBorder="1" applyAlignment="1">
      <alignment vertical="top" wrapText="1"/>
    </xf>
    <xf numFmtId="167" fontId="21" fillId="14" borderId="113" xfId="0" applyNumberFormat="1" applyFont="1" applyFill="1" applyBorder="1"/>
    <xf numFmtId="0" fontId="31" fillId="0" borderId="115" xfId="0" applyFont="1" applyBorder="1" applyAlignment="1">
      <alignment horizontal="left" vertical="center" wrapText="1"/>
    </xf>
    <xf numFmtId="4" fontId="32" fillId="13" borderId="111" xfId="0" applyNumberFormat="1" applyFont="1" applyFill="1" applyBorder="1" applyAlignment="1">
      <alignment vertical="center"/>
    </xf>
    <xf numFmtId="168" fontId="32" fillId="13" borderId="112" xfId="0" applyNumberFormat="1" applyFont="1" applyFill="1" applyBorder="1" applyAlignment="1">
      <alignment vertical="center"/>
    </xf>
    <xf numFmtId="4" fontId="28" fillId="13" borderId="111" xfId="0" applyNumberFormat="1" applyFont="1" applyFill="1" applyBorder="1" applyAlignment="1">
      <alignment vertical="center"/>
    </xf>
    <xf numFmtId="0" fontId="33" fillId="0" borderId="96" xfId="0" applyFont="1" applyBorder="1"/>
    <xf numFmtId="0" fontId="33" fillId="0" borderId="118" xfId="0" applyFont="1" applyBorder="1"/>
    <xf numFmtId="0" fontId="33" fillId="0" borderId="119" xfId="0" applyFont="1" applyBorder="1"/>
    <xf numFmtId="0" fontId="33" fillId="0" borderId="100" xfId="0" applyFont="1" applyBorder="1"/>
    <xf numFmtId="0" fontId="33" fillId="0" borderId="0" xfId="0" applyFont="1"/>
    <xf numFmtId="0" fontId="33" fillId="0" borderId="120" xfId="0" applyFont="1" applyBorder="1"/>
    <xf numFmtId="0" fontId="33" fillId="0" borderId="121" xfId="0" applyFont="1" applyBorder="1"/>
    <xf numFmtId="0" fontId="33" fillId="0" borderId="122" xfId="0" applyFont="1" applyBorder="1"/>
    <xf numFmtId="0" fontId="33" fillId="0" borderId="123" xfId="0" applyFont="1" applyBorder="1"/>
    <xf numFmtId="0" fontId="6" fillId="0" borderId="0" xfId="0" applyFont="1"/>
    <xf numFmtId="0" fontId="32" fillId="0" borderId="96" xfId="0" applyFont="1" applyBorder="1" applyAlignment="1">
      <alignment vertical="center"/>
    </xf>
    <xf numFmtId="0" fontId="32" fillId="0" borderId="118" xfId="0" applyFont="1" applyBorder="1" applyAlignment="1">
      <alignment vertical="center"/>
    </xf>
    <xf numFmtId="0" fontId="6" fillId="0" borderId="118" xfId="0" applyFont="1" applyBorder="1" applyAlignment="1">
      <alignment vertical="center"/>
    </xf>
    <xf numFmtId="0" fontId="32" fillId="0" borderId="118" xfId="0" applyFont="1" applyBorder="1"/>
    <xf numFmtId="0" fontId="6" fillId="0" borderId="118" xfId="0" applyFont="1" applyBorder="1"/>
    <xf numFmtId="0" fontId="6" fillId="0" borderId="118" xfId="0" applyFont="1" applyBorder="1" applyAlignment="1">
      <alignment horizontal="right"/>
    </xf>
    <xf numFmtId="164" fontId="32" fillId="0" borderId="119" xfId="0" quotePrefix="1" applyNumberFormat="1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164" fontId="32" fillId="0" borderId="121" xfId="0" quotePrefix="1" applyNumberFormat="1" applyFont="1" applyBorder="1" applyAlignment="1">
      <alignment horizontal="left" vertical="center"/>
    </xf>
    <xf numFmtId="164" fontId="32" fillId="0" borderId="122" xfId="0" applyNumberFormat="1" applyFont="1" applyBorder="1" applyAlignment="1">
      <alignment horizontal="left" vertical="center"/>
    </xf>
    <xf numFmtId="17" fontId="6" fillId="0" borderId="122" xfId="0" applyNumberFormat="1" applyFont="1" applyBorder="1" applyAlignment="1">
      <alignment horizontal="left" vertical="center"/>
    </xf>
    <xf numFmtId="0" fontId="6" fillId="0" borderId="122" xfId="0" applyFont="1" applyBorder="1" applyAlignment="1">
      <alignment vertical="center"/>
    </xf>
    <xf numFmtId="0" fontId="6" fillId="0" borderId="122" xfId="0" applyFont="1" applyBorder="1" applyAlignment="1">
      <alignment horizontal="right" vertical="center"/>
    </xf>
    <xf numFmtId="17" fontId="6" fillId="0" borderId="122" xfId="0" applyNumberFormat="1" applyFont="1" applyBorder="1" applyAlignment="1">
      <alignment vertical="center"/>
    </xf>
    <xf numFmtId="164" fontId="6" fillId="0" borderId="123" xfId="0" applyNumberFormat="1" applyFont="1" applyBorder="1" applyAlignment="1">
      <alignment horizontal="left" vertical="center"/>
    </xf>
    <xf numFmtId="0" fontId="34" fillId="0" borderId="0" xfId="0" applyFont="1"/>
    <xf numFmtId="170" fontId="36" fillId="0" borderId="0" xfId="0" applyNumberFormat="1" applyFont="1" applyAlignment="1">
      <alignment horizontal="left" vertical="center"/>
    </xf>
    <xf numFmtId="171" fontId="36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49" fontId="8" fillId="12" borderId="77" xfId="0" applyNumberFormat="1" applyFont="1" applyFill="1" applyBorder="1" applyAlignment="1">
      <alignment horizontal="center" vertical="center" wrapText="1"/>
    </xf>
    <xf numFmtId="49" fontId="8" fillId="12" borderId="77" xfId="0" applyNumberFormat="1" applyFont="1" applyFill="1" applyBorder="1" applyAlignment="1">
      <alignment horizontal="center" vertical="center"/>
    </xf>
    <xf numFmtId="49" fontId="37" fillId="12" borderId="77" xfId="0" applyNumberFormat="1" applyFont="1" applyFill="1" applyBorder="1" applyAlignment="1">
      <alignment horizontal="center" vertical="center" wrapText="1"/>
    </xf>
    <xf numFmtId="2" fontId="37" fillId="12" borderId="124" xfId="0" applyNumberFormat="1" applyFont="1" applyFill="1" applyBorder="1" applyAlignment="1">
      <alignment horizontal="center" vertical="center" wrapText="1"/>
    </xf>
    <xf numFmtId="0" fontId="37" fillId="12" borderId="41" xfId="0" applyFont="1" applyFill="1" applyBorder="1" applyAlignment="1">
      <alignment horizontal="center" vertical="center" wrapText="1"/>
    </xf>
    <xf numFmtId="0" fontId="37" fillId="12" borderId="125" xfId="0" applyFont="1" applyFill="1" applyBorder="1" applyAlignment="1">
      <alignment horizontal="center" vertical="center" wrapText="1"/>
    </xf>
    <xf numFmtId="0" fontId="37" fillId="12" borderId="126" xfId="0" applyFont="1" applyFill="1" applyBorder="1" applyAlignment="1">
      <alignment horizontal="center" vertical="center" wrapText="1"/>
    </xf>
    <xf numFmtId="0" fontId="37" fillId="12" borderId="127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49" fontId="11" fillId="0" borderId="128" xfId="0" applyNumberFormat="1" applyFont="1" applyBorder="1" applyAlignment="1">
      <alignment horizontal="left" vertical="center" wrapText="1"/>
    </xf>
    <xf numFmtId="49" fontId="11" fillId="0" borderId="129" xfId="0" applyNumberFormat="1" applyFont="1" applyBorder="1" applyAlignment="1">
      <alignment horizontal="left" vertical="center"/>
    </xf>
    <xf numFmtId="49" fontId="11" fillId="0" borderId="129" xfId="0" applyNumberFormat="1" applyFont="1" applyBorder="1" applyAlignment="1">
      <alignment horizontal="left" vertical="center" wrapText="1"/>
    </xf>
    <xf numFmtId="0" fontId="11" fillId="0" borderId="129" xfId="0" applyFont="1" applyBorder="1" applyAlignment="1">
      <alignment vertical="center"/>
    </xf>
    <xf numFmtId="0" fontId="11" fillId="0" borderId="129" xfId="0" applyFont="1" applyBorder="1" applyAlignment="1">
      <alignment horizontal="center" vertical="center" wrapText="1"/>
    </xf>
    <xf numFmtId="4" fontId="11" fillId="0" borderId="129" xfId="0" applyNumberFormat="1" applyFont="1" applyBorder="1" applyAlignment="1">
      <alignment horizontal="center" vertical="center" wrapText="1"/>
    </xf>
    <xf numFmtId="4" fontId="11" fillId="0" borderId="129" xfId="0" applyNumberFormat="1" applyFont="1" applyBorder="1" applyAlignment="1">
      <alignment horizontal="right" vertical="center" wrapText="1"/>
    </xf>
    <xf numFmtId="4" fontId="11" fillId="0" borderId="129" xfId="0" applyNumberFormat="1" applyFont="1" applyBorder="1" applyAlignment="1">
      <alignment horizontal="left" vertical="center"/>
    </xf>
    <xf numFmtId="4" fontId="11" fillId="0" borderId="130" xfId="0" applyNumberFormat="1" applyFont="1" applyBorder="1" applyAlignment="1">
      <alignment horizontal="center" vertical="center" wrapText="1"/>
    </xf>
    <xf numFmtId="0" fontId="11" fillId="0" borderId="129" xfId="0" applyFont="1" applyBorder="1" applyAlignment="1">
      <alignment horizontal="left" vertical="center"/>
    </xf>
    <xf numFmtId="0" fontId="11" fillId="0" borderId="129" xfId="0" applyFont="1" applyBorder="1"/>
    <xf numFmtId="4" fontId="11" fillId="0" borderId="129" xfId="0" applyNumberFormat="1" applyFont="1" applyBorder="1" applyAlignment="1">
      <alignment horizontal="center" wrapText="1"/>
    </xf>
    <xf numFmtId="4" fontId="38" fillId="0" borderId="130" xfId="0" applyNumberFormat="1" applyFont="1" applyBorder="1" applyAlignment="1">
      <alignment horizontal="center" vertical="center" wrapText="1"/>
    </xf>
    <xf numFmtId="0" fontId="11" fillId="6" borderId="131" xfId="0" applyFont="1" applyFill="1" applyBorder="1"/>
    <xf numFmtId="4" fontId="39" fillId="0" borderId="129" xfId="0" applyNumberFormat="1" applyFont="1" applyBorder="1" applyAlignment="1">
      <alignment horizontal="center" vertical="center" wrapText="1"/>
    </xf>
    <xf numFmtId="10" fontId="11" fillId="0" borderId="0" xfId="0" applyNumberFormat="1" applyFont="1" applyAlignment="1">
      <alignment vertical="center"/>
    </xf>
    <xf numFmtId="14" fontId="11" fillId="0" borderId="0" xfId="0" applyNumberFormat="1" applyFont="1" applyAlignment="1">
      <alignment vertical="center"/>
    </xf>
    <xf numFmtId="4" fontId="12" fillId="2" borderId="132" xfId="0" applyNumberFormat="1" applyFont="1" applyFill="1" applyBorder="1" applyAlignment="1">
      <alignment horizontal="center" wrapText="1"/>
    </xf>
    <xf numFmtId="0" fontId="40" fillId="0" borderId="0" xfId="0" applyFont="1" applyAlignment="1">
      <alignment vertical="center"/>
    </xf>
    <xf numFmtId="49" fontId="8" fillId="7" borderId="64" xfId="0" applyNumberFormat="1" applyFont="1" applyFill="1" applyBorder="1" applyAlignment="1">
      <alignment vertical="center"/>
    </xf>
    <xf numFmtId="0" fontId="8" fillId="7" borderId="64" xfId="0" applyFont="1" applyFill="1" applyBorder="1" applyAlignment="1">
      <alignment vertical="center"/>
    </xf>
    <xf numFmtId="0" fontId="8" fillId="7" borderId="64" xfId="0" applyFont="1" applyFill="1" applyBorder="1" applyAlignment="1">
      <alignment horizontal="center" vertical="center"/>
    </xf>
    <xf numFmtId="4" fontId="8" fillId="7" borderId="64" xfId="0" applyNumberFormat="1" applyFont="1" applyFill="1" applyBorder="1" applyAlignment="1">
      <alignment vertical="center"/>
    </xf>
    <xf numFmtId="49" fontId="40" fillId="0" borderId="0" xfId="0" applyNumberFormat="1" applyFont="1" applyAlignment="1">
      <alignment vertical="center"/>
    </xf>
    <xf numFmtId="49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vertical="center"/>
    </xf>
    <xf numFmtId="172" fontId="42" fillId="0" borderId="0" xfId="0" applyNumberFormat="1" applyFont="1" applyAlignment="1">
      <alignment vertical="center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7" fontId="42" fillId="0" borderId="0" xfId="0" applyNumberFormat="1" applyFont="1" applyAlignment="1">
      <alignment vertical="center"/>
    </xf>
    <xf numFmtId="166" fontId="42" fillId="0" borderId="0" xfId="0" applyNumberFormat="1" applyFont="1" applyAlignment="1">
      <alignment vertical="center"/>
    </xf>
    <xf numFmtId="0" fontId="42" fillId="0" borderId="0" xfId="0" applyFont="1" applyAlignment="1">
      <alignment horizontal="right" vertical="center"/>
    </xf>
    <xf numFmtId="0" fontId="32" fillId="0" borderId="10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2" fillId="0" borderId="0" xfId="0" applyFont="1"/>
    <xf numFmtId="0" fontId="6" fillId="0" borderId="0" xfId="0" applyFont="1" applyAlignment="1">
      <alignment horizontal="right"/>
    </xf>
    <xf numFmtId="164" fontId="32" fillId="0" borderId="120" xfId="0" quotePrefix="1" applyNumberFormat="1" applyFont="1" applyBorder="1" applyAlignment="1">
      <alignment horizontal="left" vertical="center"/>
    </xf>
    <xf numFmtId="0" fontId="43" fillId="0" borderId="0" xfId="0" applyFont="1" applyAlignment="1">
      <alignment horizontal="center" vertical="center"/>
    </xf>
    <xf numFmtId="164" fontId="32" fillId="0" borderId="100" xfId="0" quotePrefix="1" applyNumberFormat="1" applyFont="1" applyBorder="1" applyAlignment="1">
      <alignment horizontal="left" vertical="center"/>
    </xf>
    <xf numFmtId="164" fontId="32" fillId="0" borderId="0" xfId="0" applyNumberFormat="1" applyFont="1" applyAlignment="1">
      <alignment horizontal="left" vertical="center"/>
    </xf>
    <xf numFmtId="17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7" fontId="6" fillId="0" borderId="0" xfId="0" applyNumberFormat="1" applyFont="1" applyAlignment="1">
      <alignment vertical="center"/>
    </xf>
    <xf numFmtId="164" fontId="6" fillId="0" borderId="120" xfId="0" applyNumberFormat="1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3" fontId="11" fillId="0" borderId="129" xfId="0" applyNumberFormat="1" applyFont="1" applyBorder="1"/>
    <xf numFmtId="3" fontId="11" fillId="0" borderId="129" xfId="0" applyNumberFormat="1" applyFont="1" applyBorder="1" applyAlignment="1">
      <alignment vertical="center"/>
    </xf>
    <xf numFmtId="4" fontId="11" fillId="0" borderId="0" xfId="0" applyNumberFormat="1" applyFont="1" applyAlignment="1">
      <alignment horizontal="center" vertical="center"/>
    </xf>
    <xf numFmtId="4" fontId="39" fillId="0" borderId="129" xfId="0" applyNumberFormat="1" applyFont="1" applyBorder="1" applyAlignment="1">
      <alignment horizontal="left" vertical="center"/>
    </xf>
    <xf numFmtId="0" fontId="11" fillId="0" borderId="129" xfId="0" applyFont="1" applyBorder="1" applyAlignment="1">
      <alignment vertical="center" wrapText="1"/>
    </xf>
    <xf numFmtId="0" fontId="11" fillId="4" borderId="131" xfId="0" applyFont="1" applyFill="1" applyBorder="1" applyAlignment="1">
      <alignment vertical="center"/>
    </xf>
    <xf numFmtId="0" fontId="44" fillId="4" borderId="131" xfId="0" applyFont="1" applyFill="1" applyBorder="1" applyAlignment="1">
      <alignment vertical="center"/>
    </xf>
    <xf numFmtId="4" fontId="11" fillId="4" borderId="131" xfId="0" applyNumberFormat="1" applyFont="1" applyFill="1" applyBorder="1" applyAlignment="1">
      <alignment horizontal="center" vertical="center" wrapText="1"/>
    </xf>
    <xf numFmtId="3" fontId="45" fillId="0" borderId="113" xfId="0" applyNumberFormat="1" applyFont="1" applyBorder="1"/>
    <xf numFmtId="0" fontId="46" fillId="0" borderId="0" xfId="0" applyFont="1"/>
    <xf numFmtId="0" fontId="46" fillId="0" borderId="0" xfId="0" applyFont="1" applyAlignment="1">
      <alignment horizontal="center"/>
    </xf>
    <xf numFmtId="173" fontId="47" fillId="0" borderId="0" xfId="0" applyNumberFormat="1" applyFont="1" applyAlignment="1">
      <alignment horizontal="center"/>
    </xf>
    <xf numFmtId="166" fontId="47" fillId="0" borderId="0" xfId="0" applyNumberFormat="1" applyFont="1" applyAlignment="1">
      <alignment horizontal="center"/>
    </xf>
    <xf numFmtId="3" fontId="48" fillId="17" borderId="113" xfId="0" applyNumberFormat="1" applyFont="1" applyFill="1" applyBorder="1"/>
    <xf numFmtId="3" fontId="21" fillId="17" borderId="113" xfId="0" applyNumberFormat="1" applyFont="1" applyFill="1" applyBorder="1"/>
    <xf numFmtId="166" fontId="41" fillId="17" borderId="113" xfId="0" applyNumberFormat="1" applyFont="1" applyFill="1" applyBorder="1"/>
    <xf numFmtId="3" fontId="45" fillId="18" borderId="113" xfId="0" applyNumberFormat="1" applyFont="1" applyFill="1" applyBorder="1"/>
    <xf numFmtId="3" fontId="45" fillId="0" borderId="113" xfId="0" applyNumberFormat="1" applyFont="1" applyBorder="1" applyAlignment="1">
      <alignment horizontal="center"/>
    </xf>
    <xf numFmtId="3" fontId="21" fillId="0" borderId="113" xfId="0" applyNumberFormat="1" applyFont="1" applyBorder="1"/>
    <xf numFmtId="166" fontId="41" fillId="0" borderId="113" xfId="0" applyNumberFormat="1" applyFont="1" applyBorder="1"/>
    <xf numFmtId="173" fontId="45" fillId="0" borderId="113" xfId="0" applyNumberFormat="1" applyFont="1" applyBorder="1"/>
    <xf numFmtId="166" fontId="41" fillId="0" borderId="113" xfId="0" applyNumberFormat="1" applyFont="1" applyBorder="1" applyAlignment="1">
      <alignment horizontal="center"/>
    </xf>
    <xf numFmtId="3" fontId="45" fillId="18" borderId="113" xfId="0" applyNumberFormat="1" applyFont="1" applyFill="1" applyBorder="1" applyAlignment="1">
      <alignment horizontal="center"/>
    </xf>
    <xf numFmtId="3" fontId="21" fillId="18" borderId="113" xfId="0" applyNumberFormat="1" applyFont="1" applyFill="1" applyBorder="1"/>
    <xf numFmtId="166" fontId="41" fillId="18" borderId="113" xfId="0" applyNumberFormat="1" applyFont="1" applyFill="1" applyBorder="1"/>
    <xf numFmtId="166" fontId="21" fillId="17" borderId="113" xfId="0" applyNumberFormat="1" applyFont="1" applyFill="1" applyBorder="1"/>
    <xf numFmtId="3" fontId="50" fillId="0" borderId="113" xfId="0" applyNumberFormat="1" applyFont="1" applyBorder="1"/>
    <xf numFmtId="173" fontId="45" fillId="18" borderId="113" xfId="0" applyNumberFormat="1" applyFont="1" applyFill="1" applyBorder="1"/>
    <xf numFmtId="166" fontId="41" fillId="18" borderId="113" xfId="0" applyNumberFormat="1" applyFont="1" applyFill="1" applyBorder="1" applyAlignment="1">
      <alignment horizontal="center"/>
    </xf>
    <xf numFmtId="3" fontId="51" fillId="17" borderId="113" xfId="0" applyNumberFormat="1" applyFont="1" applyFill="1" applyBorder="1"/>
    <xf numFmtId="173" fontId="21" fillId="0" borderId="113" xfId="0" applyNumberFormat="1" applyFont="1" applyBorder="1"/>
    <xf numFmtId="3" fontId="48" fillId="18" borderId="113" xfId="0" applyNumberFormat="1" applyFont="1" applyFill="1" applyBorder="1" applyAlignment="1">
      <alignment horizontal="right"/>
    </xf>
    <xf numFmtId="173" fontId="49" fillId="0" borderId="113" xfId="0" applyNumberFormat="1" applyFont="1" applyBorder="1"/>
    <xf numFmtId="166" fontId="49" fillId="0" borderId="113" xfId="0" applyNumberFormat="1" applyFont="1" applyBorder="1"/>
    <xf numFmtId="166" fontId="41" fillId="0" borderId="113" xfId="0" applyNumberFormat="1" applyFont="1" applyBorder="1" applyAlignment="1">
      <alignment horizontal="right"/>
    </xf>
    <xf numFmtId="0" fontId="49" fillId="0" borderId="0" xfId="0" applyFont="1"/>
    <xf numFmtId="3" fontId="48" fillId="17" borderId="113" xfId="0" applyNumberFormat="1" applyFont="1" applyFill="1" applyBorder="1" applyAlignment="1">
      <alignment horizontal="right"/>
    </xf>
    <xf numFmtId="173" fontId="45" fillId="0" borderId="113" xfId="0" applyNumberFormat="1" applyFont="1" applyBorder="1" applyAlignment="1">
      <alignment horizontal="right"/>
    </xf>
    <xf numFmtId="0" fontId="52" fillId="0" borderId="0" xfId="0" applyFont="1"/>
    <xf numFmtId="0" fontId="17" fillId="0" borderId="0" xfId="0" applyFont="1" applyAlignment="1">
      <alignment horizontal="center"/>
    </xf>
    <xf numFmtId="0" fontId="21" fillId="0" borderId="0" xfId="0" applyFont="1"/>
    <xf numFmtId="2" fontId="21" fillId="0" borderId="0" xfId="0" applyNumberFormat="1" applyFont="1"/>
    <xf numFmtId="167" fontId="21" fillId="0" borderId="0" xfId="0" applyNumberFormat="1" applyFont="1"/>
    <xf numFmtId="0" fontId="21" fillId="0" borderId="133" xfId="0" applyFont="1" applyBorder="1"/>
    <xf numFmtId="0" fontId="47" fillId="0" borderId="3" xfId="0" applyFont="1" applyBorder="1"/>
    <xf numFmtId="0" fontId="21" fillId="0" borderId="4" xfId="0" applyFont="1" applyBorder="1"/>
    <xf numFmtId="0" fontId="21" fillId="0" borderId="119" xfId="0" applyFont="1" applyBorder="1"/>
    <xf numFmtId="0" fontId="21" fillId="0" borderId="134" xfId="0" applyFont="1" applyBorder="1"/>
    <xf numFmtId="164" fontId="53" fillId="0" borderId="7" xfId="0" quotePrefix="1" applyNumberFormat="1" applyFont="1" applyBorder="1"/>
    <xf numFmtId="0" fontId="21" fillId="0" borderId="120" xfId="0" applyFont="1" applyBorder="1"/>
    <xf numFmtId="17" fontId="21" fillId="0" borderId="135" xfId="0" applyNumberFormat="1" applyFont="1" applyBorder="1"/>
    <xf numFmtId="17" fontId="21" fillId="0" borderId="4" xfId="0" applyNumberFormat="1" applyFont="1" applyBorder="1"/>
    <xf numFmtId="17" fontId="21" fillId="0" borderId="0" xfId="0" applyNumberFormat="1" applyFont="1"/>
    <xf numFmtId="14" fontId="21" fillId="0" borderId="123" xfId="0" applyNumberFormat="1" applyFont="1" applyBorder="1"/>
    <xf numFmtId="0" fontId="55" fillId="12" borderId="64" xfId="0" applyFont="1" applyFill="1" applyBorder="1" applyAlignment="1">
      <alignment horizontal="center" wrapText="1"/>
    </xf>
    <xf numFmtId="0" fontId="55" fillId="12" borderId="127" xfId="0" applyFont="1" applyFill="1" applyBorder="1" applyAlignment="1">
      <alignment horizontal="center" wrapText="1"/>
    </xf>
    <xf numFmtId="4" fontId="21" fillId="12" borderId="149" xfId="0" applyNumberFormat="1" applyFont="1" applyFill="1" applyBorder="1"/>
    <xf numFmtId="0" fontId="55" fillId="12" borderId="62" xfId="0" applyFont="1" applyFill="1" applyBorder="1" applyAlignment="1">
      <alignment horizontal="center" wrapText="1"/>
    </xf>
    <xf numFmtId="0" fontId="55" fillId="12" borderId="152" xfId="0" applyFont="1" applyFill="1" applyBorder="1" applyAlignment="1">
      <alignment horizontal="center" wrapText="1"/>
    </xf>
    <xf numFmtId="0" fontId="55" fillId="12" borderId="94" xfId="0" applyFont="1" applyFill="1" applyBorder="1" applyAlignment="1">
      <alignment horizontal="center" wrapText="1"/>
    </xf>
    <xf numFmtId="0" fontId="55" fillId="12" borderId="77" xfId="0" applyFont="1" applyFill="1" applyBorder="1" applyAlignment="1">
      <alignment horizontal="center" wrapText="1"/>
    </xf>
    <xf numFmtId="174" fontId="56" fillId="12" borderId="77" xfId="0" applyNumberFormat="1" applyFont="1" applyFill="1" applyBorder="1" applyAlignment="1">
      <alignment horizontal="center"/>
    </xf>
    <xf numFmtId="4" fontId="55" fillId="12" borderId="64" xfId="0" applyNumberFormat="1" applyFont="1" applyFill="1" applyBorder="1" applyAlignment="1">
      <alignment horizontal="center" wrapText="1"/>
    </xf>
    <xf numFmtId="4" fontId="57" fillId="13" borderId="64" xfId="0" applyNumberFormat="1" applyFont="1" applyFill="1" applyBorder="1"/>
    <xf numFmtId="4" fontId="21" fillId="13" borderId="64" xfId="0" applyNumberFormat="1" applyFont="1" applyFill="1" applyBorder="1"/>
    <xf numFmtId="0" fontId="53" fillId="6" borderId="153" xfId="0" quotePrefix="1" applyFont="1" applyFill="1" applyBorder="1" applyAlignment="1">
      <alignment wrapText="1"/>
    </xf>
    <xf numFmtId="0" fontId="53" fillId="6" borderId="153" xfId="0" applyFont="1" applyFill="1" applyBorder="1" applyAlignment="1">
      <alignment wrapText="1"/>
    </xf>
    <xf numFmtId="3" fontId="53" fillId="6" borderId="153" xfId="0" applyNumberFormat="1" applyFont="1" applyFill="1" applyBorder="1" applyAlignment="1">
      <alignment horizontal="center" wrapText="1"/>
    </xf>
    <xf numFmtId="4" fontId="21" fillId="0" borderId="153" xfId="0" applyNumberFormat="1" applyFont="1" applyBorder="1"/>
    <xf numFmtId="165" fontId="21" fillId="0" borderId="153" xfId="0" applyNumberFormat="1" applyFont="1" applyBorder="1"/>
    <xf numFmtId="4" fontId="53" fillId="13" borderId="153" xfId="0" applyNumberFormat="1" applyFont="1" applyFill="1" applyBorder="1" applyAlignment="1">
      <alignment horizontal="right" wrapText="1"/>
    </xf>
    <xf numFmtId="4" fontId="53" fillId="13" borderId="154" xfId="0" applyNumberFormat="1" applyFont="1" applyFill="1" applyBorder="1" applyAlignment="1">
      <alignment horizontal="right" wrapText="1"/>
    </xf>
    <xf numFmtId="4" fontId="58" fillId="0" borderId="155" xfId="0" applyNumberFormat="1" applyFont="1" applyBorder="1" applyAlignment="1">
      <alignment wrapText="1"/>
    </xf>
    <xf numFmtId="0" fontId="59" fillId="13" borderId="156" xfId="0" applyFont="1" applyFill="1" applyBorder="1"/>
    <xf numFmtId="0" fontId="59" fillId="13" borderId="157" xfId="0" applyFont="1" applyFill="1" applyBorder="1"/>
    <xf numFmtId="4" fontId="59" fillId="13" borderId="157" xfId="0" applyNumberFormat="1" applyFont="1" applyFill="1" applyBorder="1" applyAlignment="1">
      <alignment horizontal="right"/>
    </xf>
    <xf numFmtId="3" fontId="21" fillId="13" borderId="157" xfId="0" applyNumberFormat="1" applyFont="1" applyFill="1" applyBorder="1"/>
    <xf numFmtId="0" fontId="21" fillId="13" borderId="157" xfId="0" applyFont="1" applyFill="1" applyBorder="1"/>
    <xf numFmtId="4" fontId="21" fillId="13" borderId="157" xfId="0" applyNumberFormat="1" applyFont="1" applyFill="1" applyBorder="1"/>
    <xf numFmtId="0" fontId="59" fillId="6" borderId="64" xfId="0" applyFont="1" applyFill="1" applyBorder="1"/>
    <xf numFmtId="0" fontId="21" fillId="0" borderId="158" xfId="0" applyFont="1" applyBorder="1"/>
    <xf numFmtId="0" fontId="60" fillId="6" borderId="64" xfId="0" applyFont="1" applyFill="1" applyBorder="1"/>
    <xf numFmtId="0" fontId="36" fillId="6" borderId="64" xfId="0" applyFont="1" applyFill="1" applyBorder="1" applyAlignment="1">
      <alignment horizontal="center"/>
    </xf>
    <xf numFmtId="4" fontId="59" fillId="13" borderId="159" xfId="0" applyNumberFormat="1" applyFont="1" applyFill="1" applyBorder="1" applyAlignment="1">
      <alignment horizontal="right"/>
    </xf>
    <xf numFmtId="0" fontId="21" fillId="6" borderId="64" xfId="0" applyFont="1" applyFill="1" applyBorder="1"/>
    <xf numFmtId="4" fontId="59" fillId="13" borderId="64" xfId="0" applyNumberFormat="1" applyFont="1" applyFill="1" applyBorder="1" applyAlignment="1">
      <alignment horizontal="right"/>
    </xf>
    <xf numFmtId="0" fontId="58" fillId="6" borderId="64" xfId="0" applyFont="1" applyFill="1" applyBorder="1"/>
    <xf numFmtId="0" fontId="61" fillId="0" borderId="0" xfId="0" applyFont="1"/>
    <xf numFmtId="0" fontId="5" fillId="0" borderId="16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62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7" fontId="5" fillId="0" borderId="8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17" fontId="5" fillId="0" borderId="4" xfId="0" applyNumberFormat="1" applyFont="1" applyBorder="1" applyAlignment="1">
      <alignment horizontal="left" vertical="center"/>
    </xf>
    <xf numFmtId="165" fontId="5" fillId="0" borderId="4" xfId="0" applyNumberFormat="1" applyFont="1" applyBorder="1" applyAlignment="1">
      <alignment horizontal="left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4" xfId="0" applyFont="1" applyBorder="1" applyAlignment="1">
      <alignment horizontal="right" vertical="center"/>
    </xf>
    <xf numFmtId="14" fontId="5" fillId="0" borderId="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17" fontId="63" fillId="2" borderId="101" xfId="0" applyNumberFormat="1" applyFont="1" applyFill="1" applyBorder="1" applyAlignment="1">
      <alignment vertical="center"/>
    </xf>
    <xf numFmtId="17" fontId="63" fillId="2" borderId="102" xfId="0" applyNumberFormat="1" applyFont="1" applyFill="1" applyBorder="1" applyAlignment="1">
      <alignment vertical="center"/>
    </xf>
    <xf numFmtId="17" fontId="63" fillId="2" borderId="161" xfId="0" applyNumberFormat="1" applyFont="1" applyFill="1" applyBorder="1" applyAlignment="1">
      <alignment vertical="center"/>
    </xf>
    <xf numFmtId="0" fontId="37" fillId="12" borderId="94" xfId="0" applyFont="1" applyFill="1" applyBorder="1" applyAlignment="1">
      <alignment horizontal="center" vertical="center"/>
    </xf>
    <xf numFmtId="0" fontId="37" fillId="12" borderId="163" xfId="0" applyFont="1" applyFill="1" applyBorder="1" applyAlignment="1">
      <alignment horizontal="center" vertical="center" wrapText="1"/>
    </xf>
    <xf numFmtId="0" fontId="37" fillId="12" borderId="94" xfId="0" applyFont="1" applyFill="1" applyBorder="1" applyAlignment="1">
      <alignment horizontal="center" vertical="center" wrapText="1"/>
    </xf>
    <xf numFmtId="0" fontId="37" fillId="12" borderId="163" xfId="0" applyFont="1" applyFill="1" applyBorder="1" applyAlignment="1">
      <alignment horizontal="center" vertical="center"/>
    </xf>
    <xf numFmtId="0" fontId="37" fillId="12" borderId="164" xfId="0" applyFont="1" applyFill="1" applyBorder="1" applyAlignment="1">
      <alignment horizontal="center" vertical="center" wrapText="1"/>
    </xf>
    <xf numFmtId="0" fontId="41" fillId="6" borderId="64" xfId="0" applyFont="1" applyFill="1" applyBorder="1" applyAlignment="1">
      <alignment vertical="center"/>
    </xf>
    <xf numFmtId="166" fontId="42" fillId="6" borderId="41" xfId="0" applyNumberFormat="1" applyFont="1" applyFill="1" applyBorder="1" applyAlignment="1">
      <alignment vertical="center"/>
    </xf>
    <xf numFmtId="166" fontId="21" fillId="6" borderId="41" xfId="0" applyNumberFormat="1" applyFont="1" applyFill="1" applyBorder="1"/>
    <xf numFmtId="166" fontId="42" fillId="6" borderId="41" xfId="0" applyNumberFormat="1" applyFont="1" applyFill="1" applyBorder="1" applyAlignment="1">
      <alignment horizontal="right"/>
    </xf>
    <xf numFmtId="0" fontId="65" fillId="12" borderId="127" xfId="0" applyFont="1" applyFill="1" applyBorder="1" applyAlignment="1">
      <alignment horizontal="center"/>
    </xf>
    <xf numFmtId="0" fontId="21" fillId="12" borderId="64" xfId="0" applyFont="1" applyFill="1" applyBorder="1"/>
    <xf numFmtId="0" fontId="21" fillId="12" borderId="152" xfId="0" applyFont="1" applyFill="1" applyBorder="1"/>
    <xf numFmtId="0" fontId="65" fillId="12" borderId="94" xfId="0" applyFont="1" applyFill="1" applyBorder="1"/>
    <xf numFmtId="0" fontId="66" fillId="12" borderId="50" xfId="0" applyFont="1" applyFill="1" applyBorder="1"/>
    <xf numFmtId="0" fontId="41" fillId="0" borderId="0" xfId="0" applyFont="1"/>
    <xf numFmtId="0" fontId="21" fillId="12" borderId="94" xfId="0" applyFont="1" applyFill="1" applyBorder="1"/>
    <xf numFmtId="0" fontId="65" fillId="12" borderId="77" xfId="0" applyFont="1" applyFill="1" applyBorder="1" applyAlignment="1">
      <alignment horizontal="center"/>
    </xf>
    <xf numFmtId="0" fontId="67" fillId="12" borderId="94" xfId="0" applyFont="1" applyFill="1" applyBorder="1" applyAlignment="1">
      <alignment horizontal="center"/>
    </xf>
    <xf numFmtId="0" fontId="67" fillId="12" borderId="77" xfId="0" applyFont="1" applyFill="1" applyBorder="1" applyAlignment="1">
      <alignment horizontal="center"/>
    </xf>
    <xf numFmtId="0" fontId="66" fillId="12" borderId="77" xfId="0" applyFont="1" applyFill="1" applyBorder="1" applyAlignment="1">
      <alignment horizontal="center"/>
    </xf>
    <xf numFmtId="0" fontId="21" fillId="12" borderId="173" xfId="0" applyFont="1" applyFill="1" applyBorder="1"/>
    <xf numFmtId="0" fontId="65" fillId="12" borderId="152" xfId="0" applyFont="1" applyFill="1" applyBorder="1" applyAlignment="1">
      <alignment horizontal="center"/>
    </xf>
    <xf numFmtId="0" fontId="65" fillId="12" borderId="94" xfId="0" applyFont="1" applyFill="1" applyBorder="1" applyAlignment="1">
      <alignment horizontal="center"/>
    </xf>
    <xf numFmtId="0" fontId="67" fillId="12" borderId="104" xfId="0" applyFont="1" applyFill="1" applyBorder="1" applyAlignment="1">
      <alignment horizontal="center" wrapText="1"/>
    </xf>
    <xf numFmtId="0" fontId="67" fillId="12" borderId="41" xfId="0" applyFont="1" applyFill="1" applyBorder="1" applyAlignment="1">
      <alignment horizontal="center" wrapText="1"/>
    </xf>
    <xf numFmtId="0" fontId="21" fillId="12" borderId="104" xfId="0" applyFont="1" applyFill="1" applyBorder="1"/>
    <xf numFmtId="4" fontId="28" fillId="13" borderId="62" xfId="0" applyNumberFormat="1" applyFont="1" applyFill="1" applyBorder="1"/>
    <xf numFmtId="4" fontId="21" fillId="13" borderId="62" xfId="0" applyNumberFormat="1" applyFont="1" applyFill="1" applyBorder="1"/>
    <xf numFmtId="4" fontId="21" fillId="13" borderId="174" xfId="0" applyNumberFormat="1" applyFont="1" applyFill="1" applyBorder="1"/>
    <xf numFmtId="4" fontId="28" fillId="13" borderId="131" xfId="0" applyNumberFormat="1" applyFont="1" applyFill="1" applyBorder="1" applyAlignment="1">
      <alignment horizontal="center"/>
    </xf>
    <xf numFmtId="0" fontId="6" fillId="0" borderId="155" xfId="0" applyFont="1" applyBorder="1"/>
    <xf numFmtId="3" fontId="6" fillId="0" borderId="175" xfId="0" applyNumberFormat="1" applyFont="1" applyBorder="1" applyAlignment="1">
      <alignment horizontal="center" wrapText="1"/>
    </xf>
    <xf numFmtId="4" fontId="6" fillId="0" borderId="175" xfId="0" applyNumberFormat="1" applyFont="1" applyBorder="1" applyAlignment="1">
      <alignment horizontal="right" wrapText="1"/>
    </xf>
    <xf numFmtId="4" fontId="6" fillId="13" borderId="176" xfId="0" applyNumberFormat="1" applyFont="1" applyFill="1" applyBorder="1" applyAlignment="1">
      <alignment horizontal="right"/>
    </xf>
    <xf numFmtId="4" fontId="21" fillId="13" borderId="177" xfId="0" applyNumberFormat="1" applyFont="1" applyFill="1" applyBorder="1"/>
    <xf numFmtId="4" fontId="6" fillId="6" borderId="153" xfId="0" applyNumberFormat="1" applyFont="1" applyFill="1" applyBorder="1" applyAlignment="1">
      <alignment horizontal="center"/>
    </xf>
    <xf numFmtId="4" fontId="21" fillId="13" borderId="176" xfId="0" applyNumberFormat="1" applyFont="1" applyFill="1" applyBorder="1"/>
    <xf numFmtId="4" fontId="6" fillId="13" borderId="176" xfId="0" applyNumberFormat="1" applyFont="1" applyFill="1" applyBorder="1" applyAlignment="1">
      <alignment horizontal="right" wrapText="1"/>
    </xf>
    <xf numFmtId="4" fontId="6" fillId="13" borderId="177" xfId="0" applyNumberFormat="1" applyFont="1" applyFill="1" applyBorder="1" applyAlignment="1">
      <alignment horizontal="right"/>
    </xf>
    <xf numFmtId="3" fontId="68" fillId="6" borderId="178" xfId="0" applyNumberFormat="1" applyFont="1" applyFill="1" applyBorder="1" applyAlignment="1">
      <alignment horizontal="center"/>
    </xf>
    <xf numFmtId="0" fontId="21" fillId="6" borderId="179" xfId="0" applyFont="1" applyFill="1" applyBorder="1"/>
    <xf numFmtId="3" fontId="6" fillId="0" borderId="153" xfId="0" applyNumberFormat="1" applyFont="1" applyBorder="1" applyAlignment="1">
      <alignment horizontal="center" wrapText="1"/>
    </xf>
    <xf numFmtId="4" fontId="6" fillId="0" borderId="153" xfId="0" applyNumberFormat="1" applyFont="1" applyBorder="1" applyAlignment="1">
      <alignment horizontal="right" wrapText="1"/>
    </xf>
    <xf numFmtId="4" fontId="21" fillId="13" borderId="153" xfId="0" applyNumberFormat="1" applyFont="1" applyFill="1" applyBorder="1"/>
    <xf numFmtId="4" fontId="6" fillId="13" borderId="153" xfId="0" applyNumberFormat="1" applyFont="1" applyFill="1" applyBorder="1" applyAlignment="1">
      <alignment horizontal="right"/>
    </xf>
    <xf numFmtId="4" fontId="6" fillId="6" borderId="176" xfId="0" applyNumberFormat="1" applyFont="1" applyFill="1" applyBorder="1" applyAlignment="1">
      <alignment horizontal="right" wrapText="1"/>
    </xf>
    <xf numFmtId="4" fontId="6" fillId="0" borderId="180" xfId="0" applyNumberFormat="1" applyFont="1" applyBorder="1" applyAlignment="1">
      <alignment horizontal="right" wrapText="1"/>
    </xf>
    <xf numFmtId="0" fontId="21" fillId="0" borderId="155" xfId="0" applyFont="1" applyBorder="1"/>
    <xf numFmtId="3" fontId="21" fillId="0" borderId="153" xfId="0" applyNumberFormat="1" applyFont="1" applyBorder="1"/>
    <xf numFmtId="0" fontId="32" fillId="13" borderId="157" xfId="0" applyFont="1" applyFill="1" applyBorder="1"/>
    <xf numFmtId="175" fontId="21" fillId="13" borderId="157" xfId="0" applyNumberFormat="1" applyFont="1" applyFill="1" applyBorder="1"/>
    <xf numFmtId="4" fontId="32" fillId="13" borderId="157" xfId="0" applyNumberFormat="1" applyFont="1" applyFill="1" applyBorder="1" applyAlignment="1">
      <alignment horizontal="right"/>
    </xf>
    <xf numFmtId="4" fontId="21" fillId="13" borderId="181" xfId="0" applyNumberFormat="1" applyFont="1" applyFill="1" applyBorder="1"/>
    <xf numFmtId="0" fontId="21" fillId="12" borderId="77" xfId="0" applyFont="1" applyFill="1" applyBorder="1"/>
    <xf numFmtId="0" fontId="65" fillId="12" borderId="104" xfId="0" applyFont="1" applyFill="1" applyBorder="1" applyAlignment="1">
      <alignment horizontal="center" wrapText="1"/>
    </xf>
    <xf numFmtId="0" fontId="67" fillId="12" borderId="50" xfId="0" applyFont="1" applyFill="1" applyBorder="1" applyAlignment="1">
      <alignment horizontal="center"/>
    </xf>
    <xf numFmtId="0" fontId="21" fillId="12" borderId="51" xfId="0" applyFont="1" applyFill="1" applyBorder="1"/>
    <xf numFmtId="15" fontId="21" fillId="12" borderId="125" xfId="0" applyNumberFormat="1" applyFont="1" applyFill="1" applyBorder="1"/>
    <xf numFmtId="0" fontId="65" fillId="12" borderId="41" xfId="0" applyFont="1" applyFill="1" applyBorder="1" applyAlignment="1">
      <alignment horizontal="center"/>
    </xf>
    <xf numFmtId="4" fontId="21" fillId="12" borderId="173" xfId="0" applyNumberFormat="1" applyFont="1" applyFill="1" applyBorder="1"/>
    <xf numFmtId="4" fontId="21" fillId="12" borderId="104" xfId="0" applyNumberFormat="1" applyFont="1" applyFill="1" applyBorder="1"/>
    <xf numFmtId="4" fontId="65" fillId="12" borderId="77" xfId="0" applyNumberFormat="1" applyFont="1" applyFill="1" applyBorder="1" applyAlignment="1">
      <alignment horizontal="center"/>
    </xf>
    <xf numFmtId="4" fontId="67" fillId="12" borderId="104" xfId="0" applyNumberFormat="1" applyFont="1" applyFill="1" applyBorder="1" applyAlignment="1">
      <alignment horizontal="center" wrapText="1"/>
    </xf>
    <xf numFmtId="4" fontId="67" fillId="12" borderId="41" xfId="0" applyNumberFormat="1" applyFont="1" applyFill="1" applyBorder="1" applyAlignment="1">
      <alignment horizontal="center" wrapText="1"/>
    </xf>
    <xf numFmtId="4" fontId="65" fillId="12" borderId="127" xfId="0" applyNumberFormat="1" applyFont="1" applyFill="1" applyBorder="1" applyAlignment="1">
      <alignment horizontal="center"/>
    </xf>
    <xf numFmtId="3" fontId="6" fillId="0" borderId="180" xfId="0" applyNumberFormat="1" applyFont="1" applyBorder="1" applyAlignment="1">
      <alignment horizontal="center" wrapText="1"/>
    </xf>
    <xf numFmtId="3" fontId="21" fillId="0" borderId="180" xfId="0" applyNumberFormat="1" applyFont="1" applyBorder="1"/>
    <xf numFmtId="4" fontId="21" fillId="0" borderId="180" xfId="0" applyNumberFormat="1" applyFont="1" applyBorder="1"/>
    <xf numFmtId="17" fontId="69" fillId="2" borderId="62" xfId="0" applyNumberFormat="1" applyFont="1" applyFill="1" applyBorder="1"/>
    <xf numFmtId="17" fontId="21" fillId="2" borderId="62" xfId="0" applyNumberFormat="1" applyFont="1" applyFill="1" applyBorder="1"/>
    <xf numFmtId="17" fontId="65" fillId="12" borderId="127" xfId="0" applyNumberFormat="1" applyFont="1" applyFill="1" applyBorder="1" applyAlignment="1">
      <alignment horizontal="center"/>
    </xf>
    <xf numFmtId="17" fontId="21" fillId="12" borderId="77" xfId="0" applyNumberFormat="1" applyFont="1" applyFill="1" applyBorder="1"/>
    <xf numFmtId="17" fontId="67" fillId="12" borderId="77" xfId="0" applyNumberFormat="1" applyFont="1" applyFill="1" applyBorder="1" applyAlignment="1">
      <alignment horizontal="center" wrapText="1"/>
    </xf>
    <xf numFmtId="17" fontId="21" fillId="12" borderId="51" xfId="0" applyNumberFormat="1" applyFont="1" applyFill="1" applyBorder="1"/>
    <xf numFmtId="0" fontId="21" fillId="12" borderId="149" xfId="0" applyFont="1" applyFill="1" applyBorder="1"/>
    <xf numFmtId="0" fontId="21" fillId="12" borderId="183" xfId="0" applyFont="1" applyFill="1" applyBorder="1"/>
    <xf numFmtId="4" fontId="28" fillId="11" borderId="184" xfId="0" applyNumberFormat="1" applyFont="1" applyFill="1" applyBorder="1"/>
    <xf numFmtId="4" fontId="21" fillId="11" borderId="131" xfId="0" applyNumberFormat="1" applyFont="1" applyFill="1" applyBorder="1"/>
    <xf numFmtId="4" fontId="21" fillId="11" borderId="185" xfId="0" applyNumberFormat="1" applyFont="1" applyFill="1" applyBorder="1"/>
    <xf numFmtId="4" fontId="6" fillId="6" borderId="174" xfId="0" quotePrefix="1" applyNumberFormat="1" applyFont="1" applyFill="1" applyBorder="1"/>
    <xf numFmtId="4" fontId="21" fillId="6" borderId="174" xfId="0" applyNumberFormat="1" applyFont="1" applyFill="1" applyBorder="1"/>
    <xf numFmtId="3" fontId="6" fillId="6" borderId="176" xfId="0" applyNumberFormat="1" applyFont="1" applyFill="1" applyBorder="1" applyAlignment="1">
      <alignment horizontal="center" wrapText="1"/>
    </xf>
    <xf numFmtId="3" fontId="6" fillId="6" borderId="176" xfId="0" applyNumberFormat="1" applyFont="1" applyFill="1" applyBorder="1" applyAlignment="1">
      <alignment horizontal="center"/>
    </xf>
    <xf numFmtId="4" fontId="11" fillId="13" borderId="178" xfId="0" applyNumberFormat="1" applyFont="1" applyFill="1" applyBorder="1" applyAlignment="1">
      <alignment horizontal="right"/>
    </xf>
    <xf numFmtId="0" fontId="6" fillId="6" borderId="174" xfId="0" quotePrefix="1" applyFont="1" applyFill="1" applyBorder="1"/>
    <xf numFmtId="0" fontId="21" fillId="6" borderId="174" xfId="0" applyFont="1" applyFill="1" applyBorder="1"/>
    <xf numFmtId="3" fontId="21" fillId="6" borderId="176" xfId="0" applyNumberFormat="1" applyFont="1" applyFill="1" applyBorder="1"/>
    <xf numFmtId="4" fontId="21" fillId="6" borderId="176" xfId="0" applyNumberFormat="1" applyFont="1" applyFill="1" applyBorder="1"/>
    <xf numFmtId="4" fontId="6" fillId="13" borderId="157" xfId="0" applyNumberFormat="1" applyFont="1" applyFill="1" applyBorder="1" applyAlignment="1">
      <alignment horizontal="right"/>
    </xf>
    <xf numFmtId="3" fontId="21" fillId="0" borderId="0" xfId="0" applyNumberFormat="1" applyFont="1"/>
    <xf numFmtId="4" fontId="21" fillId="0" borderId="0" xfId="0" applyNumberFormat="1" applyFont="1"/>
    <xf numFmtId="0" fontId="70" fillId="12" borderId="127" xfId="0" applyFont="1" applyFill="1" applyBorder="1" applyAlignment="1">
      <alignment horizontal="center"/>
    </xf>
    <xf numFmtId="0" fontId="21" fillId="12" borderId="127" xfId="0" applyFont="1" applyFill="1" applyBorder="1"/>
    <xf numFmtId="3" fontId="65" fillId="12" borderId="50" xfId="0" applyNumberFormat="1" applyFont="1" applyFill="1" applyBorder="1" applyAlignment="1">
      <alignment horizontal="center"/>
    </xf>
    <xf numFmtId="4" fontId="21" fillId="12" borderId="51" xfId="0" applyNumberFormat="1" applyFont="1" applyFill="1" applyBorder="1"/>
    <xf numFmtId="4" fontId="21" fillId="12" borderId="125" xfId="0" applyNumberFormat="1" applyFont="1" applyFill="1" applyBorder="1"/>
    <xf numFmtId="3" fontId="65" fillId="12" borderId="124" xfId="0" applyNumberFormat="1" applyFont="1" applyFill="1" applyBorder="1"/>
    <xf numFmtId="4" fontId="65" fillId="12" borderId="77" xfId="0" applyNumberFormat="1" applyFont="1" applyFill="1" applyBorder="1" applyAlignment="1">
      <alignment horizontal="center" wrapText="1"/>
    </xf>
    <xf numFmtId="4" fontId="21" fillId="12" borderId="77" xfId="0" applyNumberFormat="1" applyFont="1" applyFill="1" applyBorder="1"/>
    <xf numFmtId="4" fontId="65" fillId="12" borderId="124" xfId="0" applyNumberFormat="1" applyFont="1" applyFill="1" applyBorder="1"/>
    <xf numFmtId="4" fontId="38" fillId="12" borderId="77" xfId="0" applyNumberFormat="1" applyFont="1" applyFill="1" applyBorder="1" applyAlignment="1">
      <alignment horizontal="center"/>
    </xf>
    <xf numFmtId="4" fontId="65" fillId="12" borderId="124" xfId="0" applyNumberFormat="1" applyFont="1" applyFill="1" applyBorder="1" applyAlignment="1">
      <alignment horizontal="center" wrapText="1"/>
    </xf>
    <xf numFmtId="3" fontId="21" fillId="12" borderId="127" xfId="0" applyNumberFormat="1" applyFont="1" applyFill="1" applyBorder="1"/>
    <xf numFmtId="3" fontId="65" fillId="12" borderId="127" xfId="0" applyNumberFormat="1" applyFont="1" applyFill="1" applyBorder="1" applyAlignment="1">
      <alignment horizontal="center" wrapText="1"/>
    </xf>
    <xf numFmtId="3" fontId="21" fillId="12" borderId="149" xfId="0" applyNumberFormat="1" applyFont="1" applyFill="1" applyBorder="1"/>
    <xf numFmtId="4" fontId="67" fillId="12" borderId="94" xfId="0" applyNumberFormat="1" applyFont="1" applyFill="1" applyBorder="1" applyAlignment="1">
      <alignment horizontal="center"/>
    </xf>
    <xf numFmtId="4" fontId="21" fillId="12" borderId="188" xfId="0" applyNumberFormat="1" applyFont="1" applyFill="1" applyBorder="1"/>
    <xf numFmtId="3" fontId="21" fillId="12" borderId="188" xfId="0" applyNumberFormat="1" applyFont="1" applyFill="1" applyBorder="1"/>
    <xf numFmtId="3" fontId="65" fillId="12" borderId="152" xfId="0" applyNumberFormat="1" applyFont="1" applyFill="1" applyBorder="1" applyAlignment="1">
      <alignment horizontal="center"/>
    </xf>
    <xf numFmtId="4" fontId="65" fillId="12" borderId="94" xfId="0" applyNumberFormat="1" applyFont="1" applyFill="1" applyBorder="1" applyAlignment="1">
      <alignment horizontal="center"/>
    </xf>
    <xf numFmtId="3" fontId="65" fillId="12" borderId="94" xfId="0" applyNumberFormat="1" applyFont="1" applyFill="1" applyBorder="1" applyAlignment="1">
      <alignment horizontal="center"/>
    </xf>
    <xf numFmtId="4" fontId="21" fillId="13" borderId="178" xfId="0" applyNumberFormat="1" applyFont="1" applyFill="1" applyBorder="1"/>
    <xf numFmtId="4" fontId="40" fillId="13" borderId="181" xfId="0" applyNumberFormat="1" applyFont="1" applyFill="1" applyBorder="1" applyAlignment="1">
      <alignment horizontal="right"/>
    </xf>
    <xf numFmtId="3" fontId="21" fillId="12" borderId="152" xfId="0" applyNumberFormat="1" applyFont="1" applyFill="1" applyBorder="1"/>
    <xf numFmtId="4" fontId="67" fillId="12" borderId="51" xfId="0" applyNumberFormat="1" applyFont="1" applyFill="1" applyBorder="1"/>
    <xf numFmtId="4" fontId="21" fillId="12" borderId="62" xfId="0" applyNumberFormat="1" applyFont="1" applyFill="1" applyBorder="1"/>
    <xf numFmtId="3" fontId="21" fillId="12" borderId="62" xfId="0" applyNumberFormat="1" applyFont="1" applyFill="1" applyBorder="1"/>
    <xf numFmtId="4" fontId="67" fillId="12" borderId="77" xfId="0" applyNumberFormat="1" applyFont="1" applyFill="1" applyBorder="1" applyAlignment="1">
      <alignment horizontal="center"/>
    </xf>
    <xf numFmtId="3" fontId="67" fillId="12" borderId="77" xfId="0" applyNumberFormat="1" applyFont="1" applyFill="1" applyBorder="1" applyAlignment="1">
      <alignment horizontal="center"/>
    </xf>
    <xf numFmtId="0" fontId="65" fillId="12" borderId="104" xfId="0" applyFont="1" applyFill="1" applyBorder="1"/>
    <xf numFmtId="0" fontId="21" fillId="12" borderId="50" xfId="0" applyFont="1" applyFill="1" applyBorder="1"/>
    <xf numFmtId="4" fontId="21" fillId="12" borderId="94" xfId="0" applyNumberFormat="1" applyFont="1" applyFill="1" applyBorder="1"/>
    <xf numFmtId="0" fontId="65" fillId="12" borderId="163" xfId="0" applyFont="1" applyFill="1" applyBorder="1" applyAlignment="1">
      <alignment horizontal="center"/>
    </xf>
    <xf numFmtId="4" fontId="65" fillId="12" borderId="163" xfId="0" applyNumberFormat="1" applyFont="1" applyFill="1" applyBorder="1" applyAlignment="1">
      <alignment horizontal="center"/>
    </xf>
    <xf numFmtId="0" fontId="65" fillId="12" borderId="124" xfId="0" applyFont="1" applyFill="1" applyBorder="1" applyAlignment="1">
      <alignment horizontal="center"/>
    </xf>
    <xf numFmtId="4" fontId="21" fillId="13" borderId="131" xfId="0" applyNumberFormat="1" applyFont="1" applyFill="1" applyBorder="1"/>
    <xf numFmtId="4" fontId="21" fillId="13" borderId="185" xfId="0" applyNumberFormat="1" applyFont="1" applyFill="1" applyBorder="1"/>
    <xf numFmtId="1" fontId="6" fillId="0" borderId="180" xfId="0" applyNumberFormat="1" applyFont="1" applyBorder="1" applyAlignment="1">
      <alignment horizontal="center"/>
    </xf>
    <xf numFmtId="2" fontId="6" fillId="0" borderId="180" xfId="0" applyNumberFormat="1" applyFont="1" applyBorder="1" applyAlignment="1">
      <alignment horizontal="right"/>
    </xf>
    <xf numFmtId="2" fontId="6" fillId="13" borderId="176" xfId="0" applyNumberFormat="1" applyFont="1" applyFill="1" applyBorder="1" applyAlignment="1">
      <alignment horizontal="right"/>
    </xf>
    <xf numFmtId="2" fontId="21" fillId="13" borderId="176" xfId="0" applyNumberFormat="1" applyFont="1" applyFill="1" applyBorder="1"/>
    <xf numFmtId="2" fontId="6" fillId="6" borderId="176" xfId="0" applyNumberFormat="1" applyFont="1" applyFill="1" applyBorder="1"/>
    <xf numFmtId="2" fontId="21" fillId="13" borderId="190" xfId="0" applyNumberFormat="1" applyFont="1" applyFill="1" applyBorder="1"/>
    <xf numFmtId="17" fontId="21" fillId="6" borderId="174" xfId="0" applyNumberFormat="1" applyFont="1" applyFill="1" applyBorder="1"/>
    <xf numFmtId="17" fontId="6" fillId="6" borderId="174" xfId="0" quotePrefix="1" applyNumberFormat="1" applyFont="1" applyFill="1" applyBorder="1"/>
    <xf numFmtId="3" fontId="21" fillId="6" borderId="174" xfId="0" applyNumberFormat="1" applyFont="1" applyFill="1" applyBorder="1"/>
    <xf numFmtId="3" fontId="6" fillId="6" borderId="174" xfId="0" quotePrefix="1" applyNumberFormat="1" applyFont="1" applyFill="1" applyBorder="1"/>
    <xf numFmtId="2" fontId="21" fillId="0" borderId="180" xfId="0" applyNumberFormat="1" applyFont="1" applyBorder="1"/>
    <xf numFmtId="166" fontId="21" fillId="13" borderId="157" xfId="0" applyNumberFormat="1" applyFont="1" applyFill="1" applyBorder="1"/>
    <xf numFmtId="166" fontId="6" fillId="13" borderId="157" xfId="0" applyNumberFormat="1" applyFont="1" applyFill="1" applyBorder="1" applyAlignment="1">
      <alignment horizontal="right"/>
    </xf>
    <xf numFmtId="0" fontId="4" fillId="0" borderId="3" xfId="0" applyFont="1" applyBorder="1"/>
    <xf numFmtId="0" fontId="5" fillId="0" borderId="4" xfId="0" applyFont="1" applyBorder="1"/>
    <xf numFmtId="0" fontId="21" fillId="0" borderId="191" xfId="0" applyFont="1" applyBorder="1"/>
    <xf numFmtId="0" fontId="21" fillId="0" borderId="5" xfId="0" applyFont="1" applyBorder="1"/>
    <xf numFmtId="0" fontId="21" fillId="0" borderId="6" xfId="0" applyFont="1" applyBorder="1"/>
    <xf numFmtId="164" fontId="6" fillId="0" borderId="7" xfId="0" quotePrefix="1" applyNumberFormat="1" applyFont="1" applyBorder="1"/>
    <xf numFmtId="0" fontId="21" fillId="0" borderId="1" xfId="0" applyFont="1" applyBorder="1"/>
    <xf numFmtId="0" fontId="21" fillId="0" borderId="2" xfId="0" applyFont="1" applyBorder="1"/>
    <xf numFmtId="165" fontId="21" fillId="0" borderId="8" xfId="0" applyNumberFormat="1" applyFont="1" applyBorder="1"/>
    <xf numFmtId="14" fontId="21" fillId="0" borderId="9" xfId="0" applyNumberFormat="1" applyFont="1" applyBorder="1"/>
    <xf numFmtId="17" fontId="21" fillId="2" borderId="64" xfId="0" applyNumberFormat="1" applyFont="1" applyFill="1" applyBorder="1"/>
    <xf numFmtId="4" fontId="56" fillId="12" borderId="50" xfId="0" applyNumberFormat="1" applyFont="1" applyFill="1" applyBorder="1" applyAlignment="1">
      <alignment horizontal="center"/>
    </xf>
    <xf numFmtId="4" fontId="56" fillId="12" borderId="41" xfId="0" applyNumberFormat="1" applyFont="1" applyFill="1" applyBorder="1" applyAlignment="1">
      <alignment horizontal="center"/>
    </xf>
    <xf numFmtId="4" fontId="56" fillId="12" borderId="51" xfId="0" applyNumberFormat="1" applyFont="1" applyFill="1" applyBorder="1" applyAlignment="1">
      <alignment horizontal="center"/>
    </xf>
    <xf numFmtId="174" fontId="56" fillId="12" borderId="196" xfId="0" applyNumberFormat="1" applyFont="1" applyFill="1" applyBorder="1" applyAlignment="1">
      <alignment horizontal="center"/>
    </xf>
    <xf numFmtId="174" fontId="56" fillId="12" borderId="124" xfId="0" applyNumberFormat="1" applyFont="1" applyFill="1" applyBorder="1" applyAlignment="1">
      <alignment horizontal="center"/>
    </xf>
    <xf numFmtId="4" fontId="28" fillId="13" borderId="111" xfId="0" applyNumberFormat="1" applyFont="1" applyFill="1" applyBorder="1"/>
    <xf numFmtId="4" fontId="32" fillId="13" borderId="112" xfId="0" applyNumberFormat="1" applyFont="1" applyFill="1" applyBorder="1" applyAlignment="1">
      <alignment horizontal="center"/>
    </xf>
    <xf numFmtId="4" fontId="21" fillId="13" borderId="197" xfId="0" applyNumberFormat="1" applyFont="1" applyFill="1" applyBorder="1"/>
    <xf numFmtId="0" fontId="41" fillId="0" borderId="0" xfId="0" applyFont="1" applyAlignment="1">
      <alignment horizontal="right"/>
    </xf>
    <xf numFmtId="0" fontId="6" fillId="6" borderId="179" xfId="0" applyFont="1" applyFill="1" applyBorder="1"/>
    <xf numFmtId="4" fontId="21" fillId="13" borderId="198" xfId="0" applyNumberFormat="1" applyFont="1" applyFill="1" applyBorder="1"/>
    <xf numFmtId="3" fontId="11" fillId="6" borderId="199" xfId="0" applyNumberFormat="1" applyFont="1" applyFill="1" applyBorder="1" applyAlignment="1">
      <alignment horizontal="center" wrapText="1"/>
    </xf>
    <xf numFmtId="4" fontId="11" fillId="6" borderId="199" xfId="0" applyNumberFormat="1" applyFont="1" applyFill="1" applyBorder="1" applyAlignment="1">
      <alignment horizontal="right"/>
    </xf>
    <xf numFmtId="4" fontId="21" fillId="6" borderId="199" xfId="0" applyNumberFormat="1" applyFont="1" applyFill="1" applyBorder="1"/>
    <xf numFmtId="4" fontId="21" fillId="6" borderId="200" xfId="0" applyNumberFormat="1" applyFont="1" applyFill="1" applyBorder="1"/>
    <xf numFmtId="4" fontId="11" fillId="6" borderId="177" xfId="0" applyNumberFormat="1" applyFont="1" applyFill="1" applyBorder="1" applyAlignment="1">
      <alignment horizontal="right"/>
    </xf>
    <xf numFmtId="4" fontId="21" fillId="6" borderId="177" xfId="0" applyNumberFormat="1" applyFont="1" applyFill="1" applyBorder="1"/>
    <xf numFmtId="4" fontId="21" fillId="6" borderId="201" xfId="0" applyNumberFormat="1" applyFont="1" applyFill="1" applyBorder="1"/>
    <xf numFmtId="4" fontId="21" fillId="0" borderId="202" xfId="0" applyNumberFormat="1" applyFont="1" applyBorder="1"/>
    <xf numFmtId="4" fontId="21" fillId="0" borderId="175" xfId="0" applyNumberFormat="1" applyFont="1" applyBorder="1"/>
    <xf numFmtId="4" fontId="21" fillId="0" borderId="203" xfId="0" applyNumberFormat="1" applyFont="1" applyBorder="1"/>
    <xf numFmtId="4" fontId="32" fillId="13" borderId="157" xfId="0" applyNumberFormat="1" applyFont="1" applyFill="1" applyBorder="1" applyAlignment="1">
      <alignment horizontal="center"/>
    </xf>
    <xf numFmtId="4" fontId="21" fillId="6" borderId="159" xfId="0" applyNumberFormat="1" applyFont="1" applyFill="1" applyBorder="1"/>
    <xf numFmtId="10" fontId="21" fillId="6" borderId="64" xfId="0" applyNumberFormat="1" applyFont="1" applyFill="1" applyBorder="1"/>
    <xf numFmtId="4" fontId="32" fillId="13" borderId="64" xfId="0" applyNumberFormat="1" applyFont="1" applyFill="1" applyBorder="1" applyAlignment="1">
      <alignment horizontal="right"/>
    </xf>
    <xf numFmtId="3" fontId="68" fillId="6" borderId="64" xfId="0" applyNumberFormat="1" applyFont="1" applyFill="1" applyBorder="1"/>
    <xf numFmtId="4" fontId="41" fillId="0" borderId="0" xfId="0" applyNumberFormat="1" applyFont="1"/>
    <xf numFmtId="0" fontId="21" fillId="0" borderId="160" xfId="0" applyFont="1" applyBorder="1"/>
    <xf numFmtId="164" fontId="21" fillId="0" borderId="160" xfId="0" applyNumberFormat="1" applyFont="1" applyBorder="1"/>
    <xf numFmtId="17" fontId="21" fillId="0" borderId="8" xfId="0" applyNumberFormat="1" applyFont="1" applyBorder="1"/>
    <xf numFmtId="0" fontId="21" fillId="0" borderId="10" xfId="0" applyFont="1" applyBorder="1"/>
    <xf numFmtId="0" fontId="21" fillId="0" borderId="9" xfId="0" applyFont="1" applyBorder="1"/>
    <xf numFmtId="165" fontId="21" fillId="0" borderId="4" xfId="0" applyNumberFormat="1" applyFont="1" applyBorder="1"/>
    <xf numFmtId="0" fontId="21" fillId="0" borderId="8" xfId="0" applyFont="1" applyBorder="1"/>
    <xf numFmtId="0" fontId="55" fillId="12" borderId="104" xfId="0" applyFont="1" applyFill="1" applyBorder="1" applyAlignment="1">
      <alignment horizontal="center"/>
    </xf>
    <xf numFmtId="0" fontId="55" fillId="12" borderId="149" xfId="0" applyFont="1" applyFill="1" applyBorder="1" applyAlignment="1">
      <alignment horizontal="center"/>
    </xf>
    <xf numFmtId="0" fontId="55" fillId="12" borderId="94" xfId="0" applyFont="1" applyFill="1" applyBorder="1" applyAlignment="1">
      <alignment horizontal="center"/>
    </xf>
    <xf numFmtId="4" fontId="57" fillId="11" borderId="184" xfId="0" applyNumberFormat="1" applyFont="1" applyFill="1" applyBorder="1"/>
    <xf numFmtId="4" fontId="57" fillId="11" borderId="131" xfId="0" applyNumberFormat="1" applyFont="1" applyFill="1" applyBorder="1" applyAlignment="1">
      <alignment horizontal="right"/>
    </xf>
    <xf numFmtId="166" fontId="53" fillId="6" borderId="206" xfId="0" applyNumberFormat="1" applyFont="1" applyFill="1" applyBorder="1"/>
    <xf numFmtId="166" fontId="21" fillId="6" borderId="206" xfId="0" applyNumberFormat="1" applyFont="1" applyFill="1" applyBorder="1"/>
    <xf numFmtId="4" fontId="53" fillId="11" borderId="131" xfId="0" applyNumberFormat="1" applyFont="1" applyFill="1" applyBorder="1" applyAlignment="1">
      <alignment horizontal="right"/>
    </xf>
    <xf numFmtId="166" fontId="53" fillId="6" borderId="206" xfId="0" applyNumberFormat="1" applyFont="1" applyFill="1" applyBorder="1" applyAlignment="1">
      <alignment horizontal="right"/>
    </xf>
    <xf numFmtId="4" fontId="57" fillId="11" borderId="131" xfId="0" applyNumberFormat="1" applyFont="1" applyFill="1" applyBorder="1" applyAlignment="1">
      <alignment horizontal="center"/>
    </xf>
    <xf numFmtId="166" fontId="53" fillId="6" borderId="206" xfId="0" quotePrefix="1" applyNumberFormat="1" applyFont="1" applyFill="1" applyBorder="1"/>
    <xf numFmtId="166" fontId="53" fillId="0" borderId="209" xfId="0" applyNumberFormat="1" applyFont="1" applyBorder="1"/>
    <xf numFmtId="166" fontId="59" fillId="13" borderId="157" xfId="0" applyNumberFormat="1" applyFont="1" applyFill="1" applyBorder="1"/>
    <xf numFmtId="166" fontId="21" fillId="0" borderId="0" xfId="0" applyNumberFormat="1" applyFont="1"/>
    <xf numFmtId="0" fontId="21" fillId="0" borderId="0" xfId="0" applyFont="1" applyAlignment="1">
      <alignment vertical="center" wrapText="1"/>
    </xf>
    <xf numFmtId="0" fontId="47" fillId="6" borderId="210" xfId="0" applyFont="1" applyFill="1" applyBorder="1"/>
    <xf numFmtId="0" fontId="21" fillId="6" borderId="211" xfId="0" applyFont="1" applyFill="1" applyBorder="1"/>
    <xf numFmtId="0" fontId="21" fillId="6" borderId="212" xfId="0" applyFont="1" applyFill="1" applyBorder="1"/>
    <xf numFmtId="9" fontId="21" fillId="6" borderId="213" xfId="0" applyNumberFormat="1" applyFont="1" applyFill="1" applyBorder="1"/>
    <xf numFmtId="0" fontId="21" fillId="6" borderId="214" xfId="0" applyFont="1" applyFill="1" applyBorder="1"/>
    <xf numFmtId="0" fontId="21" fillId="6" borderId="215" xfId="0" applyFont="1" applyFill="1" applyBorder="1"/>
    <xf numFmtId="0" fontId="21" fillId="6" borderId="216" xfId="0" applyFont="1" applyFill="1" applyBorder="1"/>
    <xf numFmtId="0" fontId="21" fillId="6" borderId="217" xfId="0" applyFont="1" applyFill="1" applyBorder="1"/>
    <xf numFmtId="0" fontId="21" fillId="6" borderId="218" xfId="0" applyFont="1" applyFill="1" applyBorder="1"/>
    <xf numFmtId="0" fontId="21" fillId="6" borderId="219" xfId="0" applyFont="1" applyFill="1" applyBorder="1"/>
    <xf numFmtId="0" fontId="21" fillId="0" borderId="220" xfId="0" applyFont="1" applyBorder="1" applyAlignment="1">
      <alignment vertical="center" wrapText="1"/>
    </xf>
    <xf numFmtId="0" fontId="74" fillId="20" borderId="224" xfId="0" applyFont="1" applyFill="1" applyBorder="1"/>
    <xf numFmtId="0" fontId="74" fillId="20" borderId="224" xfId="0" applyFont="1" applyFill="1" applyBorder="1" applyAlignment="1">
      <alignment wrapText="1"/>
    </xf>
    <xf numFmtId="1" fontId="21" fillId="20" borderId="224" xfId="0" applyNumberFormat="1" applyFont="1" applyFill="1" applyBorder="1"/>
    <xf numFmtId="2" fontId="21" fillId="20" borderId="224" xfId="0" applyNumberFormat="1" applyFont="1" applyFill="1" applyBorder="1"/>
    <xf numFmtId="0" fontId="21" fillId="21" borderId="225" xfId="0" applyFont="1" applyFill="1" applyBorder="1"/>
    <xf numFmtId="0" fontId="21" fillId="21" borderId="225" xfId="0" applyFont="1" applyFill="1" applyBorder="1" applyAlignment="1">
      <alignment wrapText="1"/>
    </xf>
    <xf numFmtId="1" fontId="21" fillId="21" borderId="225" xfId="0" applyNumberFormat="1" applyFont="1" applyFill="1" applyBorder="1"/>
    <xf numFmtId="2" fontId="21" fillId="21" borderId="225" xfId="0" applyNumberFormat="1" applyFont="1" applyFill="1" applyBorder="1"/>
    <xf numFmtId="0" fontId="21" fillId="15" borderId="64" xfId="0" applyFont="1" applyFill="1" applyBorder="1"/>
    <xf numFmtId="0" fontId="21" fillId="22" borderId="224" xfId="0" applyFont="1" applyFill="1" applyBorder="1"/>
    <xf numFmtId="0" fontId="21" fillId="22" borderId="224" xfId="0" applyFont="1" applyFill="1" applyBorder="1" applyAlignment="1">
      <alignment wrapText="1"/>
    </xf>
    <xf numFmtId="1" fontId="21" fillId="22" borderId="224" xfId="0" applyNumberFormat="1" applyFont="1" applyFill="1" applyBorder="1" applyAlignment="1">
      <alignment horizontal="center"/>
    </xf>
    <xf numFmtId="2" fontId="21" fillId="22" borderId="224" xfId="0" applyNumberFormat="1" applyFont="1" applyFill="1" applyBorder="1" applyAlignment="1">
      <alignment horizontal="center"/>
    </xf>
    <xf numFmtId="0" fontId="21" fillId="6" borderId="224" xfId="0" applyFont="1" applyFill="1" applyBorder="1"/>
    <xf numFmtId="0" fontId="21" fillId="6" borderId="224" xfId="0" applyFont="1" applyFill="1" applyBorder="1" applyAlignment="1">
      <alignment wrapText="1"/>
    </xf>
    <xf numFmtId="1" fontId="21" fillId="6" borderId="224" xfId="0" applyNumberFormat="1" applyFont="1" applyFill="1" applyBorder="1" applyAlignment="1">
      <alignment horizontal="center"/>
    </xf>
    <xf numFmtId="2" fontId="21" fillId="6" borderId="224" xfId="0" applyNumberFormat="1" applyFont="1" applyFill="1" applyBorder="1" applyAlignment="1">
      <alignment horizontal="center"/>
    </xf>
    <xf numFmtId="0" fontId="21" fillId="23" borderId="226" xfId="0" applyFont="1" applyFill="1" applyBorder="1" applyAlignment="1">
      <alignment vertical="center" wrapText="1"/>
    </xf>
    <xf numFmtId="0" fontId="21" fillId="23" borderId="226" xfId="0" applyFont="1" applyFill="1" applyBorder="1" applyAlignment="1">
      <alignment wrapText="1"/>
    </xf>
    <xf numFmtId="0" fontId="21" fillId="22" borderId="226" xfId="0" applyFont="1" applyFill="1" applyBorder="1" applyAlignment="1">
      <alignment vertical="center" wrapText="1"/>
    </xf>
    <xf numFmtId="0" fontId="21" fillId="24" borderId="226" xfId="0" applyFont="1" applyFill="1" applyBorder="1" applyAlignment="1">
      <alignment wrapText="1"/>
    </xf>
    <xf numFmtId="0" fontId="21" fillId="6" borderId="227" xfId="0" applyFont="1" applyFill="1" applyBorder="1" applyAlignment="1">
      <alignment vertical="center" wrapText="1"/>
    </xf>
    <xf numFmtId="0" fontId="21" fillId="22" borderId="226" xfId="0" applyFont="1" applyFill="1" applyBorder="1" applyAlignment="1">
      <alignment wrapText="1"/>
    </xf>
    <xf numFmtId="0" fontId="21" fillId="22" borderId="224" xfId="0" applyFont="1" applyFill="1" applyBorder="1" applyAlignment="1">
      <alignment horizontal="left" vertical="center" wrapText="1"/>
    </xf>
    <xf numFmtId="0" fontId="47" fillId="0" borderId="0" xfId="0" applyFont="1"/>
    <xf numFmtId="0" fontId="2" fillId="4" borderId="229" xfId="0" applyFont="1" applyFill="1" applyBorder="1" applyAlignment="1">
      <alignment vertical="center"/>
    </xf>
    <xf numFmtId="0" fontId="17" fillId="4" borderId="127" xfId="0" applyFont="1" applyFill="1" applyBorder="1"/>
    <xf numFmtId="0" fontId="5" fillId="4" borderId="230" xfId="0" applyFont="1" applyFill="1" applyBorder="1" applyAlignment="1">
      <alignment vertical="center"/>
    </xf>
    <xf numFmtId="0" fontId="17" fillId="4" borderId="152" xfId="0" applyFont="1" applyFill="1" applyBorder="1"/>
    <xf numFmtId="17" fontId="5" fillId="4" borderId="230" xfId="0" applyNumberFormat="1" applyFont="1" applyFill="1" applyBorder="1" applyAlignment="1">
      <alignment horizontal="left" vertical="center"/>
    </xf>
    <xf numFmtId="0" fontId="4" fillId="4" borderId="229" xfId="0" applyFont="1" applyFill="1" applyBorder="1" applyAlignment="1">
      <alignment vertical="center"/>
    </xf>
    <xf numFmtId="166" fontId="63" fillId="29" borderId="149" xfId="0" applyNumberFormat="1" applyFont="1" applyFill="1" applyBorder="1" applyAlignment="1">
      <alignment horizontal="left" vertical="center"/>
    </xf>
    <xf numFmtId="166" fontId="63" fillId="29" borderId="104" xfId="0" applyNumberFormat="1" applyFont="1" applyFill="1" applyBorder="1" applyAlignment="1">
      <alignment horizontal="center" vertical="center"/>
    </xf>
    <xf numFmtId="166" fontId="63" fillId="29" borderId="232" xfId="0" applyNumberFormat="1" applyFont="1" applyFill="1" applyBorder="1" applyAlignment="1">
      <alignment horizontal="center" vertical="center"/>
    </xf>
    <xf numFmtId="166" fontId="46" fillId="30" borderId="124" xfId="0" applyNumberFormat="1" applyFont="1" applyFill="1" applyBorder="1" applyAlignment="1">
      <alignment vertical="center"/>
    </xf>
    <xf numFmtId="166" fontId="46" fillId="30" borderId="126" xfId="0" applyNumberFormat="1" applyFont="1" applyFill="1" applyBorder="1" applyAlignment="1">
      <alignment vertical="center"/>
    </xf>
    <xf numFmtId="166" fontId="46" fillId="30" borderId="126" xfId="0" applyNumberFormat="1" applyFont="1" applyFill="1" applyBorder="1" applyAlignment="1">
      <alignment horizontal="center" vertical="center"/>
    </xf>
    <xf numFmtId="166" fontId="46" fillId="30" borderId="127" xfId="0" applyNumberFormat="1" applyFont="1" applyFill="1" applyBorder="1" applyAlignment="1">
      <alignment horizontal="center" vertical="center"/>
    </xf>
    <xf numFmtId="166" fontId="17" fillId="0" borderId="233" xfId="0" applyNumberFormat="1" applyFont="1" applyBorder="1" applyAlignment="1">
      <alignment horizontal="left" vertical="center"/>
    </xf>
    <xf numFmtId="0" fontId="17" fillId="0" borderId="129" xfId="0" applyFont="1" applyBorder="1" applyAlignment="1">
      <alignment horizontal="center" vertical="center"/>
    </xf>
    <xf numFmtId="166" fontId="17" fillId="0" borderId="129" xfId="0" applyNumberFormat="1" applyFont="1" applyBorder="1" applyAlignment="1">
      <alignment horizontal="center" vertical="center"/>
    </xf>
    <xf numFmtId="166" fontId="6" fillId="0" borderId="129" xfId="0" applyNumberFormat="1" applyFont="1" applyBorder="1" applyAlignment="1">
      <alignment horizontal="center" vertical="center"/>
    </xf>
    <xf numFmtId="166" fontId="6" fillId="0" borderId="130" xfId="0" applyNumberFormat="1" applyFont="1" applyBorder="1" applyAlignment="1">
      <alignment horizontal="center" vertical="center"/>
    </xf>
    <xf numFmtId="166" fontId="75" fillId="0" borderId="40" xfId="0" applyNumberFormat="1" applyFont="1" applyBorder="1"/>
    <xf numFmtId="166" fontId="75" fillId="0" borderId="41" xfId="0" applyNumberFormat="1" applyFont="1" applyBorder="1"/>
    <xf numFmtId="166" fontId="17" fillId="0" borderId="41" xfId="0" applyNumberFormat="1" applyFont="1" applyBorder="1"/>
    <xf numFmtId="166" fontId="17" fillId="0" borderId="0" xfId="0" applyNumberFormat="1" applyFont="1"/>
    <xf numFmtId="166" fontId="75" fillId="11" borderId="40" xfId="0" applyNumberFormat="1" applyFont="1" applyFill="1" applyBorder="1"/>
    <xf numFmtId="166" fontId="75" fillId="11" borderId="41" xfId="0" applyNumberFormat="1" applyFont="1" applyFill="1" applyBorder="1"/>
    <xf numFmtId="166" fontId="17" fillId="11" borderId="41" xfId="0" applyNumberFormat="1" applyFont="1" applyFill="1" applyBorder="1"/>
    <xf numFmtId="166" fontId="17" fillId="0" borderId="40" xfId="0" applyNumberFormat="1" applyFont="1" applyBorder="1"/>
    <xf numFmtId="166" fontId="76" fillId="0" borderId="41" xfId="0" applyNumberFormat="1" applyFont="1" applyBorder="1"/>
    <xf numFmtId="4" fontId="17" fillId="0" borderId="0" xfId="0" applyNumberFormat="1" applyFont="1"/>
    <xf numFmtId="166" fontId="17" fillId="11" borderId="40" xfId="0" applyNumberFormat="1" applyFont="1" applyFill="1" applyBorder="1"/>
    <xf numFmtId="166" fontId="76" fillId="11" borderId="41" xfId="0" applyNumberFormat="1" applyFont="1" applyFill="1" applyBorder="1"/>
    <xf numFmtId="0" fontId="21" fillId="0" borderId="122" xfId="0" applyFont="1" applyBorder="1"/>
    <xf numFmtId="0" fontId="21" fillId="0" borderId="234" xfId="0" applyFont="1" applyBorder="1"/>
    <xf numFmtId="164" fontId="21" fillId="0" borderId="4" xfId="0" applyNumberFormat="1" applyFont="1" applyBorder="1"/>
    <xf numFmtId="164" fontId="21" fillId="0" borderId="7" xfId="0" applyNumberFormat="1" applyFont="1" applyBorder="1"/>
    <xf numFmtId="0" fontId="21" fillId="0" borderId="56" xfId="0" applyFont="1" applyBorder="1"/>
    <xf numFmtId="0" fontId="21" fillId="0" borderId="235" xfId="0" applyFont="1" applyBorder="1"/>
    <xf numFmtId="164" fontId="21" fillId="0" borderId="10" xfId="0" applyNumberFormat="1" applyFont="1" applyBorder="1"/>
    <xf numFmtId="17" fontId="21" fillId="0" borderId="10" xfId="0" applyNumberFormat="1" applyFont="1" applyBorder="1"/>
    <xf numFmtId="17" fontId="21" fillId="0" borderId="7" xfId="0" applyNumberFormat="1" applyFont="1" applyBorder="1"/>
    <xf numFmtId="17" fontId="21" fillId="0" borderId="122" xfId="0" applyNumberFormat="1" applyFont="1" applyBorder="1"/>
    <xf numFmtId="17" fontId="21" fillId="0" borderId="236" xfId="0" applyNumberFormat="1" applyFont="1" applyBorder="1"/>
    <xf numFmtId="0" fontId="77" fillId="31" borderId="237" xfId="0" applyFont="1" applyFill="1" applyBorder="1" applyAlignment="1">
      <alignment horizontal="center"/>
    </xf>
    <xf numFmtId="0" fontId="77" fillId="31" borderId="35" xfId="0" applyFont="1" applyFill="1" applyBorder="1" applyAlignment="1">
      <alignment horizontal="center"/>
    </xf>
    <xf numFmtId="0" fontId="17" fillId="32" borderId="67" xfId="0" applyFont="1" applyFill="1" applyBorder="1"/>
    <xf numFmtId="0" fontId="21" fillId="32" borderId="238" xfId="0" applyFont="1" applyFill="1" applyBorder="1"/>
    <xf numFmtId="0" fontId="21" fillId="32" borderId="179" xfId="0" applyFont="1" applyFill="1" applyBorder="1"/>
    <xf numFmtId="166" fontId="21" fillId="32" borderId="179" xfId="0" applyNumberFormat="1" applyFont="1" applyFill="1" applyBorder="1"/>
    <xf numFmtId="167" fontId="21" fillId="32" borderId="239" xfId="0" applyNumberFormat="1" applyFont="1" applyFill="1" applyBorder="1"/>
    <xf numFmtId="167" fontId="21" fillId="32" borderId="24" xfId="0" applyNumberFormat="1" applyFont="1" applyFill="1" applyBorder="1" applyAlignment="1">
      <alignment horizontal="right"/>
    </xf>
    <xf numFmtId="166" fontId="17" fillId="0" borderId="67" xfId="0" applyNumberFormat="1" applyFont="1" applyBorder="1" applyAlignment="1">
      <alignment horizontal="center"/>
    </xf>
    <xf numFmtId="167" fontId="17" fillId="14" borderId="67" xfId="0" applyNumberFormat="1" applyFont="1" applyFill="1" applyBorder="1" applyAlignment="1">
      <alignment horizontal="right"/>
    </xf>
    <xf numFmtId="0" fontId="17" fillId="0" borderId="67" xfId="0" applyFont="1" applyBorder="1"/>
    <xf numFmtId="0" fontId="17" fillId="0" borderId="67" xfId="0" applyFont="1" applyBorder="1" applyAlignment="1">
      <alignment wrapText="1"/>
    </xf>
    <xf numFmtId="166" fontId="21" fillId="0" borderId="67" xfId="0" applyNumberFormat="1" applyFont="1" applyBorder="1" applyAlignment="1">
      <alignment horizontal="right"/>
    </xf>
    <xf numFmtId="166" fontId="17" fillId="0" borderId="67" xfId="0" applyNumberFormat="1" applyFont="1" applyBorder="1" applyAlignment="1">
      <alignment horizontal="right"/>
    </xf>
    <xf numFmtId="166" fontId="21" fillId="0" borderId="67" xfId="0" applyNumberFormat="1" applyFont="1" applyBorder="1"/>
    <xf numFmtId="167" fontId="21" fillId="0" borderId="67" xfId="0" applyNumberFormat="1" applyFont="1" applyBorder="1" applyAlignment="1">
      <alignment horizontal="right"/>
    </xf>
    <xf numFmtId="167" fontId="21" fillId="6" borderId="24" xfId="0" applyNumberFormat="1" applyFont="1" applyFill="1" applyBorder="1" applyAlignment="1">
      <alignment horizontal="right"/>
    </xf>
    <xf numFmtId="0" fontId="64" fillId="2" borderId="64" xfId="0" applyFont="1" applyFill="1" applyBorder="1" applyAlignment="1">
      <alignment horizontal="center"/>
    </xf>
    <xf numFmtId="167" fontId="64" fillId="2" borderId="64" xfId="0" applyNumberFormat="1" applyFont="1" applyFill="1" applyBorder="1" applyAlignment="1">
      <alignment horizontal="center"/>
    </xf>
    <xf numFmtId="0" fontId="21" fillId="31" borderId="64" xfId="0" applyFont="1" applyFill="1" applyBorder="1"/>
    <xf numFmtId="0" fontId="78" fillId="31" borderId="64" xfId="0" applyFont="1" applyFill="1" applyBorder="1" applyAlignment="1">
      <alignment horizontal="right"/>
    </xf>
    <xf numFmtId="167" fontId="78" fillId="31" borderId="64" xfId="0" applyNumberFormat="1" applyFont="1" applyFill="1" applyBorder="1" applyAlignment="1">
      <alignment horizontal="right"/>
    </xf>
    <xf numFmtId="0" fontId="77" fillId="31" borderId="240" xfId="0" applyFont="1" applyFill="1" applyBorder="1" applyAlignment="1">
      <alignment horizontal="center"/>
    </xf>
    <xf numFmtId="0" fontId="77" fillId="31" borderId="241" xfId="0" applyFont="1" applyFill="1" applyBorder="1" applyAlignment="1">
      <alignment horizontal="center"/>
    </xf>
    <xf numFmtId="0" fontId="17" fillId="0" borderId="29" xfId="0" applyFont="1" applyBorder="1"/>
    <xf numFmtId="166" fontId="21" fillId="0" borderId="75" xfId="0" applyNumberFormat="1" applyFont="1" applyBorder="1"/>
    <xf numFmtId="167" fontId="21" fillId="0" borderId="24" xfId="0" applyNumberFormat="1" applyFont="1" applyBorder="1" applyAlignment="1">
      <alignment horizontal="right"/>
    </xf>
    <xf numFmtId="0" fontId="17" fillId="0" borderId="29" xfId="0" applyFont="1" applyBorder="1" applyAlignment="1">
      <alignment wrapText="1"/>
    </xf>
    <xf numFmtId="0" fontId="14" fillId="4" borderId="47" xfId="0" applyFont="1" applyFill="1" applyBorder="1" applyAlignment="1">
      <alignment horizontal="left" vertical="center" wrapText="1"/>
    </xf>
    <xf numFmtId="167" fontId="14" fillId="4" borderId="47" xfId="0" applyNumberFormat="1" applyFont="1" applyFill="1" applyBorder="1" applyAlignment="1">
      <alignment horizontal="left" vertical="center" wrapText="1"/>
    </xf>
    <xf numFmtId="0" fontId="14" fillId="4" borderId="51" xfId="0" applyFont="1" applyFill="1" applyBorder="1" applyAlignment="1">
      <alignment horizontal="left" vertical="center" wrapText="1"/>
    </xf>
    <xf numFmtId="167" fontId="14" fillId="4" borderId="51" xfId="0" applyNumberFormat="1" applyFont="1" applyFill="1" applyBorder="1" applyAlignment="1">
      <alignment horizontal="left" vertical="center" wrapText="1"/>
    </xf>
    <xf numFmtId="0" fontId="80" fillId="4" borderId="52" xfId="0" applyFont="1" applyFill="1" applyBorder="1" applyAlignment="1">
      <alignment vertical="center" wrapText="1"/>
    </xf>
    <xf numFmtId="0" fontId="80" fillId="4" borderId="64" xfId="0" applyFont="1" applyFill="1" applyBorder="1" applyAlignment="1">
      <alignment horizontal="center" vertical="center" wrapText="1"/>
    </xf>
    <xf numFmtId="0" fontId="80" fillId="4" borderId="64" xfId="0" applyFont="1" applyFill="1" applyBorder="1" applyAlignment="1">
      <alignment horizontal="left" vertical="center" wrapText="1"/>
    </xf>
    <xf numFmtId="167" fontId="80" fillId="4" borderId="64" xfId="0" applyNumberFormat="1" applyFont="1" applyFill="1" applyBorder="1" applyAlignment="1">
      <alignment horizontal="left" vertical="center" wrapText="1"/>
    </xf>
    <xf numFmtId="0" fontId="14" fillId="4" borderId="52" xfId="0" applyFont="1" applyFill="1" applyBorder="1" applyAlignment="1">
      <alignment horizontal="left" vertical="center" wrapText="1"/>
    </xf>
    <xf numFmtId="0" fontId="14" fillId="4" borderId="64" xfId="0" applyFont="1" applyFill="1" applyBorder="1" applyAlignment="1">
      <alignment horizontal="left" vertical="center" wrapText="1"/>
    </xf>
    <xf numFmtId="167" fontId="14" fillId="4" borderId="64" xfId="0" applyNumberFormat="1" applyFont="1" applyFill="1" applyBorder="1" applyAlignment="1">
      <alignment horizontal="left" vertical="center" wrapText="1"/>
    </xf>
    <xf numFmtId="0" fontId="14" fillId="4" borderId="61" xfId="0" applyFont="1" applyFill="1" applyBorder="1" applyAlignment="1">
      <alignment horizontal="left" vertical="center"/>
    </xf>
    <xf numFmtId="0" fontId="14" fillId="4" borderId="62" xfId="0" applyFont="1" applyFill="1" applyBorder="1" applyAlignment="1">
      <alignment horizontal="left" vertical="center" wrapText="1"/>
    </xf>
    <xf numFmtId="167" fontId="14" fillId="4" borderId="62" xfId="0" applyNumberFormat="1" applyFont="1" applyFill="1" applyBorder="1" applyAlignment="1">
      <alignment horizontal="left" vertical="center" wrapText="1"/>
    </xf>
    <xf numFmtId="2" fontId="19" fillId="4" borderId="63" xfId="0" applyNumberFormat="1" applyFont="1" applyFill="1" applyBorder="1"/>
    <xf numFmtId="0" fontId="19" fillId="4" borderId="64" xfId="0" applyFont="1" applyFill="1" applyBorder="1" applyAlignment="1">
      <alignment horizontal="left"/>
    </xf>
    <xf numFmtId="167" fontId="19" fillId="4" borderId="64" xfId="0" applyNumberFormat="1" applyFont="1" applyFill="1" applyBorder="1" applyAlignment="1">
      <alignment horizontal="left"/>
    </xf>
    <xf numFmtId="0" fontId="22" fillId="35" borderId="34" xfId="0" applyFont="1" applyFill="1" applyBorder="1" applyAlignment="1">
      <alignment horizontal="left" vertical="center" wrapText="1"/>
    </xf>
    <xf numFmtId="0" fontId="22" fillId="35" borderId="35" xfId="0" applyFont="1" applyFill="1" applyBorder="1" applyAlignment="1">
      <alignment horizontal="center" vertical="center" wrapText="1"/>
    </xf>
    <xf numFmtId="166" fontId="22" fillId="35" borderId="36" xfId="0" applyNumberFormat="1" applyFont="1" applyFill="1" applyBorder="1" applyAlignment="1">
      <alignment horizontal="center" vertical="center" wrapText="1"/>
    </xf>
    <xf numFmtId="167" fontId="22" fillId="35" borderId="36" xfId="0" applyNumberFormat="1" applyFont="1" applyFill="1" applyBorder="1" applyAlignment="1">
      <alignment horizontal="center" vertical="center" wrapText="1"/>
    </xf>
    <xf numFmtId="166" fontId="15" fillId="4" borderId="74" xfId="0" applyNumberFormat="1" applyFont="1" applyFill="1" applyBorder="1" applyAlignment="1">
      <alignment horizontal="left" vertical="center" wrapText="1"/>
    </xf>
    <xf numFmtId="166" fontId="15" fillId="4" borderId="77" xfId="0" applyNumberFormat="1" applyFont="1" applyFill="1" applyBorder="1" applyAlignment="1">
      <alignment horizontal="left" vertical="center"/>
    </xf>
    <xf numFmtId="167" fontId="15" fillId="4" borderId="78" xfId="0" applyNumberFormat="1" applyFont="1" applyFill="1" applyBorder="1" applyAlignment="1">
      <alignment horizontal="left" vertical="center"/>
    </xf>
    <xf numFmtId="167" fontId="15" fillId="4" borderId="68" xfId="0" applyNumberFormat="1" applyFont="1" applyFill="1" applyBorder="1" applyAlignment="1">
      <alignment horizontal="left" vertical="center"/>
    </xf>
    <xf numFmtId="166" fontId="15" fillId="4" borderId="29" xfId="0" applyNumberFormat="1" applyFont="1" applyFill="1" applyBorder="1" applyAlignment="1">
      <alignment horizontal="left" vertical="center" wrapText="1"/>
    </xf>
    <xf numFmtId="166" fontId="15" fillId="4" borderId="244" xfId="0" applyNumberFormat="1" applyFont="1" applyFill="1" applyBorder="1" applyAlignment="1">
      <alignment horizontal="left" vertical="center"/>
    </xf>
    <xf numFmtId="167" fontId="15" fillId="4" borderId="245" xfId="0" applyNumberFormat="1" applyFont="1" applyFill="1" applyBorder="1" applyAlignment="1">
      <alignment horizontal="left" vertical="center"/>
    </xf>
    <xf numFmtId="167" fontId="15" fillId="4" borderId="24" xfId="0" applyNumberFormat="1" applyFont="1" applyFill="1" applyBorder="1" applyAlignment="1">
      <alignment horizontal="left" vertical="center"/>
    </xf>
    <xf numFmtId="166" fontId="15" fillId="4" borderId="29" xfId="0" applyNumberFormat="1" applyFont="1" applyFill="1" applyBorder="1" applyAlignment="1">
      <alignment horizontal="left" vertical="center"/>
    </xf>
    <xf numFmtId="166" fontId="15" fillId="4" borderId="93" xfId="0" applyNumberFormat="1" applyFont="1" applyFill="1" applyBorder="1" applyAlignment="1">
      <alignment horizontal="left" vertical="center"/>
    </xf>
    <xf numFmtId="166" fontId="15" fillId="4" borderId="79" xfId="0" applyNumberFormat="1" applyFont="1" applyFill="1" applyBorder="1" applyAlignment="1">
      <alignment horizontal="left" vertical="center"/>
    </xf>
    <xf numFmtId="166" fontId="15" fillId="4" borderId="80" xfId="0" applyNumberFormat="1" applyFont="1" applyFill="1" applyBorder="1" applyAlignment="1">
      <alignment horizontal="left" vertical="center"/>
    </xf>
    <xf numFmtId="166" fontId="15" fillId="4" borderId="81" xfId="0" applyNumberFormat="1" applyFont="1" applyFill="1" applyBorder="1" applyAlignment="1">
      <alignment horizontal="center" vertical="center" wrapText="1"/>
    </xf>
    <xf numFmtId="167" fontId="15" fillId="4" borderId="81" xfId="0" applyNumberFormat="1" applyFont="1" applyFill="1" applyBorder="1" applyAlignment="1">
      <alignment horizontal="left" vertical="center"/>
    </xf>
    <xf numFmtId="166" fontId="29" fillId="30" borderId="246" xfId="0" applyNumberFormat="1" applyFont="1" applyFill="1" applyBorder="1" applyAlignment="1">
      <alignment horizontal="left" vertical="center"/>
    </xf>
    <xf numFmtId="166" fontId="15" fillId="30" borderId="247" xfId="0" applyNumberFormat="1" applyFont="1" applyFill="1" applyBorder="1" applyAlignment="1">
      <alignment horizontal="left" vertical="center"/>
    </xf>
    <xf numFmtId="166" fontId="15" fillId="30" borderId="247" xfId="0" applyNumberFormat="1" applyFont="1" applyFill="1" applyBorder="1" applyAlignment="1">
      <alignment horizontal="center" vertical="center" wrapText="1"/>
    </xf>
    <xf numFmtId="167" fontId="15" fillId="30" borderId="247" xfId="0" applyNumberFormat="1" applyFont="1" applyFill="1" applyBorder="1" applyAlignment="1">
      <alignment horizontal="left" vertical="center"/>
    </xf>
    <xf numFmtId="167" fontId="15" fillId="30" borderId="248" xfId="0" applyNumberFormat="1" applyFont="1" applyFill="1" applyBorder="1" applyAlignment="1">
      <alignment horizontal="left" vertical="center"/>
    </xf>
    <xf numFmtId="0" fontId="14" fillId="4" borderId="61" xfId="0" applyFont="1" applyFill="1" applyBorder="1" applyAlignment="1">
      <alignment horizontal="left" vertical="center" wrapText="1"/>
    </xf>
    <xf numFmtId="166" fontId="15" fillId="6" borderId="29" xfId="0" applyNumberFormat="1" applyFont="1" applyFill="1" applyBorder="1"/>
    <xf numFmtId="0" fontId="33" fillId="0" borderId="25" xfId="0" applyFont="1" applyBorder="1"/>
    <xf numFmtId="166" fontId="15" fillId="6" borderId="93" xfId="0" applyNumberFormat="1" applyFont="1" applyFill="1" applyBorder="1"/>
    <xf numFmtId="0" fontId="33" fillId="0" borderId="26" xfId="0" applyFont="1" applyBorder="1"/>
    <xf numFmtId="0" fontId="33" fillId="0" borderId="249" xfId="0" applyFont="1" applyBorder="1"/>
    <xf numFmtId="0" fontId="33" fillId="0" borderId="250" xfId="0" applyFont="1" applyBorder="1"/>
    <xf numFmtId="0" fontId="33" fillId="0" borderId="251" xfId="0" applyFont="1" applyBorder="1"/>
    <xf numFmtId="167" fontId="21" fillId="0" borderId="4" xfId="0" applyNumberFormat="1" applyFont="1" applyBorder="1"/>
    <xf numFmtId="164" fontId="5" fillId="0" borderId="4" xfId="0" applyNumberFormat="1" applyFont="1" applyBorder="1"/>
    <xf numFmtId="167" fontId="77" fillId="31" borderId="237" xfId="0" applyNumberFormat="1" applyFont="1" applyFill="1" applyBorder="1" applyAlignment="1">
      <alignment horizontal="center"/>
    </xf>
    <xf numFmtId="0" fontId="21" fillId="0" borderId="26" xfId="0" applyFont="1" applyBorder="1"/>
    <xf numFmtId="0" fontId="77" fillId="31" borderId="252" xfId="0" applyFont="1" applyFill="1" applyBorder="1" applyAlignment="1">
      <alignment horizontal="center"/>
    </xf>
    <xf numFmtId="166" fontId="17" fillId="0" borderId="71" xfId="0" applyNumberFormat="1" applyFont="1" applyBorder="1"/>
    <xf numFmtId="166" fontId="17" fillId="0" borderId="253" xfId="0" applyNumberFormat="1" applyFont="1" applyBorder="1"/>
    <xf numFmtId="167" fontId="17" fillId="14" borderId="241" xfId="0" applyNumberFormat="1" applyFont="1" applyFill="1" applyBorder="1" applyAlignment="1">
      <alignment horizontal="right"/>
    </xf>
    <xf numFmtId="167" fontId="33" fillId="0" borderId="254" xfId="0" applyNumberFormat="1" applyFont="1" applyBorder="1" applyAlignment="1">
      <alignment horizontal="right" vertical="center" wrapText="1"/>
    </xf>
    <xf numFmtId="167" fontId="21" fillId="11" borderId="24" xfId="0" applyNumberFormat="1" applyFont="1" applyFill="1" applyBorder="1" applyAlignment="1">
      <alignment horizontal="right"/>
    </xf>
    <xf numFmtId="166" fontId="17" fillId="0" borderId="29" xfId="0" applyNumberFormat="1" applyFont="1" applyBorder="1"/>
    <xf numFmtId="166" fontId="17" fillId="0" borderId="28" xfId="0" applyNumberFormat="1" applyFont="1" applyBorder="1"/>
    <xf numFmtId="167" fontId="17" fillId="14" borderId="78" xfId="0" applyNumberFormat="1" applyFont="1" applyFill="1" applyBorder="1" applyAlignment="1">
      <alignment horizontal="right"/>
    </xf>
    <xf numFmtId="166" fontId="17" fillId="0" borderId="30" xfId="0" applyNumberFormat="1" applyFont="1" applyBorder="1"/>
    <xf numFmtId="166" fontId="17" fillId="0" borderId="32" xfId="0" applyNumberFormat="1" applyFont="1" applyBorder="1"/>
    <xf numFmtId="167" fontId="33" fillId="0" borderId="254" xfId="0" applyNumberFormat="1" applyFont="1" applyBorder="1" applyAlignment="1">
      <alignment vertical="center" wrapText="1"/>
    </xf>
    <xf numFmtId="167" fontId="33" fillId="32" borderId="255" xfId="0" applyNumberFormat="1" applyFont="1" applyFill="1" applyBorder="1" applyAlignment="1">
      <alignment vertical="center" wrapText="1"/>
    </xf>
    <xf numFmtId="167" fontId="21" fillId="32" borderId="24" xfId="0" applyNumberFormat="1" applyFont="1" applyFill="1" applyBorder="1" applyAlignment="1">
      <alignment horizontal="center"/>
    </xf>
    <xf numFmtId="167" fontId="21" fillId="11" borderId="245" xfId="0" applyNumberFormat="1" applyFont="1" applyFill="1" applyBorder="1" applyAlignment="1">
      <alignment vertical="center"/>
    </xf>
    <xf numFmtId="0" fontId="21" fillId="0" borderId="67" xfId="0" applyFont="1" applyBorder="1"/>
    <xf numFmtId="167" fontId="33" fillId="0" borderId="256" xfId="0" applyNumberFormat="1" applyFont="1" applyBorder="1" applyAlignment="1">
      <alignment horizontal="right" vertical="center" wrapText="1"/>
    </xf>
    <xf numFmtId="167" fontId="33" fillId="0" borderId="0" xfId="0" applyNumberFormat="1" applyFont="1"/>
    <xf numFmtId="164" fontId="6" fillId="0" borderId="10" xfId="0" quotePrefix="1" applyNumberFormat="1" applyFont="1" applyBorder="1" applyAlignment="1">
      <alignment wrapText="1"/>
    </xf>
    <xf numFmtId="167" fontId="21" fillId="8" borderId="24" xfId="0" applyNumberFormat="1" applyFont="1" applyFill="1" applyBorder="1"/>
    <xf numFmtId="0" fontId="2" fillId="0" borderId="160" xfId="0" applyFont="1" applyBorder="1" applyAlignment="1">
      <alignment vertical="center"/>
    </xf>
    <xf numFmtId="0" fontId="2" fillId="0" borderId="122" xfId="0" applyFont="1" applyBorder="1" applyAlignment="1">
      <alignment vertical="center"/>
    </xf>
    <xf numFmtId="0" fontId="2" fillId="0" borderId="234" xfId="0" applyFont="1" applyBorder="1" applyAlignment="1">
      <alignment vertical="center"/>
    </xf>
    <xf numFmtId="0" fontId="5" fillId="0" borderId="56" xfId="0" applyFont="1" applyBorder="1" applyAlignment="1">
      <alignment vertical="center"/>
    </xf>
    <xf numFmtId="0" fontId="5" fillId="0" borderId="235" xfId="0" applyFont="1" applyBorder="1" applyAlignment="1">
      <alignment vertical="center"/>
    </xf>
    <xf numFmtId="164" fontId="6" fillId="0" borderId="10" xfId="0" applyNumberFormat="1" applyFont="1" applyBorder="1" applyAlignment="1">
      <alignment vertical="center" wrapText="1"/>
    </xf>
    <xf numFmtId="17" fontId="5" fillId="0" borderId="10" xfId="0" applyNumberFormat="1" applyFont="1" applyBorder="1" applyAlignment="1">
      <alignment horizontal="left" vertical="center"/>
    </xf>
    <xf numFmtId="17" fontId="5" fillId="0" borderId="122" xfId="0" applyNumberFormat="1" applyFont="1" applyBorder="1" applyAlignment="1">
      <alignment horizontal="left" vertical="center"/>
    </xf>
    <xf numFmtId="17" fontId="5" fillId="0" borderId="236" xfId="0" applyNumberFormat="1" applyFont="1" applyBorder="1" applyAlignment="1">
      <alignment horizontal="left" vertical="center"/>
    </xf>
    <xf numFmtId="0" fontId="81" fillId="31" borderId="237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81" fillId="31" borderId="35" xfId="0" applyFont="1" applyFill="1" applyBorder="1" applyAlignment="1">
      <alignment horizontal="center" vertical="center"/>
    </xf>
    <xf numFmtId="0" fontId="77" fillId="31" borderId="35" xfId="0" applyFont="1" applyFill="1" applyBorder="1" applyAlignment="1">
      <alignment horizontal="center" vertical="center"/>
    </xf>
    <xf numFmtId="2" fontId="21" fillId="32" borderId="179" xfId="0" applyNumberFormat="1" applyFont="1" applyFill="1" applyBorder="1"/>
    <xf numFmtId="0" fontId="17" fillId="0" borderId="28" xfId="0" applyFont="1" applyBorder="1"/>
    <xf numFmtId="167" fontId="17" fillId="14" borderId="24" xfId="0" applyNumberFormat="1" applyFont="1" applyFill="1" applyBorder="1" applyAlignment="1">
      <alignment horizontal="center"/>
    </xf>
    <xf numFmtId="166" fontId="17" fillId="0" borderId="67" xfId="0" applyNumberFormat="1" applyFont="1" applyBorder="1"/>
    <xf numFmtId="166" fontId="21" fillId="0" borderId="67" xfId="0" applyNumberFormat="1" applyFont="1" applyBorder="1" applyAlignment="1">
      <alignment horizontal="center"/>
    </xf>
    <xf numFmtId="167" fontId="17" fillId="14" borderId="67" xfId="0" applyNumberFormat="1" applyFont="1" applyFill="1" applyBorder="1" applyAlignment="1">
      <alignment horizontal="center"/>
    </xf>
    <xf numFmtId="166" fontId="21" fillId="0" borderId="32" xfId="0" applyNumberFormat="1" applyFont="1" applyBorder="1"/>
    <xf numFmtId="167" fontId="17" fillId="14" borderId="257" xfId="0" applyNumberFormat="1" applyFont="1" applyFill="1" applyBorder="1" applyAlignment="1">
      <alignment horizontal="right"/>
    </xf>
    <xf numFmtId="1" fontId="21" fillId="0" borderId="67" xfId="0" applyNumberFormat="1" applyFont="1" applyBorder="1" applyAlignment="1">
      <alignment horizontal="center"/>
    </xf>
    <xf numFmtId="166" fontId="21" fillId="32" borderId="238" xfId="0" applyNumberFormat="1" applyFont="1" applyFill="1" applyBorder="1"/>
    <xf numFmtId="1" fontId="21" fillId="32" borderId="179" xfId="0" applyNumberFormat="1" applyFont="1" applyFill="1" applyBorder="1"/>
    <xf numFmtId="167" fontId="21" fillId="11" borderId="24" xfId="0" applyNumberFormat="1" applyFont="1" applyFill="1" applyBorder="1" applyAlignment="1">
      <alignment horizontal="center"/>
    </xf>
    <xf numFmtId="166" fontId="82" fillId="0" borderId="67" xfId="0" applyNumberFormat="1" applyFont="1" applyBorder="1"/>
    <xf numFmtId="0" fontId="82" fillId="0" borderId="67" xfId="0" applyFont="1" applyBorder="1"/>
    <xf numFmtId="166" fontId="83" fillId="0" borderId="67" xfId="0" applyNumberFormat="1" applyFont="1" applyBorder="1" applyAlignment="1">
      <alignment horizontal="center"/>
    </xf>
    <xf numFmtId="166" fontId="83" fillId="0" borderId="67" xfId="0" applyNumberFormat="1" applyFont="1" applyBorder="1" applyAlignment="1">
      <alignment horizontal="right"/>
    </xf>
    <xf numFmtId="166" fontId="82" fillId="0" borderId="67" xfId="0" applyNumberFormat="1" applyFont="1" applyBorder="1" applyAlignment="1">
      <alignment horizontal="right"/>
    </xf>
    <xf numFmtId="166" fontId="83" fillId="0" borderId="67" xfId="0" applyNumberFormat="1" applyFont="1" applyBorder="1"/>
    <xf numFmtId="167" fontId="83" fillId="0" borderId="67" xfId="0" applyNumberFormat="1" applyFont="1" applyBorder="1" applyAlignment="1">
      <alignment horizontal="right"/>
    </xf>
    <xf numFmtId="167" fontId="83" fillId="11" borderId="24" xfId="0" applyNumberFormat="1" applyFont="1" applyFill="1" applyBorder="1" applyAlignment="1">
      <alignment horizontal="right"/>
    </xf>
    <xf numFmtId="167" fontId="21" fillId="8" borderId="67" xfId="0" applyNumberFormat="1" applyFont="1" applyFill="1" applyBorder="1" applyAlignment="1">
      <alignment horizontal="right"/>
    </xf>
    <xf numFmtId="2" fontId="21" fillId="31" borderId="64" xfId="0" applyNumberFormat="1" applyFont="1" applyFill="1" applyBorder="1"/>
    <xf numFmtId="166" fontId="21" fillId="31" borderId="64" xfId="0" applyNumberFormat="1" applyFont="1" applyFill="1" applyBorder="1"/>
    <xf numFmtId="167" fontId="78" fillId="31" borderId="64" xfId="0" applyNumberFormat="1" applyFont="1" applyFill="1" applyBorder="1" applyAlignment="1">
      <alignment horizontal="center"/>
    </xf>
    <xf numFmtId="0" fontId="2" fillId="0" borderId="235" xfId="0" applyFont="1" applyBorder="1" applyAlignment="1">
      <alignment vertical="center"/>
    </xf>
    <xf numFmtId="164" fontId="6" fillId="0" borderId="10" xfId="0" applyNumberFormat="1" applyFont="1" applyBorder="1" applyAlignment="1">
      <alignment horizontal="left" vertical="center" wrapText="1"/>
    </xf>
    <xf numFmtId="0" fontId="81" fillId="31" borderId="240" xfId="0" applyFont="1" applyFill="1" applyBorder="1" applyAlignment="1">
      <alignment horizontal="center" vertical="center"/>
    </xf>
    <xf numFmtId="0" fontId="81" fillId="31" borderId="241" xfId="0" applyFont="1" applyFill="1" applyBorder="1" applyAlignment="1">
      <alignment horizontal="center" vertical="center"/>
    </xf>
    <xf numFmtId="167" fontId="21" fillId="0" borderId="24" xfId="0" applyNumberFormat="1" applyFont="1" applyBorder="1" applyAlignment="1">
      <alignment horizontal="center"/>
    </xf>
    <xf numFmtId="0" fontId="17" fillId="0" borderId="30" xfId="0" applyFont="1" applyBorder="1" applyAlignment="1">
      <alignment wrapText="1"/>
    </xf>
    <xf numFmtId="166" fontId="21" fillId="0" borderId="257" xfId="0" applyNumberFormat="1" applyFont="1" applyBorder="1"/>
    <xf numFmtId="167" fontId="21" fillId="0" borderId="33" xfId="0" applyNumberFormat="1" applyFont="1" applyBorder="1" applyAlignment="1">
      <alignment horizontal="right"/>
    </xf>
    <xf numFmtId="0" fontId="77" fillId="31" borderId="258" xfId="0" applyFont="1" applyFill="1" applyBorder="1" applyAlignment="1">
      <alignment horizontal="center"/>
    </xf>
    <xf numFmtId="0" fontId="77" fillId="31" borderId="36" xfId="0" applyFont="1" applyFill="1" applyBorder="1" applyAlignment="1">
      <alignment horizontal="center"/>
    </xf>
    <xf numFmtId="166" fontId="17" fillId="0" borderId="259" xfId="0" applyNumberFormat="1" applyFont="1" applyBorder="1"/>
    <xf numFmtId="167" fontId="17" fillId="14" borderId="24" xfId="0" applyNumberFormat="1" applyFont="1" applyFill="1" applyBorder="1" applyAlignment="1">
      <alignment horizontal="right"/>
    </xf>
    <xf numFmtId="167" fontId="17" fillId="14" borderId="94" xfId="0" applyNumberFormat="1" applyFont="1" applyFill="1" applyBorder="1" applyAlignment="1">
      <alignment horizontal="right"/>
    </xf>
    <xf numFmtId="167" fontId="17" fillId="14" borderId="33" xfId="0" applyNumberFormat="1" applyFont="1" applyFill="1" applyBorder="1" applyAlignment="1">
      <alignment horizontal="right"/>
    </xf>
    <xf numFmtId="0" fontId="84" fillId="36" borderId="260" xfId="0" applyFont="1" applyFill="1" applyBorder="1"/>
    <xf numFmtId="176" fontId="21" fillId="0" borderId="0" xfId="0" applyNumberFormat="1" applyFont="1"/>
    <xf numFmtId="164" fontId="6" fillId="0" borderId="10" xfId="0" quotePrefix="1" applyNumberFormat="1" applyFont="1" applyBorder="1"/>
    <xf numFmtId="0" fontId="17" fillId="0" borderId="261" xfId="0" applyFont="1" applyBorder="1"/>
    <xf numFmtId="166" fontId="21" fillId="8" borderId="67" xfId="0" applyNumberFormat="1" applyFont="1" applyFill="1" applyBorder="1"/>
    <xf numFmtId="167" fontId="21" fillId="0" borderId="67" xfId="0" applyNumberFormat="1" applyFont="1" applyBorder="1"/>
    <xf numFmtId="166" fontId="21" fillId="0" borderId="207" xfId="0" applyNumberFormat="1" applyFont="1" applyBorder="1" applyAlignment="1">
      <alignment horizontal="right"/>
    </xf>
    <xf numFmtId="0" fontId="85" fillId="4" borderId="64" xfId="0" applyFont="1" applyFill="1" applyBorder="1"/>
    <xf numFmtId="0" fontId="86" fillId="0" borderId="0" xfId="0" applyFont="1" applyAlignment="1">
      <alignment horizontal="left" vertical="center"/>
    </xf>
    <xf numFmtId="0" fontId="86" fillId="0" borderId="0" xfId="0" applyFont="1" applyAlignment="1">
      <alignment horizontal="center" vertical="center"/>
    </xf>
    <xf numFmtId="0" fontId="87" fillId="0" borderId="0" xfId="0" applyFont="1" applyAlignment="1">
      <alignment vertical="center" wrapText="1"/>
    </xf>
    <xf numFmtId="0" fontId="88" fillId="0" borderId="0" xfId="0" applyFont="1" applyAlignment="1">
      <alignment vertical="center" wrapText="1"/>
    </xf>
    <xf numFmtId="0" fontId="87" fillId="0" borderId="0" xfId="0" applyFont="1" applyAlignment="1">
      <alignment vertical="center"/>
    </xf>
    <xf numFmtId="0" fontId="89" fillId="4" borderId="71" xfId="0" applyFont="1" applyFill="1" applyBorder="1" applyAlignment="1">
      <alignment horizontal="right"/>
    </xf>
    <xf numFmtId="166" fontId="89" fillId="4" borderId="73" xfId="0" applyNumberFormat="1" applyFont="1" applyFill="1" applyBorder="1" applyAlignment="1">
      <alignment horizontal="center"/>
    </xf>
    <xf numFmtId="0" fontId="90" fillId="0" borderId="0" xfId="0" applyFont="1" applyAlignment="1">
      <alignment horizontal="center" vertical="center"/>
    </xf>
    <xf numFmtId="0" fontId="90" fillId="0" borderId="0" xfId="0" applyFont="1" applyAlignment="1">
      <alignment vertical="center" wrapText="1"/>
    </xf>
    <xf numFmtId="0" fontId="90" fillId="0" borderId="0" xfId="0" applyFont="1" applyAlignment="1">
      <alignment vertical="center"/>
    </xf>
    <xf numFmtId="167" fontId="90" fillId="0" borderId="0" xfId="0" applyNumberFormat="1" applyFont="1" applyAlignment="1">
      <alignment vertical="center"/>
    </xf>
    <xf numFmtId="0" fontId="89" fillId="4" borderId="29" xfId="0" applyFont="1" applyFill="1" applyBorder="1" applyAlignment="1">
      <alignment horizontal="right"/>
    </xf>
    <xf numFmtId="166" fontId="89" fillId="4" borderId="24" xfId="0" applyNumberFormat="1" applyFont="1" applyFill="1" applyBorder="1" applyAlignment="1">
      <alignment horizontal="center"/>
    </xf>
    <xf numFmtId="0" fontId="89" fillId="4" borderId="30" xfId="0" applyFont="1" applyFill="1" applyBorder="1" applyAlignment="1">
      <alignment horizontal="right"/>
    </xf>
    <xf numFmtId="166" fontId="89" fillId="4" borderId="33" xfId="0" applyNumberFormat="1" applyFont="1" applyFill="1" applyBorder="1" applyAlignment="1">
      <alignment horizontal="center"/>
    </xf>
    <xf numFmtId="167" fontId="88" fillId="0" borderId="0" xfId="0" applyNumberFormat="1" applyFont="1" applyAlignment="1">
      <alignment vertical="center" wrapText="1"/>
    </xf>
    <xf numFmtId="0" fontId="91" fillId="34" borderId="14" xfId="0" applyFont="1" applyFill="1" applyBorder="1" applyAlignment="1">
      <alignment horizontal="center" vertical="center" wrapText="1"/>
    </xf>
    <xf numFmtId="0" fontId="91" fillId="34" borderId="47" xfId="0" applyFont="1" applyFill="1" applyBorder="1" applyAlignment="1">
      <alignment horizontal="left" vertical="center"/>
    </xf>
    <xf numFmtId="0" fontId="91" fillId="34" borderId="35" xfId="0" applyFont="1" applyFill="1" applyBorder="1" applyAlignment="1">
      <alignment horizontal="center" vertical="center" wrapText="1"/>
    </xf>
    <xf numFmtId="167" fontId="91" fillId="34" borderId="46" xfId="0" applyNumberFormat="1" applyFont="1" applyFill="1" applyBorder="1" applyAlignment="1">
      <alignment horizontal="center" vertical="center" wrapText="1"/>
    </xf>
    <xf numFmtId="167" fontId="91" fillId="34" borderId="36" xfId="0" applyNumberFormat="1" applyFont="1" applyFill="1" applyBorder="1" applyAlignment="1">
      <alignment horizontal="center" vertical="center" wrapText="1"/>
    </xf>
    <xf numFmtId="0" fontId="47" fillId="11" borderId="264" xfId="0" applyFont="1" applyFill="1" applyBorder="1" applyAlignment="1">
      <alignment wrapText="1"/>
    </xf>
    <xf numFmtId="0" fontId="17" fillId="11" borderId="51" xfId="0" applyFont="1" applyFill="1" applyBorder="1"/>
    <xf numFmtId="166" fontId="17" fillId="11" borderId="51" xfId="0" applyNumberFormat="1" applyFont="1" applyFill="1" applyBorder="1"/>
    <xf numFmtId="167" fontId="17" fillId="11" borderId="125" xfId="0" applyNumberFormat="1" applyFont="1" applyFill="1" applyBorder="1"/>
    <xf numFmtId="167" fontId="47" fillId="11" borderId="42" xfId="0" applyNumberFormat="1" applyFont="1" applyFill="1" applyBorder="1" applyAlignment="1">
      <alignment horizontal="right"/>
    </xf>
    <xf numFmtId="167" fontId="17" fillId="11" borderId="42" xfId="0" applyNumberFormat="1" applyFont="1" applyFill="1" applyBorder="1"/>
    <xf numFmtId="0" fontId="21" fillId="14" borderId="265" xfId="0" applyFont="1" applyFill="1" applyBorder="1" applyAlignment="1">
      <alignment wrapText="1"/>
    </xf>
    <xf numFmtId="0" fontId="73" fillId="37" borderId="124" xfId="0" applyFont="1" applyFill="1" applyBorder="1"/>
    <xf numFmtId="0" fontId="47" fillId="0" borderId="122" xfId="0" applyFont="1" applyBorder="1" applyAlignment="1">
      <alignment horizontal="right" wrapText="1"/>
    </xf>
    <xf numFmtId="166" fontId="47" fillId="0" borderId="122" xfId="0" applyNumberFormat="1" applyFont="1" applyBorder="1" applyAlignment="1">
      <alignment horizontal="right"/>
    </xf>
    <xf numFmtId="167" fontId="17" fillId="0" borderId="122" xfId="0" applyNumberFormat="1" applyFont="1" applyBorder="1"/>
    <xf numFmtId="167" fontId="47" fillId="0" borderId="266" xfId="0" applyNumberFormat="1" applyFont="1" applyBorder="1" applyAlignment="1">
      <alignment horizontal="right"/>
    </xf>
    <xf numFmtId="167" fontId="17" fillId="0" borderId="243" xfId="0" applyNumberFormat="1" applyFont="1" applyBorder="1"/>
    <xf numFmtId="0" fontId="21" fillId="14" borderId="93" xfId="0" applyFont="1" applyFill="1" applyBorder="1" applyAlignment="1">
      <alignment wrapText="1"/>
    </xf>
    <xf numFmtId="0" fontId="21" fillId="14" borderId="244" xfId="0" applyFont="1" applyFill="1" applyBorder="1"/>
    <xf numFmtId="0" fontId="21" fillId="0" borderId="267" xfId="0" applyFont="1" applyBorder="1" applyAlignment="1">
      <alignment wrapText="1"/>
    </xf>
    <xf numFmtId="166" fontId="21" fillId="0" borderId="268" xfId="0" applyNumberFormat="1" applyFont="1" applyBorder="1" applyAlignment="1">
      <alignment horizontal="right"/>
    </xf>
    <xf numFmtId="168" fontId="21" fillId="0" borderId="269" xfId="0" applyNumberFormat="1" applyFont="1" applyBorder="1" applyAlignment="1">
      <alignment horizontal="right"/>
    </xf>
    <xf numFmtId="167" fontId="21" fillId="0" borderId="270" xfId="0" applyNumberFormat="1" applyFont="1" applyBorder="1"/>
    <xf numFmtId="0" fontId="21" fillId="6" borderId="85" xfId="0" applyFont="1" applyFill="1" applyBorder="1" applyAlignment="1">
      <alignment wrapText="1"/>
    </xf>
    <xf numFmtId="167" fontId="17" fillId="0" borderId="270" xfId="0" applyNumberFormat="1" applyFont="1" applyBorder="1"/>
    <xf numFmtId="0" fontId="47" fillId="6" borderId="51" xfId="0" applyFont="1" applyFill="1" applyBorder="1" applyAlignment="1">
      <alignment horizontal="right" wrapText="1"/>
    </xf>
    <xf numFmtId="166" fontId="47" fillId="0" borderId="56" xfId="0" applyNumberFormat="1" applyFont="1" applyBorder="1" applyAlignment="1">
      <alignment horizontal="right"/>
    </xf>
    <xf numFmtId="167" fontId="17" fillId="0" borderId="56" xfId="0" applyNumberFormat="1" applyFont="1" applyBorder="1"/>
    <xf numFmtId="167" fontId="47" fillId="0" borderId="243" xfId="0" applyNumberFormat="1" applyFont="1" applyBorder="1" applyAlignment="1">
      <alignment horizontal="right"/>
    </xf>
    <xf numFmtId="0" fontId="21" fillId="14" borderId="67" xfId="0" applyFont="1" applyFill="1" applyBorder="1"/>
    <xf numFmtId="166" fontId="21" fillId="0" borderId="267" xfId="0" applyNumberFormat="1" applyFont="1" applyBorder="1" applyAlignment="1">
      <alignment horizontal="right"/>
    </xf>
    <xf numFmtId="168" fontId="21" fillId="0" borderId="27" xfId="0" applyNumberFormat="1" applyFont="1" applyBorder="1" applyAlignment="1">
      <alignment horizontal="right"/>
    </xf>
    <xf numFmtId="167" fontId="21" fillId="0" borderId="270" xfId="0" applyNumberFormat="1" applyFont="1" applyBorder="1" applyAlignment="1">
      <alignment horizontal="right"/>
    </xf>
    <xf numFmtId="167" fontId="17" fillId="0" borderId="24" xfId="0" applyNumberFormat="1" applyFont="1" applyBorder="1"/>
    <xf numFmtId="0" fontId="73" fillId="16" borderId="50" xfId="0" applyFont="1" applyFill="1" applyBorder="1"/>
    <xf numFmtId="168" fontId="21" fillId="0" borderId="271" xfId="0" applyNumberFormat="1" applyFont="1" applyBorder="1" applyAlignment="1">
      <alignment horizontal="right"/>
    </xf>
    <xf numFmtId="0" fontId="47" fillId="0" borderId="56" xfId="0" applyFont="1" applyBorder="1" applyAlignment="1">
      <alignment horizontal="right" wrapText="1"/>
    </xf>
    <xf numFmtId="167" fontId="17" fillId="0" borderId="272" xfId="0" applyNumberFormat="1" applyFont="1" applyBorder="1"/>
    <xf numFmtId="166" fontId="21" fillId="0" borderId="0" xfId="0" applyNumberFormat="1" applyFont="1" applyAlignment="1">
      <alignment horizontal="right"/>
    </xf>
    <xf numFmtId="168" fontId="21" fillId="0" borderId="0" xfId="0" applyNumberFormat="1" applyFont="1" applyAlignment="1">
      <alignment horizontal="right"/>
    </xf>
    <xf numFmtId="167" fontId="17" fillId="0" borderId="26" xfId="0" applyNumberFormat="1" applyFont="1" applyBorder="1"/>
    <xf numFmtId="0" fontId="73" fillId="37" borderId="163" xfId="0" applyFont="1" applyFill="1" applyBorder="1"/>
    <xf numFmtId="0" fontId="4" fillId="0" borderId="8" xfId="0" applyFont="1" applyBorder="1" applyAlignment="1">
      <alignment vertical="center"/>
    </xf>
    <xf numFmtId="164" fontId="5" fillId="0" borderId="122" xfId="0" applyNumberFormat="1" applyFont="1" applyBorder="1" applyAlignment="1">
      <alignment horizontal="left" vertical="center"/>
    </xf>
    <xf numFmtId="164" fontId="5" fillId="0" borderId="160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17" fontId="5" fillId="0" borderId="160" xfId="0" applyNumberFormat="1" applyFont="1" applyBorder="1" applyAlignment="1">
      <alignment vertical="center"/>
    </xf>
    <xf numFmtId="0" fontId="5" fillId="30" borderId="41" xfId="0" applyFont="1" applyFill="1" applyBorder="1" applyAlignment="1">
      <alignment horizontal="center" vertical="center" wrapText="1"/>
    </xf>
    <xf numFmtId="0" fontId="21" fillId="30" borderId="41" xfId="0" applyFont="1" applyFill="1" applyBorder="1" applyAlignment="1">
      <alignment horizontal="center" wrapText="1"/>
    </xf>
    <xf numFmtId="0" fontId="21" fillId="30" borderId="50" xfId="0" applyFont="1" applyFill="1" applyBorder="1" applyAlignment="1">
      <alignment horizontal="center" wrapText="1"/>
    </xf>
    <xf numFmtId="0" fontId="21" fillId="30" borderId="42" xfId="0" applyFont="1" applyFill="1" applyBorder="1" applyAlignment="1">
      <alignment horizontal="center" wrapText="1"/>
    </xf>
    <xf numFmtId="0" fontId="4" fillId="0" borderId="278" xfId="0" applyFont="1" applyBorder="1" applyAlignment="1">
      <alignment horizontal="center"/>
    </xf>
    <xf numFmtId="0" fontId="4" fillId="0" borderId="153" xfId="0" applyFont="1" applyBorder="1" applyAlignment="1">
      <alignment horizontal="center" vertical="center"/>
    </xf>
    <xf numFmtId="0" fontId="4" fillId="0" borderId="279" xfId="0" applyFont="1" applyBorder="1" applyAlignment="1">
      <alignment horizontal="center" vertical="center"/>
    </xf>
    <xf numFmtId="0" fontId="5" fillId="0" borderId="280" xfId="0" applyFont="1" applyBorder="1" applyAlignment="1">
      <alignment horizontal="center" vertical="center"/>
    </xf>
    <xf numFmtId="0" fontId="5" fillId="0" borderId="281" xfId="0" applyFont="1" applyBorder="1" applyAlignment="1">
      <alignment horizontal="center" vertical="center"/>
    </xf>
    <xf numFmtId="0" fontId="5" fillId="0" borderId="259" xfId="0" applyFont="1" applyBorder="1" applyAlignment="1">
      <alignment horizontal="center" vertical="center"/>
    </xf>
    <xf numFmtId="167" fontId="5" fillId="11" borderId="282" xfId="0" applyNumberFormat="1" applyFont="1" applyFill="1" applyBorder="1" applyAlignment="1">
      <alignment horizontal="center" vertical="center"/>
    </xf>
    <xf numFmtId="0" fontId="5" fillId="0" borderId="283" xfId="0" applyFont="1" applyBorder="1"/>
    <xf numFmtId="0" fontId="5" fillId="0" borderId="180" xfId="0" applyFont="1" applyBorder="1" applyAlignment="1">
      <alignment vertical="center"/>
    </xf>
    <xf numFmtId="0" fontId="5" fillId="0" borderId="180" xfId="0" applyFont="1" applyBorder="1" applyAlignment="1">
      <alignment horizontal="center"/>
    </xf>
    <xf numFmtId="166" fontId="5" fillId="11" borderId="284" xfId="0" applyNumberFormat="1" applyFont="1" applyFill="1" applyBorder="1" applyAlignment="1">
      <alignment horizontal="center"/>
    </xf>
    <xf numFmtId="0" fontId="5" fillId="0" borderId="283" xfId="0" applyFont="1" applyBorder="1" applyAlignment="1">
      <alignment horizontal="center" vertical="center"/>
    </xf>
    <xf numFmtId="0" fontId="5" fillId="0" borderId="180" xfId="0" applyFont="1" applyBorder="1" applyAlignment="1">
      <alignment horizontal="center" vertical="center"/>
    </xf>
    <xf numFmtId="0" fontId="5" fillId="0" borderId="285" xfId="0" applyFont="1" applyBorder="1" applyAlignment="1">
      <alignment horizontal="center" vertical="center"/>
    </xf>
    <xf numFmtId="167" fontId="5" fillId="0" borderId="285" xfId="0" applyNumberFormat="1" applyFont="1" applyBorder="1" applyAlignment="1">
      <alignment horizontal="center" vertical="center"/>
    </xf>
    <xf numFmtId="0" fontId="5" fillId="0" borderId="278" xfId="0" applyFont="1" applyBorder="1"/>
    <xf numFmtId="0" fontId="5" fillId="0" borderId="153" xfId="0" applyFont="1" applyBorder="1" applyAlignment="1">
      <alignment vertical="center"/>
    </xf>
    <xf numFmtId="0" fontId="5" fillId="0" borderId="153" xfId="0" applyFont="1" applyBorder="1" applyAlignment="1">
      <alignment horizontal="center"/>
    </xf>
    <xf numFmtId="0" fontId="5" fillId="0" borderId="278" xfId="0" applyFont="1" applyBorder="1" applyAlignment="1">
      <alignment horizontal="center"/>
    </xf>
    <xf numFmtId="0" fontId="5" fillId="0" borderId="153" xfId="0" applyFont="1" applyBorder="1" applyAlignment="1">
      <alignment horizontal="center" vertical="center"/>
    </xf>
    <xf numFmtId="0" fontId="5" fillId="0" borderId="279" xfId="0" applyFont="1" applyBorder="1" applyAlignment="1">
      <alignment horizontal="center" vertical="center"/>
    </xf>
    <xf numFmtId="0" fontId="5" fillId="0" borderId="286" xfId="0" applyFont="1" applyBorder="1"/>
    <xf numFmtId="0" fontId="5" fillId="0" borderId="209" xfId="0" applyFont="1" applyBorder="1" applyAlignment="1">
      <alignment vertical="center"/>
    </xf>
    <xf numFmtId="0" fontId="5" fillId="0" borderId="209" xfId="0" applyFont="1" applyBorder="1" applyAlignment="1">
      <alignment horizontal="center"/>
    </xf>
    <xf numFmtId="0" fontId="5" fillId="0" borderId="286" xfId="0" applyFont="1" applyBorder="1" applyAlignment="1">
      <alignment horizontal="center"/>
    </xf>
    <xf numFmtId="0" fontId="5" fillId="0" borderId="209" xfId="0" applyFont="1" applyBorder="1" applyAlignment="1">
      <alignment horizontal="center" vertical="center"/>
    </xf>
    <xf numFmtId="0" fontId="5" fillId="0" borderId="287" xfId="0" applyFont="1" applyBorder="1" applyAlignment="1">
      <alignment horizontal="center" vertical="center"/>
    </xf>
    <xf numFmtId="0" fontId="5" fillId="14" borderId="278" xfId="0" applyFont="1" applyFill="1" applyBorder="1" applyAlignment="1">
      <alignment horizontal="center"/>
    </xf>
    <xf numFmtId="0" fontId="5" fillId="14" borderId="153" xfId="0" applyFont="1" applyFill="1" applyBorder="1" applyAlignment="1">
      <alignment horizontal="center" vertical="center"/>
    </xf>
    <xf numFmtId="0" fontId="5" fillId="14" borderId="279" xfId="0" applyFont="1" applyFill="1" applyBorder="1" applyAlignment="1">
      <alignment horizontal="center" vertical="center"/>
    </xf>
    <xf numFmtId="0" fontId="5" fillId="0" borderId="288" xfId="0" applyFont="1" applyBorder="1"/>
    <xf numFmtId="0" fontId="5" fillId="0" borderId="289" xfId="0" applyFont="1" applyBorder="1" applyAlignment="1">
      <alignment horizontal="left" vertical="center"/>
    </xf>
    <xf numFmtId="0" fontId="5" fillId="0" borderId="289" xfId="0" applyFont="1" applyBorder="1" applyAlignment="1">
      <alignment horizontal="center"/>
    </xf>
    <xf numFmtId="0" fontId="5" fillId="0" borderId="288" xfId="0" applyFont="1" applyBorder="1" applyAlignment="1">
      <alignment horizontal="center"/>
    </xf>
    <xf numFmtId="0" fontId="5" fillId="0" borderId="289" xfId="0" applyFont="1" applyBorder="1" applyAlignment="1">
      <alignment horizontal="center" vertical="center"/>
    </xf>
    <xf numFmtId="0" fontId="5" fillId="0" borderId="282" xfId="0" applyFont="1" applyBorder="1" applyAlignment="1">
      <alignment horizontal="center" vertical="center"/>
    </xf>
    <xf numFmtId="2" fontId="5" fillId="0" borderId="288" xfId="0" applyNumberFormat="1" applyFont="1" applyBorder="1" applyAlignment="1">
      <alignment horizontal="center"/>
    </xf>
    <xf numFmtId="2" fontId="5" fillId="0" borderId="289" xfId="0" applyNumberFormat="1" applyFont="1" applyBorder="1" applyAlignment="1">
      <alignment horizontal="center" vertical="center"/>
    </xf>
    <xf numFmtId="2" fontId="5" fillId="0" borderId="282" xfId="0" applyNumberFormat="1" applyFont="1" applyBorder="1" applyAlignment="1">
      <alignment horizontal="center" vertical="center"/>
    </xf>
    <xf numFmtId="2" fontId="5" fillId="0" borderId="0" xfId="0" applyNumberFormat="1" applyFont="1"/>
    <xf numFmtId="166" fontId="5" fillId="0" borderId="0" xfId="0" applyNumberFormat="1" applyFont="1"/>
    <xf numFmtId="0" fontId="5" fillId="0" borderId="0" xfId="0" applyFont="1" applyAlignment="1">
      <alignment horizontal="center"/>
    </xf>
    <xf numFmtId="0" fontId="93" fillId="0" borderId="0" xfId="0" applyFont="1" applyAlignment="1">
      <alignment horizontal="right"/>
    </xf>
    <xf numFmtId="167" fontId="94" fillId="0" borderId="0" xfId="0" applyNumberFormat="1" applyFont="1" applyAlignment="1">
      <alignment horizontal="right"/>
    </xf>
    <xf numFmtId="167" fontId="95" fillId="0" borderId="0" xfId="0" applyNumberFormat="1" applyFont="1" applyAlignment="1">
      <alignment horizontal="right"/>
    </xf>
    <xf numFmtId="4" fontId="99" fillId="13" borderId="111" xfId="0" applyNumberFormat="1" applyFont="1" applyFill="1" applyBorder="1"/>
    <xf numFmtId="0" fontId="100" fillId="0" borderId="155" xfId="0" applyFont="1" applyBorder="1"/>
    <xf numFmtId="0" fontId="100" fillId="6" borderId="179" xfId="0" applyFont="1" applyFill="1" applyBorder="1"/>
    <xf numFmtId="3" fontId="100" fillId="0" borderId="153" xfId="0" applyNumberFormat="1" applyFont="1" applyBorder="1" applyAlignment="1">
      <alignment horizontal="center" wrapText="1"/>
    </xf>
    <xf numFmtId="4" fontId="100" fillId="0" borderId="153" xfId="0" applyNumberFormat="1" applyFont="1" applyBorder="1" applyAlignment="1">
      <alignment horizontal="right" wrapText="1"/>
    </xf>
    <xf numFmtId="4" fontId="101" fillId="0" borderId="153" xfId="0" applyNumberFormat="1" applyFont="1" applyBorder="1"/>
    <xf numFmtId="3" fontId="101" fillId="0" borderId="153" xfId="0" applyNumberFormat="1" applyFont="1" applyBorder="1"/>
    <xf numFmtId="0" fontId="101" fillId="0" borderId="0" xfId="0" applyFont="1"/>
    <xf numFmtId="4" fontId="102" fillId="0" borderId="129" xfId="0" applyNumberFormat="1" applyFont="1" applyBorder="1" applyAlignment="1">
      <alignment horizontal="left" vertical="center"/>
    </xf>
    <xf numFmtId="4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103" fillId="0" borderId="0" xfId="0" applyFont="1"/>
    <xf numFmtId="0" fontId="102" fillId="0" borderId="129" xfId="0" applyFont="1" applyBorder="1" applyAlignment="1">
      <alignment vertical="center"/>
    </xf>
    <xf numFmtId="3" fontId="106" fillId="0" borderId="290" xfId="1" applyNumberFormat="1" applyFont="1" applyBorder="1" applyAlignment="1">
      <alignment horizontal="left" vertical="center"/>
    </xf>
    <xf numFmtId="3" fontId="104" fillId="18" borderId="113" xfId="0" applyNumberFormat="1" applyFont="1" applyFill="1" applyBorder="1"/>
    <xf numFmtId="3" fontId="104" fillId="0" borderId="113" xfId="0" applyNumberFormat="1" applyFont="1" applyBorder="1"/>
    <xf numFmtId="3" fontId="102" fillId="0" borderId="129" xfId="0" applyNumberFormat="1" applyFont="1" applyBorder="1"/>
    <xf numFmtId="0" fontId="5" fillId="0" borderId="4" xfId="0" applyFont="1" applyBorder="1" applyAlignment="1">
      <alignment horizontal="left"/>
    </xf>
    <xf numFmtId="0" fontId="102" fillId="0" borderId="131" xfId="0" applyFont="1" applyBorder="1" applyAlignment="1">
      <alignment vertical="center"/>
    </xf>
    <xf numFmtId="3" fontId="104" fillId="0" borderId="113" xfId="0" applyNumberFormat="1" applyFont="1" applyBorder="1" applyAlignment="1">
      <alignment horizontal="center"/>
    </xf>
    <xf numFmtId="0" fontId="102" fillId="0" borderId="129" xfId="0" applyFont="1" applyBorder="1" applyAlignment="1">
      <alignment horizontal="center" vertical="center" wrapText="1"/>
    </xf>
    <xf numFmtId="0" fontId="108" fillId="4" borderId="131" xfId="0" applyFont="1" applyFill="1" applyBorder="1" applyAlignment="1">
      <alignment vertical="center"/>
    </xf>
    <xf numFmtId="0" fontId="21" fillId="15" borderId="228" xfId="0" applyFont="1" applyFill="1" applyBorder="1"/>
    <xf numFmtId="0" fontId="109" fillId="38" borderId="291" xfId="0" applyFont="1" applyFill="1" applyBorder="1" applyAlignment="1">
      <alignment horizontal="left" vertical="center"/>
    </xf>
    <xf numFmtId="0" fontId="109" fillId="38" borderId="291" xfId="0" applyFont="1" applyFill="1" applyBorder="1" applyAlignment="1">
      <alignment horizontal="left" vertical="center" wrapText="1"/>
    </xf>
    <xf numFmtId="1" fontId="109" fillId="38" borderId="291" xfId="0" applyNumberFormat="1" applyFont="1" applyFill="1" applyBorder="1" applyAlignment="1">
      <alignment horizontal="center" vertical="center"/>
    </xf>
    <xf numFmtId="2" fontId="109" fillId="38" borderId="291" xfId="0" applyNumberFormat="1" applyFont="1" applyFill="1" applyBorder="1" applyAlignment="1">
      <alignment horizontal="center" vertical="center"/>
    </xf>
    <xf numFmtId="0" fontId="0" fillId="39" borderId="292" xfId="0" applyFill="1" applyBorder="1" applyAlignment="1">
      <alignment horizontal="left" vertical="center"/>
    </xf>
    <xf numFmtId="0" fontId="0" fillId="39" borderId="292" xfId="0" applyFill="1" applyBorder="1" applyAlignment="1">
      <alignment horizontal="left" vertical="center" wrapText="1"/>
    </xf>
    <xf numFmtId="1" fontId="0" fillId="39" borderId="292" xfId="0" applyNumberFormat="1" applyFill="1" applyBorder="1" applyAlignment="1">
      <alignment horizontal="center" vertical="center"/>
    </xf>
    <xf numFmtId="2" fontId="0" fillId="39" borderId="292" xfId="0" applyNumberFormat="1" applyFill="1" applyBorder="1" applyAlignment="1">
      <alignment horizontal="center" vertical="center"/>
    </xf>
    <xf numFmtId="0" fontId="0" fillId="40" borderId="291" xfId="0" applyFill="1" applyBorder="1" applyAlignment="1">
      <alignment horizontal="left" vertical="center"/>
    </xf>
    <xf numFmtId="0" fontId="0" fillId="40" borderId="291" xfId="0" applyFill="1" applyBorder="1" applyAlignment="1">
      <alignment horizontal="left" vertical="center" wrapText="1"/>
    </xf>
    <xf numFmtId="1" fontId="0" fillId="40" borderId="291" xfId="0" applyNumberFormat="1" applyFill="1" applyBorder="1" applyAlignment="1">
      <alignment horizontal="center" vertical="center"/>
    </xf>
    <xf numFmtId="2" fontId="0" fillId="40" borderId="291" xfId="0" applyNumberFormat="1" applyFill="1" applyBorder="1" applyAlignment="1">
      <alignment horizontal="center" vertical="center"/>
    </xf>
    <xf numFmtId="0" fontId="0" fillId="41" borderId="291" xfId="0" applyFill="1" applyBorder="1" applyAlignment="1">
      <alignment horizontal="left" vertical="center"/>
    </xf>
    <xf numFmtId="0" fontId="0" fillId="41" borderId="291" xfId="0" applyFill="1" applyBorder="1" applyAlignment="1">
      <alignment horizontal="left" vertical="center" wrapText="1"/>
    </xf>
    <xf numFmtId="1" fontId="0" fillId="41" borderId="291" xfId="0" applyNumberFormat="1" applyFill="1" applyBorder="1" applyAlignment="1">
      <alignment horizontal="center" vertical="center"/>
    </xf>
    <xf numFmtId="2" fontId="0" fillId="41" borderId="291" xfId="0" applyNumberFormat="1" applyFill="1" applyBorder="1" applyAlignment="1">
      <alignment horizontal="center" vertical="center"/>
    </xf>
    <xf numFmtId="0" fontId="11" fillId="0" borderId="131" xfId="0" applyFont="1" applyBorder="1" applyAlignment="1">
      <alignment vertical="center"/>
    </xf>
    <xf numFmtId="3" fontId="104" fillId="18" borderId="113" xfId="0" applyNumberFormat="1" applyFont="1" applyFill="1" applyBorder="1" applyAlignment="1">
      <alignment horizontal="center"/>
    </xf>
    <xf numFmtId="0" fontId="98" fillId="42" borderId="0" xfId="0" applyFont="1" applyFill="1"/>
    <xf numFmtId="2" fontId="21" fillId="24" borderId="226" xfId="0" applyNumberFormat="1" applyFont="1" applyFill="1" applyBorder="1" applyAlignment="1">
      <alignment wrapText="1"/>
    </xf>
    <xf numFmtId="171" fontId="110" fillId="0" borderId="228" xfId="1" applyNumberFormat="1" applyFont="1" applyAlignment="1">
      <alignment horizontal="left" vertical="center"/>
    </xf>
    <xf numFmtId="0" fontId="111" fillId="0" borderId="228" xfId="2" applyNumberFormat="1" applyFont="1" applyFill="1" applyBorder="1" applyAlignment="1">
      <alignment vertical="center"/>
    </xf>
    <xf numFmtId="49" fontId="111" fillId="0" borderId="293" xfId="2" applyNumberFormat="1" applyFont="1" applyFill="1" applyBorder="1" applyAlignment="1">
      <alignment horizontal="left" vertical="center" wrapText="1"/>
    </xf>
    <xf numFmtId="4" fontId="111" fillId="0" borderId="294" xfId="3" applyNumberFormat="1" applyFont="1" applyFill="1" applyBorder="1" applyAlignment="1">
      <alignment horizontal="left" vertical="center"/>
    </xf>
    <xf numFmtId="0" fontId="112" fillId="0" borderId="228" xfId="2" applyNumberFormat="1" applyFont="1" applyFill="1" applyBorder="1" applyAlignment="1">
      <alignment horizontal="center" vertical="center"/>
    </xf>
    <xf numFmtId="0" fontId="111" fillId="0" borderId="228" xfId="2" applyNumberFormat="1" applyFont="1" applyFill="1" applyBorder="1" applyAlignment="1">
      <alignment horizontal="center" vertical="center"/>
    </xf>
    <xf numFmtId="0" fontId="98" fillId="23" borderId="226" xfId="0" applyFont="1" applyFill="1" applyBorder="1" applyAlignment="1">
      <alignment vertical="center" wrapText="1"/>
    </xf>
    <xf numFmtId="0" fontId="98" fillId="0" borderId="0" xfId="0" applyFont="1" applyAlignment="1">
      <alignment vertical="center" wrapText="1"/>
    </xf>
    <xf numFmtId="0" fontId="98" fillId="22" borderId="224" xfId="0" applyFont="1" applyFill="1" applyBorder="1" applyAlignment="1">
      <alignment wrapText="1"/>
    </xf>
    <xf numFmtId="2" fontId="21" fillId="15" borderId="64" xfId="0" applyNumberFormat="1" applyFont="1" applyFill="1" applyBorder="1"/>
    <xf numFmtId="0" fontId="98" fillId="24" borderId="228" xfId="0" applyFont="1" applyFill="1" applyBorder="1" applyAlignment="1">
      <alignment wrapText="1"/>
    </xf>
    <xf numFmtId="4" fontId="11" fillId="0" borderId="131" xfId="0" applyNumberFormat="1" applyFont="1" applyBorder="1" applyAlignment="1">
      <alignment horizontal="center" vertical="center" wrapText="1"/>
    </xf>
    <xf numFmtId="14" fontId="21" fillId="0" borderId="0" xfId="0" applyNumberFormat="1" applyFont="1"/>
    <xf numFmtId="3" fontId="106" fillId="0" borderId="290" xfId="1" applyNumberFormat="1" applyFont="1" applyBorder="1" applyAlignment="1">
      <alignment horizontal="center" vertical="center"/>
    </xf>
    <xf numFmtId="178" fontId="106" fillId="0" borderId="290" xfId="4" applyNumberFormat="1" applyFont="1" applyBorder="1" applyAlignment="1">
      <alignment horizontal="left" vertical="center"/>
    </xf>
    <xf numFmtId="4" fontId="102" fillId="0" borderId="129" xfId="0" applyNumberFormat="1" applyFont="1" applyBorder="1" applyAlignment="1">
      <alignment horizontal="center" vertical="center" wrapText="1"/>
    </xf>
    <xf numFmtId="0" fontId="11" fillId="0" borderId="64" xfId="0" applyFont="1" applyBorder="1" applyAlignment="1">
      <alignment vertical="center"/>
    </xf>
    <xf numFmtId="0" fontId="113" fillId="6" borderId="34" xfId="0" applyFont="1" applyFill="1" applyBorder="1" applyAlignment="1">
      <alignment vertical="center" wrapText="1"/>
    </xf>
    <xf numFmtId="0" fontId="114" fillId="4" borderId="46" xfId="0" applyFont="1" applyFill="1" applyBorder="1" applyAlignment="1">
      <alignment horizontal="left" vertical="center" wrapText="1"/>
    </xf>
    <xf numFmtId="0" fontId="114" fillId="4" borderId="47" xfId="0" applyFont="1" applyFill="1" applyBorder="1" applyAlignment="1">
      <alignment horizontal="center" vertical="center" wrapText="1"/>
    </xf>
    <xf numFmtId="0" fontId="114" fillId="4" borderId="17" xfId="0" applyFont="1" applyFill="1" applyBorder="1" applyAlignment="1">
      <alignment horizontal="center" vertical="center" wrapText="1"/>
    </xf>
    <xf numFmtId="0" fontId="29" fillId="4" borderId="49" xfId="0" applyFont="1" applyFill="1" applyBorder="1"/>
    <xf numFmtId="0" fontId="115" fillId="0" borderId="0" xfId="0" applyFont="1"/>
    <xf numFmtId="0" fontId="113" fillId="6" borderId="40" xfId="0" applyFont="1" applyFill="1" applyBorder="1" applyAlignment="1">
      <alignment vertical="center" wrapText="1"/>
    </xf>
    <xf numFmtId="0" fontId="114" fillId="4" borderId="124" xfId="0" applyFont="1" applyFill="1" applyBorder="1" applyAlignment="1">
      <alignment horizontal="left" vertical="center" wrapText="1"/>
    </xf>
    <xf numFmtId="0" fontId="114" fillId="4" borderId="51" xfId="0" applyFont="1" applyFill="1" applyBorder="1" applyAlignment="1">
      <alignment horizontal="center" vertical="center" wrapText="1"/>
    </xf>
    <xf numFmtId="0" fontId="114" fillId="4" borderId="262" xfId="0" applyFont="1" applyFill="1" applyBorder="1" applyAlignment="1">
      <alignment horizontal="center" vertical="center" wrapText="1"/>
    </xf>
    <xf numFmtId="0" fontId="29" fillId="4" borderId="53" xfId="0" applyFont="1" applyFill="1" applyBorder="1"/>
    <xf numFmtId="0" fontId="113" fillId="6" borderId="76" xfId="0" applyFont="1" applyFill="1" applyBorder="1" applyAlignment="1">
      <alignment vertical="center" wrapText="1"/>
    </xf>
    <xf numFmtId="0" fontId="114" fillId="4" borderId="126" xfId="0" applyFont="1" applyFill="1" applyBorder="1" applyAlignment="1">
      <alignment horizontal="center" vertical="center" wrapText="1"/>
    </xf>
    <xf numFmtId="0" fontId="114" fillId="4" borderId="53" xfId="0" applyFont="1" applyFill="1" applyBorder="1" applyAlignment="1">
      <alignment horizontal="center" vertical="center" wrapText="1"/>
    </xf>
    <xf numFmtId="0" fontId="0" fillId="0" borderId="296" xfId="0" applyBorder="1"/>
    <xf numFmtId="0" fontId="0" fillId="0" borderId="228" xfId="0" applyBorder="1"/>
    <xf numFmtId="0" fontId="0" fillId="0" borderId="297" xfId="0" applyBorder="1"/>
    <xf numFmtId="0" fontId="0" fillId="0" borderId="298" xfId="0" applyBorder="1"/>
    <xf numFmtId="0" fontId="0" fillId="0" borderId="299" xfId="0" applyBorder="1"/>
    <xf numFmtId="0" fontId="0" fillId="0" borderId="300" xfId="0" applyBorder="1"/>
    <xf numFmtId="0" fontId="0" fillId="43" borderId="0" xfId="0" applyFill="1"/>
    <xf numFmtId="0" fontId="0" fillId="42" borderId="0" xfId="0" applyFill="1"/>
    <xf numFmtId="0" fontId="0" fillId="44" borderId="0" xfId="0" applyFill="1"/>
    <xf numFmtId="0" fontId="0" fillId="45" borderId="0" xfId="0" applyFill="1"/>
    <xf numFmtId="0" fontId="21" fillId="46" borderId="0" xfId="0" applyFont="1" applyFill="1" applyAlignment="1">
      <alignment vertical="center" wrapText="1"/>
    </xf>
    <xf numFmtId="0" fontId="21" fillId="44" borderId="0" xfId="0" applyFont="1" applyFill="1" applyAlignment="1">
      <alignment vertical="center" wrapText="1"/>
    </xf>
    <xf numFmtId="0" fontId="0" fillId="47" borderId="0" xfId="0" applyFill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/>
    <xf numFmtId="0" fontId="3" fillId="0" borderId="8" xfId="0" applyFont="1" applyBorder="1"/>
    <xf numFmtId="0" fontId="3" fillId="0" borderId="9" xfId="0" applyFont="1" applyBorder="1"/>
    <xf numFmtId="17" fontId="7" fillId="2" borderId="11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8" fillId="3" borderId="15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8" fillId="3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10" fillId="4" borderId="22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10" fillId="4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166" fontId="9" fillId="4" borderId="27" xfId="0" applyNumberFormat="1" applyFont="1" applyFill="1" applyBorder="1" applyAlignment="1">
      <alignment horizontal="center" vertical="center" wrapText="1"/>
    </xf>
    <xf numFmtId="166" fontId="9" fillId="4" borderId="31" xfId="0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0" fontId="22" fillId="3" borderId="65" xfId="0" applyFont="1" applyFill="1" applyBorder="1" applyAlignment="1">
      <alignment horizontal="center" vertical="center"/>
    </xf>
    <xf numFmtId="0" fontId="3" fillId="0" borderId="66" xfId="0" applyFont="1" applyBorder="1"/>
    <xf numFmtId="0" fontId="17" fillId="0" borderId="55" xfId="0" applyFont="1" applyBorder="1" applyAlignment="1">
      <alignment horizontal="center" vertical="center"/>
    </xf>
    <xf numFmtId="0" fontId="3" fillId="0" borderId="56" xfId="0" applyFont="1" applyBorder="1"/>
    <xf numFmtId="0" fontId="3" fillId="0" borderId="57" xfId="0" applyFont="1" applyBorder="1"/>
    <xf numFmtId="0" fontId="18" fillId="3" borderId="58" xfId="0" applyFont="1" applyFill="1" applyBorder="1" applyAlignment="1">
      <alignment horizontal="center" vertical="center"/>
    </xf>
    <xf numFmtId="0" fontId="3" fillId="0" borderId="59" xfId="0" applyFont="1" applyBorder="1"/>
    <xf numFmtId="0" fontId="3" fillId="0" borderId="60" xfId="0" applyFont="1" applyBorder="1"/>
    <xf numFmtId="0" fontId="22" fillId="10" borderId="89" xfId="0" applyFont="1" applyFill="1" applyBorder="1" applyAlignment="1">
      <alignment horizontal="center" vertical="center" wrapText="1"/>
    </xf>
    <xf numFmtId="0" fontId="3" fillId="0" borderId="90" xfId="0" applyFont="1" applyBorder="1"/>
    <xf numFmtId="0" fontId="3" fillId="0" borderId="91" xfId="0" applyFont="1" applyBorder="1"/>
    <xf numFmtId="0" fontId="2" fillId="4" borderId="96" xfId="0" applyFont="1" applyFill="1" applyBorder="1" applyAlignment="1">
      <alignment horizontal="center" vertical="center"/>
    </xf>
    <xf numFmtId="0" fontId="3" fillId="0" borderId="97" xfId="0" applyFont="1" applyBorder="1"/>
    <xf numFmtId="0" fontId="3" fillId="0" borderId="100" xfId="0" applyFont="1" applyBorder="1"/>
    <xf numFmtId="0" fontId="3" fillId="0" borderId="103" xfId="0" applyFont="1" applyBorder="1"/>
    <xf numFmtId="17" fontId="7" fillId="2" borderId="105" xfId="0" applyNumberFormat="1" applyFont="1" applyFill="1" applyBorder="1" applyAlignment="1">
      <alignment horizontal="center" vertical="center"/>
    </xf>
    <xf numFmtId="0" fontId="3" fillId="0" borderId="106" xfId="0" applyFont="1" applyBorder="1"/>
    <xf numFmtId="0" fontId="3" fillId="0" borderId="107" xfId="0" applyFont="1" applyBorder="1"/>
    <xf numFmtId="4" fontId="32" fillId="13" borderId="116" xfId="0" applyNumberFormat="1" applyFont="1" applyFill="1" applyBorder="1" applyAlignment="1">
      <alignment horizontal="center" vertical="center"/>
    </xf>
    <xf numFmtId="0" fontId="3" fillId="0" borderId="117" xfId="0" applyFont="1" applyBorder="1"/>
    <xf numFmtId="49" fontId="35" fillId="2" borderId="55" xfId="0" applyNumberFormat="1" applyFont="1" applyFill="1" applyBorder="1" applyAlignment="1">
      <alignment horizontal="center" vertical="center" wrapText="1"/>
    </xf>
    <xf numFmtId="0" fontId="55" fillId="12" borderId="137" xfId="0" applyFont="1" applyFill="1" applyBorder="1" applyAlignment="1">
      <alignment horizontal="center" wrapText="1"/>
    </xf>
    <xf numFmtId="0" fontId="3" fillId="0" borderId="148" xfId="0" applyFont="1" applyBorder="1"/>
    <xf numFmtId="0" fontId="55" fillId="12" borderId="141" xfId="0" applyFont="1" applyFill="1" applyBorder="1" applyAlignment="1">
      <alignment horizontal="center" wrapText="1"/>
    </xf>
    <xf numFmtId="0" fontId="3" fillId="0" borderId="142" xfId="0" applyFont="1" applyBorder="1"/>
    <xf numFmtId="0" fontId="3" fillId="0" borderId="121" xfId="0" applyFont="1" applyBorder="1"/>
    <xf numFmtId="0" fontId="3" fillId="0" borderId="123" xfId="0" applyFont="1" applyBorder="1"/>
    <xf numFmtId="4" fontId="56" fillId="12" borderId="143" xfId="0" applyNumberFormat="1" applyFont="1" applyFill="1" applyBorder="1" applyAlignment="1">
      <alignment horizontal="center"/>
    </xf>
    <xf numFmtId="0" fontId="3" fillId="0" borderId="144" xfId="0" applyFont="1" applyBorder="1"/>
    <xf numFmtId="0" fontId="3" fillId="0" borderId="145" xfId="0" applyFont="1" applyBorder="1"/>
    <xf numFmtId="0" fontId="54" fillId="2" borderId="55" xfId="0" applyFont="1" applyFill="1" applyBorder="1" applyAlignment="1">
      <alignment horizontal="center"/>
    </xf>
    <xf numFmtId="17" fontId="54" fillId="2" borderId="11" xfId="0" applyNumberFormat="1" applyFont="1" applyFill="1" applyBorder="1" applyAlignment="1">
      <alignment horizontal="center"/>
    </xf>
    <xf numFmtId="0" fontId="55" fillId="12" borderId="136" xfId="0" applyFont="1" applyFill="1" applyBorder="1" applyAlignment="1">
      <alignment horizontal="center" wrapText="1"/>
    </xf>
    <xf numFmtId="0" fontId="3" fillId="0" borderId="146" xfId="0" applyFont="1" applyBorder="1"/>
    <xf numFmtId="0" fontId="3" fillId="0" borderId="150" xfId="0" applyFont="1" applyBorder="1"/>
    <xf numFmtId="0" fontId="3" fillId="0" borderId="147" xfId="0" applyFont="1" applyBorder="1"/>
    <xf numFmtId="0" fontId="3" fillId="0" borderId="151" xfId="0" applyFont="1" applyBorder="1"/>
    <xf numFmtId="0" fontId="55" fillId="12" borderId="138" xfId="0" applyFont="1" applyFill="1" applyBorder="1" applyAlignment="1">
      <alignment horizontal="center"/>
    </xf>
    <xf numFmtId="0" fontId="3" fillId="0" borderId="139" xfId="0" applyFont="1" applyBorder="1"/>
    <xf numFmtId="0" fontId="3" fillId="0" borderId="140" xfId="0" applyFont="1" applyBorder="1"/>
    <xf numFmtId="0" fontId="55" fillId="12" borderId="137" xfId="0" applyFont="1" applyFill="1" applyBorder="1" applyAlignment="1">
      <alignment horizontal="center"/>
    </xf>
    <xf numFmtId="17" fontId="63" fillId="2" borderId="162" xfId="0" applyNumberFormat="1" applyFont="1" applyFill="1" applyBorder="1" applyAlignment="1">
      <alignment horizontal="center" vertical="center"/>
    </xf>
    <xf numFmtId="0" fontId="3" fillId="0" borderId="166" xfId="0" applyFont="1" applyBorder="1"/>
    <xf numFmtId="0" fontId="37" fillId="12" borderId="165" xfId="0" applyFont="1" applyFill="1" applyBorder="1" applyAlignment="1">
      <alignment horizontal="center" vertical="center" wrapText="1"/>
    </xf>
    <xf numFmtId="0" fontId="3" fillId="0" borderId="167" xfId="0" applyFont="1" applyBorder="1"/>
    <xf numFmtId="17" fontId="64" fillId="2" borderId="168" xfId="0" applyNumberFormat="1" applyFont="1" applyFill="1" applyBorder="1"/>
    <xf numFmtId="0" fontId="3" fillId="0" borderId="169" xfId="0" applyFont="1" applyBorder="1"/>
    <xf numFmtId="0" fontId="67" fillId="12" borderId="170" xfId="0" applyFont="1" applyFill="1" applyBorder="1" applyAlignment="1">
      <alignment horizontal="center"/>
    </xf>
    <xf numFmtId="0" fontId="3" fillId="0" borderId="171" xfId="0" applyFont="1" applyBorder="1"/>
    <xf numFmtId="0" fontId="67" fillId="12" borderId="55" xfId="0" applyFont="1" applyFill="1" applyBorder="1" applyAlignment="1">
      <alignment horizontal="center"/>
    </xf>
    <xf numFmtId="0" fontId="3" fillId="0" borderId="172" xfId="0" applyFont="1" applyBorder="1"/>
    <xf numFmtId="0" fontId="64" fillId="2" borderId="55" xfId="0" applyFont="1" applyFill="1" applyBorder="1"/>
    <xf numFmtId="4" fontId="67" fillId="12" borderId="170" xfId="0" applyNumberFormat="1" applyFont="1" applyFill="1" applyBorder="1" applyAlignment="1">
      <alignment horizontal="center"/>
    </xf>
    <xf numFmtId="4" fontId="67" fillId="12" borderId="138" xfId="0" applyNumberFormat="1" applyFont="1" applyFill="1" applyBorder="1" applyAlignment="1">
      <alignment horizontal="center"/>
    </xf>
    <xf numFmtId="17" fontId="69" fillId="2" borderId="189" xfId="0" applyNumberFormat="1" applyFont="1" applyFill="1" applyBorder="1"/>
    <xf numFmtId="0" fontId="67" fillId="12" borderId="138" xfId="0" applyFont="1" applyFill="1" applyBorder="1" applyAlignment="1">
      <alignment horizontal="center"/>
    </xf>
    <xf numFmtId="17" fontId="67" fillId="12" borderId="182" xfId="0" applyNumberFormat="1" applyFont="1" applyFill="1" applyBorder="1" applyAlignment="1">
      <alignment horizontal="center"/>
    </xf>
    <xf numFmtId="17" fontId="67" fillId="12" borderId="170" xfId="0" applyNumberFormat="1" applyFont="1" applyFill="1" applyBorder="1" applyAlignment="1">
      <alignment horizontal="center"/>
    </xf>
    <xf numFmtId="17" fontId="67" fillId="12" borderId="55" xfId="0" applyNumberFormat="1" applyFont="1" applyFill="1" applyBorder="1" applyAlignment="1">
      <alignment horizontal="center"/>
    </xf>
    <xf numFmtId="17" fontId="69" fillId="2" borderId="186" xfId="0" applyNumberFormat="1" applyFont="1" applyFill="1" applyBorder="1"/>
    <xf numFmtId="0" fontId="3" fillId="0" borderId="7" xfId="0" applyFont="1" applyBorder="1"/>
    <xf numFmtId="0" fontId="3" fillId="0" borderId="187" xfId="0" applyFont="1" applyBorder="1"/>
    <xf numFmtId="4" fontId="56" fillId="12" borderId="193" xfId="0" applyNumberFormat="1" applyFont="1" applyFill="1" applyBorder="1" applyAlignment="1">
      <alignment horizontal="center"/>
    </xf>
    <xf numFmtId="17" fontId="69" fillId="2" borderId="186" xfId="0" applyNumberFormat="1" applyFont="1" applyFill="1" applyBorder="1" applyAlignment="1">
      <alignment horizontal="center"/>
    </xf>
    <xf numFmtId="0" fontId="56" fillId="12" borderId="192" xfId="0" applyFont="1" applyFill="1" applyBorder="1" applyAlignment="1">
      <alignment horizontal="center"/>
    </xf>
    <xf numFmtId="0" fontId="3" fillId="0" borderId="119" xfId="0" applyFont="1" applyBorder="1"/>
    <xf numFmtId="0" fontId="3" fillId="0" borderId="194" xfId="0" applyFont="1" applyBorder="1"/>
    <xf numFmtId="0" fontId="3" fillId="0" borderId="195" xfId="0" applyFont="1" applyBorder="1"/>
    <xf numFmtId="174" fontId="56" fillId="12" borderId="193" xfId="0" applyNumberFormat="1" applyFont="1" applyFill="1" applyBorder="1" applyAlignment="1">
      <alignment horizontal="center"/>
    </xf>
    <xf numFmtId="4" fontId="56" fillId="12" borderId="55" xfId="0" applyNumberFormat="1" applyFont="1" applyFill="1" applyBorder="1" applyAlignment="1">
      <alignment horizontal="center"/>
    </xf>
    <xf numFmtId="166" fontId="72" fillId="6" borderId="155" xfId="0" applyNumberFormat="1" applyFont="1" applyFill="1" applyBorder="1" applyAlignment="1">
      <alignment horizontal="center"/>
    </xf>
    <xf numFmtId="0" fontId="3" fillId="0" borderId="207" xfId="0" applyFont="1" applyBorder="1"/>
    <xf numFmtId="0" fontId="3" fillId="0" borderId="208" xfId="0" applyFont="1" applyBorder="1"/>
    <xf numFmtId="0" fontId="71" fillId="2" borderId="55" xfId="0" applyFont="1" applyFill="1" applyBorder="1" applyAlignment="1">
      <alignment horizontal="center"/>
    </xf>
    <xf numFmtId="0" fontId="55" fillId="12" borderId="204" xfId="0" applyFont="1" applyFill="1" applyBorder="1" applyAlignment="1">
      <alignment horizontal="center" wrapText="1"/>
    </xf>
    <xf numFmtId="0" fontId="3" fillId="0" borderId="205" xfId="0" applyFont="1" applyBorder="1"/>
    <xf numFmtId="0" fontId="55" fillId="12" borderId="55" xfId="0" applyFont="1" applyFill="1" applyBorder="1" applyAlignment="1">
      <alignment horizontal="center"/>
    </xf>
    <xf numFmtId="0" fontId="47" fillId="28" borderId="228" xfId="0" applyFont="1" applyFill="1" applyBorder="1" applyAlignment="1">
      <alignment horizontal="center" vertical="center" textRotation="90"/>
    </xf>
    <xf numFmtId="0" fontId="47" fillId="27" borderId="295" xfId="0" applyFont="1" applyFill="1" applyBorder="1" applyAlignment="1">
      <alignment horizontal="center" vertical="center" textRotation="90"/>
    </xf>
    <xf numFmtId="0" fontId="47" fillId="26" borderId="295" xfId="0" applyFont="1" applyFill="1" applyBorder="1" applyAlignment="1">
      <alignment horizontal="center" vertical="center" textRotation="90"/>
    </xf>
    <xf numFmtId="0" fontId="47" fillId="25" borderId="228" xfId="0" applyFont="1" applyFill="1" applyBorder="1" applyAlignment="1">
      <alignment horizontal="center" vertical="center" textRotation="90"/>
    </xf>
    <xf numFmtId="0" fontId="73" fillId="19" borderId="143" xfId="0" applyFont="1" applyFill="1" applyBorder="1" applyAlignment="1">
      <alignment horizontal="center"/>
    </xf>
    <xf numFmtId="0" fontId="21" fillId="6" borderId="221" xfId="0" applyFont="1" applyFill="1" applyBorder="1"/>
    <xf numFmtId="0" fontId="3" fillId="0" borderId="222" xfId="0" applyFont="1" applyBorder="1"/>
    <xf numFmtId="0" fontId="73" fillId="19" borderId="138" xfId="0" applyFont="1" applyFill="1" applyBorder="1" applyAlignment="1">
      <alignment horizontal="center"/>
    </xf>
    <xf numFmtId="0" fontId="3" fillId="0" borderId="223" xfId="0" applyFont="1" applyBorder="1"/>
    <xf numFmtId="0" fontId="47" fillId="6" borderId="193" xfId="0" applyFont="1" applyFill="1" applyBorder="1" applyAlignment="1">
      <alignment horizontal="center"/>
    </xf>
    <xf numFmtId="0" fontId="5" fillId="4" borderId="55" xfId="0" applyFont="1" applyFill="1" applyBorder="1" applyAlignment="1">
      <alignment horizontal="left" vertical="center"/>
    </xf>
    <xf numFmtId="166" fontId="7" fillId="2" borderId="170" xfId="0" applyNumberFormat="1" applyFont="1" applyFill="1" applyBorder="1" applyAlignment="1">
      <alignment horizontal="center" vertical="center"/>
    </xf>
    <xf numFmtId="0" fontId="3" fillId="0" borderId="231" xfId="0" applyFont="1" applyBorder="1"/>
    <xf numFmtId="166" fontId="63" fillId="29" borderId="138" xfId="0" applyNumberFormat="1" applyFont="1" applyFill="1" applyBorder="1" applyAlignment="1">
      <alignment horizontal="center" vertical="center"/>
    </xf>
    <xf numFmtId="0" fontId="21" fillId="2" borderId="143" xfId="0" applyFont="1" applyFill="1" applyBorder="1"/>
    <xf numFmtId="0" fontId="64" fillId="2" borderId="170" xfId="0" applyFont="1" applyFill="1" applyBorder="1" applyAlignment="1">
      <alignment horizontal="center"/>
    </xf>
    <xf numFmtId="0" fontId="79" fillId="33" borderId="242" xfId="0" applyFont="1" applyFill="1" applyBorder="1" applyAlignment="1">
      <alignment horizontal="center" vertical="center" wrapText="1"/>
    </xf>
    <xf numFmtId="0" fontId="3" fillId="0" borderId="243" xfId="0" applyFont="1" applyBorder="1"/>
    <xf numFmtId="0" fontId="79" fillId="34" borderId="242" xfId="0" applyFont="1" applyFill="1" applyBorder="1" applyAlignment="1">
      <alignment horizontal="center" vertical="center" wrapText="1"/>
    </xf>
    <xf numFmtId="0" fontId="63" fillId="2" borderId="189" xfId="0" applyFont="1" applyFill="1" applyBorder="1" applyAlignment="1">
      <alignment horizontal="center" vertical="center"/>
    </xf>
    <xf numFmtId="0" fontId="63" fillId="2" borderId="170" xfId="0" applyFont="1" applyFill="1" applyBorder="1" applyAlignment="1">
      <alignment horizontal="center" vertical="center"/>
    </xf>
    <xf numFmtId="0" fontId="21" fillId="2" borderId="189" xfId="0" applyFont="1" applyFill="1" applyBorder="1" applyAlignment="1">
      <alignment horizontal="center"/>
    </xf>
    <xf numFmtId="0" fontId="27" fillId="3" borderId="89" xfId="0" applyFont="1" applyFill="1" applyBorder="1" applyAlignment="1">
      <alignment horizontal="center" vertical="center"/>
    </xf>
    <xf numFmtId="0" fontId="116" fillId="0" borderId="90" xfId="0" applyFont="1" applyBorder="1"/>
    <xf numFmtId="0" fontId="116" fillId="0" borderId="263" xfId="0" applyFont="1" applyBorder="1"/>
    <xf numFmtId="0" fontId="92" fillId="0" borderId="100" xfId="0" applyFont="1" applyBorder="1" applyAlignment="1">
      <alignment horizontal="center" vertical="center"/>
    </xf>
    <xf numFmtId="0" fontId="0" fillId="0" borderId="0" xfId="0"/>
    <xf numFmtId="0" fontId="3" fillId="0" borderId="120" xfId="0" applyFont="1" applyBorder="1"/>
    <xf numFmtId="17" fontId="66" fillId="2" borderId="138" xfId="0" applyNumberFormat="1" applyFont="1" applyFill="1" applyBorder="1" applyAlignment="1">
      <alignment horizontal="center" vertical="center"/>
    </xf>
    <xf numFmtId="0" fontId="35" fillId="33" borderId="55" xfId="0" applyFont="1" applyFill="1" applyBorder="1" applyAlignment="1">
      <alignment horizontal="center" vertical="center" wrapText="1"/>
    </xf>
    <xf numFmtId="0" fontId="35" fillId="33" borderId="170" xfId="0" applyFont="1" applyFill="1" applyBorder="1" applyAlignment="1">
      <alignment horizontal="center" vertical="center" wrapText="1"/>
    </xf>
    <xf numFmtId="177" fontId="66" fillId="33" borderId="193" xfId="0" applyNumberFormat="1" applyFont="1" applyFill="1" applyBorder="1" applyAlignment="1">
      <alignment horizontal="center" vertical="center" wrapText="1"/>
    </xf>
    <xf numFmtId="0" fontId="5" fillId="30" borderId="273" xfId="0" applyFont="1" applyFill="1" applyBorder="1" applyAlignment="1">
      <alignment horizontal="center" vertical="center"/>
    </xf>
    <xf numFmtId="0" fontId="3" fillId="0" borderId="276" xfId="0" applyFont="1" applyBorder="1"/>
    <xf numFmtId="0" fontId="107" fillId="11" borderId="138" xfId="0" applyFont="1" applyFill="1" applyBorder="1" applyAlignment="1">
      <alignment horizontal="center" vertical="center" wrapText="1"/>
    </xf>
    <xf numFmtId="0" fontId="5" fillId="30" borderId="274" xfId="0" applyFont="1" applyFill="1" applyBorder="1" applyAlignment="1">
      <alignment horizontal="center" vertical="center"/>
    </xf>
    <xf numFmtId="0" fontId="3" fillId="0" borderId="277" xfId="0" applyFont="1" applyBorder="1"/>
    <xf numFmtId="0" fontId="5" fillId="30" borderId="275" xfId="0" applyFont="1" applyFill="1" applyBorder="1" applyAlignment="1">
      <alignment horizontal="center" vertical="center"/>
    </xf>
  </cellXfs>
  <cellStyles count="5">
    <cellStyle name="Normal" xfId="0" builtinId="0"/>
    <cellStyle name="Normal 2 2 2 2" xfId="1" xr:uid="{A6D7F88A-9C13-4672-B9B9-66633F17A3B7}"/>
    <cellStyle name="Normal 4 2" xfId="2" xr:uid="{591B7348-4CC9-4A89-838D-73AB956C0211}"/>
    <cellStyle name="Vírgula 26 2" xfId="4" xr:uid="{6B11BD10-2A5A-4283-BEC3-D5E3A2881EBF}"/>
    <cellStyle name="Vírgula 5 2" xfId="3" xr:uid="{B98A186D-5FD2-4F73-9128-EFF75168A2CB}"/>
  </cellStyles>
  <dxfs count="4978"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rgb="FFF43800"/>
      </font>
      <fill>
        <patternFill patternType="none"/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color rgb="FFFF0000"/>
      </font>
      <fill>
        <patternFill patternType="solid">
          <fgColor rgb="FFFECAD1"/>
          <bgColor rgb="FFFECAD1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ill>
        <patternFill patternType="solid">
          <fgColor rgb="FFD7D7D7"/>
          <bgColor rgb="FFD7D7D7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ont>
        <b/>
      </font>
      <fill>
        <patternFill patternType="solid">
          <fgColor rgb="FFBABABA"/>
          <bgColor rgb="FFBABABA"/>
        </patternFill>
      </fill>
    </dxf>
    <dxf>
      <fill>
        <patternFill patternType="solid">
          <fgColor rgb="FFD7D7D7"/>
          <bgColor rgb="FFD7D7D7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D8D8D8"/>
          <bgColor rgb="FFD8D8D8"/>
        </patternFill>
      </fill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F43800"/>
          <bgColor rgb="FFF43800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F43800"/>
          <bgColor rgb="FFF43800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color theme="0"/>
      </font>
      <fill>
        <patternFill patternType="solid">
          <fgColor rgb="FF1851D6"/>
          <bgColor rgb="FF1851D6"/>
        </patternFill>
      </fill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  <color theme="0"/>
      </font>
      <fill>
        <patternFill patternType="solid">
          <fgColor rgb="FF1851D6"/>
          <bgColor rgb="FF1851D6"/>
        </patternFill>
      </fill>
      <border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D8D8D8"/>
          <bgColor rgb="FFD8D8D8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b/>
      </font>
      <fill>
        <patternFill patternType="solid">
          <fgColor rgb="FF7F7F7F"/>
          <bgColor rgb="FF7F7F7F"/>
        </patternFill>
      </fill>
    </dxf>
    <dxf>
      <font>
        <b/>
        <color theme="0"/>
      </font>
      <fill>
        <patternFill patternType="solid">
          <fgColor rgb="FF3F3F3F"/>
          <bgColor rgb="FF3F3F3F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185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4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.png"/><Relationship Id="rId1" Type="http://schemas.openxmlformats.org/officeDocument/2006/relationships/image" Target="../media/image7.jp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Ger_Executivo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247650</xdr:colOff>
      <xdr:row>0</xdr:row>
      <xdr:rowOff>95250</xdr:rowOff>
    </xdr:from>
    <xdr:ext cx="1085850" cy="266700"/>
    <xdr:sp macro="" textlink="">
      <xdr:nvSpPr>
        <xdr:cNvPr id="3" name="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7838" y="3651413"/>
          <a:ext cx="1076325" cy="25717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0</xdr:row>
      <xdr:rowOff>47625</xdr:rowOff>
    </xdr:from>
    <xdr:ext cx="1971675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7</xdr:row>
      <xdr:rowOff>85725</xdr:rowOff>
    </xdr:from>
    <xdr:ext cx="3390900" cy="2438400"/>
    <xdr:pic>
      <xdr:nvPicPr>
        <xdr:cNvPr id="4" name="image2.png" title="Imagem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62750" y="1552575"/>
          <a:ext cx="3390900" cy="2438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209550</xdr:colOff>
      <xdr:row>0</xdr:row>
      <xdr:rowOff>133350</xdr:rowOff>
    </xdr:from>
    <xdr:ext cx="1933575" cy="36195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333375</xdr:colOff>
      <xdr:row>4</xdr:row>
      <xdr:rowOff>95250</xdr:rowOff>
    </xdr:from>
    <xdr:ext cx="3648075" cy="29051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0</xdr:row>
      <xdr:rowOff>85725</xdr:rowOff>
    </xdr:from>
    <xdr:ext cx="1952625" cy="3333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914400</xdr:colOff>
      <xdr:row>0</xdr:row>
      <xdr:rowOff>104775</xdr:rowOff>
    </xdr:from>
    <xdr:ext cx="1752600" cy="409575"/>
    <xdr:sp macro="" textlink="">
      <xdr:nvSpPr>
        <xdr:cNvPr id="4" name="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474463" y="3579975"/>
          <a:ext cx="1743075" cy="400050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1</xdr:col>
      <xdr:colOff>381000</xdr:colOff>
      <xdr:row>0</xdr:row>
      <xdr:rowOff>123825</xdr:rowOff>
    </xdr:from>
    <xdr:ext cx="1714500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1</xdr:row>
      <xdr:rowOff>0</xdr:rowOff>
    </xdr:from>
    <xdr:ext cx="11477625" cy="3238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0" y="3622838"/>
          <a:ext cx="106920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262626"/>
            </a:buClr>
            <a:buSzPts val="1800"/>
            <a:buFont typeface="Calibri"/>
            <a:buNone/>
          </a:pPr>
          <a:r>
            <a:rPr lang="en-US" sz="1800" b="1" i="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6</xdr:col>
      <xdr:colOff>152400</xdr:colOff>
      <xdr:row>0</xdr:row>
      <xdr:rowOff>161925</xdr:rowOff>
    </xdr:from>
    <xdr:ext cx="1571625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</xdr:colOff>
      <xdr:row>1</xdr:row>
      <xdr:rowOff>0</xdr:rowOff>
    </xdr:from>
    <xdr:ext cx="17268825" cy="3238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0" y="3622838"/>
          <a:ext cx="106920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262626"/>
            </a:buClr>
            <a:buSzPts val="1800"/>
            <a:buFont typeface="Calibri"/>
            <a:buNone/>
          </a:pPr>
          <a:r>
            <a:rPr lang="en-US" sz="1800" b="1" i="0" u="none" strike="noStrike">
              <a:solidFill>
                <a:srgbClr val="262626"/>
              </a:solidFill>
              <a:latin typeface="Calibri"/>
              <a:ea typeface="Calibri"/>
              <a:cs typeface="Calibri"/>
              <a:sym typeface="Calibri"/>
            </a:rPr>
            <a:t>PLANILHA DE ORÇAMENTO</a:t>
          </a:r>
          <a:endParaRPr sz="1400"/>
        </a:p>
      </xdr:txBody>
    </xdr:sp>
    <xdr:clientData fLocksWithSheet="0"/>
  </xdr:oneCellAnchor>
  <xdr:oneCellAnchor>
    <xdr:from>
      <xdr:col>6</xdr:col>
      <xdr:colOff>304800</xdr:colOff>
      <xdr:row>0</xdr:row>
      <xdr:rowOff>161925</xdr:rowOff>
    </xdr:from>
    <xdr:ext cx="1724025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247650</xdr:colOff>
      <xdr:row>0</xdr:row>
      <xdr:rowOff>123825</xdr:rowOff>
    </xdr:from>
    <xdr:ext cx="1390650" cy="285750"/>
    <xdr:sp macro="" textlink="">
      <xdr:nvSpPr>
        <xdr:cNvPr id="7" name="Shape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4655438" y="3641888"/>
          <a:ext cx="1381125" cy="27622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57150</xdr:colOff>
      <xdr:row>0</xdr:row>
      <xdr:rowOff>114300</xdr:rowOff>
    </xdr:from>
    <xdr:ext cx="1876425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183</xdr:row>
      <xdr:rowOff>57150</xdr:rowOff>
    </xdr:from>
    <xdr:ext cx="17478375" cy="78676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571500</xdr:colOff>
      <xdr:row>14</xdr:row>
      <xdr:rowOff>180975</xdr:rowOff>
    </xdr:from>
    <xdr:ext cx="3762375" cy="3381375"/>
    <xdr:pic>
      <xdr:nvPicPr>
        <xdr:cNvPr id="4" name="image9.png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38100</xdr:colOff>
      <xdr:row>53</xdr:row>
      <xdr:rowOff>66675</xdr:rowOff>
    </xdr:from>
    <xdr:ext cx="1990725" cy="1828800"/>
    <xdr:pic>
      <xdr:nvPicPr>
        <xdr:cNvPr id="2" name="image6.jpg" descr="Bloco Estrutural de 3 estacas, como orçar? - Engenheiro de Custo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0</xdr:row>
      <xdr:rowOff>114300</xdr:rowOff>
    </xdr:from>
    <xdr:ext cx="2009775" cy="3429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409575</xdr:colOff>
      <xdr:row>18</xdr:row>
      <xdr:rowOff>95250</xdr:rowOff>
    </xdr:from>
    <xdr:ext cx="3076575" cy="1104900"/>
    <xdr:pic>
      <xdr:nvPicPr>
        <xdr:cNvPr id="4" name="image10.png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0</xdr:row>
      <xdr:rowOff>133350</xdr:rowOff>
    </xdr:from>
    <xdr:ext cx="2095500" cy="1733550"/>
    <xdr:pic>
      <xdr:nvPicPr>
        <xdr:cNvPr id="5" name="image8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9</xdr:row>
      <xdr:rowOff>133350</xdr:rowOff>
    </xdr:from>
    <xdr:ext cx="2428875" cy="1800225"/>
    <xdr:pic>
      <xdr:nvPicPr>
        <xdr:cNvPr id="6" name="image7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428625</xdr:colOff>
      <xdr:row>0</xdr:row>
      <xdr:rowOff>114300</xdr:rowOff>
    </xdr:from>
    <xdr:ext cx="1066800" cy="257175"/>
    <xdr:sp macro="" textlink="">
      <xdr:nvSpPr>
        <xdr:cNvPr id="8" name="Shap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4817363" y="3656175"/>
          <a:ext cx="1057275" cy="247650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161925</xdr:rowOff>
    </xdr:from>
    <xdr:ext cx="1866900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61925"/>
          <a:ext cx="1866900" cy="323850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171450</xdr:rowOff>
    </xdr:from>
    <xdr:ext cx="1819275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323850</xdr:colOff>
      <xdr:row>1</xdr:row>
      <xdr:rowOff>133350</xdr:rowOff>
    </xdr:from>
    <xdr:ext cx="781050" cy="800100"/>
    <xdr:pic>
      <xdr:nvPicPr>
        <xdr:cNvPr id="2" name="image11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142875</xdr:colOff>
      <xdr:row>12</xdr:row>
      <xdr:rowOff>133350</xdr:rowOff>
    </xdr:from>
    <xdr:ext cx="1085850" cy="266700"/>
    <xdr:sp macro="" textlink="">
      <xdr:nvSpPr>
        <xdr:cNvPr id="10" name="Shap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4807838" y="3651413"/>
          <a:ext cx="1076325" cy="257175"/>
        </a:xfrm>
        <a:prstGeom prst="roundRect">
          <a:avLst>
            <a:gd name="adj" fmla="val 16667"/>
          </a:avLst>
        </a:prstGeom>
        <a:solidFill>
          <a:srgbClr val="F438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 b="1" cap="non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RESUMO</a:t>
          </a:r>
          <a:endParaRPr sz="1400"/>
        </a:p>
      </xdr:txBody>
    </xdr:sp>
    <xdr:clientData fLocksWithSheet="0"/>
  </xdr:oneCellAnchor>
  <xdr:oneCellAnchor>
    <xdr:from>
      <xdr:col>0</xdr:col>
      <xdr:colOff>790575</xdr:colOff>
      <xdr:row>12</xdr:row>
      <xdr:rowOff>180975</xdr:rowOff>
    </xdr:from>
    <xdr:ext cx="1752600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1057275</xdr:colOff>
      <xdr:row>0</xdr:row>
      <xdr:rowOff>95250</xdr:rowOff>
    </xdr:from>
    <xdr:ext cx="18383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0</xdr:row>
      <xdr:rowOff>66675</xdr:rowOff>
    </xdr:from>
    <xdr:ext cx="1552575" cy="4476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0</xdr:row>
      <xdr:rowOff>104775</xdr:rowOff>
    </xdr:from>
    <xdr:ext cx="1552575" cy="4476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228600</xdr:colOff>
      <xdr:row>0</xdr:row>
      <xdr:rowOff>66675</xdr:rowOff>
    </xdr:from>
    <xdr:ext cx="1552575" cy="4476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123825</xdr:rowOff>
    </xdr:from>
    <xdr:ext cx="18383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161925</xdr:rowOff>
    </xdr:from>
    <xdr:ext cx="18383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142875</xdr:rowOff>
    </xdr:from>
    <xdr:ext cx="18002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123825</xdr:rowOff>
    </xdr:from>
    <xdr:ext cx="18383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0</xdr:row>
      <xdr:rowOff>180975</xdr:rowOff>
    </xdr:from>
    <xdr:ext cx="1838325" cy="390525"/>
    <xdr:pic>
      <xdr:nvPicPr>
        <xdr:cNvPr id="2" name="image1.png">
          <a:extLst>
            <a:ext uri="{FF2B5EF4-FFF2-40B4-BE49-F238E27FC236}">
              <a16:creationId xmlns:a16="http://schemas.microsoft.com/office/drawing/2014/main" id="{5906FDFC-8129-41F3-BE55-C4D7D71FBF7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425" y="180975"/>
          <a:ext cx="1838325" cy="390525"/>
        </a:xfrm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209550</xdr:colOff>
      <xdr:row>0</xdr:row>
      <xdr:rowOff>304800</xdr:rowOff>
    </xdr:from>
    <xdr:ext cx="1952625" cy="333375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857250</xdr:colOff>
      <xdr:row>1</xdr:row>
      <xdr:rowOff>0</xdr:rowOff>
    </xdr:from>
    <xdr:ext cx="2933700" cy="5619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hopping/product/816597366598251235?client=opera-gx&amp;sca_esv=0c30d914e1d01d18&amp;q=Placa%C2%A060,5%C2%A0x%C2%A060,5cm+ceramico+parede&amp;fbs=ABzOT_BYhiZpMrUAF0c9tORwPGlsjfkTCQbVbkeDjnTQtijddBq82CQX-xUBR9s0VVH0Uz4YZWXmkEwVISjw0MO8OaXMUOqsQuww0bKTeQ607n8oTdLAw3M8YuINd_u-RUAwx28dcsTnLjriLIo6vJpmIfMKufFGiWm3BDOt1TN2aSktoHih0KKvBZ3KR4MQRS54riOwJnfwdRUjA_6bbNITZaWAh0rEqA&amp;ictx=111&amp;prds=eto:12204749333006783484_0,pid:3688055815818705133&amp;sa=X&amp;ved=0ahUKEwiL3Pu1o7yLAxXMH7kGHRv-EmMQ8wIInA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1D6"/>
  </sheetPr>
  <dimension ref="A1:J84"/>
  <sheetViews>
    <sheetView showGridLines="0" tabSelected="1" workbookViewId="0">
      <pane ySplit="4" topLeftCell="A5" activePane="bottomLeft" state="frozen"/>
      <selection pane="bottomLeft" activeCell="G34" sqref="G34:G52"/>
    </sheetView>
  </sheetViews>
  <sheetFormatPr defaultColWidth="12.5703125" defaultRowHeight="15" customHeight="1" x14ac:dyDescent="0.2"/>
  <cols>
    <col min="1" max="1" width="5.85546875" customWidth="1"/>
    <col min="2" max="2" width="39" customWidth="1"/>
    <col min="3" max="3" width="18.28515625" customWidth="1"/>
    <col min="4" max="4" width="10.7109375" customWidth="1"/>
    <col min="5" max="5" width="20.7109375" customWidth="1"/>
    <col min="6" max="6" width="2.140625" customWidth="1"/>
    <col min="7" max="8" width="41.28515625" customWidth="1"/>
    <col min="9" max="9" width="12" customWidth="1"/>
    <col min="10" max="10" width="9.140625" customWidth="1"/>
    <col min="11" max="11" width="4" customWidth="1"/>
    <col min="12" max="26" width="9.140625" customWidth="1"/>
  </cols>
  <sheetData>
    <row r="1" spans="1:10" ht="15" customHeight="1" x14ac:dyDescent="0.2">
      <c r="A1" s="1040"/>
      <c r="B1" s="1041"/>
      <c r="C1" s="1" t="s">
        <v>0</v>
      </c>
      <c r="D1" s="2" t="s">
        <v>1</v>
      </c>
      <c r="E1" s="2"/>
      <c r="F1" s="2"/>
      <c r="G1" s="2"/>
      <c r="H1" s="2"/>
      <c r="I1" s="3"/>
      <c r="J1" s="4"/>
    </row>
    <row r="2" spans="1:10" ht="15" customHeight="1" x14ac:dyDescent="0.2">
      <c r="A2" s="1042"/>
      <c r="B2" s="1041"/>
      <c r="C2" s="1" t="s">
        <v>2</v>
      </c>
      <c r="D2" s="2" t="s">
        <v>3</v>
      </c>
      <c r="E2" s="5"/>
      <c r="F2" s="5"/>
      <c r="G2" s="5"/>
      <c r="H2" s="5"/>
      <c r="I2" s="6"/>
      <c r="J2" s="7"/>
    </row>
    <row r="3" spans="1:10" ht="15" customHeight="1" x14ac:dyDescent="0.2">
      <c r="A3" s="1043"/>
      <c r="B3" s="1044"/>
      <c r="C3" s="1" t="s">
        <v>4</v>
      </c>
      <c r="D3" s="2" t="s">
        <v>5</v>
      </c>
      <c r="E3" s="8"/>
      <c r="F3" s="8"/>
      <c r="G3" s="8"/>
      <c r="H3" s="8"/>
      <c r="I3" s="9"/>
      <c r="J3" s="10"/>
    </row>
    <row r="4" spans="1:10" ht="20.25" customHeight="1" x14ac:dyDescent="0.2">
      <c r="A4" s="1045" t="s">
        <v>6</v>
      </c>
      <c r="B4" s="1046"/>
      <c r="C4" s="1046"/>
      <c r="D4" s="1046"/>
      <c r="E4" s="1046"/>
      <c r="F4" s="1046"/>
      <c r="G4" s="1046"/>
      <c r="H4" s="1046"/>
      <c r="I4" s="1046"/>
      <c r="J4" s="1047"/>
    </row>
    <row r="5" spans="1:10" ht="18.7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8.75" customHeight="1" x14ac:dyDescent="0.2">
      <c r="A6" s="11"/>
      <c r="B6" s="12" t="s">
        <v>7</v>
      </c>
      <c r="C6" s="1048" t="s">
        <v>8</v>
      </c>
      <c r="D6" s="1049"/>
      <c r="E6" s="13" t="s">
        <v>9</v>
      </c>
      <c r="F6" s="11"/>
      <c r="G6" s="1050" t="s">
        <v>10</v>
      </c>
      <c r="H6" s="1051"/>
      <c r="I6" s="1051"/>
      <c r="J6" s="1052"/>
    </row>
    <row r="7" spans="1:10" ht="12.75" customHeight="1" x14ac:dyDescent="0.2">
      <c r="A7" s="11"/>
      <c r="B7" s="14" t="s">
        <v>11</v>
      </c>
      <c r="C7" s="1053" t="s">
        <v>12</v>
      </c>
      <c r="D7" s="1054"/>
      <c r="E7" s="15">
        <v>42</v>
      </c>
      <c r="F7" s="11"/>
      <c r="G7" s="16"/>
      <c r="H7" s="11"/>
      <c r="I7" s="11"/>
      <c r="J7" s="17"/>
    </row>
    <row r="8" spans="1:10" ht="12.75" customHeight="1" x14ac:dyDescent="0.2">
      <c r="A8" s="11"/>
      <c r="B8" s="14" t="s">
        <v>13</v>
      </c>
      <c r="C8" s="1055" t="s">
        <v>14</v>
      </c>
      <c r="D8" s="1056"/>
      <c r="E8" s="15">
        <v>1140</v>
      </c>
      <c r="F8" s="11"/>
      <c r="G8" s="16"/>
      <c r="H8" s="11"/>
      <c r="I8" s="11"/>
      <c r="J8" s="17"/>
    </row>
    <row r="9" spans="1:10" ht="12.75" customHeight="1" x14ac:dyDescent="0.2">
      <c r="A9" s="11"/>
      <c r="B9" s="18" t="s">
        <v>15</v>
      </c>
      <c r="C9" s="1055" t="s">
        <v>14</v>
      </c>
      <c r="D9" s="1056"/>
      <c r="E9" s="15">
        <v>7672.04</v>
      </c>
      <c r="F9" s="11"/>
      <c r="G9" s="16"/>
      <c r="H9" s="11"/>
      <c r="I9" s="11"/>
      <c r="J9" s="17"/>
    </row>
    <row r="10" spans="1:10" ht="12.75" customHeight="1" x14ac:dyDescent="0.2">
      <c r="A10" s="11"/>
      <c r="B10" s="18" t="s">
        <v>16</v>
      </c>
      <c r="C10" s="1057" t="s">
        <v>17</v>
      </c>
      <c r="D10" s="1056"/>
      <c r="E10" s="15">
        <v>81</v>
      </c>
      <c r="F10" s="11"/>
      <c r="G10" s="16"/>
      <c r="H10" s="11"/>
      <c r="I10" s="11"/>
      <c r="J10" s="17"/>
    </row>
    <row r="11" spans="1:10" ht="12.75" customHeight="1" x14ac:dyDescent="0.2">
      <c r="A11" s="11"/>
      <c r="B11" s="18" t="s">
        <v>18</v>
      </c>
      <c r="C11" s="1057" t="s">
        <v>17</v>
      </c>
      <c r="D11" s="1056"/>
      <c r="E11" s="15">
        <v>2</v>
      </c>
      <c r="F11" s="11"/>
      <c r="G11" s="16"/>
      <c r="H11" s="11"/>
      <c r="I11" s="11"/>
      <c r="J11" s="17"/>
    </row>
    <row r="12" spans="1:10" ht="12.75" customHeight="1" x14ac:dyDescent="0.2">
      <c r="A12" s="11"/>
      <c r="B12" s="18" t="s">
        <v>19</v>
      </c>
      <c r="C12" s="1055" t="s">
        <v>14</v>
      </c>
      <c r="D12" s="1056"/>
      <c r="E12" s="19">
        <v>4782.91</v>
      </c>
      <c r="F12" s="11"/>
      <c r="G12" s="16"/>
      <c r="H12" s="11"/>
      <c r="I12" s="11"/>
      <c r="J12" s="17"/>
    </row>
    <row r="13" spans="1:10" ht="12.75" customHeight="1" x14ac:dyDescent="0.2">
      <c r="A13" s="11"/>
      <c r="B13" s="20" t="s">
        <v>20</v>
      </c>
      <c r="C13" s="1055" t="s">
        <v>17</v>
      </c>
      <c r="D13" s="1056"/>
      <c r="E13" s="15">
        <v>16</v>
      </c>
      <c r="F13" s="11"/>
      <c r="G13" s="16"/>
      <c r="H13" s="11"/>
      <c r="I13" s="11"/>
      <c r="J13" s="17"/>
    </row>
    <row r="14" spans="1:10" ht="12.75" customHeight="1" x14ac:dyDescent="0.2">
      <c r="A14" s="11"/>
      <c r="B14" s="21"/>
      <c r="C14" s="1055"/>
      <c r="D14" s="1056"/>
      <c r="E14" s="15"/>
      <c r="F14" s="11"/>
      <c r="G14" s="16"/>
      <c r="H14" s="11"/>
      <c r="I14" s="11"/>
      <c r="J14" s="17"/>
    </row>
    <row r="15" spans="1:10" ht="12.75" customHeight="1" x14ac:dyDescent="0.2">
      <c r="A15" s="11"/>
      <c r="B15" s="21" t="s">
        <v>21</v>
      </c>
      <c r="C15" s="1055" t="s">
        <v>14</v>
      </c>
      <c r="D15" s="1056"/>
      <c r="E15" s="15">
        <v>787.31</v>
      </c>
      <c r="F15" s="11"/>
      <c r="G15" s="16"/>
      <c r="H15" s="11"/>
      <c r="I15" s="11"/>
      <c r="J15" s="17"/>
    </row>
    <row r="16" spans="1:10" ht="12.75" customHeight="1" x14ac:dyDescent="0.2">
      <c r="A16" s="11"/>
      <c r="B16" s="21" t="s">
        <v>22</v>
      </c>
      <c r="C16" s="1055" t="s">
        <v>14</v>
      </c>
      <c r="D16" s="1056"/>
      <c r="E16" s="15">
        <v>785.88</v>
      </c>
      <c r="F16" s="11"/>
      <c r="G16" s="16"/>
      <c r="H16" s="11"/>
      <c r="I16" s="11"/>
      <c r="J16" s="17"/>
    </row>
    <row r="17" spans="2:10" ht="12.75" customHeight="1" x14ac:dyDescent="0.2">
      <c r="B17" s="21" t="s">
        <v>23</v>
      </c>
      <c r="C17" s="1055" t="s">
        <v>14</v>
      </c>
      <c r="D17" s="1056"/>
      <c r="E17" s="15">
        <v>808.07</v>
      </c>
      <c r="G17" s="1027"/>
      <c r="H17" s="1028"/>
      <c r="I17" s="1028"/>
      <c r="J17" s="1029"/>
    </row>
    <row r="18" spans="2:10" ht="12.75" customHeight="1" x14ac:dyDescent="0.2">
      <c r="B18" s="21" t="s">
        <v>24</v>
      </c>
      <c r="C18" s="1055" t="s">
        <v>14</v>
      </c>
      <c r="D18" s="1056"/>
      <c r="E18" s="15">
        <v>506.35</v>
      </c>
      <c r="G18" s="1027"/>
      <c r="H18" s="1028"/>
      <c r="I18" s="1028"/>
      <c r="J18" s="1029"/>
    </row>
    <row r="19" spans="2:10" ht="12.75" customHeight="1" x14ac:dyDescent="0.2">
      <c r="B19" s="21" t="s">
        <v>25</v>
      </c>
      <c r="C19" s="1055" t="s">
        <v>14</v>
      </c>
      <c r="D19" s="1056"/>
      <c r="E19" s="15">
        <v>506.35</v>
      </c>
      <c r="G19" s="1027"/>
      <c r="H19" s="1028"/>
      <c r="I19" s="1028"/>
      <c r="J19" s="1029"/>
    </row>
    <row r="20" spans="2:10" ht="12.75" customHeight="1" x14ac:dyDescent="0.2">
      <c r="B20" s="21" t="s">
        <v>26</v>
      </c>
      <c r="C20" s="1055" t="s">
        <v>14</v>
      </c>
      <c r="D20" s="1056"/>
      <c r="E20" s="15">
        <v>506.35</v>
      </c>
      <c r="G20" s="1027"/>
      <c r="H20" s="1028"/>
      <c r="I20" s="1028"/>
      <c r="J20" s="1029"/>
    </row>
    <row r="21" spans="2:10" ht="11.25" customHeight="1" x14ac:dyDescent="0.2">
      <c r="B21" s="21" t="s">
        <v>27</v>
      </c>
      <c r="C21" s="1055" t="s">
        <v>14</v>
      </c>
      <c r="D21" s="1056"/>
      <c r="E21" s="15">
        <v>506.35</v>
      </c>
      <c r="G21" s="1027"/>
      <c r="H21" s="1028"/>
      <c r="I21" s="1028"/>
      <c r="J21" s="1029"/>
    </row>
    <row r="22" spans="2:10" ht="12.75" customHeight="1" x14ac:dyDescent="0.2">
      <c r="B22" s="21" t="s">
        <v>28</v>
      </c>
      <c r="C22" s="1055" t="s">
        <v>14</v>
      </c>
      <c r="D22" s="1056"/>
      <c r="E22" s="15">
        <v>506.35</v>
      </c>
      <c r="G22" s="1027"/>
      <c r="H22" s="1028"/>
      <c r="I22" s="1028"/>
      <c r="J22" s="1029"/>
    </row>
    <row r="23" spans="2:10" ht="12.75" customHeight="1" x14ac:dyDescent="0.2">
      <c r="B23" s="21" t="s">
        <v>29</v>
      </c>
      <c r="C23" s="1055" t="s">
        <v>14</v>
      </c>
      <c r="D23" s="1056"/>
      <c r="E23" s="15">
        <v>506.35</v>
      </c>
      <c r="G23" s="1027"/>
      <c r="H23" s="1028"/>
      <c r="I23" s="1028"/>
      <c r="J23" s="1029"/>
    </row>
    <row r="24" spans="2:10" ht="12.75" customHeight="1" x14ac:dyDescent="0.2">
      <c r="B24" s="21" t="s">
        <v>30</v>
      </c>
      <c r="C24" s="1055" t="s">
        <v>14</v>
      </c>
      <c r="D24" s="1056"/>
      <c r="E24" s="15">
        <v>506.35</v>
      </c>
      <c r="G24" s="1027"/>
      <c r="H24" s="1028"/>
      <c r="I24" s="1028"/>
      <c r="J24" s="1029"/>
    </row>
    <row r="25" spans="2:10" ht="12.75" customHeight="1" x14ac:dyDescent="0.2">
      <c r="B25" s="21" t="s">
        <v>31</v>
      </c>
      <c r="C25" s="1055" t="s">
        <v>14</v>
      </c>
      <c r="D25" s="1056"/>
      <c r="E25" s="15">
        <v>506.35</v>
      </c>
      <c r="G25" s="1027"/>
      <c r="H25" s="1028"/>
      <c r="I25" s="1028"/>
      <c r="J25" s="1029"/>
    </row>
    <row r="26" spans="2:10" ht="12.75" customHeight="1" x14ac:dyDescent="0.2">
      <c r="B26" s="21" t="s">
        <v>32</v>
      </c>
      <c r="C26" s="1055" t="s">
        <v>14</v>
      </c>
      <c r="D26" s="1056"/>
      <c r="E26" s="15">
        <v>506.35</v>
      </c>
      <c r="G26" s="1027"/>
      <c r="H26" s="1028"/>
      <c r="I26" s="1028"/>
      <c r="J26" s="1029"/>
    </row>
    <row r="27" spans="2:10" ht="12.75" customHeight="1" x14ac:dyDescent="0.2">
      <c r="B27" s="21" t="s">
        <v>33</v>
      </c>
      <c r="C27" s="1055" t="s">
        <v>14</v>
      </c>
      <c r="D27" s="1056"/>
      <c r="E27" s="15">
        <v>194.44</v>
      </c>
      <c r="G27" s="1027"/>
      <c r="H27" s="1028"/>
      <c r="I27" s="1028"/>
      <c r="J27" s="1029"/>
    </row>
    <row r="28" spans="2:10" ht="12.75" customHeight="1" x14ac:dyDescent="0.2">
      <c r="B28" s="21" t="s">
        <v>34</v>
      </c>
      <c r="C28" s="1055" t="s">
        <v>14</v>
      </c>
      <c r="D28" s="1056"/>
      <c r="E28" s="15">
        <v>483.01</v>
      </c>
      <c r="G28" s="1027"/>
      <c r="H28" s="1028"/>
      <c r="I28" s="1028"/>
      <c r="J28" s="1029"/>
    </row>
    <row r="29" spans="2:10" ht="12.75" customHeight="1" x14ac:dyDescent="0.2">
      <c r="B29" s="21" t="s">
        <v>35</v>
      </c>
      <c r="C29" s="1055" t="s">
        <v>14</v>
      </c>
      <c r="D29" s="1056"/>
      <c r="E29" s="15">
        <v>27.75</v>
      </c>
      <c r="G29" s="1027"/>
      <c r="H29" s="1028"/>
      <c r="I29" s="1028"/>
      <c r="J29" s="1029"/>
    </row>
    <row r="30" spans="2:10" ht="12.75" customHeight="1" x14ac:dyDescent="0.2">
      <c r="B30" s="21" t="s">
        <v>36</v>
      </c>
      <c r="C30" s="1055" t="s">
        <v>14</v>
      </c>
      <c r="D30" s="1056"/>
      <c r="E30" s="15">
        <v>27.75</v>
      </c>
      <c r="G30" s="1027"/>
      <c r="H30" s="1028"/>
      <c r="I30" s="1028"/>
      <c r="J30" s="1029"/>
    </row>
    <row r="31" spans="2:10" ht="12.75" customHeight="1" x14ac:dyDescent="0.2">
      <c r="B31" s="21"/>
      <c r="C31" s="1055"/>
      <c r="D31" s="1056"/>
      <c r="E31" s="15"/>
      <c r="G31" s="1027"/>
      <c r="H31" s="1028"/>
      <c r="I31" s="1028"/>
      <c r="J31" s="1029"/>
    </row>
    <row r="32" spans="2:10" ht="12.75" customHeight="1" thickBot="1" x14ac:dyDescent="0.25">
      <c r="B32" s="22"/>
      <c r="C32" s="1058"/>
      <c r="D32" s="1059"/>
      <c r="E32" s="23"/>
      <c r="G32" s="1030"/>
      <c r="H32" s="1031"/>
      <c r="I32" s="1031"/>
      <c r="J32" s="1032"/>
    </row>
    <row r="33" spans="2:5" ht="15" customHeight="1" thickBot="1" x14ac:dyDescent="0.25"/>
    <row r="34" spans="2:5" ht="12.75" customHeight="1" x14ac:dyDescent="0.2">
      <c r="B34" s="24" t="s">
        <v>37</v>
      </c>
      <c r="C34" s="25" t="s">
        <v>38</v>
      </c>
      <c r="D34" s="25" t="s">
        <v>39</v>
      </c>
      <c r="E34" s="26" t="s">
        <v>40</v>
      </c>
    </row>
    <row r="35" spans="2:5" ht="12.75" customHeight="1" x14ac:dyDescent="0.2">
      <c r="B35" s="27" t="s">
        <v>41</v>
      </c>
      <c r="C35" s="28">
        <f ca="1">'Ger_Tec e Adm'!N121</f>
        <v>5188435.5997512508</v>
      </c>
      <c r="D35" s="29">
        <f t="shared" ref="D35:D52" ca="1" si="0">C35/C$53</f>
        <v>0.16770780062593302</v>
      </c>
      <c r="E35" s="30">
        <f t="shared" ref="E35:E52" ca="1" si="1">C35/$E$9</f>
        <v>676.27848652395596</v>
      </c>
    </row>
    <row r="36" spans="2:5" ht="12.75" customHeight="1" x14ac:dyDescent="0.2">
      <c r="B36" s="31" t="s">
        <v>42</v>
      </c>
      <c r="C36" s="32">
        <f ca="1">Ger_Executivo!N8</f>
        <v>96602.729632252085</v>
      </c>
      <c r="D36" s="33">
        <f t="shared" ca="1" si="0"/>
        <v>3.1225272068257665E-3</v>
      </c>
      <c r="E36" s="34">
        <f t="shared" ca="1" si="1"/>
        <v>12.591531018119312</v>
      </c>
    </row>
    <row r="37" spans="2:5" ht="12.75" customHeight="1" x14ac:dyDescent="0.2">
      <c r="B37" s="27" t="s">
        <v>43</v>
      </c>
      <c r="C37" s="28">
        <f ca="1">Ger_Executivo!N18</f>
        <v>1590820.7865090645</v>
      </c>
      <c r="D37" s="29">
        <f t="shared" ca="1" si="0"/>
        <v>5.1420712499205538E-2</v>
      </c>
      <c r="E37" s="30">
        <f t="shared" ca="1" si="1"/>
        <v>207.35303602549837</v>
      </c>
    </row>
    <row r="38" spans="2:5" ht="12.75" customHeight="1" x14ac:dyDescent="0.2">
      <c r="B38" s="31" t="s">
        <v>44</v>
      </c>
      <c r="C38" s="32">
        <f ca="1">Ger_Executivo!N51</f>
        <v>5123650.0413926393</v>
      </c>
      <c r="D38" s="33">
        <f t="shared" ca="1" si="0"/>
        <v>0.16561371209081335</v>
      </c>
      <c r="E38" s="34">
        <f t="shared" ca="1" si="1"/>
        <v>667.83411470647172</v>
      </c>
    </row>
    <row r="39" spans="2:5" ht="12.75" customHeight="1" x14ac:dyDescent="0.2">
      <c r="B39" s="27" t="s">
        <v>45</v>
      </c>
      <c r="C39" s="28">
        <f ca="1">Ger_Executivo!N76</f>
        <v>1312845.5529415323</v>
      </c>
      <c r="D39" s="29">
        <f t="shared" ca="1" si="0"/>
        <v>4.2435612047669456E-2</v>
      </c>
      <c r="E39" s="30">
        <f t="shared" ca="1" si="1"/>
        <v>171.12079094237419</v>
      </c>
    </row>
    <row r="40" spans="2:5" ht="12.75" customHeight="1" x14ac:dyDescent="0.2">
      <c r="B40" s="31" t="s">
        <v>46</v>
      </c>
      <c r="C40" s="32">
        <f ca="1">Ger_Executivo!N92</f>
        <v>674300.80370149983</v>
      </c>
      <c r="D40" s="33">
        <f t="shared" ca="1" si="0"/>
        <v>2.1795684378254437E-2</v>
      </c>
      <c r="E40" s="34">
        <f t="shared" ca="1" si="1"/>
        <v>87.890678841807372</v>
      </c>
    </row>
    <row r="41" spans="2:5" ht="12.75" customHeight="1" x14ac:dyDescent="0.2">
      <c r="B41" s="27" t="s">
        <v>47</v>
      </c>
      <c r="C41" s="28">
        <f ca="1">Ger_Executivo!N116+Ger_Executivo!N128+Ger_Executivo!N144+Ger_Executivo!N156</f>
        <v>2428838.7185699749</v>
      </c>
      <c r="D41" s="29">
        <f t="shared" ca="1" si="0"/>
        <v>7.8508288622876773E-2</v>
      </c>
      <c r="E41" s="30">
        <f t="shared" ca="1" si="1"/>
        <v>316.58316674182811</v>
      </c>
    </row>
    <row r="42" spans="2:5" ht="12.75" customHeight="1" x14ac:dyDescent="0.2">
      <c r="B42" s="31" t="s">
        <v>48</v>
      </c>
      <c r="C42" s="32">
        <f ca="1">Ger_Executivo!N162+Ger_Executivo!N169</f>
        <v>865640.05300000007</v>
      </c>
      <c r="D42" s="33">
        <f t="shared" ca="1" si="0"/>
        <v>2.7980416568976246E-2</v>
      </c>
      <c r="E42" s="34">
        <f t="shared" ca="1" si="1"/>
        <v>112.83049267209243</v>
      </c>
    </row>
    <row r="43" spans="2:5" ht="12.75" customHeight="1" x14ac:dyDescent="0.2">
      <c r="B43" s="27" t="s">
        <v>49</v>
      </c>
      <c r="C43" s="28">
        <f ca="1">Ger_Executivo!N176</f>
        <v>229561</v>
      </c>
      <c r="D43" s="29">
        <f t="shared" ca="1" si="0"/>
        <v>7.4201885480347047E-3</v>
      </c>
      <c r="E43" s="30">
        <f t="shared" ca="1" si="1"/>
        <v>29.921767873994401</v>
      </c>
    </row>
    <row r="44" spans="2:5" ht="12.75" customHeight="1" x14ac:dyDescent="0.2">
      <c r="B44" s="31" t="s">
        <v>50</v>
      </c>
      <c r="C44" s="32">
        <f ca="1">Ger_Executivo!N184</f>
        <v>1510715.4557557104</v>
      </c>
      <c r="D44" s="33">
        <f t="shared" ca="1" si="0"/>
        <v>4.8831437065257395E-2</v>
      </c>
      <c r="E44" s="34">
        <f t="shared" ca="1" si="1"/>
        <v>196.91183254463095</v>
      </c>
    </row>
    <row r="45" spans="2:5" ht="12.75" customHeight="1" x14ac:dyDescent="0.2">
      <c r="B45" s="27" t="s">
        <v>51</v>
      </c>
      <c r="C45" s="28">
        <f ca="1">Ger_Executivo!N204</f>
        <v>557998.00529553019</v>
      </c>
      <c r="D45" s="29">
        <f t="shared" ca="1" si="0"/>
        <v>1.8036384267014441E-2</v>
      </c>
      <c r="E45" s="30">
        <f t="shared" ca="1" si="1"/>
        <v>72.73137331081827</v>
      </c>
    </row>
    <row r="46" spans="2:5" ht="12.75" customHeight="1" x14ac:dyDescent="0.2">
      <c r="B46" s="31" t="s">
        <v>52</v>
      </c>
      <c r="C46" s="32">
        <f ca="1">Ger_Executivo!N212</f>
        <v>2160927.3967958791</v>
      </c>
      <c r="D46" s="33">
        <f t="shared" ca="1" si="0"/>
        <v>6.9848487865269926E-2</v>
      </c>
      <c r="E46" s="34">
        <f t="shared" ca="1" si="1"/>
        <v>281.66268642966918</v>
      </c>
    </row>
    <row r="47" spans="2:5" ht="12.75" customHeight="1" x14ac:dyDescent="0.2">
      <c r="B47" s="27" t="s">
        <v>53</v>
      </c>
      <c r="C47" s="28">
        <f ca="1">Ger_Executivo!N237</f>
        <v>1247040.5998755777</v>
      </c>
      <c r="D47" s="29">
        <f t="shared" ca="1" si="0"/>
        <v>4.030857322511703E-2</v>
      </c>
      <c r="E47" s="30">
        <f t="shared" ca="1" si="1"/>
        <v>162.54354772336663</v>
      </c>
    </row>
    <row r="48" spans="2:5" ht="12.75" customHeight="1" x14ac:dyDescent="0.2">
      <c r="B48" s="31" t="s">
        <v>54</v>
      </c>
      <c r="C48" s="32">
        <f ca="1">Ger_Executivo!N259</f>
        <v>3562144.1076000002</v>
      </c>
      <c r="D48" s="33">
        <f t="shared" ca="1" si="0"/>
        <v>0.11514055485758828</v>
      </c>
      <c r="E48" s="34">
        <f t="shared" ca="1" si="1"/>
        <v>464.30207710074507</v>
      </c>
    </row>
    <row r="49" spans="2:5" ht="12.75" customHeight="1" x14ac:dyDescent="0.2">
      <c r="B49" s="27" t="s">
        <v>55</v>
      </c>
      <c r="C49" s="28">
        <f ca="1">Ger_Executivo!N296</f>
        <v>251275.30900000001</v>
      </c>
      <c r="D49" s="29">
        <f t="shared" ca="1" si="0"/>
        <v>8.1220685144501106E-3</v>
      </c>
      <c r="E49" s="30">
        <f t="shared" ca="1" si="1"/>
        <v>32.752085364518436</v>
      </c>
    </row>
    <row r="50" spans="2:5" ht="12.75" customHeight="1" x14ac:dyDescent="0.2">
      <c r="B50" s="31" t="s">
        <v>56</v>
      </c>
      <c r="C50" s="32">
        <f ca="1">Ger_Executivo!N306</f>
        <v>2820993.0087383687</v>
      </c>
      <c r="D50" s="33">
        <f t="shared" ca="1" si="0"/>
        <v>9.118404266197834E-2</v>
      </c>
      <c r="E50" s="34">
        <f t="shared" ca="1" si="1"/>
        <v>367.69790156703675</v>
      </c>
    </row>
    <row r="51" spans="2:5" ht="12.75" customHeight="1" x14ac:dyDescent="0.2">
      <c r="B51" s="27" t="s">
        <v>57</v>
      </c>
      <c r="C51" s="28">
        <f ca="1">Ger_Executivo!N326</f>
        <v>935038.96270000015</v>
      </c>
      <c r="D51" s="29">
        <f t="shared" ca="1" si="0"/>
        <v>3.0223624234921396E-2</v>
      </c>
      <c r="E51" s="30">
        <f t="shared" ca="1" si="1"/>
        <v>121.87618452197853</v>
      </c>
    </row>
    <row r="52" spans="2:5" ht="12.75" customHeight="1" x14ac:dyDescent="0.2">
      <c r="B52" s="31" t="s">
        <v>58</v>
      </c>
      <c r="C52" s="32">
        <f ca="1">Ger_Executivo!N344</f>
        <v>380525.88797262026</v>
      </c>
      <c r="D52" s="33">
        <f t="shared" ca="1" si="0"/>
        <v>1.2299884719813792E-2</v>
      </c>
      <c r="E52" s="34">
        <f t="shared" ca="1" si="1"/>
        <v>49.599049010774223</v>
      </c>
    </row>
    <row r="53" spans="2:5" ht="12.75" customHeight="1" x14ac:dyDescent="0.2">
      <c r="B53" s="35" t="s">
        <v>59</v>
      </c>
      <c r="C53" s="36">
        <f t="shared" ref="C53:E53" ca="1" si="2">SUM(C35:C52)</f>
        <v>30937354.019231901</v>
      </c>
      <c r="D53" s="37">
        <f t="shared" ca="1" si="2"/>
        <v>0.99999999999999989</v>
      </c>
      <c r="E53" s="38">
        <f t="shared" ca="1" si="2"/>
        <v>4032.4808029196802</v>
      </c>
    </row>
    <row r="54" spans="2:5" ht="12.75" customHeight="1" x14ac:dyDescent="0.2">
      <c r="B54" s="39" t="s">
        <v>60</v>
      </c>
      <c r="C54" s="40">
        <v>2999.38</v>
      </c>
      <c r="D54" s="41">
        <v>45931</v>
      </c>
      <c r="E54" s="42" t="str">
        <f ca="1">ROUND(+E53/C54,2)&amp;" CUB"</f>
        <v>1,34 CUB</v>
      </c>
    </row>
    <row r="55" spans="2:5" ht="12.75" customHeight="1" x14ac:dyDescent="0.2">
      <c r="B55" s="11"/>
      <c r="C55" s="11"/>
      <c r="D55" s="11"/>
      <c r="E55" s="11"/>
    </row>
    <row r="56" spans="2:5" ht="12.75" customHeight="1" x14ac:dyDescent="0.2">
      <c r="B56" s="11"/>
      <c r="C56" s="11"/>
      <c r="D56" s="11"/>
      <c r="E56" s="43"/>
    </row>
    <row r="57" spans="2:5" ht="12.75" customHeight="1" x14ac:dyDescent="0.2">
      <c r="B57" s="11"/>
      <c r="C57" s="11"/>
      <c r="D57" s="11"/>
      <c r="E57" s="11"/>
    </row>
    <row r="58" spans="2:5" ht="12.75" customHeight="1" x14ac:dyDescent="0.2">
      <c r="B58" s="11"/>
      <c r="C58" s="11"/>
      <c r="D58" s="11"/>
      <c r="E58" s="11"/>
    </row>
    <row r="59" spans="2:5" ht="12.75" customHeight="1" x14ac:dyDescent="0.2">
      <c r="B59" s="11"/>
      <c r="C59" s="11"/>
      <c r="D59" s="11"/>
      <c r="E59" s="11"/>
    </row>
    <row r="60" spans="2:5" ht="12.75" customHeight="1" x14ac:dyDescent="0.2">
      <c r="B60" s="11"/>
      <c r="C60" s="11"/>
      <c r="D60" s="11"/>
      <c r="E60" s="11"/>
    </row>
    <row r="61" spans="2:5" ht="12.75" customHeight="1" x14ac:dyDescent="0.2">
      <c r="B61" s="11"/>
      <c r="C61" s="11"/>
      <c r="D61" s="11"/>
      <c r="E61" s="11"/>
    </row>
    <row r="62" spans="2:5" ht="12.75" customHeight="1" x14ac:dyDescent="0.2">
      <c r="B62" s="11"/>
      <c r="C62" s="11"/>
      <c r="D62" s="11"/>
      <c r="E62" s="11"/>
    </row>
    <row r="63" spans="2:5" ht="12.75" customHeight="1" x14ac:dyDescent="0.2">
      <c r="B63" s="11" t="s">
        <v>42</v>
      </c>
      <c r="C63" s="11"/>
      <c r="D63" s="11"/>
      <c r="E63" s="11"/>
    </row>
    <row r="64" spans="2:5" ht="12.75" customHeight="1" x14ac:dyDescent="0.2">
      <c r="B64" s="11" t="s">
        <v>43</v>
      </c>
      <c r="C64" s="11"/>
      <c r="D64" s="11"/>
      <c r="E64" s="11"/>
    </row>
    <row r="65" spans="2:2" ht="12.75" customHeight="1" x14ac:dyDescent="0.2">
      <c r="B65" s="11" t="s">
        <v>44</v>
      </c>
    </row>
    <row r="66" spans="2:2" ht="12.75" customHeight="1" x14ac:dyDescent="0.2">
      <c r="B66" s="11" t="s">
        <v>61</v>
      </c>
    </row>
    <row r="67" spans="2:2" ht="12.75" customHeight="1" x14ac:dyDescent="0.2">
      <c r="B67" s="11" t="s">
        <v>46</v>
      </c>
    </row>
    <row r="68" spans="2:2" ht="12.75" customHeight="1" x14ac:dyDescent="0.2">
      <c r="B68" s="11" t="s">
        <v>62</v>
      </c>
    </row>
    <row r="69" spans="2:2" ht="12.75" customHeight="1" x14ac:dyDescent="0.2">
      <c r="B69" s="11" t="s">
        <v>63</v>
      </c>
    </row>
    <row r="70" spans="2:2" ht="12.75" customHeight="1" x14ac:dyDescent="0.2">
      <c r="B70" s="11" t="s">
        <v>64</v>
      </c>
    </row>
    <row r="71" spans="2:2" ht="12.75" customHeight="1" x14ac:dyDescent="0.2">
      <c r="B71" s="11" t="s">
        <v>65</v>
      </c>
    </row>
    <row r="72" spans="2:2" ht="12.75" customHeight="1" x14ac:dyDescent="0.2">
      <c r="B72" s="11" t="s">
        <v>66</v>
      </c>
    </row>
    <row r="73" spans="2:2" ht="12.75" customHeight="1" x14ac:dyDescent="0.2">
      <c r="B73" s="11" t="s">
        <v>48</v>
      </c>
    </row>
    <row r="74" spans="2:2" ht="12.75" customHeight="1" x14ac:dyDescent="0.2">
      <c r="B74" s="11" t="s">
        <v>49</v>
      </c>
    </row>
    <row r="75" spans="2:2" ht="12.75" customHeight="1" x14ac:dyDescent="0.2">
      <c r="B75" s="11" t="s">
        <v>50</v>
      </c>
    </row>
    <row r="76" spans="2:2" ht="12.75" customHeight="1" x14ac:dyDescent="0.2">
      <c r="B76" s="11" t="s">
        <v>51</v>
      </c>
    </row>
    <row r="77" spans="2:2" ht="12.75" customHeight="1" x14ac:dyDescent="0.2">
      <c r="B77" s="11" t="s">
        <v>52</v>
      </c>
    </row>
    <row r="78" spans="2:2" ht="12.75" customHeight="1" x14ac:dyDescent="0.2">
      <c r="B78" s="11" t="s">
        <v>53</v>
      </c>
    </row>
    <row r="79" spans="2:2" ht="12.75" customHeight="1" x14ac:dyDescent="0.2">
      <c r="B79" s="11" t="s">
        <v>54</v>
      </c>
    </row>
    <row r="80" spans="2:2" ht="12.75" customHeight="1" x14ac:dyDescent="0.2">
      <c r="B80" s="11" t="s">
        <v>55</v>
      </c>
    </row>
    <row r="81" spans="2:2" ht="12.75" customHeight="1" x14ac:dyDescent="0.2">
      <c r="B81" s="11" t="s">
        <v>67</v>
      </c>
    </row>
    <row r="82" spans="2:2" ht="12.75" customHeight="1" x14ac:dyDescent="0.2">
      <c r="B82" s="11" t="s">
        <v>56</v>
      </c>
    </row>
    <row r="83" spans="2:2" ht="12.75" customHeight="1" x14ac:dyDescent="0.2">
      <c r="B83" s="11" t="s">
        <v>57</v>
      </c>
    </row>
    <row r="84" spans="2:2" ht="12.75" customHeight="1" x14ac:dyDescent="0.2">
      <c r="B84" s="11" t="s">
        <v>68</v>
      </c>
    </row>
  </sheetData>
  <mergeCells count="30">
    <mergeCell ref="C23:D23"/>
    <mergeCell ref="C31:D31"/>
    <mergeCell ref="C32:D32"/>
    <mergeCell ref="C24:D24"/>
    <mergeCell ref="C25:D25"/>
    <mergeCell ref="C26:D26"/>
    <mergeCell ref="C27:D27"/>
    <mergeCell ref="C28:D28"/>
    <mergeCell ref="C29:D29"/>
    <mergeCell ref="C30:D30"/>
    <mergeCell ref="C18:D18"/>
    <mergeCell ref="C19:D19"/>
    <mergeCell ref="C20:D20"/>
    <mergeCell ref="C21:D21"/>
    <mergeCell ref="C22:D22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A1:B3"/>
    <mergeCell ref="A4:J4"/>
    <mergeCell ref="C6:D6"/>
    <mergeCell ref="G6:J6"/>
    <mergeCell ref="C7:D7"/>
  </mergeCells>
  <pageMargins left="0.511811024" right="0.511811024" top="0.78740157499999996" bottom="0.78740157499999996" header="0" footer="0"/>
  <pageSetup paperSize="9" orientation="portrait"/>
  <colBreaks count="1" manualBreakCount="1">
    <brk id="11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851D6"/>
    <pageSetUpPr fitToPage="1"/>
  </sheetPr>
  <dimension ref="A1:O67"/>
  <sheetViews>
    <sheetView showGridLines="0" workbookViewId="0">
      <pane ySplit="4" topLeftCell="A5" activePane="bottomLeft" state="frozen"/>
      <selection pane="bottomLeft" activeCell="M23" sqref="M23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.140625" customWidth="1"/>
    <col min="6" max="6" width="11.140625" customWidth="1"/>
    <col min="7" max="7" width="32" customWidth="1"/>
    <col min="8" max="8" width="3.28515625" customWidth="1"/>
    <col min="9" max="10" width="2" customWidth="1"/>
    <col min="11" max="11" width="20.140625" customWidth="1"/>
    <col min="12" max="12" width="9.7109375" customWidth="1"/>
    <col min="13" max="14" width="9.85546875" customWidth="1"/>
    <col min="15" max="26" width="14.28515625" customWidth="1"/>
  </cols>
  <sheetData>
    <row r="1" spans="1:15" ht="18" customHeight="1" x14ac:dyDescent="0.6">
      <c r="A1" s="44" t="s">
        <v>69</v>
      </c>
      <c r="B1" s="45" t="str">
        <f>'Obra '!D1</f>
        <v>Mosaico</v>
      </c>
      <c r="C1" s="46"/>
      <c r="D1" s="47"/>
      <c r="E1" s="48"/>
      <c r="F1" s="48"/>
      <c r="G1" s="49"/>
      <c r="H1" s="50"/>
      <c r="I1" s="51"/>
      <c r="J1" s="51"/>
      <c r="K1" s="51"/>
      <c r="L1" s="51"/>
      <c r="M1" s="51"/>
      <c r="N1" s="51"/>
      <c r="O1" s="51"/>
    </row>
    <row r="2" spans="1:15" ht="18" customHeight="1" x14ac:dyDescent="0.6">
      <c r="A2" s="52" t="s">
        <v>2</v>
      </c>
      <c r="B2" s="53" t="str">
        <f>'Obra '!D2</f>
        <v>Grupo DUO</v>
      </c>
      <c r="C2" s="54"/>
      <c r="D2" s="55"/>
      <c r="E2" s="56"/>
      <c r="F2" s="56"/>
      <c r="G2" s="57"/>
      <c r="H2" s="58"/>
      <c r="I2" s="51"/>
      <c r="J2" s="51"/>
      <c r="K2" s="51"/>
      <c r="L2" s="51"/>
      <c r="M2" s="51"/>
      <c r="N2" s="51"/>
      <c r="O2" s="51"/>
    </row>
    <row r="3" spans="1:15" ht="18" customHeight="1" x14ac:dyDescent="0.6">
      <c r="A3" s="52" t="s">
        <v>4</v>
      </c>
      <c r="B3" s="53" t="str">
        <f>'Obra '!D3</f>
        <v>R00</v>
      </c>
      <c r="C3" s="54"/>
      <c r="D3" s="55"/>
      <c r="E3" s="56"/>
      <c r="F3" s="56"/>
      <c r="G3" s="59"/>
      <c r="H3" s="58"/>
      <c r="I3" s="51"/>
      <c r="J3" s="51"/>
      <c r="K3" s="1062" t="s">
        <v>70</v>
      </c>
      <c r="L3" s="1063"/>
      <c r="M3" s="1063"/>
      <c r="N3" s="1064"/>
      <c r="O3" s="51"/>
    </row>
    <row r="4" spans="1:15" ht="30" x14ac:dyDescent="0.25">
      <c r="A4" s="1065" t="s">
        <v>71</v>
      </c>
      <c r="B4" s="1066"/>
      <c r="C4" s="1066"/>
      <c r="D4" s="1066"/>
      <c r="E4" s="1066"/>
      <c r="F4" s="1066"/>
      <c r="G4" s="1066"/>
      <c r="H4" s="1067"/>
      <c r="I4" s="51"/>
      <c r="J4" s="51"/>
      <c r="K4" s="60" t="s">
        <v>72</v>
      </c>
      <c r="L4" s="60" t="s">
        <v>73</v>
      </c>
      <c r="M4" s="60" t="s">
        <v>74</v>
      </c>
      <c r="N4" s="60" t="s">
        <v>75</v>
      </c>
      <c r="O4" s="51"/>
    </row>
    <row r="5" spans="1:15" ht="21.75" customHeight="1" x14ac:dyDescent="0.6">
      <c r="A5" s="61" t="s">
        <v>76</v>
      </c>
      <c r="B5" s="62"/>
      <c r="C5" s="62"/>
      <c r="D5" s="63"/>
      <c r="E5" s="64"/>
      <c r="F5" s="64"/>
      <c r="G5" s="64"/>
      <c r="H5" s="65"/>
      <c r="I5" s="51"/>
      <c r="J5" s="51"/>
      <c r="K5" s="66"/>
      <c r="L5" s="66"/>
      <c r="M5" s="66"/>
      <c r="N5" s="66"/>
      <c r="O5" s="51"/>
    </row>
    <row r="6" spans="1:15" ht="21.75" customHeight="1" x14ac:dyDescent="0.6">
      <c r="A6" s="67"/>
      <c r="B6" s="68"/>
      <c r="C6" s="68"/>
      <c r="D6" s="69"/>
      <c r="E6" s="70"/>
      <c r="F6" s="70"/>
      <c r="G6" s="70"/>
      <c r="H6" s="71"/>
      <c r="I6" s="51"/>
      <c r="J6" s="51"/>
      <c r="K6" s="72" t="str">
        <f>'Obra '!B15</f>
        <v>1º Pavimento</v>
      </c>
      <c r="L6" s="73">
        <f>'Obra '!E15</f>
        <v>787.31</v>
      </c>
      <c r="M6" s="74">
        <v>135.43</v>
      </c>
      <c r="N6" s="74">
        <v>3.24</v>
      </c>
      <c r="O6" s="51"/>
    </row>
    <row r="7" spans="1:15" ht="21.75" customHeight="1" x14ac:dyDescent="0.6">
      <c r="A7" s="67"/>
      <c r="B7" s="75" t="s">
        <v>7</v>
      </c>
      <c r="C7" s="76" t="s">
        <v>8</v>
      </c>
      <c r="D7" s="77" t="s">
        <v>9</v>
      </c>
      <c r="E7" s="70"/>
      <c r="F7" s="1060" t="s">
        <v>77</v>
      </c>
      <c r="G7" s="1061"/>
      <c r="H7" s="71"/>
      <c r="I7" s="51"/>
      <c r="J7" s="51"/>
      <c r="K7" s="66" t="str">
        <f>'Obra '!B16</f>
        <v>2º Pavimento</v>
      </c>
      <c r="L7" s="73">
        <f>'Obra '!E16</f>
        <v>785.88</v>
      </c>
      <c r="M7" s="74">
        <v>120.85</v>
      </c>
      <c r="N7" s="74">
        <v>3.96</v>
      </c>
      <c r="O7" s="51">
        <v>15.95</v>
      </c>
    </row>
    <row r="8" spans="1:15" ht="21.75" customHeight="1" x14ac:dyDescent="0.6">
      <c r="A8" s="67"/>
      <c r="B8" s="78" t="s">
        <v>78</v>
      </c>
      <c r="C8" s="79" t="s">
        <v>79</v>
      </c>
      <c r="D8" s="80">
        <v>135.43</v>
      </c>
      <c r="E8" s="70"/>
      <c r="F8" s="81"/>
      <c r="G8" s="82"/>
      <c r="H8" s="71"/>
      <c r="I8" s="51"/>
      <c r="J8" s="51"/>
      <c r="K8" s="66" t="str">
        <f>'Obra '!B17</f>
        <v>3º Pavimento</v>
      </c>
      <c r="L8" s="73">
        <f>'Obra '!E17</f>
        <v>808.07</v>
      </c>
      <c r="M8" s="74">
        <v>125.95</v>
      </c>
      <c r="N8" s="74">
        <v>3.24</v>
      </c>
      <c r="O8" s="51">
        <v>15.95</v>
      </c>
    </row>
    <row r="9" spans="1:15" ht="21.75" customHeight="1" x14ac:dyDescent="0.6">
      <c r="A9" s="67"/>
      <c r="B9" s="78" t="s">
        <v>80</v>
      </c>
      <c r="C9" s="79" t="s">
        <v>79</v>
      </c>
      <c r="D9" s="83">
        <v>290.49</v>
      </c>
      <c r="E9" s="70"/>
      <c r="F9" s="81"/>
      <c r="G9" s="82"/>
      <c r="H9" s="71"/>
      <c r="I9" s="51"/>
      <c r="J9" s="51"/>
      <c r="K9" s="72" t="str">
        <f>'Obra '!B18</f>
        <v>4º Pavimento</v>
      </c>
      <c r="L9" s="73">
        <f>'Obra '!E18</f>
        <v>506.35</v>
      </c>
      <c r="M9" s="74">
        <v>96.83</v>
      </c>
      <c r="N9" s="74">
        <v>3.24</v>
      </c>
      <c r="O9" s="51">
        <v>15.95</v>
      </c>
    </row>
    <row r="10" spans="1:15" ht="21.75" customHeight="1" x14ac:dyDescent="0.6">
      <c r="A10" s="67"/>
      <c r="B10" s="78"/>
      <c r="C10" s="79"/>
      <c r="D10" s="83"/>
      <c r="E10" s="70"/>
      <c r="F10" s="81"/>
      <c r="G10" s="82"/>
      <c r="H10" s="71"/>
      <c r="I10" s="51"/>
      <c r="J10" s="51"/>
      <c r="K10" s="66" t="str">
        <f>'Obra '!B19</f>
        <v>5º Pavimento</v>
      </c>
      <c r="L10" s="73">
        <f>'Obra '!E19</f>
        <v>506.35</v>
      </c>
      <c r="M10" s="74">
        <v>96.83</v>
      </c>
      <c r="N10" s="74">
        <v>3.24</v>
      </c>
      <c r="O10" s="51">
        <v>15.95</v>
      </c>
    </row>
    <row r="11" spans="1:15" ht="21.75" customHeight="1" x14ac:dyDescent="0.6">
      <c r="A11" s="67"/>
      <c r="B11" s="78"/>
      <c r="C11" s="79"/>
      <c r="D11" s="83"/>
      <c r="E11" s="70"/>
      <c r="F11" s="81"/>
      <c r="G11" s="82"/>
      <c r="H11" s="71"/>
      <c r="I11" s="51"/>
      <c r="J11" s="51"/>
      <c r="K11" s="66" t="str">
        <f>'Obra '!B20</f>
        <v>6º Pavimento</v>
      </c>
      <c r="L11" s="73">
        <f>'Obra '!E20</f>
        <v>506.35</v>
      </c>
      <c r="M11" s="74">
        <v>96.83</v>
      </c>
      <c r="N11" s="74">
        <v>3.24</v>
      </c>
      <c r="O11" s="51">
        <v>15.95</v>
      </c>
    </row>
    <row r="12" spans="1:15" ht="21.75" customHeight="1" x14ac:dyDescent="0.6">
      <c r="A12" s="67"/>
      <c r="B12" s="84" t="s">
        <v>81</v>
      </c>
      <c r="C12" s="85" t="s">
        <v>79</v>
      </c>
      <c r="D12" s="86">
        <f t="shared" ref="D12:D13" si="0">D8+D10</f>
        <v>135.43</v>
      </c>
      <c r="E12" s="70"/>
      <c r="F12" s="81"/>
      <c r="G12" s="82"/>
      <c r="H12" s="71"/>
      <c r="I12" s="51"/>
      <c r="J12" s="51"/>
      <c r="K12" s="72" t="str">
        <f>'Obra '!B21</f>
        <v>7º Pavimento</v>
      </c>
      <c r="L12" s="73">
        <f>'Obra '!E21</f>
        <v>506.35</v>
      </c>
      <c r="M12" s="74">
        <v>96.83</v>
      </c>
      <c r="N12" s="74">
        <v>3.24</v>
      </c>
      <c r="O12" s="51">
        <v>37.075000000000003</v>
      </c>
    </row>
    <row r="13" spans="1:15" ht="21.75" customHeight="1" x14ac:dyDescent="0.6">
      <c r="A13" s="67"/>
      <c r="B13" s="84" t="s">
        <v>82</v>
      </c>
      <c r="C13" s="85" t="s">
        <v>79</v>
      </c>
      <c r="D13" s="86">
        <f t="shared" si="0"/>
        <v>290.49</v>
      </c>
      <c r="E13" s="70"/>
      <c r="F13" s="81"/>
      <c r="G13" s="82"/>
      <c r="H13" s="71"/>
      <c r="I13" s="51"/>
      <c r="J13" s="51"/>
      <c r="K13" s="66" t="str">
        <f>'Obra '!B22</f>
        <v>8º Pavimento</v>
      </c>
      <c r="L13" s="73">
        <f>'Obra '!E22</f>
        <v>506.35</v>
      </c>
      <c r="M13" s="74">
        <v>96.83</v>
      </c>
      <c r="N13" s="74">
        <v>3.24</v>
      </c>
      <c r="O13" s="51">
        <f>29.4*24</f>
        <v>705.59999999999991</v>
      </c>
    </row>
    <row r="14" spans="1:15" ht="21.75" customHeight="1" x14ac:dyDescent="0.6">
      <c r="A14" s="87"/>
      <c r="B14" s="88"/>
      <c r="C14" s="68"/>
      <c r="D14" s="69"/>
      <c r="E14" s="89"/>
      <c r="F14" s="90"/>
      <c r="G14" s="91"/>
      <c r="H14" s="92"/>
      <c r="I14" s="51"/>
      <c r="J14" s="51"/>
      <c r="K14" s="66" t="str">
        <f>'Obra '!B23</f>
        <v>9º Pavimento</v>
      </c>
      <c r="L14" s="73">
        <f>'Obra '!E23</f>
        <v>506.35</v>
      </c>
      <c r="M14" s="74">
        <v>96.83</v>
      </c>
      <c r="N14" s="74">
        <v>3.24</v>
      </c>
      <c r="O14" s="51"/>
    </row>
    <row r="15" spans="1:15" ht="21.75" customHeight="1" x14ac:dyDescent="0.6">
      <c r="A15" s="61" t="s">
        <v>83</v>
      </c>
      <c r="B15" s="62"/>
      <c r="C15" s="62"/>
      <c r="D15" s="63"/>
      <c r="E15" s="64"/>
      <c r="F15" s="64"/>
      <c r="G15" s="64"/>
      <c r="H15" s="65"/>
      <c r="I15" s="51"/>
      <c r="J15" s="51"/>
      <c r="K15" s="66" t="str">
        <f>'Obra '!B24</f>
        <v>10º Pavimento</v>
      </c>
      <c r="L15" s="73">
        <f>'Obra '!E24</f>
        <v>506.35</v>
      </c>
      <c r="M15" s="74">
        <v>96.83</v>
      </c>
      <c r="N15" s="74">
        <v>3.24</v>
      </c>
      <c r="O15" s="51"/>
    </row>
    <row r="16" spans="1:15" ht="21.75" customHeight="1" x14ac:dyDescent="0.6">
      <c r="A16" s="87"/>
      <c r="B16" s="68"/>
      <c r="C16" s="68"/>
      <c r="D16" s="69"/>
      <c r="E16" s="70"/>
      <c r="F16" s="70"/>
      <c r="G16" s="70"/>
      <c r="H16" s="71"/>
      <c r="I16" s="51"/>
      <c r="J16" s="51"/>
      <c r="K16" s="66" t="str">
        <f>'Obra '!B25</f>
        <v>11º Pavimento</v>
      </c>
      <c r="L16" s="73">
        <f>'Obra '!E25</f>
        <v>506.35</v>
      </c>
      <c r="M16" s="74">
        <v>96.83</v>
      </c>
      <c r="N16" s="74">
        <v>3.24</v>
      </c>
      <c r="O16" s="51">
        <f>SUM(O6:O15)</f>
        <v>822.42499999999995</v>
      </c>
    </row>
    <row r="17" spans="1:15" ht="21.75" customHeight="1" x14ac:dyDescent="0.6">
      <c r="A17" s="87"/>
      <c r="B17" s="93" t="s">
        <v>7</v>
      </c>
      <c r="C17" s="94" t="s">
        <v>8</v>
      </c>
      <c r="D17" s="95" t="s">
        <v>9</v>
      </c>
      <c r="E17" s="70"/>
      <c r="F17" s="1060" t="s">
        <v>77</v>
      </c>
      <c r="G17" s="1061"/>
      <c r="H17" s="71"/>
      <c r="I17" s="51"/>
      <c r="J17" s="51"/>
      <c r="K17" s="66" t="str">
        <f>'Obra '!B26</f>
        <v>12º Pavimento</v>
      </c>
      <c r="L17" s="73">
        <f>'Obra '!E26</f>
        <v>506.35</v>
      </c>
      <c r="M17" s="74">
        <v>96.83</v>
      </c>
      <c r="N17" s="74">
        <v>2.88</v>
      </c>
      <c r="O17" s="51"/>
    </row>
    <row r="18" spans="1:15" ht="21.75" customHeight="1" x14ac:dyDescent="0.6">
      <c r="A18" s="87"/>
      <c r="B18" s="96" t="s">
        <v>84</v>
      </c>
      <c r="C18" s="97" t="s">
        <v>79</v>
      </c>
      <c r="D18" s="98">
        <v>530.19000000000005</v>
      </c>
      <c r="E18" s="70"/>
      <c r="F18" s="81"/>
      <c r="G18" s="82"/>
      <c r="H18" s="71"/>
      <c r="I18" s="51"/>
      <c r="J18" s="51"/>
      <c r="K18" s="66" t="str">
        <f>'Obra '!B27</f>
        <v>Mezanino</v>
      </c>
      <c r="L18" s="73">
        <f>'Obra '!E27</f>
        <v>194.44</v>
      </c>
      <c r="M18" s="74">
        <v>96.83</v>
      </c>
      <c r="N18" s="74">
        <v>2.88</v>
      </c>
      <c r="O18" s="51"/>
    </row>
    <row r="19" spans="1:15" ht="21.75" customHeight="1" x14ac:dyDescent="0.6">
      <c r="A19" s="87"/>
      <c r="B19" s="99" t="s">
        <v>83</v>
      </c>
      <c r="C19" s="100" t="s">
        <v>79</v>
      </c>
      <c r="D19" s="101">
        <f>D18</f>
        <v>530.19000000000005</v>
      </c>
      <c r="E19" s="70"/>
      <c r="F19" s="81"/>
      <c r="G19" s="82"/>
      <c r="H19" s="71"/>
      <c r="I19" s="51"/>
      <c r="J19" s="51"/>
      <c r="K19" s="66" t="str">
        <f>'Obra '!B28</f>
        <v>Cobertura</v>
      </c>
      <c r="L19" s="73">
        <f>'Obra '!E28</f>
        <v>483.01</v>
      </c>
      <c r="M19" s="74">
        <v>89.08</v>
      </c>
      <c r="N19" s="74">
        <v>4.32</v>
      </c>
      <c r="O19" s="51"/>
    </row>
    <row r="20" spans="1:15" ht="21.75" customHeight="1" x14ac:dyDescent="0.6">
      <c r="A20" s="87"/>
      <c r="B20" s="68"/>
      <c r="C20" s="68"/>
      <c r="D20" s="69"/>
      <c r="E20" s="70"/>
      <c r="F20" s="90"/>
      <c r="G20" s="91"/>
      <c r="H20" s="71"/>
      <c r="I20" s="51"/>
      <c r="J20" s="51"/>
      <c r="K20" s="66" t="str">
        <f>'Obra '!B29</f>
        <v>Barrilete</v>
      </c>
      <c r="L20" s="73">
        <f>'Obra '!E29</f>
        <v>27.75</v>
      </c>
      <c r="M20" s="74">
        <v>60.35</v>
      </c>
      <c r="N20" s="74">
        <v>3</v>
      </c>
      <c r="O20" s="51"/>
    </row>
    <row r="21" spans="1:15" ht="21.75" customHeight="1" x14ac:dyDescent="0.6">
      <c r="A21" s="61" t="s">
        <v>85</v>
      </c>
      <c r="B21" s="62"/>
      <c r="C21" s="62"/>
      <c r="D21" s="63"/>
      <c r="E21" s="102"/>
      <c r="F21" s="102"/>
      <c r="G21" s="102"/>
      <c r="H21" s="103"/>
      <c r="I21" s="51"/>
      <c r="J21" s="51"/>
      <c r="K21" s="66" t="str">
        <f>'Obra '!B30</f>
        <v>Reservatórios</v>
      </c>
      <c r="L21" s="73">
        <f>'Obra '!E30</f>
        <v>27.75</v>
      </c>
      <c r="M21" s="74">
        <v>27.92</v>
      </c>
      <c r="N21" s="74">
        <v>3.32</v>
      </c>
      <c r="O21" s="51"/>
    </row>
    <row r="22" spans="1:15" ht="21.75" customHeight="1" x14ac:dyDescent="0.6">
      <c r="A22" s="87"/>
      <c r="B22" s="68"/>
      <c r="C22" s="68"/>
      <c r="D22" s="69"/>
      <c r="E22" s="70"/>
      <c r="F22" s="70"/>
      <c r="G22" s="70"/>
      <c r="H22" s="71"/>
      <c r="I22" s="51"/>
      <c r="J22" s="51"/>
      <c r="K22" s="66">
        <f>'Obra '!B31</f>
        <v>0</v>
      </c>
      <c r="L22" s="51"/>
      <c r="M22" s="660">
        <f>SUM(M6:M21)</f>
        <v>1527.8799999999999</v>
      </c>
      <c r="N22" s="51"/>
      <c r="O22" s="51"/>
    </row>
    <row r="23" spans="1:15" ht="21.75" customHeight="1" x14ac:dyDescent="0.6">
      <c r="A23" s="87"/>
      <c r="B23" s="75" t="s">
        <v>7</v>
      </c>
      <c r="C23" s="76" t="s">
        <v>8</v>
      </c>
      <c r="D23" s="77" t="s">
        <v>9</v>
      </c>
      <c r="E23" s="70"/>
      <c r="F23" s="1060" t="s">
        <v>77</v>
      </c>
      <c r="G23" s="1061"/>
      <c r="H23" s="71"/>
      <c r="I23" s="51"/>
      <c r="J23" s="51"/>
      <c r="K23" s="51"/>
      <c r="L23" s="51"/>
      <c r="M23" s="51"/>
      <c r="N23" s="51"/>
      <c r="O23" s="51"/>
    </row>
    <row r="24" spans="1:15" ht="21.75" customHeight="1" x14ac:dyDescent="0.6">
      <c r="A24" s="87"/>
      <c r="B24" s="104" t="s">
        <v>86</v>
      </c>
      <c r="C24" s="105" t="s">
        <v>79</v>
      </c>
      <c r="D24" s="106">
        <v>96.83</v>
      </c>
      <c r="E24" s="70"/>
      <c r="F24" s="81"/>
      <c r="G24" s="82"/>
      <c r="H24" s="71"/>
      <c r="I24" s="51"/>
      <c r="J24" s="51"/>
      <c r="K24" s="51"/>
      <c r="L24" s="51"/>
      <c r="M24" s="51"/>
      <c r="N24" s="51"/>
      <c r="O24" s="51"/>
    </row>
    <row r="25" spans="1:15" ht="21.75" customHeight="1" x14ac:dyDescent="0.6">
      <c r="A25" s="87"/>
      <c r="B25" s="107" t="s">
        <v>87</v>
      </c>
      <c r="C25" s="108" t="s">
        <v>88</v>
      </c>
      <c r="D25" s="109">
        <v>4</v>
      </c>
      <c r="E25" s="70"/>
      <c r="F25" s="81"/>
      <c r="G25" s="82"/>
      <c r="H25" s="71"/>
      <c r="I25" s="51"/>
      <c r="J25" s="51"/>
      <c r="K25" s="51"/>
      <c r="L25" s="51"/>
      <c r="M25" s="51"/>
      <c r="N25" s="51"/>
      <c r="O25" s="51"/>
    </row>
    <row r="26" spans="1:15" ht="21.75" customHeight="1" x14ac:dyDescent="0.6">
      <c r="A26" s="87"/>
      <c r="B26" s="110" t="s">
        <v>89</v>
      </c>
      <c r="C26" s="111" t="s">
        <v>79</v>
      </c>
      <c r="D26" s="112">
        <f>(D24*D25)</f>
        <v>387.32</v>
      </c>
      <c r="E26" s="70"/>
      <c r="F26" s="81"/>
      <c r="G26" s="82"/>
      <c r="H26" s="71"/>
      <c r="I26" s="51"/>
      <c r="J26" s="51"/>
      <c r="K26" s="51"/>
      <c r="L26" s="51"/>
      <c r="M26" s="51"/>
      <c r="N26" s="51"/>
      <c r="O26" s="51"/>
    </row>
    <row r="27" spans="1:15" ht="21.75" customHeight="1" x14ac:dyDescent="0.45">
      <c r="A27" s="67"/>
      <c r="B27" s="70"/>
      <c r="C27" s="70"/>
      <c r="D27" s="113"/>
      <c r="E27" s="70"/>
      <c r="F27" s="90"/>
      <c r="G27" s="91"/>
      <c r="H27" s="114"/>
      <c r="I27" s="51"/>
      <c r="J27" s="51"/>
      <c r="K27" s="51"/>
      <c r="L27" s="51"/>
      <c r="M27" s="51"/>
      <c r="N27" s="51"/>
      <c r="O27" s="51"/>
    </row>
    <row r="28" spans="1:15" ht="21.75" customHeight="1" x14ac:dyDescent="0.6">
      <c r="A28" s="61" t="s">
        <v>90</v>
      </c>
      <c r="B28" s="62"/>
      <c r="C28" s="62"/>
      <c r="D28" s="63"/>
      <c r="E28" s="64"/>
      <c r="F28" s="64"/>
      <c r="G28" s="64"/>
      <c r="H28" s="65"/>
      <c r="I28" s="51"/>
      <c r="J28" s="51"/>
      <c r="K28" s="51"/>
      <c r="L28" s="51"/>
      <c r="M28" s="51"/>
      <c r="N28" s="51"/>
      <c r="O28" s="51"/>
    </row>
    <row r="29" spans="1:15" ht="21.75" customHeight="1" x14ac:dyDescent="0.6">
      <c r="A29" s="87"/>
      <c r="B29" s="68"/>
      <c r="C29" s="68"/>
      <c r="D29" s="69"/>
      <c r="E29" s="70"/>
      <c r="F29" s="70"/>
      <c r="G29" s="70"/>
      <c r="H29" s="71"/>
      <c r="I29" s="51"/>
      <c r="J29" s="51"/>
      <c r="K29" s="51"/>
      <c r="L29" s="51"/>
      <c r="M29" s="51"/>
      <c r="N29" s="51"/>
      <c r="O29" s="51"/>
    </row>
    <row r="30" spans="1:15" ht="21.75" customHeight="1" x14ac:dyDescent="0.6">
      <c r="A30" s="87"/>
      <c r="B30" s="93" t="s">
        <v>7</v>
      </c>
      <c r="C30" s="94" t="s">
        <v>8</v>
      </c>
      <c r="D30" s="95" t="s">
        <v>9</v>
      </c>
      <c r="E30" s="70"/>
      <c r="F30" s="1060" t="s">
        <v>77</v>
      </c>
      <c r="G30" s="1061"/>
      <c r="H30" s="71"/>
      <c r="I30" s="51"/>
      <c r="J30" s="51"/>
      <c r="K30" s="51"/>
      <c r="L30" s="51"/>
      <c r="M30" s="51"/>
      <c r="N30" s="51"/>
      <c r="O30" s="51"/>
    </row>
    <row r="31" spans="1:15" ht="21.75" customHeight="1" x14ac:dyDescent="0.6">
      <c r="A31" s="87"/>
      <c r="B31" s="78" t="s">
        <v>91</v>
      </c>
      <c r="C31" s="79" t="s">
        <v>92</v>
      </c>
      <c r="D31" s="115">
        <f>0.9*2.1</f>
        <v>1.8900000000000001</v>
      </c>
      <c r="E31" s="70"/>
      <c r="F31" s="81"/>
      <c r="G31" s="82"/>
      <c r="H31" s="71"/>
      <c r="I31" s="51"/>
      <c r="J31" s="51"/>
      <c r="K31" s="51"/>
      <c r="L31" s="51"/>
      <c r="M31" s="51"/>
      <c r="N31" s="51"/>
      <c r="O31" s="51"/>
    </row>
    <row r="32" spans="1:15" ht="21.75" customHeight="1" x14ac:dyDescent="0.6">
      <c r="A32" s="87"/>
      <c r="B32" s="78" t="s">
        <v>93</v>
      </c>
      <c r="C32" s="79" t="s">
        <v>88</v>
      </c>
      <c r="D32" s="116">
        <v>2</v>
      </c>
      <c r="E32" s="70"/>
      <c r="F32" s="81"/>
      <c r="G32" s="82"/>
      <c r="H32" s="71"/>
      <c r="I32" s="51"/>
      <c r="J32" s="51"/>
      <c r="K32" s="51"/>
      <c r="L32" s="51"/>
      <c r="M32" s="51"/>
      <c r="N32" s="51"/>
      <c r="O32" s="51"/>
    </row>
    <row r="33" spans="1:7" ht="21.75" customHeight="1" x14ac:dyDescent="0.6">
      <c r="A33" s="87"/>
      <c r="B33" s="78" t="s">
        <v>94</v>
      </c>
      <c r="C33" s="79" t="s">
        <v>88</v>
      </c>
      <c r="D33" s="116">
        <v>28</v>
      </c>
      <c r="E33" s="70"/>
      <c r="F33" s="81"/>
      <c r="G33" s="82"/>
    </row>
    <row r="34" spans="1:7" ht="21.75" customHeight="1" x14ac:dyDescent="0.6">
      <c r="A34" s="87"/>
      <c r="B34" s="117" t="s">
        <v>90</v>
      </c>
      <c r="C34" s="118" t="s">
        <v>92</v>
      </c>
      <c r="D34" s="119">
        <f>D31*D33</f>
        <v>52.92</v>
      </c>
      <c r="E34" s="70"/>
      <c r="F34" s="81"/>
      <c r="G34" s="82"/>
    </row>
    <row r="35" spans="1:7" ht="21.75" customHeight="1" x14ac:dyDescent="0.6">
      <c r="A35" s="87"/>
      <c r="B35" s="68"/>
      <c r="C35" s="68"/>
      <c r="D35" s="69"/>
      <c r="E35" s="70"/>
      <c r="F35" s="90"/>
      <c r="G35" s="91"/>
    </row>
    <row r="36" spans="1:7" ht="21.75" customHeight="1" x14ac:dyDescent="0.6">
      <c r="A36" s="61" t="s">
        <v>95</v>
      </c>
      <c r="B36" s="62"/>
      <c r="C36" s="62"/>
      <c r="D36" s="63"/>
      <c r="E36" s="64"/>
      <c r="F36" s="64"/>
      <c r="G36" s="64"/>
    </row>
    <row r="37" spans="1:7" ht="21.75" customHeight="1" x14ac:dyDescent="0.6">
      <c r="A37" s="87"/>
      <c r="B37" s="68"/>
      <c r="C37" s="68"/>
      <c r="D37" s="69"/>
      <c r="E37" s="70"/>
      <c r="F37" s="70"/>
      <c r="G37" s="70"/>
    </row>
    <row r="38" spans="1:7" ht="21.75" customHeight="1" x14ac:dyDescent="0.6">
      <c r="A38" s="87"/>
      <c r="B38" s="93" t="s">
        <v>7</v>
      </c>
      <c r="C38" s="94" t="s">
        <v>8</v>
      </c>
      <c r="D38" s="95" t="s">
        <v>9</v>
      </c>
      <c r="E38" s="70"/>
      <c r="F38" s="1060" t="s">
        <v>77</v>
      </c>
      <c r="G38" s="1061"/>
    </row>
    <row r="39" spans="1:7" ht="21.75" customHeight="1" x14ac:dyDescent="0.6">
      <c r="A39" s="87"/>
      <c r="B39" s="120" t="s">
        <v>96</v>
      </c>
      <c r="C39" s="121" t="s">
        <v>92</v>
      </c>
      <c r="D39" s="122">
        <f>0.9*2.1</f>
        <v>1.8900000000000001</v>
      </c>
      <c r="E39" s="70"/>
      <c r="F39" s="81"/>
      <c r="G39" s="82"/>
    </row>
    <row r="40" spans="1:7" ht="21.75" customHeight="1" x14ac:dyDescent="0.6">
      <c r="A40" s="87"/>
      <c r="B40" s="120" t="s">
        <v>97</v>
      </c>
      <c r="C40" s="121" t="s">
        <v>88</v>
      </c>
      <c r="D40" s="122">
        <v>81</v>
      </c>
      <c r="E40" s="70"/>
      <c r="F40" s="81"/>
      <c r="G40" s="82"/>
    </row>
    <row r="41" spans="1:7" ht="21.75" customHeight="1" x14ac:dyDescent="0.6">
      <c r="A41" s="87"/>
      <c r="B41" s="117" t="s">
        <v>90</v>
      </c>
      <c r="C41" s="118" t="s">
        <v>92</v>
      </c>
      <c r="D41" s="119">
        <f>D39*D40</f>
        <v>153.09</v>
      </c>
      <c r="E41" s="70"/>
      <c r="F41" s="81"/>
      <c r="G41" s="82"/>
    </row>
    <row r="42" spans="1:7" ht="21.75" customHeight="1" x14ac:dyDescent="0.6">
      <c r="A42" s="87"/>
      <c r="B42" s="68"/>
      <c r="C42" s="68"/>
      <c r="D42" s="69"/>
      <c r="E42" s="70"/>
      <c r="F42" s="90"/>
      <c r="G42" s="91"/>
    </row>
    <row r="43" spans="1:7" ht="21.75" customHeight="1" x14ac:dyDescent="0.6">
      <c r="A43" s="61" t="s">
        <v>98</v>
      </c>
      <c r="B43" s="62"/>
      <c r="C43" s="62"/>
      <c r="D43" s="63"/>
      <c r="E43" s="64"/>
      <c r="F43" s="64"/>
      <c r="G43" s="64"/>
    </row>
    <row r="44" spans="1:7" ht="21.75" customHeight="1" x14ac:dyDescent="0.6">
      <c r="A44" s="87"/>
      <c r="B44" s="68"/>
      <c r="C44" s="68"/>
      <c r="D44" s="69"/>
      <c r="E44" s="70"/>
      <c r="F44" s="70"/>
      <c r="G44" s="70"/>
    </row>
    <row r="45" spans="1:7" ht="21.75" customHeight="1" x14ac:dyDescent="0.6">
      <c r="A45" s="87"/>
      <c r="B45" s="75" t="s">
        <v>7</v>
      </c>
      <c r="C45" s="76" t="s">
        <v>8</v>
      </c>
      <c r="D45" s="77" t="s">
        <v>9</v>
      </c>
      <c r="E45" s="70"/>
      <c r="F45" s="1060" t="s">
        <v>77</v>
      </c>
      <c r="G45" s="1061"/>
    </row>
    <row r="46" spans="1:7" ht="21.75" customHeight="1" x14ac:dyDescent="0.6">
      <c r="A46" s="87"/>
      <c r="B46" s="123" t="s">
        <v>99</v>
      </c>
      <c r="C46" s="124" t="s">
        <v>100</v>
      </c>
      <c r="D46" s="125">
        <f>SUMPRODUCT($M$7:$M$21,$N$7:$N$21)</f>
        <v>4612.7883999999995</v>
      </c>
      <c r="E46" s="70"/>
      <c r="F46" s="81"/>
      <c r="G46" s="82"/>
    </row>
    <row r="47" spans="1:7" ht="21.75" customHeight="1" x14ac:dyDescent="0.6">
      <c r="A47" s="87"/>
      <c r="B47" s="126" t="str">
        <f>A43</f>
        <v>Tela fachadeira</v>
      </c>
      <c r="C47" s="127" t="s">
        <v>92</v>
      </c>
      <c r="D47" s="128">
        <f>D46</f>
        <v>4612.7883999999995</v>
      </c>
      <c r="E47" s="70"/>
      <c r="F47" s="81"/>
      <c r="G47" s="82"/>
    </row>
    <row r="49" spans="1:7" ht="21.75" customHeight="1" x14ac:dyDescent="0.6">
      <c r="A49" s="61" t="s">
        <v>101</v>
      </c>
      <c r="B49" s="62"/>
      <c r="C49" s="62"/>
      <c r="D49" s="63"/>
      <c r="E49" s="64"/>
      <c r="F49" s="64"/>
      <c r="G49" s="64"/>
    </row>
    <row r="50" spans="1:7" ht="21.75" customHeight="1" x14ac:dyDescent="0.6">
      <c r="A50" s="87"/>
      <c r="B50" s="68"/>
      <c r="C50" s="68"/>
      <c r="D50" s="69"/>
      <c r="E50" s="70"/>
      <c r="F50" s="70"/>
      <c r="G50" s="70"/>
    </row>
    <row r="51" spans="1:7" ht="21.75" customHeight="1" x14ac:dyDescent="0.6">
      <c r="A51" s="87"/>
      <c r="B51" s="75" t="s">
        <v>7</v>
      </c>
      <c r="C51" s="76" t="s">
        <v>8</v>
      </c>
      <c r="D51" s="77" t="s">
        <v>9</v>
      </c>
      <c r="E51" s="70"/>
      <c r="F51" s="1060" t="s">
        <v>77</v>
      </c>
      <c r="G51" s="1061"/>
    </row>
    <row r="52" spans="1:7" ht="21.75" customHeight="1" x14ac:dyDescent="0.6">
      <c r="A52" s="87"/>
      <c r="B52" s="123" t="s">
        <v>102</v>
      </c>
      <c r="C52" s="124" t="s">
        <v>79</v>
      </c>
      <c r="D52" s="80">
        <v>37.81</v>
      </c>
      <c r="E52" s="70"/>
      <c r="F52" s="81"/>
      <c r="G52" s="82"/>
    </row>
    <row r="53" spans="1:7" ht="21.75" customHeight="1" x14ac:dyDescent="0.6">
      <c r="A53" s="87"/>
      <c r="B53" s="129" t="s">
        <v>103</v>
      </c>
      <c r="C53" s="130" t="s">
        <v>79</v>
      </c>
      <c r="D53" s="125">
        <v>2.4</v>
      </c>
      <c r="E53" s="70"/>
      <c r="F53" s="81"/>
      <c r="G53" s="82"/>
    </row>
    <row r="54" spans="1:7" ht="21.75" customHeight="1" x14ac:dyDescent="0.6">
      <c r="A54" s="87"/>
      <c r="B54" s="126" t="str">
        <f>A49</f>
        <v>Tapume</v>
      </c>
      <c r="C54" s="127" t="s">
        <v>92</v>
      </c>
      <c r="D54" s="128">
        <f>D53*D52</f>
        <v>90.744</v>
      </c>
      <c r="E54" s="70"/>
      <c r="F54" s="81"/>
      <c r="G54" s="82"/>
    </row>
    <row r="55" spans="1:7" ht="21.75" customHeight="1" x14ac:dyDescent="0.6">
      <c r="A55" s="87"/>
      <c r="B55" s="68"/>
      <c r="C55" s="68"/>
      <c r="D55" s="69"/>
      <c r="E55" s="70"/>
      <c r="F55" s="90"/>
      <c r="G55" s="91"/>
    </row>
    <row r="56" spans="1:7" ht="21.75" customHeight="1" x14ac:dyDescent="0.6">
      <c r="A56" s="61" t="s">
        <v>104</v>
      </c>
      <c r="B56" s="62"/>
      <c r="C56" s="62"/>
      <c r="D56" s="63"/>
      <c r="E56" s="64"/>
      <c r="F56" s="64"/>
      <c r="G56" s="64"/>
    </row>
    <row r="57" spans="1:7" ht="21.75" customHeight="1" x14ac:dyDescent="0.6">
      <c r="A57" s="87"/>
      <c r="B57" s="68"/>
      <c r="C57" s="68"/>
      <c r="D57" s="69"/>
      <c r="E57" s="70"/>
      <c r="F57" s="70"/>
      <c r="G57" s="70"/>
    </row>
    <row r="58" spans="1:7" ht="21.75" customHeight="1" x14ac:dyDescent="0.6">
      <c r="A58" s="87"/>
      <c r="B58" s="75" t="s">
        <v>7</v>
      </c>
      <c r="C58" s="76" t="s">
        <v>8</v>
      </c>
      <c r="D58" s="77" t="s">
        <v>9</v>
      </c>
      <c r="E58" s="70"/>
      <c r="F58" s="1060" t="s">
        <v>77</v>
      </c>
      <c r="G58" s="1061"/>
    </row>
    <row r="59" spans="1:7" ht="21.75" customHeight="1" x14ac:dyDescent="0.6">
      <c r="A59" s="87"/>
      <c r="B59" s="78" t="s">
        <v>105</v>
      </c>
      <c r="C59" s="79" t="s">
        <v>79</v>
      </c>
      <c r="D59" s="131">
        <f>$D$26</f>
        <v>387.32</v>
      </c>
      <c r="E59" s="70"/>
      <c r="F59" s="81"/>
      <c r="G59" s="82"/>
    </row>
    <row r="60" spans="1:7" ht="21.75" customHeight="1" x14ac:dyDescent="0.6">
      <c r="A60" s="87"/>
      <c r="B60" s="126" t="str">
        <f>A56</f>
        <v>Linha de Vida</v>
      </c>
      <c r="C60" s="127" t="s">
        <v>79</v>
      </c>
      <c r="D60" s="128">
        <f>D59</f>
        <v>387.32</v>
      </c>
      <c r="E60" s="70"/>
      <c r="F60" s="81"/>
      <c r="G60" s="82"/>
    </row>
    <row r="61" spans="1:7" ht="21.75" hidden="1" customHeight="1" x14ac:dyDescent="0.6">
      <c r="A61" s="87"/>
      <c r="B61" s="68"/>
      <c r="C61" s="68"/>
      <c r="D61" s="69"/>
      <c r="E61" s="70"/>
      <c r="F61" s="90"/>
      <c r="G61" s="91"/>
    </row>
    <row r="62" spans="1:7" ht="21.75" hidden="1" customHeight="1" x14ac:dyDescent="0.6">
      <c r="A62" s="61" t="s">
        <v>106</v>
      </c>
      <c r="B62" s="62"/>
      <c r="C62" s="62"/>
      <c r="D62" s="63"/>
      <c r="E62" s="64"/>
      <c r="F62" s="64"/>
      <c r="G62" s="64"/>
    </row>
    <row r="63" spans="1:7" ht="21.75" hidden="1" customHeight="1" x14ac:dyDescent="0.6">
      <c r="A63" s="87"/>
      <c r="B63" s="68"/>
      <c r="C63" s="68"/>
      <c r="D63" s="69"/>
      <c r="E63" s="70"/>
      <c r="F63" s="70"/>
      <c r="G63" s="70"/>
    </row>
    <row r="64" spans="1:7" ht="21.75" hidden="1" customHeight="1" x14ac:dyDescent="0.6">
      <c r="A64" s="87"/>
      <c r="B64" s="93" t="s">
        <v>7</v>
      </c>
      <c r="C64" s="94" t="s">
        <v>8</v>
      </c>
      <c r="D64" s="95" t="s">
        <v>9</v>
      </c>
      <c r="E64" s="70"/>
      <c r="F64" s="1060" t="s">
        <v>77</v>
      </c>
      <c r="G64" s="1061"/>
    </row>
    <row r="65" spans="2:4" ht="21.75" hidden="1" customHeight="1" x14ac:dyDescent="0.2">
      <c r="B65" s="78" t="s">
        <v>107</v>
      </c>
      <c r="C65" s="79" t="s">
        <v>79</v>
      </c>
      <c r="D65" s="116"/>
    </row>
    <row r="66" spans="2:4" ht="21.75" hidden="1" customHeight="1" x14ac:dyDescent="0.2">
      <c r="B66" s="78" t="s">
        <v>108</v>
      </c>
      <c r="C66" s="79" t="s">
        <v>79</v>
      </c>
      <c r="D66" s="116"/>
    </row>
    <row r="67" spans="2:4" ht="21.75" hidden="1" customHeight="1" x14ac:dyDescent="0.2">
      <c r="B67" s="117" t="s">
        <v>106</v>
      </c>
      <c r="C67" s="118" t="s">
        <v>92</v>
      </c>
      <c r="D67" s="119">
        <f>D65*D66</f>
        <v>0</v>
      </c>
    </row>
  </sheetData>
  <mergeCells count="11">
    <mergeCell ref="F45:G45"/>
    <mergeCell ref="F51:G51"/>
    <mergeCell ref="F58:G58"/>
    <mergeCell ref="F64:G64"/>
    <mergeCell ref="K3:N3"/>
    <mergeCell ref="A4:H4"/>
    <mergeCell ref="F7:G7"/>
    <mergeCell ref="F17:G17"/>
    <mergeCell ref="F23:G23"/>
    <mergeCell ref="F30:G30"/>
    <mergeCell ref="F38:G38"/>
  </mergeCells>
  <pageMargins left="0.51181102362204722" right="0.51181102362204722" top="0.78740157480314965" bottom="0.78740157480314965" header="0" footer="0"/>
  <pageSetup paperSize="9" fitToHeight="0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51D6"/>
  </sheetPr>
  <dimension ref="A1:H63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2.5703125" defaultRowHeight="15" customHeight="1" x14ac:dyDescent="0.2"/>
  <cols>
    <col min="1" max="1" width="12" customWidth="1"/>
    <col min="2" max="2" width="41" customWidth="1"/>
    <col min="3" max="3" width="15.7109375" customWidth="1"/>
    <col min="4" max="4" width="12.28515625" customWidth="1"/>
    <col min="5" max="5" width="12.7109375" customWidth="1"/>
    <col min="6" max="6" width="12.28515625" customWidth="1"/>
    <col min="7" max="7" width="10.28515625" customWidth="1"/>
    <col min="8" max="8" width="36" customWidth="1"/>
    <col min="9" max="26" width="14.28515625" customWidth="1"/>
  </cols>
  <sheetData>
    <row r="1" spans="1:8" ht="21.75" x14ac:dyDescent="0.6">
      <c r="A1" s="44" t="s">
        <v>69</v>
      </c>
      <c r="B1" s="45" t="str">
        <f>'Obra '!D1</f>
        <v>Mosaico</v>
      </c>
      <c r="C1" s="46"/>
      <c r="D1" s="47"/>
      <c r="E1" s="48"/>
      <c r="F1" s="48"/>
      <c r="G1" s="48"/>
      <c r="H1" s="132"/>
    </row>
    <row r="2" spans="1:8" ht="21.75" x14ac:dyDescent="0.6">
      <c r="A2" s="52" t="s">
        <v>2</v>
      </c>
      <c r="B2" s="53" t="str">
        <f>'Obra '!D2</f>
        <v>Grupo DUO</v>
      </c>
      <c r="C2" s="54"/>
      <c r="D2" s="55"/>
      <c r="E2" s="56"/>
      <c r="F2" s="56"/>
      <c r="G2" s="56"/>
      <c r="H2" s="133"/>
    </row>
    <row r="3" spans="1:8" ht="21.75" x14ac:dyDescent="0.6">
      <c r="A3" s="52" t="s">
        <v>4</v>
      </c>
      <c r="B3" s="53" t="str">
        <f>'Obra '!D3</f>
        <v>R00</v>
      </c>
      <c r="C3" s="54"/>
      <c r="D3" s="55"/>
      <c r="E3" s="56"/>
      <c r="F3" s="134"/>
      <c r="G3" s="134"/>
      <c r="H3" s="133"/>
    </row>
    <row r="4" spans="1:8" ht="30" x14ac:dyDescent="0.2">
      <c r="A4" s="1065" t="s">
        <v>109</v>
      </c>
      <c r="B4" s="1066"/>
      <c r="C4" s="1066"/>
      <c r="D4" s="1066"/>
      <c r="E4" s="1066"/>
      <c r="F4" s="1066"/>
      <c r="G4" s="1066"/>
      <c r="H4" s="1067"/>
    </row>
    <row r="5" spans="1:8" ht="21.75" x14ac:dyDescent="0.6">
      <c r="A5" s="61" t="s">
        <v>109</v>
      </c>
      <c r="B5" s="62"/>
      <c r="C5" s="62"/>
      <c r="D5" s="63"/>
      <c r="E5" s="64"/>
      <c r="F5" s="64"/>
      <c r="G5" s="64"/>
      <c r="H5" s="65"/>
    </row>
    <row r="6" spans="1:8" ht="21.75" x14ac:dyDescent="0.6">
      <c r="A6" s="67"/>
      <c r="B6" s="68"/>
      <c r="C6" s="68"/>
      <c r="D6" s="69"/>
      <c r="E6" s="70"/>
      <c r="F6" s="70"/>
      <c r="G6" s="70"/>
      <c r="H6" s="71"/>
    </row>
    <row r="7" spans="1:8" ht="21.75" x14ac:dyDescent="0.6">
      <c r="A7" s="67"/>
      <c r="B7" s="75" t="s">
        <v>7</v>
      </c>
      <c r="C7" s="76" t="s">
        <v>8</v>
      </c>
      <c r="D7" s="77" t="s">
        <v>9</v>
      </c>
      <c r="E7" s="70"/>
      <c r="F7" s="70"/>
      <c r="G7" s="70"/>
      <c r="H7" s="71"/>
    </row>
    <row r="8" spans="1:8" ht="21.75" x14ac:dyDescent="0.6">
      <c r="A8" s="67"/>
      <c r="B8" s="123" t="s">
        <v>110</v>
      </c>
      <c r="C8" s="124" t="s">
        <v>111</v>
      </c>
      <c r="D8" s="135">
        <f>'Obra '!$E$9/'Obra '!$E$7</f>
        <v>182.66761904761904</v>
      </c>
      <c r="E8" s="70"/>
      <c r="F8" s="70"/>
      <c r="G8" s="70"/>
      <c r="H8" s="71"/>
    </row>
    <row r="9" spans="1:8" ht="21.75" x14ac:dyDescent="0.6">
      <c r="A9" s="67"/>
      <c r="B9" s="129" t="s">
        <v>112</v>
      </c>
      <c r="C9" s="130" t="s">
        <v>113</v>
      </c>
      <c r="D9" s="136">
        <v>49</v>
      </c>
      <c r="E9" s="70"/>
      <c r="F9" s="70"/>
      <c r="G9" s="70"/>
      <c r="H9" s="71"/>
    </row>
    <row r="10" spans="1:8" ht="21.75" x14ac:dyDescent="0.6">
      <c r="A10" s="67"/>
      <c r="B10" s="137" t="s">
        <v>114</v>
      </c>
      <c r="C10" s="138" t="s">
        <v>88</v>
      </c>
      <c r="D10" s="139">
        <f>ROUNDUP((D9*'Obra '!$E$9)/'Obra '!$E$7/180,)</f>
        <v>50</v>
      </c>
      <c r="E10" s="70"/>
      <c r="F10" s="70"/>
      <c r="G10" s="70"/>
      <c r="H10" s="71"/>
    </row>
    <row r="11" spans="1:8" ht="21.75" x14ac:dyDescent="0.6">
      <c r="A11" s="67"/>
      <c r="B11" s="140" t="s">
        <v>115</v>
      </c>
      <c r="C11" s="141" t="s">
        <v>88</v>
      </c>
      <c r="D11" s="142">
        <v>2</v>
      </c>
      <c r="E11" s="70"/>
      <c r="F11" s="70"/>
      <c r="G11" s="70"/>
      <c r="H11" s="71"/>
    </row>
    <row r="12" spans="1:8" ht="21.75" x14ac:dyDescent="0.6">
      <c r="A12" s="67"/>
      <c r="B12" s="143" t="s">
        <v>116</v>
      </c>
      <c r="C12" s="144" t="s">
        <v>88</v>
      </c>
      <c r="D12" s="145">
        <f>ROUNDUP($D$10/20,0)</f>
        <v>3</v>
      </c>
      <c r="E12" s="146" t="s">
        <v>117</v>
      </c>
      <c r="F12" s="146"/>
      <c r="G12" s="146"/>
      <c r="H12" s="71"/>
    </row>
    <row r="13" spans="1:8" ht="21.75" x14ac:dyDescent="0.6">
      <c r="A13" s="67"/>
      <c r="B13" s="78" t="s">
        <v>118</v>
      </c>
      <c r="C13" s="144" t="s">
        <v>88</v>
      </c>
      <c r="D13" s="147">
        <f>ROUNDUP('Obra '!$E$13/5,0)</f>
        <v>4</v>
      </c>
      <c r="E13" s="146" t="s">
        <v>119</v>
      </c>
      <c r="F13" s="146"/>
      <c r="G13" s="146"/>
      <c r="H13" s="71"/>
    </row>
    <row r="14" spans="1:8" ht="21.75" x14ac:dyDescent="0.6">
      <c r="A14" s="87"/>
      <c r="B14" s="143" t="s">
        <v>120</v>
      </c>
      <c r="C14" s="144" t="s">
        <v>121</v>
      </c>
      <c r="D14" s="148">
        <f>800*D10</f>
        <v>40000</v>
      </c>
      <c r="E14" s="146" t="s">
        <v>122</v>
      </c>
      <c r="F14" s="146"/>
      <c r="G14" s="146"/>
      <c r="H14" s="71"/>
    </row>
    <row r="15" spans="1:8" ht="18" x14ac:dyDescent="0.45">
      <c r="A15" s="149"/>
      <c r="B15" s="143" t="s">
        <v>123</v>
      </c>
      <c r="C15" s="144" t="s">
        <v>121</v>
      </c>
      <c r="D15" s="148">
        <f>500*(D10+D11)</f>
        <v>26000</v>
      </c>
      <c r="E15" s="146" t="s">
        <v>124</v>
      </c>
      <c r="F15" s="150"/>
      <c r="G15" s="150"/>
      <c r="H15" s="151"/>
    </row>
    <row r="16" spans="1:8" ht="18" x14ac:dyDescent="0.45">
      <c r="A16" s="149"/>
      <c r="B16" s="152" t="s">
        <v>125</v>
      </c>
      <c r="C16" s="153" t="s">
        <v>88</v>
      </c>
      <c r="D16" s="154">
        <f>ROUNDUP($D$10/20,0)</f>
        <v>3</v>
      </c>
      <c r="E16" s="146" t="s">
        <v>126</v>
      </c>
      <c r="F16" s="146"/>
      <c r="G16" s="146"/>
      <c r="H16" s="151"/>
    </row>
    <row r="18" spans="1:6" ht="21.75" x14ac:dyDescent="0.6">
      <c r="A18" s="61" t="s">
        <v>127</v>
      </c>
      <c r="B18" s="62"/>
      <c r="C18" s="62"/>
      <c r="D18" s="63"/>
      <c r="E18" s="64"/>
      <c r="F18" s="64"/>
    </row>
    <row r="19" spans="1:6" ht="21.75" x14ac:dyDescent="0.6">
      <c r="A19" s="67"/>
      <c r="B19" s="68"/>
      <c r="C19" s="68"/>
      <c r="D19" s="69"/>
      <c r="E19" s="70"/>
      <c r="F19" s="70"/>
    </row>
    <row r="20" spans="1:6" ht="16.5" x14ac:dyDescent="0.45">
      <c r="A20" s="67"/>
      <c r="B20" s="75" t="s">
        <v>7</v>
      </c>
      <c r="C20" s="76" t="s">
        <v>8</v>
      </c>
      <c r="D20" s="76" t="s">
        <v>9</v>
      </c>
      <c r="E20" s="76" t="s">
        <v>128</v>
      </c>
      <c r="F20" s="155" t="s">
        <v>129</v>
      </c>
    </row>
    <row r="21" spans="1:6" ht="15.75" customHeight="1" x14ac:dyDescent="0.45">
      <c r="A21" s="67"/>
      <c r="B21" s="123" t="s">
        <v>130</v>
      </c>
      <c r="C21" s="124" t="s">
        <v>88</v>
      </c>
      <c r="D21" s="144">
        <f>ROUNDUP(D11*1.5,)</f>
        <v>3</v>
      </c>
      <c r="E21" s="144">
        <v>200</v>
      </c>
      <c r="F21" s="145">
        <f>D21*E21</f>
        <v>600</v>
      </c>
    </row>
    <row r="22" spans="1:6" ht="15.75" customHeight="1" x14ac:dyDescent="0.45">
      <c r="A22" s="67"/>
      <c r="B22" s="78" t="s">
        <v>131</v>
      </c>
      <c r="C22" s="144" t="s">
        <v>88</v>
      </c>
      <c r="D22" s="144">
        <v>1</v>
      </c>
      <c r="E22" s="144">
        <v>1000</v>
      </c>
      <c r="F22" s="145">
        <f t="shared" ref="F22:F25" si="0">E22*D22</f>
        <v>1000</v>
      </c>
    </row>
    <row r="23" spans="1:6" ht="15.75" customHeight="1" x14ac:dyDescent="0.25">
      <c r="A23" s="149"/>
      <c r="B23" s="78" t="s">
        <v>132</v>
      </c>
      <c r="C23" s="144" t="s">
        <v>88</v>
      </c>
      <c r="D23" s="144">
        <v>1</v>
      </c>
      <c r="E23" s="144">
        <v>5000</v>
      </c>
      <c r="F23" s="145">
        <f t="shared" si="0"/>
        <v>5000</v>
      </c>
    </row>
    <row r="24" spans="1:6" ht="15.75" customHeight="1" x14ac:dyDescent="0.25">
      <c r="A24" s="149"/>
      <c r="B24" s="78" t="s">
        <v>133</v>
      </c>
      <c r="C24" s="144" t="s">
        <v>79</v>
      </c>
      <c r="D24" s="144">
        <v>4</v>
      </c>
      <c r="E24" s="144">
        <v>900</v>
      </c>
      <c r="F24" s="145">
        <f t="shared" si="0"/>
        <v>3600</v>
      </c>
    </row>
    <row r="25" spans="1:6" ht="15.75" customHeight="1" x14ac:dyDescent="0.25">
      <c r="A25" s="149"/>
      <c r="B25" s="156" t="s">
        <v>134</v>
      </c>
      <c r="C25" s="153" t="s">
        <v>88</v>
      </c>
      <c r="D25" s="153">
        <v>5</v>
      </c>
      <c r="E25" s="153">
        <v>800</v>
      </c>
      <c r="F25" s="154">
        <f t="shared" si="0"/>
        <v>4000</v>
      </c>
    </row>
    <row r="26" spans="1:6" ht="15.75" customHeight="1" x14ac:dyDescent="0.25">
      <c r="A26" s="149"/>
      <c r="B26" s="1068" t="s">
        <v>59</v>
      </c>
      <c r="C26" s="1069"/>
      <c r="D26" s="1069"/>
      <c r="E26" s="1070"/>
      <c r="F26" s="157">
        <f>F23+F24+F25+F22+F21</f>
        <v>14200</v>
      </c>
    </row>
    <row r="27" spans="1:6" ht="15.75" customHeight="1" x14ac:dyDescent="0.25">
      <c r="A27" s="149"/>
      <c r="B27" s="75" t="s">
        <v>7</v>
      </c>
      <c r="C27" s="76" t="s">
        <v>8</v>
      </c>
      <c r="D27" s="76" t="s">
        <v>9</v>
      </c>
      <c r="E27" s="76" t="s">
        <v>128</v>
      </c>
      <c r="F27" s="155" t="s">
        <v>129</v>
      </c>
    </row>
    <row r="28" spans="1:6" ht="15.75" customHeight="1" x14ac:dyDescent="0.25">
      <c r="A28" s="149"/>
      <c r="B28" s="123" t="s">
        <v>135</v>
      </c>
      <c r="C28" s="124" t="s">
        <v>88</v>
      </c>
      <c r="D28" s="144">
        <v>5</v>
      </c>
      <c r="E28" s="144">
        <v>6500</v>
      </c>
      <c r="F28" s="145">
        <f>D28*E28</f>
        <v>32500</v>
      </c>
    </row>
    <row r="29" spans="1:6" ht="15.75" customHeight="1" x14ac:dyDescent="0.25">
      <c r="A29" s="149"/>
      <c r="B29" s="78" t="s">
        <v>136</v>
      </c>
      <c r="C29" s="144" t="s">
        <v>88</v>
      </c>
      <c r="D29" s="144">
        <v>1</v>
      </c>
      <c r="E29" s="144">
        <v>2000</v>
      </c>
      <c r="F29" s="145">
        <f t="shared" ref="F29:F30" si="1">E29*D29</f>
        <v>2000</v>
      </c>
    </row>
    <row r="30" spans="1:6" ht="15.75" customHeight="1" x14ac:dyDescent="0.25">
      <c r="A30" s="149"/>
      <c r="B30" s="158" t="s">
        <v>137</v>
      </c>
      <c r="C30" s="159" t="s">
        <v>88</v>
      </c>
      <c r="D30" s="159">
        <v>2</v>
      </c>
      <c r="E30" s="159">
        <v>500</v>
      </c>
      <c r="F30" s="160">
        <f t="shared" si="1"/>
        <v>1000</v>
      </c>
    </row>
    <row r="31" spans="1:6" ht="15.75" customHeight="1" x14ac:dyDescent="0.25">
      <c r="A31" s="161"/>
      <c r="B31" s="1068" t="s">
        <v>59</v>
      </c>
      <c r="C31" s="1069"/>
      <c r="D31" s="1069"/>
      <c r="E31" s="1070"/>
      <c r="F31" s="157">
        <f>+F28+F29+F30</f>
        <v>35500</v>
      </c>
    </row>
    <row r="33" spans="1:7" ht="15.75" customHeight="1" x14ac:dyDescent="0.6">
      <c r="A33" s="61" t="s">
        <v>138</v>
      </c>
      <c r="B33" s="62"/>
      <c r="C33" s="62"/>
      <c r="D33" s="63"/>
      <c r="E33" s="64"/>
      <c r="F33" s="64"/>
      <c r="G33" s="64"/>
    </row>
    <row r="34" spans="1:7" ht="15.75" customHeight="1" x14ac:dyDescent="0.6">
      <c r="A34" s="67"/>
      <c r="B34" s="68"/>
      <c r="C34" s="68"/>
      <c r="D34" s="69"/>
      <c r="E34" s="70"/>
      <c r="F34" s="70"/>
      <c r="G34" s="70"/>
    </row>
    <row r="35" spans="1:7" ht="15.75" customHeight="1" x14ac:dyDescent="0.45">
      <c r="A35" s="67"/>
      <c r="B35" s="75" t="s">
        <v>7</v>
      </c>
      <c r="C35" s="76" t="s">
        <v>8</v>
      </c>
      <c r="D35" s="76" t="s">
        <v>139</v>
      </c>
      <c r="E35" s="76" t="s">
        <v>9</v>
      </c>
      <c r="F35" s="76" t="s">
        <v>128</v>
      </c>
      <c r="G35" s="155" t="s">
        <v>129</v>
      </c>
    </row>
    <row r="36" spans="1:7" ht="15.75" customHeight="1" x14ac:dyDescent="0.45">
      <c r="A36" s="67"/>
      <c r="B36" s="162" t="s">
        <v>140</v>
      </c>
      <c r="C36" s="144" t="s">
        <v>92</v>
      </c>
      <c r="D36" s="144" t="s">
        <v>141</v>
      </c>
      <c r="E36" s="163">
        <f t="shared" ref="E36:E38" si="2">IF(D36="Sim",15,0)</f>
        <v>15</v>
      </c>
      <c r="F36" s="144">
        <v>115.4849</v>
      </c>
      <c r="G36" s="164">
        <f t="shared" ref="G36:G50" si="3">IF(D36="sim",E36*F36,0)</f>
        <v>1732.2735</v>
      </c>
    </row>
    <row r="37" spans="1:7" ht="15.75" customHeight="1" x14ac:dyDescent="0.45">
      <c r="A37" s="67"/>
      <c r="B37" s="165" t="s">
        <v>142</v>
      </c>
      <c r="C37" s="144" t="s">
        <v>92</v>
      </c>
      <c r="D37" s="144" t="s">
        <v>141</v>
      </c>
      <c r="E37" s="163">
        <f t="shared" si="2"/>
        <v>15</v>
      </c>
      <c r="F37" s="144">
        <v>115.4849</v>
      </c>
      <c r="G37" s="164">
        <f t="shared" si="3"/>
        <v>1732.2735</v>
      </c>
    </row>
    <row r="38" spans="1:7" ht="15.75" customHeight="1" x14ac:dyDescent="0.25">
      <c r="A38" s="149"/>
      <c r="B38" s="165" t="s">
        <v>143</v>
      </c>
      <c r="C38" s="144" t="s">
        <v>92</v>
      </c>
      <c r="D38" s="144" t="s">
        <v>141</v>
      </c>
      <c r="E38" s="163">
        <f t="shared" si="2"/>
        <v>15</v>
      </c>
      <c r="F38" s="144">
        <v>115.4849</v>
      </c>
      <c r="G38" s="164">
        <f t="shared" si="3"/>
        <v>1732.2735</v>
      </c>
    </row>
    <row r="39" spans="1:7" ht="15.75" customHeight="1" x14ac:dyDescent="0.25">
      <c r="A39" s="149"/>
      <c r="B39" s="165" t="s">
        <v>144</v>
      </c>
      <c r="C39" s="144" t="s">
        <v>92</v>
      </c>
      <c r="D39" s="144" t="s">
        <v>141</v>
      </c>
      <c r="E39" s="163">
        <f>IF(D39="não",0,ROUNDUP(3*'Obra '!$E$10/COUNTIFS($D$39:$D$47,"Sim"),))</f>
        <v>35</v>
      </c>
      <c r="F39" s="144">
        <v>201.22489000000002</v>
      </c>
      <c r="G39" s="164">
        <f t="shared" si="3"/>
        <v>7042.8711500000009</v>
      </c>
    </row>
    <row r="40" spans="1:7" ht="15.75" customHeight="1" x14ac:dyDescent="0.25">
      <c r="A40" s="149"/>
      <c r="B40" s="165" t="s">
        <v>145</v>
      </c>
      <c r="C40" s="144" t="s">
        <v>92</v>
      </c>
      <c r="D40" s="144" t="s">
        <v>146</v>
      </c>
      <c r="E40" s="163">
        <f>IF(D40="não",0,ROUNDUP(3*'Obra '!$E$10/COUNTIFS($D$39:$D$47,"Sim"),))</f>
        <v>0</v>
      </c>
      <c r="F40" s="144">
        <v>201.22489000000002</v>
      </c>
      <c r="G40" s="164">
        <f t="shared" si="3"/>
        <v>0</v>
      </c>
    </row>
    <row r="41" spans="1:7" ht="15.75" customHeight="1" x14ac:dyDescent="0.25">
      <c r="A41" s="149"/>
      <c r="B41" s="165" t="s">
        <v>147</v>
      </c>
      <c r="C41" s="144" t="s">
        <v>92</v>
      </c>
      <c r="D41" s="144" t="s">
        <v>141</v>
      </c>
      <c r="E41" s="163">
        <f>IF(D41="não",0,ROUNDUP(3*'Obra '!$E$10/COUNTIFS($D$39:$D$47,"Sim"),))</f>
        <v>35</v>
      </c>
      <c r="F41" s="144">
        <v>201.22489000000002</v>
      </c>
      <c r="G41" s="164">
        <f t="shared" si="3"/>
        <v>7042.8711500000009</v>
      </c>
    </row>
    <row r="42" spans="1:7" ht="15.75" customHeight="1" x14ac:dyDescent="0.25">
      <c r="A42" s="149"/>
      <c r="B42" s="165" t="s">
        <v>148</v>
      </c>
      <c r="C42" s="144" t="s">
        <v>92</v>
      </c>
      <c r="D42" s="144" t="s">
        <v>141</v>
      </c>
      <c r="E42" s="163">
        <f>IF(D42="não",0,ROUNDUP(3*'Obra '!$E$10/COUNTIFS($D$39:$D$47,"Sim"),))</f>
        <v>35</v>
      </c>
      <c r="F42" s="144">
        <v>201.22489000000002</v>
      </c>
      <c r="G42" s="164">
        <f t="shared" si="3"/>
        <v>7042.8711500000009</v>
      </c>
    </row>
    <row r="43" spans="1:7" ht="15.75" customHeight="1" x14ac:dyDescent="0.25">
      <c r="A43" s="149"/>
      <c r="B43" s="165" t="s">
        <v>149</v>
      </c>
      <c r="C43" s="144" t="s">
        <v>92</v>
      </c>
      <c r="D43" s="144" t="s">
        <v>141</v>
      </c>
      <c r="E43" s="163">
        <f>IF(D43="não",0,ROUNDUP(3*'Obra '!$E$10/COUNTIFS($D$39:$D$47,"Sim"),))</f>
        <v>35</v>
      </c>
      <c r="F43" s="144">
        <v>201.22489000000002</v>
      </c>
      <c r="G43" s="164">
        <f t="shared" si="3"/>
        <v>7042.8711500000009</v>
      </c>
    </row>
    <row r="44" spans="1:7" ht="15.75" customHeight="1" x14ac:dyDescent="0.25">
      <c r="A44" s="149"/>
      <c r="B44" s="165" t="s">
        <v>150</v>
      </c>
      <c r="C44" s="144" t="s">
        <v>92</v>
      </c>
      <c r="D44" s="144" t="s">
        <v>146</v>
      </c>
      <c r="E44" s="163">
        <f>IF(D44="não",0,ROUNDUP(3*'Obra '!$E$10/COUNTIFS($D$39:$D$47,"Sim"),))</f>
        <v>0</v>
      </c>
      <c r="F44" s="144">
        <v>201.22489000000002</v>
      </c>
      <c r="G44" s="164">
        <f t="shared" si="3"/>
        <v>0</v>
      </c>
    </row>
    <row r="45" spans="1:7" ht="15.75" customHeight="1" x14ac:dyDescent="0.25">
      <c r="A45" s="149"/>
      <c r="B45" s="166" t="s">
        <v>151</v>
      </c>
      <c r="C45" s="144" t="s">
        <v>92</v>
      </c>
      <c r="D45" s="144" t="s">
        <v>141</v>
      </c>
      <c r="E45" s="163">
        <f>IF(D45="não",0,ROUNDUP(3*'Obra '!$E$10/COUNTIFS($D$39:$D$47,"Sim"),))</f>
        <v>35</v>
      </c>
      <c r="F45" s="144">
        <v>201.22489000000002</v>
      </c>
      <c r="G45" s="164">
        <f t="shared" si="3"/>
        <v>7042.8711500000009</v>
      </c>
    </row>
    <row r="46" spans="1:7" ht="15.75" customHeight="1" x14ac:dyDescent="0.25">
      <c r="A46" s="149"/>
      <c r="B46" s="166" t="s">
        <v>152</v>
      </c>
      <c r="C46" s="144" t="s">
        <v>92</v>
      </c>
      <c r="D46" s="144" t="s">
        <v>141</v>
      </c>
      <c r="E46" s="163">
        <f>IF(D46="não",0,ROUNDUP(3*'Obra '!$E$10/COUNTIFS($D$39:$D$47,"Sim"),))</f>
        <v>35</v>
      </c>
      <c r="F46" s="144">
        <v>201.22489000000002</v>
      </c>
      <c r="G46" s="164">
        <f t="shared" si="3"/>
        <v>7042.8711500000009</v>
      </c>
    </row>
    <row r="47" spans="1:7" ht="15.75" customHeight="1" x14ac:dyDescent="0.25">
      <c r="A47" s="149"/>
      <c r="B47" s="166" t="s">
        <v>153</v>
      </c>
      <c r="C47" s="144" t="s">
        <v>92</v>
      </c>
      <c r="D47" s="144" t="s">
        <v>141</v>
      </c>
      <c r="E47" s="163">
        <f>IF(D47="não",0,ROUNDUP(3*'Obra '!$E$10/COUNTIFS($D$39:$D$47,"Sim"),))</f>
        <v>35</v>
      </c>
      <c r="F47" s="144">
        <v>272.87529999999998</v>
      </c>
      <c r="G47" s="164">
        <f t="shared" si="3"/>
        <v>9550.6354999999985</v>
      </c>
    </row>
    <row r="48" spans="1:7" ht="15.75" customHeight="1" x14ac:dyDescent="0.25">
      <c r="A48" s="149"/>
      <c r="B48" s="166" t="s">
        <v>154</v>
      </c>
      <c r="C48" s="144" t="s">
        <v>92</v>
      </c>
      <c r="D48" s="144" t="s">
        <v>141</v>
      </c>
      <c r="E48" s="163">
        <f>IF(D48="Sim",10*15,0)</f>
        <v>150</v>
      </c>
      <c r="F48" s="144">
        <v>272.87529999999998</v>
      </c>
      <c r="G48" s="164">
        <f t="shared" si="3"/>
        <v>40931.294999999998</v>
      </c>
    </row>
    <row r="49" spans="1:7" ht="15.75" customHeight="1" x14ac:dyDescent="0.25">
      <c r="A49" s="149"/>
      <c r="B49" s="166" t="s">
        <v>155</v>
      </c>
      <c r="C49" s="144" t="s">
        <v>92</v>
      </c>
      <c r="D49" s="144" t="s">
        <v>146</v>
      </c>
      <c r="E49" s="163">
        <f t="shared" ref="E49:E50" si="4">IF(D49="Sim",ROUNDUP(25,),0)</f>
        <v>0</v>
      </c>
      <c r="F49" s="144">
        <v>0</v>
      </c>
      <c r="G49" s="164">
        <f t="shared" si="3"/>
        <v>0</v>
      </c>
    </row>
    <row r="50" spans="1:7" ht="15.75" customHeight="1" x14ac:dyDescent="0.25">
      <c r="A50" s="149"/>
      <c r="B50" s="166" t="s">
        <v>156</v>
      </c>
      <c r="C50" s="144" t="s">
        <v>92</v>
      </c>
      <c r="D50" s="144" t="s">
        <v>141</v>
      </c>
      <c r="E50" s="163">
        <f t="shared" si="4"/>
        <v>25</v>
      </c>
      <c r="F50" s="144">
        <v>0</v>
      </c>
      <c r="G50" s="164">
        <f t="shared" si="3"/>
        <v>0</v>
      </c>
    </row>
    <row r="51" spans="1:7" ht="15.75" customHeight="1" x14ac:dyDescent="0.25">
      <c r="A51" s="161"/>
      <c r="B51" s="1068" t="s">
        <v>59</v>
      </c>
      <c r="C51" s="1069"/>
      <c r="D51" s="1069"/>
      <c r="E51" s="1069"/>
      <c r="F51" s="1070"/>
      <c r="G51" s="157">
        <f>SUM(G36:G50)</f>
        <v>97935.977899999998</v>
      </c>
    </row>
    <row r="52" spans="1:7" ht="15.75" customHeight="1" x14ac:dyDescent="0.25">
      <c r="A52" s="51"/>
      <c r="B52" s="167"/>
      <c r="C52" s="167"/>
      <c r="D52" s="167"/>
      <c r="E52" s="168"/>
      <c r="F52" s="167"/>
      <c r="G52" s="169"/>
    </row>
    <row r="53" spans="1:7" ht="15.75" customHeight="1" x14ac:dyDescent="0.25">
      <c r="A53" s="51"/>
      <c r="B53" s="170" t="s">
        <v>157</v>
      </c>
      <c r="C53" s="167"/>
      <c r="D53" s="167"/>
      <c r="E53" s="168"/>
      <c r="F53" s="167"/>
      <c r="G53" s="169"/>
    </row>
    <row r="54" spans="1:7" ht="15.75" customHeight="1" x14ac:dyDescent="0.25">
      <c r="A54" s="51"/>
      <c r="B54" s="170"/>
      <c r="C54" s="167"/>
      <c r="D54" s="167"/>
      <c r="E54" s="168"/>
      <c r="F54" s="167"/>
      <c r="G54" s="169"/>
    </row>
    <row r="55" spans="1:7" ht="15.75" customHeight="1" x14ac:dyDescent="0.6">
      <c r="A55" s="61" t="s">
        <v>158</v>
      </c>
      <c r="B55" s="62"/>
      <c r="C55" s="62"/>
      <c r="D55" s="63"/>
      <c r="E55" s="64"/>
      <c r="F55" s="64"/>
      <c r="G55" s="64"/>
    </row>
    <row r="56" spans="1:7" ht="15.75" customHeight="1" x14ac:dyDescent="0.6">
      <c r="A56" s="67"/>
      <c r="B56" s="68"/>
      <c r="C56" s="68"/>
      <c r="D56" s="69"/>
      <c r="E56" s="70"/>
      <c r="F56" s="70"/>
      <c r="G56" s="70"/>
    </row>
    <row r="57" spans="1:7" ht="15.75" customHeight="1" x14ac:dyDescent="0.45">
      <c r="A57" s="67"/>
      <c r="B57" s="75" t="s">
        <v>7</v>
      </c>
      <c r="C57" s="76" t="s">
        <v>8</v>
      </c>
      <c r="D57" s="76" t="s">
        <v>139</v>
      </c>
      <c r="E57" s="76" t="s">
        <v>9</v>
      </c>
      <c r="F57" s="76" t="s">
        <v>128</v>
      </c>
      <c r="G57" s="155" t="s">
        <v>129</v>
      </c>
    </row>
    <row r="58" spans="1:7" ht="15.75" customHeight="1" x14ac:dyDescent="0.45">
      <c r="A58" s="67"/>
      <c r="B58" s="166" t="s">
        <v>159</v>
      </c>
      <c r="C58" s="144" t="s">
        <v>160</v>
      </c>
      <c r="D58" s="144" t="s">
        <v>141</v>
      </c>
      <c r="E58" s="163">
        <v>1</v>
      </c>
      <c r="F58" s="144">
        <v>7891.02</v>
      </c>
      <c r="G58" s="164">
        <f t="shared" ref="G58:G62" si="5">IF(D58="sim",E58*F58,0)</f>
        <v>7891.02</v>
      </c>
    </row>
    <row r="59" spans="1:7" ht="15.75" customHeight="1" x14ac:dyDescent="0.45">
      <c r="A59" s="67"/>
      <c r="B59" s="166" t="s">
        <v>161</v>
      </c>
      <c r="C59" s="144" t="s">
        <v>160</v>
      </c>
      <c r="D59" s="144" t="s">
        <v>141</v>
      </c>
      <c r="E59" s="163">
        <v>1</v>
      </c>
      <c r="F59" s="144">
        <f>F58*0.2</f>
        <v>1578.2040000000002</v>
      </c>
      <c r="G59" s="164">
        <f t="shared" si="5"/>
        <v>1578.2040000000002</v>
      </c>
    </row>
    <row r="60" spans="1:7" ht="15.75" customHeight="1" x14ac:dyDescent="0.25">
      <c r="A60" s="149"/>
      <c r="B60" s="166" t="s">
        <v>162</v>
      </c>
      <c r="C60" s="144" t="s">
        <v>92</v>
      </c>
      <c r="D60" s="144" t="s">
        <v>146</v>
      </c>
      <c r="E60" s="163"/>
      <c r="F60" s="144"/>
      <c r="G60" s="164">
        <f t="shared" si="5"/>
        <v>0</v>
      </c>
    </row>
    <row r="61" spans="1:7" ht="15.75" customHeight="1" x14ac:dyDescent="0.25">
      <c r="A61" s="149"/>
      <c r="B61" s="166" t="s">
        <v>163</v>
      </c>
      <c r="C61" s="144" t="s">
        <v>92</v>
      </c>
      <c r="D61" s="144" t="s">
        <v>146</v>
      </c>
      <c r="E61" s="163"/>
      <c r="F61" s="144"/>
      <c r="G61" s="164">
        <f t="shared" si="5"/>
        <v>0</v>
      </c>
    </row>
    <row r="62" spans="1:7" ht="15.75" customHeight="1" x14ac:dyDescent="0.25">
      <c r="A62" s="149"/>
      <c r="B62" s="166" t="s">
        <v>164</v>
      </c>
      <c r="C62" s="144" t="s">
        <v>92</v>
      </c>
      <c r="D62" s="144" t="s">
        <v>146</v>
      </c>
      <c r="E62" s="163"/>
      <c r="F62" s="144"/>
      <c r="G62" s="164">
        <f t="shared" si="5"/>
        <v>0</v>
      </c>
    </row>
    <row r="63" spans="1:7" ht="15.75" customHeight="1" x14ac:dyDescent="0.25">
      <c r="A63" s="149"/>
      <c r="B63" s="1068" t="s">
        <v>59</v>
      </c>
      <c r="C63" s="1069"/>
      <c r="D63" s="1069"/>
      <c r="E63" s="1069"/>
      <c r="F63" s="1070"/>
      <c r="G63" s="157">
        <f>SUM(G58:G62)</f>
        <v>9469.2240000000002</v>
      </c>
    </row>
  </sheetData>
  <mergeCells count="5">
    <mergeCell ref="A4:H4"/>
    <mergeCell ref="B26:E26"/>
    <mergeCell ref="B31:E31"/>
    <mergeCell ref="B51:F51"/>
    <mergeCell ref="B63:F63"/>
  </mergeCells>
  <dataValidations count="1">
    <dataValidation type="list" allowBlank="1" showErrorMessage="1" sqref="D36:D50 D58:D62" xr:uid="{00000000-0002-0000-0200-000000000000}">
      <formula1>"Sim,Não"</formula1>
    </dataValidation>
  </dataValidations>
  <pageMargins left="0.511811024" right="0.511811024" top="0.78740157499999996" bottom="0.78740157499999996" header="0" footer="0"/>
  <pageSetup paperSize="9" scale="61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05EDA"/>
    <outlinePr summaryBelow="0"/>
    <pageSetUpPr fitToPage="1"/>
  </sheetPr>
  <dimension ref="A1:G37"/>
  <sheetViews>
    <sheetView showGridLines="0" workbookViewId="0">
      <selection sqref="A1:B3"/>
    </sheetView>
  </sheetViews>
  <sheetFormatPr defaultColWidth="12.5703125" defaultRowHeight="15" customHeight="1" outlineLevelRow="1" outlineLevelCol="1" x14ac:dyDescent="0.2"/>
  <cols>
    <col min="1" max="1" width="5.7109375" customWidth="1"/>
    <col min="2" max="2" width="62" customWidth="1"/>
    <col min="3" max="3" width="7.85546875" customWidth="1"/>
    <col min="4" max="4" width="15.7109375" customWidth="1"/>
    <col min="5" max="5" width="12" customWidth="1"/>
    <col min="6" max="6" width="20.7109375" customWidth="1"/>
    <col min="7" max="7" width="55.7109375" customWidth="1" outlineLevel="1"/>
    <col min="8" max="8" width="5.7109375" customWidth="1"/>
    <col min="9" max="9" width="12.28515625" customWidth="1"/>
    <col min="10" max="10" width="15.28515625" customWidth="1"/>
    <col min="11" max="11" width="20.7109375" customWidth="1"/>
    <col min="12" max="12" width="6.28515625" customWidth="1"/>
    <col min="13" max="26" width="9.140625" customWidth="1"/>
  </cols>
  <sheetData>
    <row r="1" spans="1:7" ht="18.75" customHeight="1" x14ac:dyDescent="0.2">
      <c r="A1" s="1071"/>
      <c r="B1" s="1072"/>
      <c r="C1" s="171" t="s">
        <v>0</v>
      </c>
      <c r="D1" s="172" t="str">
        <f>'Obra '!D1</f>
        <v>Mosaico</v>
      </c>
      <c r="E1" s="173"/>
      <c r="F1" s="173"/>
      <c r="G1" s="174"/>
    </row>
    <row r="2" spans="1:7" ht="18.75" customHeight="1" x14ac:dyDescent="0.2">
      <c r="A2" s="1073"/>
      <c r="B2" s="1041"/>
      <c r="C2" s="175" t="s">
        <v>2</v>
      </c>
      <c r="D2" s="172" t="str">
        <f>'Obra '!D2</f>
        <v>Grupo DUO</v>
      </c>
      <c r="E2" s="176"/>
      <c r="F2" s="176"/>
      <c r="G2" s="177"/>
    </row>
    <row r="3" spans="1:7" ht="18.75" customHeight="1" x14ac:dyDescent="0.2">
      <c r="A3" s="1074"/>
      <c r="B3" s="1044"/>
      <c r="C3" s="175" t="s">
        <v>4</v>
      </c>
      <c r="D3" s="172" t="str">
        <f>'Obra '!D3</f>
        <v>R00</v>
      </c>
      <c r="E3" s="176"/>
      <c r="F3" s="176"/>
      <c r="G3" s="178"/>
    </row>
    <row r="4" spans="1:7" ht="19.5" customHeight="1" x14ac:dyDescent="0.2">
      <c r="A4" s="1075" t="s">
        <v>165</v>
      </c>
      <c r="B4" s="1076"/>
      <c r="C4" s="1076"/>
      <c r="D4" s="1076"/>
      <c r="E4" s="1076"/>
      <c r="F4" s="1076"/>
      <c r="G4" s="1077"/>
    </row>
    <row r="5" spans="1:7" ht="18.75" customHeight="1" x14ac:dyDescent="0.2">
      <c r="A5" s="179" t="s">
        <v>166</v>
      </c>
      <c r="B5" s="180" t="s">
        <v>167</v>
      </c>
      <c r="C5" s="180" t="s">
        <v>168</v>
      </c>
      <c r="D5" s="181" t="s">
        <v>169</v>
      </c>
      <c r="E5" s="182" t="s">
        <v>170</v>
      </c>
      <c r="F5" s="183" t="s">
        <v>171</v>
      </c>
      <c r="G5" s="184" t="s">
        <v>172</v>
      </c>
    </row>
    <row r="6" spans="1:7" ht="16.5" customHeight="1" x14ac:dyDescent="0.2">
      <c r="A6" s="185"/>
      <c r="B6" s="186" t="s">
        <v>173</v>
      </c>
      <c r="C6" s="185"/>
      <c r="D6" s="187"/>
      <c r="E6" s="185"/>
      <c r="F6" s="188">
        <f>SUM(F7:F12)</f>
        <v>39640</v>
      </c>
      <c r="G6" s="185"/>
    </row>
    <row r="7" spans="1:7" ht="16.5" customHeight="1" outlineLevel="1" x14ac:dyDescent="0.55000000000000004">
      <c r="A7" s="189">
        <v>1</v>
      </c>
      <c r="B7" s="190" t="s">
        <v>174</v>
      </c>
      <c r="C7" s="189" t="s">
        <v>175</v>
      </c>
      <c r="D7" s="191">
        <v>1450</v>
      </c>
      <c r="E7" s="192">
        <v>1</v>
      </c>
      <c r="F7" s="193">
        <f t="shared" ref="F7:F12" si="0">$D7*E7</f>
        <v>1450</v>
      </c>
      <c r="G7" s="194"/>
    </row>
    <row r="8" spans="1:7" ht="16.5" customHeight="1" outlineLevel="1" x14ac:dyDescent="0.55000000000000004">
      <c r="A8" s="189">
        <f t="shared" ref="A8:A10" si="1">A7+1</f>
        <v>2</v>
      </c>
      <c r="B8" s="190" t="s">
        <v>176</v>
      </c>
      <c r="C8" s="189" t="s">
        <v>177</v>
      </c>
      <c r="D8" s="191">
        <v>20</v>
      </c>
      <c r="E8" s="192">
        <f>ROUNDUP((Aço_Infraestrutura!P23)/8,0)*4</f>
        <v>188</v>
      </c>
      <c r="F8" s="193">
        <f t="shared" si="0"/>
        <v>3760</v>
      </c>
      <c r="G8" s="195" t="s">
        <v>178</v>
      </c>
    </row>
    <row r="9" spans="1:7" ht="16.5" customHeight="1" outlineLevel="1" x14ac:dyDescent="0.55000000000000004">
      <c r="A9" s="189">
        <f t="shared" si="1"/>
        <v>3</v>
      </c>
      <c r="B9" s="190" t="s">
        <v>179</v>
      </c>
      <c r="C9" s="189" t="s">
        <v>177</v>
      </c>
      <c r="D9" s="191">
        <v>20</v>
      </c>
      <c r="E9" s="192">
        <f>ROUNDUP((Estacas!K13)/8,0)*4</f>
        <v>64</v>
      </c>
      <c r="F9" s="193">
        <f t="shared" si="0"/>
        <v>1280</v>
      </c>
      <c r="G9" s="195" t="s">
        <v>178</v>
      </c>
    </row>
    <row r="10" spans="1:7" ht="18.75" customHeight="1" outlineLevel="1" x14ac:dyDescent="0.55000000000000004">
      <c r="A10" s="189">
        <f t="shared" si="1"/>
        <v>4</v>
      </c>
      <c r="B10" s="190" t="s">
        <v>180</v>
      </c>
      <c r="C10" s="189" t="s">
        <v>177</v>
      </c>
      <c r="D10" s="191">
        <v>20</v>
      </c>
      <c r="E10" s="192">
        <f>ROUNDUP((Supraestrutura!P97)/8,0)*4</f>
        <v>864</v>
      </c>
      <c r="F10" s="193">
        <f t="shared" si="0"/>
        <v>17280</v>
      </c>
      <c r="G10" s="195" t="s">
        <v>178</v>
      </c>
    </row>
    <row r="11" spans="1:7" ht="18.75" customHeight="1" outlineLevel="1" x14ac:dyDescent="0.55000000000000004">
      <c r="A11" s="189">
        <f>A8+1</f>
        <v>3</v>
      </c>
      <c r="B11" s="190" t="s">
        <v>181</v>
      </c>
      <c r="C11" s="189" t="s">
        <v>182</v>
      </c>
      <c r="D11" s="191">
        <v>12.5</v>
      </c>
      <c r="E11" s="192">
        <f>E8+E9+E10</f>
        <v>1116</v>
      </c>
      <c r="F11" s="193">
        <f t="shared" si="0"/>
        <v>13950</v>
      </c>
      <c r="G11" s="194"/>
    </row>
    <row r="12" spans="1:7" ht="18.75" customHeight="1" outlineLevel="1" x14ac:dyDescent="0.55000000000000004">
      <c r="A12" s="189">
        <f>A11+1</f>
        <v>4</v>
      </c>
      <c r="B12" s="190" t="s">
        <v>183</v>
      </c>
      <c r="C12" s="196" t="s">
        <v>184</v>
      </c>
      <c r="D12" s="197">
        <v>480</v>
      </c>
      <c r="E12" s="192">
        <f>ROUNDUP('Obra '!E13/5,0)</f>
        <v>4</v>
      </c>
      <c r="F12" s="198">
        <f t="shared" si="0"/>
        <v>1920</v>
      </c>
      <c r="G12" s="199" t="s">
        <v>185</v>
      </c>
    </row>
    <row r="13" spans="1:7" ht="18.75" customHeight="1" outlineLevel="1" x14ac:dyDescent="0.2">
      <c r="A13" s="185"/>
      <c r="B13" s="186" t="s">
        <v>186</v>
      </c>
      <c r="C13" s="185"/>
      <c r="D13" s="187"/>
      <c r="E13" s="185"/>
      <c r="F13" s="188">
        <f>SUM(F14:F15)</f>
        <v>0</v>
      </c>
      <c r="G13" s="185"/>
    </row>
    <row r="14" spans="1:7" ht="18.75" customHeight="1" outlineLevel="1" x14ac:dyDescent="0.55000000000000004">
      <c r="A14" s="189">
        <v>1</v>
      </c>
      <c r="B14" s="190" t="s">
        <v>187</v>
      </c>
      <c r="C14" s="189" t="s">
        <v>188</v>
      </c>
      <c r="D14" s="191">
        <v>7500</v>
      </c>
      <c r="E14" s="200"/>
      <c r="F14" s="193">
        <f t="shared" ref="F14:F15" si="2">$D14*E14</f>
        <v>0</v>
      </c>
      <c r="G14" s="195" t="s">
        <v>189</v>
      </c>
    </row>
    <row r="15" spans="1:7" ht="18.75" customHeight="1" outlineLevel="1" x14ac:dyDescent="0.55000000000000004">
      <c r="A15" s="189">
        <f>A14+1</f>
        <v>2</v>
      </c>
      <c r="B15" s="190" t="s">
        <v>190</v>
      </c>
      <c r="C15" s="189" t="s">
        <v>188</v>
      </c>
      <c r="D15" s="191">
        <v>1500</v>
      </c>
      <c r="E15" s="200"/>
      <c r="F15" s="193">
        <f t="shared" si="2"/>
        <v>0</v>
      </c>
      <c r="G15" s="195" t="s">
        <v>189</v>
      </c>
    </row>
    <row r="16" spans="1:7" ht="18.75" customHeight="1" outlineLevel="1" x14ac:dyDescent="0.2">
      <c r="A16" s="185"/>
      <c r="B16" s="186" t="s">
        <v>191</v>
      </c>
      <c r="C16" s="185"/>
      <c r="D16" s="187"/>
      <c r="E16" s="185"/>
      <c r="F16" s="188">
        <f>SUM(F17:F19)</f>
        <v>0</v>
      </c>
      <c r="G16" s="185"/>
    </row>
    <row r="17" spans="1:7" ht="18.75" customHeight="1" outlineLevel="1" x14ac:dyDescent="0.55000000000000004">
      <c r="A17" s="189">
        <v>1</v>
      </c>
      <c r="B17" s="190" t="s">
        <v>192</v>
      </c>
      <c r="C17" s="189" t="s">
        <v>188</v>
      </c>
      <c r="D17" s="191">
        <v>3174</v>
      </c>
      <c r="E17" s="200"/>
      <c r="F17" s="193">
        <f t="shared" ref="F17:F19" si="3">$D17*E17</f>
        <v>0</v>
      </c>
      <c r="G17" s="195" t="s">
        <v>193</v>
      </c>
    </row>
    <row r="18" spans="1:7" ht="18.75" customHeight="1" outlineLevel="1" x14ac:dyDescent="0.55000000000000004">
      <c r="A18" s="189">
        <f t="shared" ref="A18:A19" si="4">A17+1</f>
        <v>2</v>
      </c>
      <c r="B18" s="201" t="s">
        <v>194</v>
      </c>
      <c r="C18" s="189" t="s">
        <v>188</v>
      </c>
      <c r="D18" s="191">
        <v>2774</v>
      </c>
      <c r="E18" s="200"/>
      <c r="F18" s="193">
        <f t="shared" si="3"/>
        <v>0</v>
      </c>
      <c r="G18" s="195" t="s">
        <v>193</v>
      </c>
    </row>
    <row r="19" spans="1:7" ht="18.75" customHeight="1" outlineLevel="1" x14ac:dyDescent="0.55000000000000004">
      <c r="A19" s="189">
        <f t="shared" si="4"/>
        <v>3</v>
      </c>
      <c r="B19" s="201" t="s">
        <v>195</v>
      </c>
      <c r="C19" s="189" t="s">
        <v>188</v>
      </c>
      <c r="D19" s="191">
        <v>4020</v>
      </c>
      <c r="E19" s="200"/>
      <c r="F19" s="193">
        <f t="shared" si="3"/>
        <v>0</v>
      </c>
      <c r="G19" s="195" t="s">
        <v>193</v>
      </c>
    </row>
    <row r="20" spans="1:7" ht="18.75" customHeight="1" outlineLevel="1" x14ac:dyDescent="0.2">
      <c r="A20" s="185"/>
      <c r="B20" s="186" t="s">
        <v>196</v>
      </c>
      <c r="C20" s="185"/>
      <c r="D20" s="187"/>
      <c r="E20" s="185"/>
      <c r="F20" s="188">
        <f>F21</f>
        <v>4210</v>
      </c>
      <c r="G20" s="185"/>
    </row>
    <row r="21" spans="1:7" ht="18.75" customHeight="1" outlineLevel="1" x14ac:dyDescent="0.55000000000000004">
      <c r="A21" s="189">
        <v>1</v>
      </c>
      <c r="B21" s="190" t="s">
        <v>197</v>
      </c>
      <c r="C21" s="189" t="s">
        <v>188</v>
      </c>
      <c r="D21" s="191">
        <v>4210</v>
      </c>
      <c r="E21" s="192">
        <v>1</v>
      </c>
      <c r="F21" s="193">
        <f>$D21*E21</f>
        <v>4210</v>
      </c>
      <c r="G21" s="195" t="s">
        <v>198</v>
      </c>
    </row>
    <row r="22" spans="1:7" ht="18.75" customHeight="1" outlineLevel="1" x14ac:dyDescent="0.2">
      <c r="A22" s="185"/>
      <c r="B22" s="186" t="s">
        <v>199</v>
      </c>
      <c r="C22" s="185"/>
      <c r="D22" s="187"/>
      <c r="E22" s="185"/>
      <c r="F22" s="188">
        <f>F23</f>
        <v>1260</v>
      </c>
      <c r="G22" s="185"/>
    </row>
    <row r="23" spans="1:7" ht="18.75" customHeight="1" outlineLevel="1" x14ac:dyDescent="0.55000000000000004">
      <c r="A23" s="189">
        <v>1</v>
      </c>
      <c r="B23" s="190" t="s">
        <v>200</v>
      </c>
      <c r="C23" s="189" t="s">
        <v>188</v>
      </c>
      <c r="D23" s="191">
        <v>1260</v>
      </c>
      <c r="E23" s="192">
        <v>1</v>
      </c>
      <c r="F23" s="193">
        <f>$D23*E23</f>
        <v>1260</v>
      </c>
      <c r="G23" s="195" t="s">
        <v>201</v>
      </c>
    </row>
    <row r="24" spans="1:7" ht="18.75" customHeight="1" outlineLevel="1" x14ac:dyDescent="0.2">
      <c r="A24" s="185"/>
      <c r="B24" s="186" t="s">
        <v>202</v>
      </c>
      <c r="C24" s="185"/>
      <c r="D24" s="187"/>
      <c r="E24" s="185"/>
      <c r="F24" s="188">
        <f>F25</f>
        <v>1260</v>
      </c>
      <c r="G24" s="185"/>
    </row>
    <row r="25" spans="1:7" ht="18.75" customHeight="1" outlineLevel="1" x14ac:dyDescent="0.55000000000000004">
      <c r="A25" s="189">
        <v>1</v>
      </c>
      <c r="B25" s="190" t="s">
        <v>203</v>
      </c>
      <c r="C25" s="189" t="s">
        <v>188</v>
      </c>
      <c r="D25" s="191">
        <v>1260</v>
      </c>
      <c r="E25" s="192">
        <v>1</v>
      </c>
      <c r="F25" s="193">
        <f>$D25*E25</f>
        <v>1260</v>
      </c>
      <c r="G25" s="195" t="s">
        <v>201</v>
      </c>
    </row>
    <row r="26" spans="1:7" ht="18.75" customHeight="1" outlineLevel="1" x14ac:dyDescent="0.2">
      <c r="A26" s="185"/>
      <c r="B26" s="186" t="s">
        <v>204</v>
      </c>
      <c r="C26" s="185"/>
      <c r="D26" s="187"/>
      <c r="E26" s="185"/>
      <c r="F26" s="188">
        <f>F27</f>
        <v>664.44444444444446</v>
      </c>
      <c r="G26" s="185"/>
    </row>
    <row r="27" spans="1:7" ht="18.75" customHeight="1" outlineLevel="1" x14ac:dyDescent="0.55000000000000004">
      <c r="A27" s="189">
        <v>1</v>
      </c>
      <c r="B27" s="190" t="s">
        <v>205</v>
      </c>
      <c r="C27" s="189" t="s">
        <v>188</v>
      </c>
      <c r="D27" s="191">
        <v>664.44444444444446</v>
      </c>
      <c r="E27" s="192">
        <v>1</v>
      </c>
      <c r="F27" s="193">
        <f>$D27*E27</f>
        <v>664.44444444444446</v>
      </c>
      <c r="G27" s="195" t="s">
        <v>206</v>
      </c>
    </row>
    <row r="28" spans="1:7" ht="18.75" customHeight="1" outlineLevel="1" x14ac:dyDescent="0.2">
      <c r="A28" s="185"/>
      <c r="B28" s="186" t="s">
        <v>207</v>
      </c>
      <c r="C28" s="185"/>
      <c r="D28" s="187"/>
      <c r="E28" s="185"/>
      <c r="F28" s="188">
        <f>SUM(F29)</f>
        <v>1680</v>
      </c>
      <c r="G28" s="185"/>
    </row>
    <row r="29" spans="1:7" ht="18.75" customHeight="1" outlineLevel="1" x14ac:dyDescent="0.55000000000000004">
      <c r="A29" s="189">
        <v>1</v>
      </c>
      <c r="B29" s="190" t="s">
        <v>208</v>
      </c>
      <c r="C29" s="189" t="s">
        <v>188</v>
      </c>
      <c r="D29" s="191">
        <v>1680</v>
      </c>
      <c r="E29" s="192">
        <v>1</v>
      </c>
      <c r="F29" s="193">
        <f>$D29*E29</f>
        <v>1680</v>
      </c>
      <c r="G29" s="195" t="s">
        <v>201</v>
      </c>
    </row>
    <row r="30" spans="1:7" ht="18.75" customHeight="1" outlineLevel="1" x14ac:dyDescent="0.2">
      <c r="A30" s="185"/>
      <c r="B30" s="186" t="s">
        <v>209</v>
      </c>
      <c r="C30" s="185"/>
      <c r="D30" s="187"/>
      <c r="E30" s="185"/>
      <c r="F30" s="188">
        <f>SUM(F31:F36)</f>
        <v>1728</v>
      </c>
      <c r="G30" s="185"/>
    </row>
    <row r="31" spans="1:7" ht="75" outlineLevel="1" x14ac:dyDescent="0.55000000000000004">
      <c r="A31" s="189">
        <v>1</v>
      </c>
      <c r="B31" s="190" t="s">
        <v>210</v>
      </c>
      <c r="C31" s="189" t="s">
        <v>177</v>
      </c>
      <c r="D31" s="191">
        <v>8.5</v>
      </c>
      <c r="E31" s="200"/>
      <c r="F31" s="202"/>
      <c r="G31" s="195" t="s">
        <v>211</v>
      </c>
    </row>
    <row r="32" spans="1:7" ht="93.75" outlineLevel="1" x14ac:dyDescent="0.55000000000000004">
      <c r="A32" s="189">
        <f t="shared" ref="A32:A36" si="5">A31+1</f>
        <v>2</v>
      </c>
      <c r="B32" s="190" t="s">
        <v>212</v>
      </c>
      <c r="C32" s="189" t="s">
        <v>177</v>
      </c>
      <c r="D32" s="191">
        <v>18</v>
      </c>
      <c r="E32" s="192">
        <f>6*'Obra '!E13</f>
        <v>96</v>
      </c>
      <c r="F32" s="193">
        <f>E32*D32</f>
        <v>1728</v>
      </c>
      <c r="G32" s="195" t="s">
        <v>213</v>
      </c>
    </row>
    <row r="33" spans="1:7" ht="56.25" outlineLevel="1" x14ac:dyDescent="0.55000000000000004">
      <c r="A33" s="189">
        <f t="shared" si="5"/>
        <v>3</v>
      </c>
      <c r="B33" s="190" t="s">
        <v>214</v>
      </c>
      <c r="C33" s="189" t="s">
        <v>177</v>
      </c>
      <c r="D33" s="191">
        <v>50</v>
      </c>
      <c r="E33" s="200"/>
      <c r="F33" s="202"/>
      <c r="G33" s="195" t="s">
        <v>215</v>
      </c>
    </row>
    <row r="34" spans="1:7" ht="56.25" outlineLevel="1" x14ac:dyDescent="0.55000000000000004">
      <c r="A34" s="189">
        <f t="shared" si="5"/>
        <v>4</v>
      </c>
      <c r="B34" s="190" t="s">
        <v>216</v>
      </c>
      <c r="C34" s="189" t="s">
        <v>177</v>
      </c>
      <c r="D34" s="191">
        <v>65</v>
      </c>
      <c r="E34" s="200"/>
      <c r="F34" s="202"/>
      <c r="G34" s="195" t="s">
        <v>217</v>
      </c>
    </row>
    <row r="35" spans="1:7" ht="37.5" outlineLevel="1" x14ac:dyDescent="0.55000000000000004">
      <c r="A35" s="189">
        <f t="shared" si="5"/>
        <v>5</v>
      </c>
      <c r="B35" s="190" t="s">
        <v>218</v>
      </c>
      <c r="C35" s="189" t="s">
        <v>182</v>
      </c>
      <c r="D35" s="191">
        <v>40</v>
      </c>
      <c r="E35" s="200"/>
      <c r="F35" s="202"/>
      <c r="G35" s="195" t="s">
        <v>219</v>
      </c>
    </row>
    <row r="36" spans="1:7" ht="18.75" outlineLevel="1" x14ac:dyDescent="0.55000000000000004">
      <c r="A36" s="189">
        <f t="shared" si="5"/>
        <v>6</v>
      </c>
      <c r="B36" s="190" t="s">
        <v>220</v>
      </c>
      <c r="C36" s="189" t="s">
        <v>221</v>
      </c>
      <c r="D36" s="191">
        <v>40</v>
      </c>
      <c r="E36" s="200"/>
      <c r="F36" s="202"/>
      <c r="G36" s="195" t="s">
        <v>222</v>
      </c>
    </row>
    <row r="37" spans="1:7" ht="16.5" customHeight="1" x14ac:dyDescent="0.2">
      <c r="A37" s="203"/>
      <c r="B37" s="203"/>
      <c r="C37" s="1078" t="s">
        <v>223</v>
      </c>
      <c r="D37" s="1079"/>
      <c r="E37" s="204"/>
      <c r="F37" s="205">
        <f>F30+F28+F26+F22+F20+F16+F13+F6</f>
        <v>49182.444444444445</v>
      </c>
      <c r="G37" s="206"/>
    </row>
  </sheetData>
  <mergeCells count="3">
    <mergeCell ref="A1:B3"/>
    <mergeCell ref="A4:G4"/>
    <mergeCell ref="C37:D37"/>
  </mergeCells>
  <conditionalFormatting sqref="D7:D36">
    <cfRule type="cellIs" dxfId="4977" priority="1" operator="equal">
      <formula>#REF!</formula>
    </cfRule>
  </conditionalFormatting>
  <printOptions horizontalCentered="1"/>
  <pageMargins left="0.31496062992125984" right="0.11811023622047245" top="0.39370078740157483" bottom="0.19685039370078741" header="0" footer="0"/>
  <pageSetup paperSize="8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  <outlinePr summaryBelow="0"/>
    <pageSetUpPr fitToPage="1"/>
  </sheetPr>
  <dimension ref="A1:T758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703125" defaultRowHeight="15" customHeight="1" outlineLevelRow="1" outlineLevelCol="1" x14ac:dyDescent="0.2"/>
  <cols>
    <col min="1" max="5" width="4" hidden="1" customWidth="1" outlineLevel="1"/>
    <col min="6" max="6" width="3.140625" customWidth="1" collapsed="1"/>
    <col min="7" max="7" width="7.28515625" customWidth="1"/>
    <col min="8" max="8" width="8.7109375" customWidth="1" outlineLevel="1"/>
    <col min="9" max="9" width="12.28515625" customWidth="1"/>
    <col min="10" max="10" width="32.7109375" customWidth="1"/>
    <col min="11" max="11" width="6.85546875" customWidth="1"/>
    <col min="12" max="12" width="11.140625" customWidth="1"/>
    <col min="13" max="13" width="13.7109375" customWidth="1"/>
    <col min="14" max="14" width="11.140625" customWidth="1"/>
    <col min="15" max="15" width="36.140625" customWidth="1" outlineLevel="1"/>
    <col min="16" max="16" width="17.7109375" customWidth="1"/>
    <col min="17" max="17" width="10.140625" customWidth="1"/>
    <col min="18" max="18" width="15" customWidth="1"/>
    <col min="19" max="19" width="9.140625" customWidth="1"/>
    <col min="20" max="20" width="10.28515625" customWidth="1"/>
    <col min="21" max="26" width="9.140625" customWidth="1"/>
  </cols>
  <sheetData>
    <row r="1" spans="1:16" ht="15" customHeight="1" x14ac:dyDescent="0.2">
      <c r="G1" s="207"/>
      <c r="H1" s="208"/>
      <c r="I1" s="208"/>
      <c r="J1" s="208"/>
      <c r="K1" s="208"/>
      <c r="L1" s="208"/>
      <c r="M1" s="208"/>
      <c r="N1" s="208"/>
      <c r="O1" s="208"/>
      <c r="P1" s="209"/>
    </row>
    <row r="2" spans="1:16" ht="15" customHeight="1" x14ac:dyDescent="0.2">
      <c r="G2" s="210"/>
      <c r="H2" s="211"/>
      <c r="I2" s="211"/>
      <c r="J2" s="211"/>
      <c r="K2" s="211"/>
      <c r="L2" s="211"/>
      <c r="M2" s="211"/>
      <c r="N2" s="211"/>
      <c r="O2" s="211"/>
      <c r="P2" s="212"/>
    </row>
    <row r="3" spans="1:16" ht="15" customHeight="1" x14ac:dyDescent="0.2">
      <c r="G3" s="213"/>
      <c r="H3" s="214"/>
      <c r="I3" s="214"/>
      <c r="J3" s="214"/>
      <c r="K3" s="214"/>
      <c r="L3" s="214"/>
      <c r="M3" s="214"/>
      <c r="N3" s="214"/>
      <c r="O3" s="214"/>
      <c r="P3" s="215"/>
    </row>
    <row r="4" spans="1:16" ht="15" customHeight="1" x14ac:dyDescent="0.2">
      <c r="A4" s="216"/>
      <c r="B4" s="216"/>
      <c r="C4" s="216"/>
      <c r="D4" s="216"/>
      <c r="E4" s="216"/>
      <c r="F4" s="216"/>
      <c r="G4" s="217" t="s">
        <v>224</v>
      </c>
      <c r="H4" s="218"/>
      <c r="I4" s="219" t="str">
        <f>'Obra '!D1</f>
        <v>Mosaico</v>
      </c>
      <c r="J4" s="220"/>
      <c r="K4" s="221"/>
      <c r="L4" s="221"/>
      <c r="M4" s="221"/>
      <c r="N4" s="222"/>
      <c r="O4" s="218" t="s">
        <v>225</v>
      </c>
      <c r="P4" s="223" t="s">
        <v>226</v>
      </c>
    </row>
    <row r="5" spans="1:16" ht="15" customHeight="1" x14ac:dyDescent="0.2">
      <c r="A5" s="224"/>
      <c r="B5" s="224"/>
      <c r="C5" s="224"/>
      <c r="D5" s="224"/>
      <c r="E5" s="224"/>
      <c r="F5" s="224"/>
      <c r="G5" s="225" t="s">
        <v>227</v>
      </c>
      <c r="H5" s="226"/>
      <c r="I5" s="227" t="str">
        <f>'Obra '!D2</f>
        <v>Grupo DUO</v>
      </c>
      <c r="J5" s="227"/>
      <c r="K5" s="228"/>
      <c r="L5" s="228"/>
      <c r="M5" s="228"/>
      <c r="N5" s="229"/>
      <c r="O5" s="230" t="str">
        <f>'Obra '!D3</f>
        <v>R00</v>
      </c>
      <c r="P5" s="231">
        <v>45877</v>
      </c>
    </row>
    <row r="6" spans="1:16" ht="18" customHeight="1" x14ac:dyDescent="0.2">
      <c r="A6" s="232" t="s">
        <v>228</v>
      </c>
      <c r="B6" s="232" t="s">
        <v>229</v>
      </c>
      <c r="C6" s="232" t="s">
        <v>230</v>
      </c>
      <c r="D6" s="232" t="s">
        <v>231</v>
      </c>
      <c r="E6" s="232" t="s">
        <v>232</v>
      </c>
      <c r="F6" s="224"/>
      <c r="G6" s="1080" t="s">
        <v>233</v>
      </c>
      <c r="H6" s="1063"/>
      <c r="I6" s="1063"/>
      <c r="J6" s="1063"/>
      <c r="K6" s="1063"/>
      <c r="L6" s="1063"/>
      <c r="M6" s="1063"/>
      <c r="N6" s="1063"/>
      <c r="O6" s="1063"/>
      <c r="P6" s="1064"/>
    </row>
    <row r="7" spans="1:16" ht="24" customHeight="1" x14ac:dyDescent="0.2">
      <c r="A7" s="233">
        <v>0</v>
      </c>
      <c r="B7" s="233">
        <v>0</v>
      </c>
      <c r="C7" s="233">
        <v>0</v>
      </c>
      <c r="D7" s="234">
        <v>0</v>
      </c>
      <c r="E7" s="234">
        <v>0</v>
      </c>
      <c r="F7" s="235"/>
      <c r="G7" s="236" t="s">
        <v>234</v>
      </c>
      <c r="H7" s="237" t="s">
        <v>235</v>
      </c>
      <c r="I7" s="238" t="s">
        <v>166</v>
      </c>
      <c r="J7" s="239" t="s">
        <v>7</v>
      </c>
      <c r="K7" s="240" t="s">
        <v>8</v>
      </c>
      <c r="L7" s="241" t="s">
        <v>236</v>
      </c>
      <c r="M7" s="241" t="s">
        <v>237</v>
      </c>
      <c r="N7" s="241" t="s">
        <v>238</v>
      </c>
      <c r="O7" s="242" t="s">
        <v>239</v>
      </c>
      <c r="P7" s="243" t="s">
        <v>240</v>
      </c>
    </row>
    <row r="8" spans="1:16" ht="13.5" customHeight="1" x14ac:dyDescent="0.2">
      <c r="A8" s="233">
        <f t="shared" ref="A8:A262" ca="1" si="0">IF($H8="UNIDADE CONSTRUTIVA",OFFSET(A8,-1,0)+1,LARGE(A$3:A7,1))</f>
        <v>0</v>
      </c>
      <c r="B8" s="233">
        <f t="shared" ref="B8:B262" ca="1" si="1">IF(H8="UNIDADE CONSTRUTIVA",0,IF(H8="CÉLULA CONSTRUTIVA",OFFSET(B8,-1,0)+1,OFFSET(B8,-1,0)))</f>
        <v>1</v>
      </c>
      <c r="C8" s="233">
        <f t="shared" ref="C8:C262" ca="1" si="2">IF(H8="CÉLULA CONSTRUTIVA",0,IF(H8="ETAPA",OFFSET(C8,-1,0)+1,OFFSET(C8,-1,0)))</f>
        <v>0</v>
      </c>
      <c r="D8" s="234">
        <f t="shared" ref="D8:D262" ca="1" si="3">IF(H8="ETAPA",0,IF(H8="SUBETAPA",OFFSET(D8,-1,0)+1,OFFSET(D8,-1,0)))</f>
        <v>0</v>
      </c>
      <c r="E8" s="234">
        <f t="shared" ref="E8:E262" ca="1" si="4">IF(H8="Subetapa",0,IF(H8="serviço",OFFSET(E8,-1,0)+1,OFFSET(E8,-1,0)))</f>
        <v>0</v>
      </c>
      <c r="F8" s="244"/>
      <c r="G8" s="245"/>
      <c r="H8" s="246" t="s">
        <v>241</v>
      </c>
      <c r="I8" s="247" t="str">
        <f t="shared" ref="I8:I120" ca="1" si="5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48" t="s">
        <v>242</v>
      </c>
      <c r="K8" s="249"/>
      <c r="L8" s="250"/>
      <c r="M8" s="250"/>
      <c r="N8" s="251">
        <f t="shared" ref="N8:N120" ca="1" si="6">IF(H8="Serviço",M8*L8,IF(H8="CÉLULA CONSTRUTIVA",SUMIFS($N$8:$N$418,$B$8:$B$418,B8,$H$8:$H$418,"Serviço"),IF(H8="ETAPA",SUMIFS($N$8:$N$418,$B$8:$B$418,B8,$C$8:$C$418,C8,$H$8:$H$418,"Serviço"),IF(H8="SUBETAPA",SUMIFS($N$8:$N$418,$B$8:$B$418,B8,$C$8:$C$418,C8,$D$8:$D$418,D8,$H$8:$H$418,"Serviço"),0))))</f>
        <v>2526660.2716066567</v>
      </c>
      <c r="O8" s="252"/>
      <c r="P8" s="253"/>
    </row>
    <row r="9" spans="1:16" ht="13.5" customHeight="1" x14ac:dyDescent="0.2">
      <c r="A9" s="233">
        <f t="shared" ca="1" si="0"/>
        <v>0</v>
      </c>
      <c r="B9" s="233">
        <f t="shared" ca="1" si="1"/>
        <v>1</v>
      </c>
      <c r="C9" s="233">
        <f t="shared" ca="1" si="2"/>
        <v>1</v>
      </c>
      <c r="D9" s="234">
        <f t="shared" ca="1" si="3"/>
        <v>0</v>
      </c>
      <c r="E9" s="234">
        <f t="shared" ca="1" si="4"/>
        <v>0</v>
      </c>
      <c r="F9" s="244"/>
      <c r="G9" s="245"/>
      <c r="H9" s="246" t="s">
        <v>37</v>
      </c>
      <c r="I9" s="247" t="str">
        <f t="shared" ca="1" si="5"/>
        <v>01.001</v>
      </c>
      <c r="J9" s="248" t="s">
        <v>243</v>
      </c>
      <c r="K9" s="249"/>
      <c r="L9" s="250"/>
      <c r="M9" s="250"/>
      <c r="N9" s="251">
        <f t="shared" ca="1" si="6"/>
        <v>852669.76575441658</v>
      </c>
      <c r="O9" s="252"/>
      <c r="P9" s="253"/>
    </row>
    <row r="10" spans="1:16" ht="13.5" customHeight="1" collapsed="1" x14ac:dyDescent="0.2">
      <c r="A10" s="233">
        <f t="shared" ca="1" si="0"/>
        <v>0</v>
      </c>
      <c r="B10" s="233">
        <f t="shared" ca="1" si="1"/>
        <v>1</v>
      </c>
      <c r="C10" s="233">
        <f t="shared" ca="1" si="2"/>
        <v>1</v>
      </c>
      <c r="D10" s="234">
        <f t="shared" ca="1" si="3"/>
        <v>1</v>
      </c>
      <c r="E10" s="234">
        <f t="shared" ca="1" si="4"/>
        <v>0</v>
      </c>
      <c r="F10" s="244"/>
      <c r="G10" s="245"/>
      <c r="H10" s="246" t="s">
        <v>244</v>
      </c>
      <c r="I10" s="247" t="str">
        <f t="shared" ca="1" si="5"/>
        <v>01.001.001</v>
      </c>
      <c r="J10" s="248" t="s">
        <v>245</v>
      </c>
      <c r="K10" s="249"/>
      <c r="L10" s="250"/>
      <c r="M10" s="250"/>
      <c r="N10" s="251">
        <f t="shared" ca="1" si="6"/>
        <v>45800</v>
      </c>
      <c r="O10" s="252"/>
      <c r="P10" s="253"/>
    </row>
    <row r="11" spans="1:16" ht="13.5" hidden="1" customHeight="1" outlineLevel="1" x14ac:dyDescent="0.2">
      <c r="A11" s="233">
        <f t="shared" ca="1" si="0"/>
        <v>0</v>
      </c>
      <c r="B11" s="233">
        <f t="shared" ca="1" si="1"/>
        <v>1</v>
      </c>
      <c r="C11" s="233">
        <f t="shared" ca="1" si="2"/>
        <v>1</v>
      </c>
      <c r="D11" s="234">
        <f t="shared" ca="1" si="3"/>
        <v>1</v>
      </c>
      <c r="E11" s="234">
        <f t="shared" ca="1" si="4"/>
        <v>1</v>
      </c>
      <c r="F11" s="244"/>
      <c r="G11" s="245"/>
      <c r="H11" s="246" t="s">
        <v>246</v>
      </c>
      <c r="I11" s="247" t="str">
        <f t="shared" ca="1" si="5"/>
        <v>01.001.001.001</v>
      </c>
      <c r="J11" s="248" t="s">
        <v>247</v>
      </c>
      <c r="K11" s="250" t="s">
        <v>175</v>
      </c>
      <c r="L11" s="250">
        <v>1</v>
      </c>
      <c r="M11" s="250">
        <v>1800</v>
      </c>
      <c r="N11" s="251">
        <f t="shared" si="6"/>
        <v>1800</v>
      </c>
      <c r="O11" s="254" t="s">
        <v>248</v>
      </c>
      <c r="P11" s="253" t="s">
        <v>249</v>
      </c>
    </row>
    <row r="12" spans="1:16" ht="13.5" hidden="1" customHeight="1" outlineLevel="1" x14ac:dyDescent="0.2">
      <c r="A12" s="233">
        <f t="shared" ca="1" si="0"/>
        <v>0</v>
      </c>
      <c r="B12" s="233">
        <f t="shared" ca="1" si="1"/>
        <v>1</v>
      </c>
      <c r="C12" s="233">
        <f t="shared" ca="1" si="2"/>
        <v>1</v>
      </c>
      <c r="D12" s="234">
        <f t="shared" ca="1" si="3"/>
        <v>1</v>
      </c>
      <c r="E12" s="234">
        <f t="shared" ca="1" si="4"/>
        <v>2</v>
      </c>
      <c r="F12" s="244"/>
      <c r="G12" s="245"/>
      <c r="H12" s="246" t="s">
        <v>246</v>
      </c>
      <c r="I12" s="247" t="str">
        <f t="shared" ca="1" si="5"/>
        <v>01.001.001.002</v>
      </c>
      <c r="J12" s="248" t="s">
        <v>250</v>
      </c>
      <c r="K12" s="250" t="s">
        <v>175</v>
      </c>
      <c r="L12" s="250">
        <v>1</v>
      </c>
      <c r="M12" s="250">
        <v>44000</v>
      </c>
      <c r="N12" s="251">
        <f t="shared" si="6"/>
        <v>44000</v>
      </c>
      <c r="O12" s="254" t="s">
        <v>248</v>
      </c>
      <c r="P12" s="253" t="s">
        <v>249</v>
      </c>
    </row>
    <row r="13" spans="1:16" ht="13.5" customHeight="1" collapsed="1" x14ac:dyDescent="0.2">
      <c r="A13" s="233">
        <f t="shared" ca="1" si="0"/>
        <v>0</v>
      </c>
      <c r="B13" s="233">
        <f t="shared" ca="1" si="1"/>
        <v>1</v>
      </c>
      <c r="C13" s="233">
        <f t="shared" ca="1" si="2"/>
        <v>1</v>
      </c>
      <c r="D13" s="234">
        <f t="shared" ca="1" si="3"/>
        <v>2</v>
      </c>
      <c r="E13" s="234">
        <f t="shared" ca="1" si="4"/>
        <v>0</v>
      </c>
      <c r="F13" s="244"/>
      <c r="G13" s="245"/>
      <c r="H13" s="246" t="s">
        <v>244</v>
      </c>
      <c r="I13" s="247" t="str">
        <f t="shared" ca="1" si="5"/>
        <v>01.001.002</v>
      </c>
      <c r="J13" s="248" t="s">
        <v>251</v>
      </c>
      <c r="K13" s="249"/>
      <c r="L13" s="250"/>
      <c r="M13" s="250"/>
      <c r="N13" s="251">
        <f t="shared" ca="1" si="6"/>
        <v>614822.41088688374</v>
      </c>
      <c r="O13" s="252"/>
      <c r="P13" s="253"/>
    </row>
    <row r="14" spans="1:16" ht="13.5" hidden="1" customHeight="1" outlineLevel="1" x14ac:dyDescent="0.2">
      <c r="A14" s="233">
        <f t="shared" ca="1" si="0"/>
        <v>0</v>
      </c>
      <c r="B14" s="233">
        <f t="shared" ca="1" si="1"/>
        <v>1</v>
      </c>
      <c r="C14" s="233">
        <f t="shared" ca="1" si="2"/>
        <v>1</v>
      </c>
      <c r="D14" s="234">
        <f t="shared" ca="1" si="3"/>
        <v>2</v>
      </c>
      <c r="E14" s="234">
        <f t="shared" ca="1" si="4"/>
        <v>1</v>
      </c>
      <c r="F14" s="244"/>
      <c r="G14" s="245"/>
      <c r="H14" s="246" t="s">
        <v>246</v>
      </c>
      <c r="I14" s="247" t="str">
        <f t="shared" ca="1" si="5"/>
        <v>01.001.002.001</v>
      </c>
      <c r="J14" s="255" t="s">
        <v>252</v>
      </c>
      <c r="K14" s="250" t="s">
        <v>175</v>
      </c>
      <c r="L14" s="250">
        <v>1</v>
      </c>
      <c r="M14" s="256">
        <v>320000</v>
      </c>
      <c r="N14" s="251">
        <f t="shared" si="6"/>
        <v>320000</v>
      </c>
      <c r="O14" s="254" t="s">
        <v>248</v>
      </c>
      <c r="P14" s="253" t="s">
        <v>249</v>
      </c>
    </row>
    <row r="15" spans="1:16" ht="13.5" hidden="1" customHeight="1" outlineLevel="1" x14ac:dyDescent="0.2">
      <c r="A15" s="233">
        <f t="shared" ca="1" si="0"/>
        <v>0</v>
      </c>
      <c r="B15" s="233">
        <f t="shared" ca="1" si="1"/>
        <v>1</v>
      </c>
      <c r="C15" s="233">
        <f t="shared" ca="1" si="2"/>
        <v>1</v>
      </c>
      <c r="D15" s="234">
        <f t="shared" ca="1" si="3"/>
        <v>2</v>
      </c>
      <c r="E15" s="234">
        <f t="shared" ca="1" si="4"/>
        <v>2</v>
      </c>
      <c r="F15" s="244"/>
      <c r="G15" s="245"/>
      <c r="H15" s="246" t="s">
        <v>246</v>
      </c>
      <c r="I15" s="247" t="str">
        <f t="shared" ca="1" si="5"/>
        <v>01.001.002.002</v>
      </c>
      <c r="J15" s="255" t="s">
        <v>253</v>
      </c>
      <c r="K15" s="250" t="s">
        <v>175</v>
      </c>
      <c r="L15" s="250">
        <v>1</v>
      </c>
      <c r="M15" s="256">
        <v>9933.5053685368166</v>
      </c>
      <c r="N15" s="251">
        <f t="shared" si="6"/>
        <v>9933.5053685368166</v>
      </c>
      <c r="O15" s="254" t="s">
        <v>254</v>
      </c>
      <c r="P15" s="253" t="s">
        <v>249</v>
      </c>
    </row>
    <row r="16" spans="1:16" ht="13.5" hidden="1" customHeight="1" outlineLevel="1" x14ac:dyDescent="0.2">
      <c r="A16" s="233">
        <f t="shared" ca="1" si="0"/>
        <v>0</v>
      </c>
      <c r="B16" s="233">
        <f t="shared" ca="1" si="1"/>
        <v>1</v>
      </c>
      <c r="C16" s="233">
        <f t="shared" ca="1" si="2"/>
        <v>1</v>
      </c>
      <c r="D16" s="234">
        <f t="shared" ca="1" si="3"/>
        <v>2</v>
      </c>
      <c r="E16" s="234">
        <f t="shared" ca="1" si="4"/>
        <v>3</v>
      </c>
      <c r="F16" s="244"/>
      <c r="G16" s="245"/>
      <c r="H16" s="246" t="s">
        <v>246</v>
      </c>
      <c r="I16" s="247" t="str">
        <f t="shared" ca="1" si="5"/>
        <v>01.001.002.003</v>
      </c>
      <c r="J16" s="248" t="s">
        <v>255</v>
      </c>
      <c r="K16" s="250" t="s">
        <v>175</v>
      </c>
      <c r="L16" s="250">
        <v>1</v>
      </c>
      <c r="M16" s="256">
        <v>170000</v>
      </c>
      <c r="N16" s="251">
        <f t="shared" si="6"/>
        <v>170000</v>
      </c>
      <c r="O16" s="254" t="s">
        <v>248</v>
      </c>
      <c r="P16" s="253" t="s">
        <v>249</v>
      </c>
    </row>
    <row r="17" spans="1:16" ht="13.5" hidden="1" customHeight="1" outlineLevel="1" x14ac:dyDescent="0.2">
      <c r="A17" s="233">
        <f t="shared" ca="1" si="0"/>
        <v>0</v>
      </c>
      <c r="B17" s="233">
        <f t="shared" ca="1" si="1"/>
        <v>1</v>
      </c>
      <c r="C17" s="233">
        <f t="shared" ca="1" si="2"/>
        <v>1</v>
      </c>
      <c r="D17" s="234">
        <f t="shared" ca="1" si="3"/>
        <v>2</v>
      </c>
      <c r="E17" s="234">
        <f t="shared" ca="1" si="4"/>
        <v>4</v>
      </c>
      <c r="F17" s="244"/>
      <c r="G17" s="245"/>
      <c r="H17" s="246" t="s">
        <v>246</v>
      </c>
      <c r="I17" s="247" t="str">
        <f t="shared" ca="1" si="5"/>
        <v>01.001.002.004</v>
      </c>
      <c r="J17" s="255" t="s">
        <v>256</v>
      </c>
      <c r="K17" s="250" t="s">
        <v>175</v>
      </c>
      <c r="L17" s="250">
        <v>1</v>
      </c>
      <c r="M17" s="256">
        <v>17221.490947833619</v>
      </c>
      <c r="N17" s="251">
        <f t="shared" si="6"/>
        <v>17221.490947833619</v>
      </c>
      <c r="O17" s="254" t="s">
        <v>254</v>
      </c>
      <c r="P17" s="253" t="s">
        <v>249</v>
      </c>
    </row>
    <row r="18" spans="1:16" ht="13.5" hidden="1" customHeight="1" outlineLevel="1" x14ac:dyDescent="0.2">
      <c r="A18" s="233">
        <f t="shared" ca="1" si="0"/>
        <v>0</v>
      </c>
      <c r="B18" s="233">
        <f t="shared" ca="1" si="1"/>
        <v>1</v>
      </c>
      <c r="C18" s="233">
        <f t="shared" ca="1" si="2"/>
        <v>1</v>
      </c>
      <c r="D18" s="234">
        <f t="shared" ca="1" si="3"/>
        <v>2</v>
      </c>
      <c r="E18" s="234">
        <f t="shared" ca="1" si="4"/>
        <v>5</v>
      </c>
      <c r="F18" s="244"/>
      <c r="G18" s="245"/>
      <c r="H18" s="246" t="s">
        <v>246</v>
      </c>
      <c r="I18" s="247" t="str">
        <f t="shared" ca="1" si="5"/>
        <v>01.001.002.005</v>
      </c>
      <c r="J18" s="255" t="s">
        <v>257</v>
      </c>
      <c r="K18" s="250" t="s">
        <v>175</v>
      </c>
      <c r="L18" s="250">
        <v>1</v>
      </c>
      <c r="M18" s="256">
        <v>4998.6148971936846</v>
      </c>
      <c r="N18" s="251">
        <f t="shared" si="6"/>
        <v>4998.6148971936846</v>
      </c>
      <c r="O18" s="254" t="s">
        <v>254</v>
      </c>
      <c r="P18" s="253" t="s">
        <v>249</v>
      </c>
    </row>
    <row r="19" spans="1:16" ht="13.5" hidden="1" customHeight="1" outlineLevel="1" x14ac:dyDescent="0.2">
      <c r="A19" s="233">
        <f t="shared" ca="1" si="0"/>
        <v>0</v>
      </c>
      <c r="B19" s="233">
        <f t="shared" ca="1" si="1"/>
        <v>1</v>
      </c>
      <c r="C19" s="233">
        <f t="shared" ca="1" si="2"/>
        <v>1</v>
      </c>
      <c r="D19" s="234">
        <f t="shared" ca="1" si="3"/>
        <v>2</v>
      </c>
      <c r="E19" s="234">
        <f t="shared" ca="1" si="4"/>
        <v>6</v>
      </c>
      <c r="F19" s="244"/>
      <c r="G19" s="245"/>
      <c r="H19" s="246" t="s">
        <v>246</v>
      </c>
      <c r="I19" s="247" t="str">
        <f t="shared" ca="1" si="5"/>
        <v>01.001.002.006</v>
      </c>
      <c r="J19" s="255" t="s">
        <v>258</v>
      </c>
      <c r="K19" s="250" t="s">
        <v>175</v>
      </c>
      <c r="L19" s="250">
        <v>1</v>
      </c>
      <c r="M19" s="256">
        <v>29000</v>
      </c>
      <c r="N19" s="251">
        <f t="shared" si="6"/>
        <v>29000</v>
      </c>
      <c r="O19" s="254" t="s">
        <v>248</v>
      </c>
      <c r="P19" s="253" t="s">
        <v>249</v>
      </c>
    </row>
    <row r="20" spans="1:16" ht="13.5" hidden="1" customHeight="1" outlineLevel="1" x14ac:dyDescent="0.2">
      <c r="A20" s="233">
        <f t="shared" ca="1" si="0"/>
        <v>0</v>
      </c>
      <c r="B20" s="233">
        <f t="shared" ca="1" si="1"/>
        <v>1</v>
      </c>
      <c r="C20" s="233">
        <f t="shared" ca="1" si="2"/>
        <v>1</v>
      </c>
      <c r="D20" s="234">
        <f t="shared" ca="1" si="3"/>
        <v>2</v>
      </c>
      <c r="E20" s="234">
        <f t="shared" ca="1" si="4"/>
        <v>7</v>
      </c>
      <c r="F20" s="244"/>
      <c r="G20" s="245"/>
      <c r="H20" s="246" t="s">
        <v>246</v>
      </c>
      <c r="I20" s="247" t="str">
        <f t="shared" ca="1" si="5"/>
        <v>01.001.002.007</v>
      </c>
      <c r="J20" s="255" t="s">
        <v>259</v>
      </c>
      <c r="K20" s="250" t="s">
        <v>175</v>
      </c>
      <c r="L20" s="250">
        <v>1</v>
      </c>
      <c r="M20" s="256">
        <v>5447.1484</v>
      </c>
      <c r="N20" s="251">
        <f t="shared" si="6"/>
        <v>5447.1484</v>
      </c>
      <c r="O20" s="254" t="s">
        <v>254</v>
      </c>
      <c r="P20" s="253" t="s">
        <v>249</v>
      </c>
    </row>
    <row r="21" spans="1:16" ht="13.5" hidden="1" customHeight="1" outlineLevel="1" x14ac:dyDescent="0.2">
      <c r="A21" s="233">
        <f t="shared" ca="1" si="0"/>
        <v>0</v>
      </c>
      <c r="B21" s="233">
        <f t="shared" ca="1" si="1"/>
        <v>1</v>
      </c>
      <c r="C21" s="233">
        <f t="shared" ca="1" si="2"/>
        <v>1</v>
      </c>
      <c r="D21" s="234">
        <f t="shared" ca="1" si="3"/>
        <v>2</v>
      </c>
      <c r="E21" s="234">
        <f t="shared" ca="1" si="4"/>
        <v>8</v>
      </c>
      <c r="F21" s="244"/>
      <c r="G21" s="245"/>
      <c r="H21" s="246" t="s">
        <v>246</v>
      </c>
      <c r="I21" s="247" t="str">
        <f t="shared" ca="1" si="5"/>
        <v>01.001.002.008</v>
      </c>
      <c r="J21" s="255" t="s">
        <v>260</v>
      </c>
      <c r="K21" s="250" t="s">
        <v>175</v>
      </c>
      <c r="L21" s="250">
        <v>1</v>
      </c>
      <c r="M21" s="256">
        <v>34500</v>
      </c>
      <c r="N21" s="251">
        <f t="shared" si="6"/>
        <v>34500</v>
      </c>
      <c r="O21" s="254" t="s">
        <v>248</v>
      </c>
      <c r="P21" s="253" t="s">
        <v>249</v>
      </c>
    </row>
    <row r="22" spans="1:16" ht="13.5" hidden="1" customHeight="1" outlineLevel="1" x14ac:dyDescent="0.2">
      <c r="A22" s="233">
        <f t="shared" ca="1" si="0"/>
        <v>0</v>
      </c>
      <c r="B22" s="233">
        <f t="shared" ca="1" si="1"/>
        <v>1</v>
      </c>
      <c r="C22" s="233">
        <f t="shared" ca="1" si="2"/>
        <v>1</v>
      </c>
      <c r="D22" s="234">
        <f t="shared" ca="1" si="3"/>
        <v>2</v>
      </c>
      <c r="E22" s="234">
        <f t="shared" ca="1" si="4"/>
        <v>9</v>
      </c>
      <c r="F22" s="244"/>
      <c r="G22" s="245"/>
      <c r="H22" s="246" t="s">
        <v>246</v>
      </c>
      <c r="I22" s="247" t="str">
        <f t="shared" ca="1" si="5"/>
        <v>01.001.002.009</v>
      </c>
      <c r="J22" s="255" t="s">
        <v>261</v>
      </c>
      <c r="K22" s="250" t="s">
        <v>175</v>
      </c>
      <c r="L22" s="250">
        <v>1</v>
      </c>
      <c r="M22" s="256">
        <v>5703.7201723175176</v>
      </c>
      <c r="N22" s="251">
        <f t="shared" si="6"/>
        <v>5703.7201723175176</v>
      </c>
      <c r="O22" s="254" t="s">
        <v>254</v>
      </c>
      <c r="P22" s="253" t="s">
        <v>249</v>
      </c>
    </row>
    <row r="23" spans="1:16" ht="13.5" hidden="1" customHeight="1" outlineLevel="1" x14ac:dyDescent="0.2">
      <c r="A23" s="233">
        <f t="shared" ca="1" si="0"/>
        <v>0</v>
      </c>
      <c r="B23" s="233">
        <f t="shared" ca="1" si="1"/>
        <v>1</v>
      </c>
      <c r="C23" s="233">
        <f t="shared" ca="1" si="2"/>
        <v>1</v>
      </c>
      <c r="D23" s="234">
        <f t="shared" ca="1" si="3"/>
        <v>2</v>
      </c>
      <c r="E23" s="234">
        <f t="shared" ca="1" si="4"/>
        <v>10</v>
      </c>
      <c r="F23" s="244"/>
      <c r="G23" s="245"/>
      <c r="H23" s="246" t="s">
        <v>246</v>
      </c>
      <c r="I23" s="247" t="str">
        <f t="shared" ca="1" si="5"/>
        <v>01.001.002.010</v>
      </c>
      <c r="J23" s="255" t="s">
        <v>262</v>
      </c>
      <c r="K23" s="250" t="s">
        <v>175</v>
      </c>
      <c r="L23" s="250">
        <v>1</v>
      </c>
      <c r="M23" s="256">
        <v>18017.931101002134</v>
      </c>
      <c r="N23" s="251">
        <f t="shared" si="6"/>
        <v>18017.931101002134</v>
      </c>
      <c r="O23" s="254" t="s">
        <v>254</v>
      </c>
      <c r="P23" s="253" t="s">
        <v>249</v>
      </c>
    </row>
    <row r="24" spans="1:16" ht="13.5" customHeight="1" collapsed="1" x14ac:dyDescent="0.2">
      <c r="A24" s="233">
        <f t="shared" ca="1" si="0"/>
        <v>0</v>
      </c>
      <c r="B24" s="233">
        <f t="shared" ca="1" si="1"/>
        <v>1</v>
      </c>
      <c r="C24" s="233">
        <f t="shared" ca="1" si="2"/>
        <v>1</v>
      </c>
      <c r="D24" s="234">
        <f t="shared" ca="1" si="3"/>
        <v>3</v>
      </c>
      <c r="E24" s="234">
        <f t="shared" ca="1" si="4"/>
        <v>0</v>
      </c>
      <c r="F24" s="244"/>
      <c r="G24" s="245"/>
      <c r="H24" s="246" t="s">
        <v>244</v>
      </c>
      <c r="I24" s="247" t="str">
        <f t="shared" ca="1" si="5"/>
        <v>01.001.003</v>
      </c>
      <c r="J24" s="248" t="s">
        <v>263</v>
      </c>
      <c r="K24" s="249"/>
      <c r="L24" s="250"/>
      <c r="M24" s="250"/>
      <c r="N24" s="251">
        <f t="shared" ca="1" si="6"/>
        <v>141604.91042308838</v>
      </c>
      <c r="O24" s="252"/>
      <c r="P24" s="257"/>
    </row>
    <row r="25" spans="1:16" ht="13.5" hidden="1" customHeight="1" outlineLevel="1" x14ac:dyDescent="0.2">
      <c r="A25" s="233">
        <f t="shared" ca="1" si="0"/>
        <v>0</v>
      </c>
      <c r="B25" s="233">
        <f t="shared" ca="1" si="1"/>
        <v>1</v>
      </c>
      <c r="C25" s="233">
        <f t="shared" ca="1" si="2"/>
        <v>1</v>
      </c>
      <c r="D25" s="234">
        <f t="shared" ca="1" si="3"/>
        <v>3</v>
      </c>
      <c r="E25" s="234">
        <f t="shared" ca="1" si="4"/>
        <v>1</v>
      </c>
      <c r="F25" s="244"/>
      <c r="G25" s="245"/>
      <c r="H25" s="246" t="s">
        <v>246</v>
      </c>
      <c r="I25" s="247" t="str">
        <f t="shared" ca="1" si="5"/>
        <v>01.001.003.001</v>
      </c>
      <c r="J25" s="255" t="s">
        <v>264</v>
      </c>
      <c r="K25" s="250" t="s">
        <v>175</v>
      </c>
      <c r="L25" s="250">
        <v>1</v>
      </c>
      <c r="M25" s="250">
        <v>68700</v>
      </c>
      <c r="N25" s="251">
        <f t="shared" si="6"/>
        <v>68700</v>
      </c>
      <c r="O25" s="254" t="s">
        <v>248</v>
      </c>
      <c r="P25" s="253" t="s">
        <v>249</v>
      </c>
    </row>
    <row r="26" spans="1:16" ht="13.5" hidden="1" customHeight="1" outlineLevel="1" x14ac:dyDescent="0.2">
      <c r="A26" s="233">
        <f t="shared" ca="1" si="0"/>
        <v>0</v>
      </c>
      <c r="B26" s="233">
        <f t="shared" ca="1" si="1"/>
        <v>1</v>
      </c>
      <c r="C26" s="233">
        <f t="shared" ca="1" si="2"/>
        <v>1</v>
      </c>
      <c r="D26" s="234">
        <f t="shared" ca="1" si="3"/>
        <v>3</v>
      </c>
      <c r="E26" s="234">
        <f t="shared" ca="1" si="4"/>
        <v>2</v>
      </c>
      <c r="F26" s="244"/>
      <c r="G26" s="245"/>
      <c r="H26" s="246" t="s">
        <v>246</v>
      </c>
      <c r="I26" s="247" t="str">
        <f t="shared" ca="1" si="5"/>
        <v>01.001.003.002</v>
      </c>
      <c r="J26" s="255" t="s">
        <v>265</v>
      </c>
      <c r="K26" s="250" t="s">
        <v>175</v>
      </c>
      <c r="L26" s="250">
        <v>1</v>
      </c>
      <c r="M26" s="250">
        <v>43209.164353345863</v>
      </c>
      <c r="N26" s="251">
        <f t="shared" si="6"/>
        <v>43209.164353345863</v>
      </c>
      <c r="O26" s="254" t="s">
        <v>248</v>
      </c>
      <c r="P26" s="253" t="s">
        <v>249</v>
      </c>
    </row>
    <row r="27" spans="1:16" ht="13.5" hidden="1" customHeight="1" outlineLevel="1" x14ac:dyDescent="0.2">
      <c r="A27" s="233">
        <f t="shared" ca="1" si="0"/>
        <v>0</v>
      </c>
      <c r="B27" s="233">
        <f t="shared" ca="1" si="1"/>
        <v>1</v>
      </c>
      <c r="C27" s="233">
        <f t="shared" ca="1" si="2"/>
        <v>1</v>
      </c>
      <c r="D27" s="234">
        <f t="shared" ca="1" si="3"/>
        <v>3</v>
      </c>
      <c r="E27" s="234">
        <f t="shared" ca="1" si="4"/>
        <v>3</v>
      </c>
      <c r="F27" s="244"/>
      <c r="G27" s="245"/>
      <c r="H27" s="246" t="s">
        <v>246</v>
      </c>
      <c r="I27" s="247" t="str">
        <f t="shared" ca="1" si="5"/>
        <v>01.001.003.003</v>
      </c>
      <c r="J27" s="255" t="s">
        <v>266</v>
      </c>
      <c r="K27" s="250" t="s">
        <v>175</v>
      </c>
      <c r="L27" s="250">
        <v>1</v>
      </c>
      <c r="M27" s="250">
        <v>29695.746069742512</v>
      </c>
      <c r="N27" s="251">
        <f t="shared" si="6"/>
        <v>29695.746069742512</v>
      </c>
      <c r="O27" s="254" t="s">
        <v>254</v>
      </c>
      <c r="P27" s="253" t="s">
        <v>249</v>
      </c>
    </row>
    <row r="28" spans="1:16" ht="13.5" customHeight="1" collapsed="1" x14ac:dyDescent="0.2">
      <c r="A28" s="233">
        <f t="shared" ca="1" si="0"/>
        <v>0</v>
      </c>
      <c r="B28" s="233">
        <f t="shared" ca="1" si="1"/>
        <v>1</v>
      </c>
      <c r="C28" s="233">
        <f t="shared" ca="1" si="2"/>
        <v>1</v>
      </c>
      <c r="D28" s="234">
        <f t="shared" ca="1" si="3"/>
        <v>4</v>
      </c>
      <c r="E28" s="234">
        <f t="shared" ca="1" si="4"/>
        <v>0</v>
      </c>
      <c r="F28" s="244"/>
      <c r="G28" s="245"/>
      <c r="H28" s="246" t="s">
        <v>244</v>
      </c>
      <c r="I28" s="247" t="str">
        <f t="shared" ca="1" si="5"/>
        <v>01.001.004</v>
      </c>
      <c r="J28" s="248" t="s">
        <v>267</v>
      </c>
      <c r="K28" s="249"/>
      <c r="L28" s="250"/>
      <c r="M28" s="250"/>
      <c r="N28" s="251">
        <f t="shared" ca="1" si="6"/>
        <v>50442.444444444445</v>
      </c>
      <c r="O28" s="252"/>
      <c r="P28" s="253"/>
    </row>
    <row r="29" spans="1:16" ht="13.5" hidden="1" customHeight="1" outlineLevel="1" x14ac:dyDescent="0.2">
      <c r="A29" s="233">
        <f t="shared" ca="1" si="0"/>
        <v>0</v>
      </c>
      <c r="B29" s="233">
        <f t="shared" ca="1" si="1"/>
        <v>1</v>
      </c>
      <c r="C29" s="233">
        <f t="shared" ca="1" si="2"/>
        <v>1</v>
      </c>
      <c r="D29" s="234">
        <f t="shared" ca="1" si="3"/>
        <v>4</v>
      </c>
      <c r="E29" s="234">
        <f t="shared" ca="1" si="4"/>
        <v>1</v>
      </c>
      <c r="F29" s="244"/>
      <c r="G29" s="245"/>
      <c r="H29" s="246" t="s">
        <v>246</v>
      </c>
      <c r="I29" s="247" t="str">
        <f t="shared" ca="1" si="5"/>
        <v>01.001.004.001</v>
      </c>
      <c r="J29" s="255" t="s">
        <v>268</v>
      </c>
      <c r="K29" s="250" t="s">
        <v>175</v>
      </c>
      <c r="L29" s="250">
        <v>1</v>
      </c>
      <c r="M29" s="250">
        <f>'Ensaios '!F6</f>
        <v>39640</v>
      </c>
      <c r="N29" s="251">
        <f t="shared" si="6"/>
        <v>39640</v>
      </c>
      <c r="O29" s="254" t="s">
        <v>254</v>
      </c>
      <c r="P29" s="253" t="s">
        <v>249</v>
      </c>
    </row>
    <row r="30" spans="1:16" ht="13.5" hidden="1" customHeight="1" outlineLevel="1" x14ac:dyDescent="0.2">
      <c r="A30" s="233">
        <f t="shared" ca="1" si="0"/>
        <v>0</v>
      </c>
      <c r="B30" s="233">
        <f t="shared" ca="1" si="1"/>
        <v>1</v>
      </c>
      <c r="C30" s="233">
        <f t="shared" ca="1" si="2"/>
        <v>1</v>
      </c>
      <c r="D30" s="234">
        <f t="shared" ca="1" si="3"/>
        <v>4</v>
      </c>
      <c r="E30" s="234">
        <f t="shared" ca="1" si="4"/>
        <v>2</v>
      </c>
      <c r="F30" s="244"/>
      <c r="G30" s="245"/>
      <c r="H30" s="246" t="s">
        <v>246</v>
      </c>
      <c r="I30" s="247" t="str">
        <f t="shared" ca="1" si="5"/>
        <v>01.001.004.002</v>
      </c>
      <c r="J30" s="255" t="s">
        <v>269</v>
      </c>
      <c r="K30" s="250" t="s">
        <v>175</v>
      </c>
      <c r="L30" s="250">
        <v>1</v>
      </c>
      <c r="M30" s="250">
        <v>1728</v>
      </c>
      <c r="N30" s="251">
        <f t="shared" si="6"/>
        <v>1728</v>
      </c>
      <c r="O30" s="254" t="s">
        <v>254</v>
      </c>
      <c r="P30" s="253" t="s">
        <v>249</v>
      </c>
    </row>
    <row r="31" spans="1:16" ht="13.5" hidden="1" customHeight="1" outlineLevel="1" x14ac:dyDescent="0.2">
      <c r="A31" s="233">
        <f t="shared" ca="1" si="0"/>
        <v>0</v>
      </c>
      <c r="B31" s="233">
        <f t="shared" ca="1" si="1"/>
        <v>1</v>
      </c>
      <c r="C31" s="233">
        <f t="shared" ca="1" si="2"/>
        <v>1</v>
      </c>
      <c r="D31" s="234">
        <f t="shared" ca="1" si="3"/>
        <v>4</v>
      </c>
      <c r="E31" s="234">
        <f t="shared" ca="1" si="4"/>
        <v>3</v>
      </c>
      <c r="F31" s="244"/>
      <c r="G31" s="245"/>
      <c r="H31" s="246" t="s">
        <v>246</v>
      </c>
      <c r="I31" s="247" t="str">
        <f t="shared" ca="1" si="5"/>
        <v>01.001.004.003</v>
      </c>
      <c r="J31" s="255" t="s">
        <v>270</v>
      </c>
      <c r="K31" s="250" t="s">
        <v>175</v>
      </c>
      <c r="L31" s="250">
        <v>1</v>
      </c>
      <c r="M31" s="250">
        <v>4210</v>
      </c>
      <c r="N31" s="251">
        <f t="shared" si="6"/>
        <v>4210</v>
      </c>
      <c r="O31" s="254" t="s">
        <v>254</v>
      </c>
      <c r="P31" s="253" t="s">
        <v>249</v>
      </c>
    </row>
    <row r="32" spans="1:16" ht="13.5" hidden="1" customHeight="1" outlineLevel="1" x14ac:dyDescent="0.2">
      <c r="A32" s="233">
        <f t="shared" ca="1" si="0"/>
        <v>0</v>
      </c>
      <c r="B32" s="233">
        <f t="shared" ca="1" si="1"/>
        <v>1</v>
      </c>
      <c r="C32" s="233">
        <f t="shared" ca="1" si="2"/>
        <v>1</v>
      </c>
      <c r="D32" s="234">
        <f t="shared" ca="1" si="3"/>
        <v>4</v>
      </c>
      <c r="E32" s="234">
        <f t="shared" ca="1" si="4"/>
        <v>4</v>
      </c>
      <c r="F32" s="244"/>
      <c r="G32" s="245"/>
      <c r="H32" s="246" t="s">
        <v>246</v>
      </c>
      <c r="I32" s="247" t="str">
        <f t="shared" ca="1" si="5"/>
        <v>01.001.004.004</v>
      </c>
      <c r="J32" s="258" t="s">
        <v>271</v>
      </c>
      <c r="K32" s="250" t="s">
        <v>175</v>
      </c>
      <c r="L32" s="250">
        <v>1</v>
      </c>
      <c r="M32" s="250">
        <v>1260</v>
      </c>
      <c r="N32" s="251">
        <f t="shared" si="6"/>
        <v>1260</v>
      </c>
      <c r="O32" s="254" t="s">
        <v>254</v>
      </c>
      <c r="P32" s="253" t="s">
        <v>249</v>
      </c>
    </row>
    <row r="33" spans="1:16" ht="13.5" hidden="1" customHeight="1" outlineLevel="1" x14ac:dyDescent="0.2">
      <c r="A33" s="233">
        <f t="shared" ca="1" si="0"/>
        <v>0</v>
      </c>
      <c r="B33" s="233">
        <f t="shared" ca="1" si="1"/>
        <v>1</v>
      </c>
      <c r="C33" s="233">
        <f t="shared" ca="1" si="2"/>
        <v>1</v>
      </c>
      <c r="D33" s="234">
        <f t="shared" ca="1" si="3"/>
        <v>4</v>
      </c>
      <c r="E33" s="234">
        <f t="shared" ca="1" si="4"/>
        <v>5</v>
      </c>
      <c r="F33" s="244"/>
      <c r="G33" s="245"/>
      <c r="H33" s="246" t="s">
        <v>246</v>
      </c>
      <c r="I33" s="247" t="str">
        <f t="shared" ca="1" si="5"/>
        <v>01.001.004.005</v>
      </c>
      <c r="J33" s="258" t="s">
        <v>272</v>
      </c>
      <c r="K33" s="250" t="s">
        <v>175</v>
      </c>
      <c r="L33" s="250">
        <v>1</v>
      </c>
      <c r="M33" s="250">
        <v>664.44444444444446</v>
      </c>
      <c r="N33" s="251">
        <f t="shared" si="6"/>
        <v>664.44444444444446</v>
      </c>
      <c r="O33" s="254" t="s">
        <v>254</v>
      </c>
      <c r="P33" s="253" t="s">
        <v>249</v>
      </c>
    </row>
    <row r="34" spans="1:16" ht="13.5" hidden="1" customHeight="1" outlineLevel="1" x14ac:dyDescent="0.2">
      <c r="A34" s="233">
        <f t="shared" ca="1" si="0"/>
        <v>0</v>
      </c>
      <c r="B34" s="233">
        <f t="shared" ca="1" si="1"/>
        <v>1</v>
      </c>
      <c r="C34" s="233">
        <f t="shared" ca="1" si="2"/>
        <v>1</v>
      </c>
      <c r="D34" s="234">
        <f t="shared" ca="1" si="3"/>
        <v>4</v>
      </c>
      <c r="E34" s="234">
        <f t="shared" ca="1" si="4"/>
        <v>6</v>
      </c>
      <c r="F34" s="244"/>
      <c r="G34" s="245"/>
      <c r="H34" s="246" t="s">
        <v>246</v>
      </c>
      <c r="I34" s="247" t="str">
        <f t="shared" ca="1" si="5"/>
        <v>01.001.004.006</v>
      </c>
      <c r="J34" s="258" t="s">
        <v>273</v>
      </c>
      <c r="K34" s="250" t="s">
        <v>175</v>
      </c>
      <c r="L34" s="250">
        <v>1</v>
      </c>
      <c r="M34" s="250">
        <v>1260</v>
      </c>
      <c r="N34" s="251">
        <f t="shared" si="6"/>
        <v>1260</v>
      </c>
      <c r="O34" s="254" t="s">
        <v>254</v>
      </c>
      <c r="P34" s="253" t="s">
        <v>249</v>
      </c>
    </row>
    <row r="35" spans="1:16" ht="13.5" hidden="1" customHeight="1" outlineLevel="1" x14ac:dyDescent="0.2">
      <c r="A35" s="233">
        <f t="shared" ca="1" si="0"/>
        <v>0</v>
      </c>
      <c r="B35" s="233">
        <f t="shared" ca="1" si="1"/>
        <v>1</v>
      </c>
      <c r="C35" s="233">
        <f t="shared" ca="1" si="2"/>
        <v>1</v>
      </c>
      <c r="D35" s="234">
        <f t="shared" ca="1" si="3"/>
        <v>4</v>
      </c>
      <c r="E35" s="234">
        <f t="shared" ca="1" si="4"/>
        <v>7</v>
      </c>
      <c r="F35" s="244"/>
      <c r="G35" s="245"/>
      <c r="H35" s="246" t="s">
        <v>246</v>
      </c>
      <c r="I35" s="247" t="str">
        <f t="shared" ca="1" si="5"/>
        <v>01.001.004.007</v>
      </c>
      <c r="J35" s="258" t="s">
        <v>274</v>
      </c>
      <c r="K35" s="250" t="s">
        <v>175</v>
      </c>
      <c r="L35" s="250">
        <v>1</v>
      </c>
      <c r="M35" s="250">
        <v>1680</v>
      </c>
      <c r="N35" s="251">
        <f t="shared" si="6"/>
        <v>1680</v>
      </c>
      <c r="O35" s="254" t="s">
        <v>254</v>
      </c>
      <c r="P35" s="253" t="s">
        <v>249</v>
      </c>
    </row>
    <row r="36" spans="1:16" ht="13.5" customHeight="1" x14ac:dyDescent="0.2">
      <c r="A36" s="233">
        <f t="shared" ca="1" si="0"/>
        <v>0</v>
      </c>
      <c r="B36" s="233">
        <f t="shared" ca="1" si="1"/>
        <v>1</v>
      </c>
      <c r="C36" s="233">
        <f t="shared" ca="1" si="2"/>
        <v>2</v>
      </c>
      <c r="D36" s="234">
        <f t="shared" ca="1" si="3"/>
        <v>0</v>
      </c>
      <c r="E36" s="234">
        <f t="shared" ca="1" si="4"/>
        <v>7</v>
      </c>
      <c r="F36" s="244"/>
      <c r="G36" s="245"/>
      <c r="H36" s="246" t="s">
        <v>37</v>
      </c>
      <c r="I36" s="247" t="str">
        <f t="shared" ca="1" si="5"/>
        <v>01.002</v>
      </c>
      <c r="J36" s="248" t="s">
        <v>275</v>
      </c>
      <c r="K36" s="249"/>
      <c r="L36" s="250"/>
      <c r="M36" s="250"/>
      <c r="N36" s="251">
        <f t="shared" ca="1" si="6"/>
        <v>1673990.5058522406</v>
      </c>
      <c r="O36" s="252"/>
      <c r="P36" s="253" t="s">
        <v>276</v>
      </c>
    </row>
    <row r="37" spans="1:16" ht="13.5" customHeight="1" collapsed="1" x14ac:dyDescent="0.2">
      <c r="A37" s="233">
        <f t="shared" ca="1" si="0"/>
        <v>0</v>
      </c>
      <c r="B37" s="233">
        <f t="shared" ca="1" si="1"/>
        <v>1</v>
      </c>
      <c r="C37" s="233">
        <f t="shared" ca="1" si="2"/>
        <v>2</v>
      </c>
      <c r="D37" s="234">
        <f t="shared" ca="1" si="3"/>
        <v>1</v>
      </c>
      <c r="E37" s="234">
        <f t="shared" ca="1" si="4"/>
        <v>0</v>
      </c>
      <c r="F37" s="244"/>
      <c r="G37" s="245"/>
      <c r="H37" s="246" t="s">
        <v>244</v>
      </c>
      <c r="I37" s="247" t="str">
        <f t="shared" ca="1" si="5"/>
        <v>01.002.001</v>
      </c>
      <c r="J37" s="248" t="s">
        <v>277</v>
      </c>
      <c r="K37" s="249"/>
      <c r="L37" s="250"/>
      <c r="M37" s="250"/>
      <c r="N37" s="251">
        <f t="shared" ca="1" si="6"/>
        <v>1645252.1600634265</v>
      </c>
      <c r="O37" s="252"/>
      <c r="P37" s="253"/>
    </row>
    <row r="38" spans="1:16" ht="13.5" hidden="1" customHeight="1" outlineLevel="1" x14ac:dyDescent="0.2">
      <c r="A38" s="233">
        <f t="shared" ca="1" si="0"/>
        <v>0</v>
      </c>
      <c r="B38" s="233">
        <f t="shared" ca="1" si="1"/>
        <v>1</v>
      </c>
      <c r="C38" s="233">
        <f t="shared" ca="1" si="2"/>
        <v>2</v>
      </c>
      <c r="D38" s="234">
        <f t="shared" ca="1" si="3"/>
        <v>1</v>
      </c>
      <c r="E38" s="234">
        <f t="shared" ca="1" si="4"/>
        <v>1</v>
      </c>
      <c r="F38" s="244"/>
      <c r="G38" s="245"/>
      <c r="H38" s="246" t="s">
        <v>246</v>
      </c>
      <c r="I38" s="247" t="str">
        <f t="shared" ca="1" si="5"/>
        <v>01.002.001.001</v>
      </c>
      <c r="J38" s="255" t="s">
        <v>278</v>
      </c>
      <c r="K38" s="250" t="s">
        <v>175</v>
      </c>
      <c r="L38" s="250">
        <v>1</v>
      </c>
      <c r="M38" s="250">
        <v>23000</v>
      </c>
      <c r="N38" s="251">
        <f t="shared" si="6"/>
        <v>23000</v>
      </c>
      <c r="O38" s="254" t="s">
        <v>248</v>
      </c>
      <c r="P38" s="253" t="s">
        <v>249</v>
      </c>
    </row>
    <row r="39" spans="1:16" ht="13.5" hidden="1" customHeight="1" outlineLevel="1" x14ac:dyDescent="0.2">
      <c r="A39" s="233">
        <f t="shared" ca="1" si="0"/>
        <v>0</v>
      </c>
      <c r="B39" s="233">
        <f t="shared" ca="1" si="1"/>
        <v>1</v>
      </c>
      <c r="C39" s="233">
        <f t="shared" ca="1" si="2"/>
        <v>2</v>
      </c>
      <c r="D39" s="234">
        <f t="shared" ca="1" si="3"/>
        <v>1</v>
      </c>
      <c r="E39" s="234">
        <f t="shared" ca="1" si="4"/>
        <v>2</v>
      </c>
      <c r="F39" s="244"/>
      <c r="G39" s="245"/>
      <c r="H39" s="246" t="s">
        <v>246</v>
      </c>
      <c r="I39" s="247" t="str">
        <f t="shared" ca="1" si="5"/>
        <v>01.002.001.002</v>
      </c>
      <c r="J39" s="255" t="s">
        <v>279</v>
      </c>
      <c r="K39" s="250" t="s">
        <v>175</v>
      </c>
      <c r="L39" s="250">
        <v>1</v>
      </c>
      <c r="M39" s="250">
        <v>1500000</v>
      </c>
      <c r="N39" s="251">
        <f t="shared" si="6"/>
        <v>1500000</v>
      </c>
      <c r="O39" s="254" t="s">
        <v>248</v>
      </c>
      <c r="P39" s="253" t="s">
        <v>249</v>
      </c>
    </row>
    <row r="40" spans="1:16" ht="13.5" hidden="1" customHeight="1" outlineLevel="1" x14ac:dyDescent="0.2">
      <c r="A40" s="233">
        <f t="shared" ca="1" si="0"/>
        <v>0</v>
      </c>
      <c r="B40" s="233">
        <f t="shared" ca="1" si="1"/>
        <v>1</v>
      </c>
      <c r="C40" s="233">
        <f t="shared" ca="1" si="2"/>
        <v>2</v>
      </c>
      <c r="D40" s="234">
        <f t="shared" ca="1" si="3"/>
        <v>1</v>
      </c>
      <c r="E40" s="234">
        <f t="shared" ca="1" si="4"/>
        <v>3</v>
      </c>
      <c r="F40" s="244"/>
      <c r="G40" s="245"/>
      <c r="H40" s="246" t="s">
        <v>246</v>
      </c>
      <c r="I40" s="247" t="str">
        <f t="shared" ca="1" si="5"/>
        <v>01.002.001.003</v>
      </c>
      <c r="J40" s="255" t="s">
        <v>280</v>
      </c>
      <c r="K40" s="250" t="s">
        <v>175</v>
      </c>
      <c r="L40" s="250">
        <v>1</v>
      </c>
      <c r="M40" s="250">
        <v>20084.108204320204</v>
      </c>
      <c r="N40" s="251">
        <f t="shared" si="6"/>
        <v>20084.108204320204</v>
      </c>
      <c r="O40" s="254" t="s">
        <v>254</v>
      </c>
      <c r="P40" s="253" t="s">
        <v>249</v>
      </c>
    </row>
    <row r="41" spans="1:16" ht="13.5" hidden="1" customHeight="1" outlineLevel="1" x14ac:dyDescent="0.2">
      <c r="A41" s="233">
        <f t="shared" ca="1" si="0"/>
        <v>0</v>
      </c>
      <c r="B41" s="233">
        <f t="shared" ca="1" si="1"/>
        <v>1</v>
      </c>
      <c r="C41" s="233">
        <f t="shared" ca="1" si="2"/>
        <v>2</v>
      </c>
      <c r="D41" s="234">
        <f t="shared" ca="1" si="3"/>
        <v>1</v>
      </c>
      <c r="E41" s="234">
        <f t="shared" ca="1" si="4"/>
        <v>4</v>
      </c>
      <c r="F41" s="244"/>
      <c r="G41" s="245"/>
      <c r="H41" s="246" t="s">
        <v>246</v>
      </c>
      <c r="I41" s="247" t="str">
        <f t="shared" ca="1" si="5"/>
        <v>01.002.001.004</v>
      </c>
      <c r="J41" s="255" t="s">
        <v>281</v>
      </c>
      <c r="K41" s="250" t="s">
        <v>175</v>
      </c>
      <c r="L41" s="250">
        <v>1</v>
      </c>
      <c r="M41" s="250">
        <v>5080.9482788309133</v>
      </c>
      <c r="N41" s="251">
        <f t="shared" si="6"/>
        <v>5080.9482788309133</v>
      </c>
      <c r="O41" s="254" t="s">
        <v>254</v>
      </c>
      <c r="P41" s="253" t="s">
        <v>249</v>
      </c>
    </row>
    <row r="42" spans="1:16" ht="13.5" hidden="1" customHeight="1" outlineLevel="1" x14ac:dyDescent="0.2">
      <c r="A42" s="233">
        <f t="shared" ca="1" si="0"/>
        <v>0</v>
      </c>
      <c r="B42" s="233">
        <f t="shared" ca="1" si="1"/>
        <v>1</v>
      </c>
      <c r="C42" s="233">
        <f t="shared" ca="1" si="2"/>
        <v>2</v>
      </c>
      <c r="D42" s="234">
        <f t="shared" ca="1" si="3"/>
        <v>1</v>
      </c>
      <c r="E42" s="234">
        <f t="shared" ca="1" si="4"/>
        <v>5</v>
      </c>
      <c r="F42" s="244"/>
      <c r="G42" s="245"/>
      <c r="H42" s="246" t="s">
        <v>246</v>
      </c>
      <c r="I42" s="247" t="str">
        <f t="shared" ca="1" si="5"/>
        <v>01.002.001.005</v>
      </c>
      <c r="J42" s="255" t="s">
        <v>282</v>
      </c>
      <c r="K42" s="250" t="s">
        <v>175</v>
      </c>
      <c r="L42" s="250">
        <v>1</v>
      </c>
      <c r="M42" s="250">
        <v>8678.6050930570509</v>
      </c>
      <c r="N42" s="251">
        <f t="shared" si="6"/>
        <v>8678.6050930570509</v>
      </c>
      <c r="O42" s="254" t="s">
        <v>254</v>
      </c>
      <c r="P42" s="253" t="s">
        <v>249</v>
      </c>
    </row>
    <row r="43" spans="1:16" ht="13.5" hidden="1" customHeight="1" outlineLevel="1" x14ac:dyDescent="0.2">
      <c r="A43" s="233">
        <f t="shared" ca="1" si="0"/>
        <v>0</v>
      </c>
      <c r="B43" s="233">
        <f t="shared" ca="1" si="1"/>
        <v>1</v>
      </c>
      <c r="C43" s="233">
        <f t="shared" ca="1" si="2"/>
        <v>2</v>
      </c>
      <c r="D43" s="234">
        <f t="shared" ca="1" si="3"/>
        <v>1</v>
      </c>
      <c r="E43" s="234">
        <f t="shared" ca="1" si="4"/>
        <v>6</v>
      </c>
      <c r="F43" s="244"/>
      <c r="G43" s="245"/>
      <c r="H43" s="246" t="s">
        <v>246</v>
      </c>
      <c r="I43" s="247" t="str">
        <f t="shared" ca="1" si="5"/>
        <v>01.002.001.006</v>
      </c>
      <c r="J43" s="255" t="s">
        <v>283</v>
      </c>
      <c r="K43" s="250" t="s">
        <v>175</v>
      </c>
      <c r="L43" s="250">
        <v>1</v>
      </c>
      <c r="M43" s="250">
        <v>7085.7895742697119</v>
      </c>
      <c r="N43" s="251">
        <f t="shared" si="6"/>
        <v>7085.7895742697119</v>
      </c>
      <c r="O43" s="254" t="s">
        <v>254</v>
      </c>
      <c r="P43" s="253" t="s">
        <v>249</v>
      </c>
    </row>
    <row r="44" spans="1:16" ht="13.5" hidden="1" customHeight="1" outlineLevel="1" x14ac:dyDescent="0.2">
      <c r="A44" s="233">
        <f t="shared" ca="1" si="0"/>
        <v>0</v>
      </c>
      <c r="B44" s="233">
        <f t="shared" ca="1" si="1"/>
        <v>1</v>
      </c>
      <c r="C44" s="233">
        <f t="shared" ca="1" si="2"/>
        <v>2</v>
      </c>
      <c r="D44" s="234">
        <f t="shared" ca="1" si="3"/>
        <v>1</v>
      </c>
      <c r="E44" s="234">
        <f t="shared" ca="1" si="4"/>
        <v>7</v>
      </c>
      <c r="F44" s="244"/>
      <c r="G44" s="245"/>
      <c r="H44" s="246" t="s">
        <v>246</v>
      </c>
      <c r="I44" s="247" t="str">
        <f t="shared" ca="1" si="5"/>
        <v>01.002.001.007</v>
      </c>
      <c r="J44" s="255" t="s">
        <v>284</v>
      </c>
      <c r="K44" s="250" t="s">
        <v>175</v>
      </c>
      <c r="L44" s="250">
        <v>1</v>
      </c>
      <c r="M44" s="250">
        <v>2568.1078294144527</v>
      </c>
      <c r="N44" s="251">
        <f t="shared" si="6"/>
        <v>2568.1078294144527</v>
      </c>
      <c r="O44" s="254" t="s">
        <v>254</v>
      </c>
      <c r="P44" s="253" t="s">
        <v>249</v>
      </c>
    </row>
    <row r="45" spans="1:16" ht="13.5" hidden="1" customHeight="1" outlineLevel="1" x14ac:dyDescent="0.2">
      <c r="A45" s="233">
        <f t="shared" ca="1" si="0"/>
        <v>0</v>
      </c>
      <c r="B45" s="233">
        <f t="shared" ca="1" si="1"/>
        <v>1</v>
      </c>
      <c r="C45" s="233">
        <f t="shared" ca="1" si="2"/>
        <v>2</v>
      </c>
      <c r="D45" s="234">
        <f t="shared" ca="1" si="3"/>
        <v>1</v>
      </c>
      <c r="E45" s="234">
        <f t="shared" ca="1" si="4"/>
        <v>8</v>
      </c>
      <c r="F45" s="244"/>
      <c r="G45" s="245"/>
      <c r="H45" s="246" t="s">
        <v>246</v>
      </c>
      <c r="I45" s="247" t="str">
        <f t="shared" ca="1" si="5"/>
        <v>01.002.001.008</v>
      </c>
      <c r="J45" s="255" t="s">
        <v>285</v>
      </c>
      <c r="K45" s="250" t="s">
        <v>175</v>
      </c>
      <c r="L45" s="250">
        <v>1</v>
      </c>
      <c r="M45" s="250">
        <v>41388.430900210456</v>
      </c>
      <c r="N45" s="251">
        <f t="shared" si="6"/>
        <v>41388.430900210456</v>
      </c>
      <c r="O45" s="254" t="s">
        <v>254</v>
      </c>
      <c r="P45" s="253" t="s">
        <v>249</v>
      </c>
    </row>
    <row r="46" spans="1:16" ht="13.5" hidden="1" customHeight="1" outlineLevel="1" x14ac:dyDescent="0.2">
      <c r="A46" s="233">
        <f t="shared" ca="1" si="0"/>
        <v>0</v>
      </c>
      <c r="B46" s="233">
        <f t="shared" ca="1" si="1"/>
        <v>1</v>
      </c>
      <c r="C46" s="233">
        <f t="shared" ca="1" si="2"/>
        <v>2</v>
      </c>
      <c r="D46" s="234">
        <f t="shared" ca="1" si="3"/>
        <v>1</v>
      </c>
      <c r="E46" s="234">
        <f t="shared" ca="1" si="4"/>
        <v>9</v>
      </c>
      <c r="F46" s="244"/>
      <c r="G46" s="245"/>
      <c r="H46" s="246" t="s">
        <v>246</v>
      </c>
      <c r="I46" s="247" t="str">
        <f t="shared" ca="1" si="5"/>
        <v>01.002.001.009</v>
      </c>
      <c r="J46" s="255" t="s">
        <v>286</v>
      </c>
      <c r="K46" s="250" t="s">
        <v>175</v>
      </c>
      <c r="L46" s="250">
        <v>1</v>
      </c>
      <c r="M46" s="250">
        <v>18717.189576821078</v>
      </c>
      <c r="N46" s="251">
        <f t="shared" si="6"/>
        <v>18717.189576821078</v>
      </c>
      <c r="O46" s="254" t="s">
        <v>254</v>
      </c>
      <c r="P46" s="253" t="s">
        <v>249</v>
      </c>
    </row>
    <row r="47" spans="1:16" ht="13.5" hidden="1" customHeight="1" outlineLevel="1" x14ac:dyDescent="0.2">
      <c r="A47" s="233">
        <f t="shared" ca="1" si="0"/>
        <v>0</v>
      </c>
      <c r="B47" s="233">
        <f t="shared" ca="1" si="1"/>
        <v>1</v>
      </c>
      <c r="C47" s="233">
        <f t="shared" ca="1" si="2"/>
        <v>2</v>
      </c>
      <c r="D47" s="234">
        <f t="shared" ca="1" si="3"/>
        <v>1</v>
      </c>
      <c r="E47" s="234">
        <f t="shared" ca="1" si="4"/>
        <v>10</v>
      </c>
      <c r="F47" s="244"/>
      <c r="G47" s="245"/>
      <c r="H47" s="246" t="s">
        <v>246</v>
      </c>
      <c r="I47" s="247" t="str">
        <f t="shared" ca="1" si="5"/>
        <v>01.002.001.010</v>
      </c>
      <c r="J47" s="255" t="s">
        <v>287</v>
      </c>
      <c r="K47" s="250" t="s">
        <v>175</v>
      </c>
      <c r="L47" s="250">
        <v>1</v>
      </c>
      <c r="M47" s="250">
        <v>9624.1543345120117</v>
      </c>
      <c r="N47" s="251">
        <f t="shared" si="6"/>
        <v>9624.1543345120117</v>
      </c>
      <c r="O47" s="254" t="s">
        <v>254</v>
      </c>
      <c r="P47" s="253" t="s">
        <v>249</v>
      </c>
    </row>
    <row r="48" spans="1:16" ht="13.5" hidden="1" customHeight="1" outlineLevel="1" x14ac:dyDescent="0.2">
      <c r="A48" s="233">
        <f t="shared" ca="1" si="0"/>
        <v>0</v>
      </c>
      <c r="B48" s="233">
        <f t="shared" ca="1" si="1"/>
        <v>1</v>
      </c>
      <c r="C48" s="233">
        <f t="shared" ca="1" si="2"/>
        <v>2</v>
      </c>
      <c r="D48" s="234">
        <f t="shared" ca="1" si="3"/>
        <v>1</v>
      </c>
      <c r="E48" s="234">
        <f t="shared" ca="1" si="4"/>
        <v>11</v>
      </c>
      <c r="F48" s="244"/>
      <c r="G48" s="245"/>
      <c r="H48" s="246" t="s">
        <v>246</v>
      </c>
      <c r="I48" s="247" t="str">
        <f t="shared" ca="1" si="5"/>
        <v>01.002.001.011</v>
      </c>
      <c r="J48" s="255" t="s">
        <v>288</v>
      </c>
      <c r="K48" s="250" t="s">
        <v>175</v>
      </c>
      <c r="L48" s="250">
        <v>1</v>
      </c>
      <c r="M48" s="250">
        <v>9024.8262719903323</v>
      </c>
      <c r="N48" s="251">
        <f t="shared" si="6"/>
        <v>9024.8262719903323</v>
      </c>
      <c r="O48" s="254" t="s">
        <v>254</v>
      </c>
      <c r="P48" s="253" t="s">
        <v>249</v>
      </c>
    </row>
    <row r="49" spans="1:16" ht="13.5" customHeight="1" collapsed="1" x14ac:dyDescent="0.2">
      <c r="A49" s="233">
        <f t="shared" ca="1" si="0"/>
        <v>0</v>
      </c>
      <c r="B49" s="233">
        <f t="shared" ca="1" si="1"/>
        <v>1</v>
      </c>
      <c r="C49" s="233">
        <f t="shared" ca="1" si="2"/>
        <v>2</v>
      </c>
      <c r="D49" s="234">
        <f t="shared" ca="1" si="3"/>
        <v>2</v>
      </c>
      <c r="E49" s="234">
        <f t="shared" ca="1" si="4"/>
        <v>0</v>
      </c>
      <c r="F49" s="244"/>
      <c r="G49" s="245"/>
      <c r="H49" s="246" t="s">
        <v>244</v>
      </c>
      <c r="I49" s="247" t="str">
        <f t="shared" ca="1" si="5"/>
        <v>01.002.002</v>
      </c>
      <c r="J49" s="248" t="s">
        <v>289</v>
      </c>
      <c r="K49" s="249"/>
      <c r="L49" s="250"/>
      <c r="M49" s="250"/>
      <c r="N49" s="251">
        <f t="shared" ca="1" si="6"/>
        <v>28738.345788814113</v>
      </c>
      <c r="O49" s="252"/>
      <c r="P49" s="253"/>
    </row>
    <row r="50" spans="1:16" ht="13.5" hidden="1" customHeight="1" outlineLevel="1" x14ac:dyDescent="0.2">
      <c r="A50" s="233">
        <f t="shared" ca="1" si="0"/>
        <v>0</v>
      </c>
      <c r="B50" s="233">
        <f t="shared" ca="1" si="1"/>
        <v>1</v>
      </c>
      <c r="C50" s="233">
        <f t="shared" ca="1" si="2"/>
        <v>2</v>
      </c>
      <c r="D50" s="234">
        <f t="shared" ca="1" si="3"/>
        <v>2</v>
      </c>
      <c r="E50" s="234">
        <f t="shared" ca="1" si="4"/>
        <v>1</v>
      </c>
      <c r="F50" s="244"/>
      <c r="G50" s="245"/>
      <c r="H50" s="246" t="s">
        <v>246</v>
      </c>
      <c r="I50" s="247" t="str">
        <f t="shared" ca="1" si="5"/>
        <v>01.002.002.001</v>
      </c>
      <c r="J50" s="255" t="s">
        <v>290</v>
      </c>
      <c r="K50" s="250" t="s">
        <v>175</v>
      </c>
      <c r="L50" s="250">
        <v>1</v>
      </c>
      <c r="M50" s="250">
        <v>9548.9813247190559</v>
      </c>
      <c r="N50" s="251">
        <f t="shared" si="6"/>
        <v>9548.9813247190559</v>
      </c>
      <c r="O50" s="254" t="s">
        <v>254</v>
      </c>
      <c r="P50" s="253" t="s">
        <v>249</v>
      </c>
    </row>
    <row r="51" spans="1:16" ht="13.5" hidden="1" customHeight="1" outlineLevel="1" x14ac:dyDescent="0.2">
      <c r="A51" s="233">
        <f t="shared" ca="1" si="0"/>
        <v>0</v>
      </c>
      <c r="B51" s="233">
        <f t="shared" ca="1" si="1"/>
        <v>1</v>
      </c>
      <c r="C51" s="233">
        <f t="shared" ca="1" si="2"/>
        <v>2</v>
      </c>
      <c r="D51" s="234">
        <f t="shared" ca="1" si="3"/>
        <v>2</v>
      </c>
      <c r="E51" s="234">
        <f t="shared" ca="1" si="4"/>
        <v>2</v>
      </c>
      <c r="F51" s="244"/>
      <c r="G51" s="245"/>
      <c r="H51" s="246" t="s">
        <v>246</v>
      </c>
      <c r="I51" s="247" t="str">
        <f t="shared" ca="1" si="5"/>
        <v>01.002.002.002</v>
      </c>
      <c r="J51" s="255" t="s">
        <v>291</v>
      </c>
      <c r="K51" s="250" t="s">
        <v>175</v>
      </c>
      <c r="L51" s="250">
        <v>1</v>
      </c>
      <c r="M51" s="250">
        <v>7900</v>
      </c>
      <c r="N51" s="251">
        <f t="shared" si="6"/>
        <v>7900</v>
      </c>
      <c r="O51" s="254" t="s">
        <v>248</v>
      </c>
      <c r="P51" s="253" t="s">
        <v>249</v>
      </c>
    </row>
    <row r="52" spans="1:16" ht="13.5" hidden="1" customHeight="1" outlineLevel="1" x14ac:dyDescent="0.2">
      <c r="A52" s="233">
        <f t="shared" ca="1" si="0"/>
        <v>0</v>
      </c>
      <c r="B52" s="233">
        <f t="shared" ca="1" si="1"/>
        <v>1</v>
      </c>
      <c r="C52" s="233">
        <f t="shared" ca="1" si="2"/>
        <v>2</v>
      </c>
      <c r="D52" s="234">
        <f t="shared" ca="1" si="3"/>
        <v>2</v>
      </c>
      <c r="E52" s="234">
        <f t="shared" ca="1" si="4"/>
        <v>3</v>
      </c>
      <c r="F52" s="244"/>
      <c r="G52" s="245"/>
      <c r="H52" s="246" t="s">
        <v>246</v>
      </c>
      <c r="I52" s="247" t="str">
        <f t="shared" ca="1" si="5"/>
        <v>01.002.002.003</v>
      </c>
      <c r="J52" s="255" t="s">
        <v>292</v>
      </c>
      <c r="K52" s="250" t="s">
        <v>175</v>
      </c>
      <c r="L52" s="250">
        <v>1</v>
      </c>
      <c r="M52" s="250">
        <v>11289.364464095061</v>
      </c>
      <c r="N52" s="251">
        <f t="shared" si="6"/>
        <v>11289.364464095061</v>
      </c>
      <c r="O52" s="254" t="s">
        <v>254</v>
      </c>
      <c r="P52" s="253" t="s">
        <v>249</v>
      </c>
    </row>
    <row r="53" spans="1:16" ht="13.5" customHeight="1" x14ac:dyDescent="0.2">
      <c r="A53" s="233">
        <f t="shared" ca="1" si="0"/>
        <v>0</v>
      </c>
      <c r="B53" s="233">
        <f t="shared" ca="1" si="1"/>
        <v>2</v>
      </c>
      <c r="C53" s="233">
        <f t="shared" ca="1" si="2"/>
        <v>0</v>
      </c>
      <c r="D53" s="234">
        <f t="shared" ca="1" si="3"/>
        <v>2</v>
      </c>
      <c r="E53" s="234">
        <f t="shared" ca="1" si="4"/>
        <v>3</v>
      </c>
      <c r="F53" s="244"/>
      <c r="G53" s="245"/>
      <c r="H53" s="246" t="s">
        <v>241</v>
      </c>
      <c r="I53" s="247" t="str">
        <f t="shared" ca="1" si="5"/>
        <v>02</v>
      </c>
      <c r="J53" s="248" t="s">
        <v>293</v>
      </c>
      <c r="K53" s="249"/>
      <c r="L53" s="250"/>
      <c r="M53" s="250"/>
      <c r="N53" s="251">
        <f t="shared" ca="1" si="6"/>
        <v>2182515.3281445946</v>
      </c>
      <c r="O53" s="252"/>
      <c r="P53" s="253"/>
    </row>
    <row r="54" spans="1:16" ht="13.5" customHeight="1" x14ac:dyDescent="0.2">
      <c r="A54" s="233">
        <f t="shared" ca="1" si="0"/>
        <v>0</v>
      </c>
      <c r="B54" s="233">
        <f t="shared" ca="1" si="1"/>
        <v>2</v>
      </c>
      <c r="C54" s="233">
        <f t="shared" ca="1" si="2"/>
        <v>1</v>
      </c>
      <c r="D54" s="234">
        <f t="shared" ca="1" si="3"/>
        <v>0</v>
      </c>
      <c r="E54" s="234">
        <f t="shared" ca="1" si="4"/>
        <v>3</v>
      </c>
      <c r="F54" s="244"/>
      <c r="G54" s="245"/>
      <c r="H54" s="246" t="s">
        <v>37</v>
      </c>
      <c r="I54" s="247" t="str">
        <f t="shared" ca="1" si="5"/>
        <v>02.001</v>
      </c>
      <c r="J54" s="248" t="s">
        <v>294</v>
      </c>
      <c r="K54" s="249"/>
      <c r="L54" s="250"/>
      <c r="M54" s="250"/>
      <c r="N54" s="251">
        <f t="shared" ca="1" si="6"/>
        <v>754993.32297395205</v>
      </c>
      <c r="O54" s="252"/>
      <c r="P54" s="253"/>
    </row>
    <row r="55" spans="1:16" ht="13.5" customHeight="1" collapsed="1" x14ac:dyDescent="0.2">
      <c r="A55" s="233">
        <f t="shared" ca="1" si="0"/>
        <v>0</v>
      </c>
      <c r="B55" s="233">
        <f t="shared" ca="1" si="1"/>
        <v>2</v>
      </c>
      <c r="C55" s="233">
        <f t="shared" ca="1" si="2"/>
        <v>1</v>
      </c>
      <c r="D55" s="234">
        <f t="shared" ca="1" si="3"/>
        <v>1</v>
      </c>
      <c r="E55" s="234">
        <f t="shared" ca="1" si="4"/>
        <v>0</v>
      </c>
      <c r="F55" s="244"/>
      <c r="G55" s="245"/>
      <c r="H55" s="246" t="s">
        <v>244</v>
      </c>
      <c r="I55" s="247" t="str">
        <f t="shared" ca="1" si="5"/>
        <v>02.001.001</v>
      </c>
      <c r="J55" s="248" t="s">
        <v>295</v>
      </c>
      <c r="K55" s="249"/>
      <c r="L55" s="250"/>
      <c r="M55" s="250"/>
      <c r="N55" s="251">
        <f t="shared" ca="1" si="6"/>
        <v>211000</v>
      </c>
      <c r="O55" s="252"/>
      <c r="P55" s="253"/>
    </row>
    <row r="56" spans="1:16" ht="13.5" hidden="1" customHeight="1" outlineLevel="1" x14ac:dyDescent="0.2">
      <c r="A56" s="233">
        <f t="shared" ca="1" si="0"/>
        <v>0</v>
      </c>
      <c r="B56" s="233">
        <f t="shared" ca="1" si="1"/>
        <v>2</v>
      </c>
      <c r="C56" s="233">
        <f t="shared" ca="1" si="2"/>
        <v>1</v>
      </c>
      <c r="D56" s="234">
        <f t="shared" ca="1" si="3"/>
        <v>1</v>
      </c>
      <c r="E56" s="234">
        <f t="shared" ca="1" si="4"/>
        <v>1</v>
      </c>
      <c r="F56" s="244"/>
      <c r="G56" s="245"/>
      <c r="H56" s="246" t="s">
        <v>246</v>
      </c>
      <c r="I56" s="247" t="str">
        <f t="shared" ca="1" si="5"/>
        <v>02.001.001.001</v>
      </c>
      <c r="J56" s="255" t="s">
        <v>296</v>
      </c>
      <c r="K56" s="250" t="s">
        <v>297</v>
      </c>
      <c r="L56" s="250">
        <v>42</v>
      </c>
      <c r="M56" s="250">
        <v>5000</v>
      </c>
      <c r="N56" s="251">
        <f t="shared" si="6"/>
        <v>210000</v>
      </c>
      <c r="O56" s="254" t="s">
        <v>248</v>
      </c>
      <c r="P56" s="253" t="s">
        <v>249</v>
      </c>
    </row>
    <row r="57" spans="1:16" ht="13.5" hidden="1" customHeight="1" outlineLevel="1" x14ac:dyDescent="0.2">
      <c r="A57" s="233">
        <f t="shared" ca="1" si="0"/>
        <v>0</v>
      </c>
      <c r="B57" s="233">
        <f t="shared" ca="1" si="1"/>
        <v>2</v>
      </c>
      <c r="C57" s="233">
        <f t="shared" ca="1" si="2"/>
        <v>1</v>
      </c>
      <c r="D57" s="234">
        <f t="shared" ca="1" si="3"/>
        <v>1</v>
      </c>
      <c r="E57" s="234">
        <f t="shared" ca="1" si="4"/>
        <v>2</v>
      </c>
      <c r="F57" s="244"/>
      <c r="G57" s="245"/>
      <c r="H57" s="246" t="s">
        <v>246</v>
      </c>
      <c r="I57" s="247" t="str">
        <f t="shared" ca="1" si="5"/>
        <v>02.001.001.002</v>
      </c>
      <c r="J57" s="255" t="s">
        <v>298</v>
      </c>
      <c r="K57" s="250" t="s">
        <v>175</v>
      </c>
      <c r="L57" s="250">
        <v>1</v>
      </c>
      <c r="M57" s="250">
        <v>1000</v>
      </c>
      <c r="N57" s="251">
        <f t="shared" si="6"/>
        <v>1000</v>
      </c>
      <c r="O57" s="254" t="s">
        <v>254</v>
      </c>
      <c r="P57" s="253" t="s">
        <v>249</v>
      </c>
    </row>
    <row r="58" spans="1:16" ht="13.5" customHeight="1" collapsed="1" x14ac:dyDescent="0.2">
      <c r="A58" s="233">
        <f t="shared" ca="1" si="0"/>
        <v>0</v>
      </c>
      <c r="B58" s="233">
        <f t="shared" ca="1" si="1"/>
        <v>2</v>
      </c>
      <c r="C58" s="233">
        <f t="shared" ca="1" si="2"/>
        <v>1</v>
      </c>
      <c r="D58" s="234">
        <f t="shared" ca="1" si="3"/>
        <v>2</v>
      </c>
      <c r="E58" s="234">
        <f t="shared" ca="1" si="4"/>
        <v>0</v>
      </c>
      <c r="F58" s="244"/>
      <c r="G58" s="245"/>
      <c r="H58" s="246" t="s">
        <v>244</v>
      </c>
      <c r="I58" s="247" t="str">
        <f t="shared" ca="1" si="5"/>
        <v>02.001.002</v>
      </c>
      <c r="J58" s="248" t="s">
        <v>299</v>
      </c>
      <c r="K58" s="249"/>
      <c r="L58" s="250"/>
      <c r="M58" s="259"/>
      <c r="N58" s="251">
        <f t="shared" ca="1" si="6"/>
        <v>532788.08955759997</v>
      </c>
      <c r="O58" s="252"/>
      <c r="P58" s="253"/>
    </row>
    <row r="59" spans="1:16" ht="13.5" hidden="1" customHeight="1" outlineLevel="1" x14ac:dyDescent="0.2">
      <c r="A59" s="233">
        <f t="shared" ca="1" si="0"/>
        <v>0</v>
      </c>
      <c r="B59" s="233">
        <f t="shared" ca="1" si="1"/>
        <v>2</v>
      </c>
      <c r="C59" s="233">
        <f t="shared" ca="1" si="2"/>
        <v>1</v>
      </c>
      <c r="D59" s="234">
        <f t="shared" ca="1" si="3"/>
        <v>2</v>
      </c>
      <c r="E59" s="234">
        <f t="shared" ca="1" si="4"/>
        <v>1</v>
      </c>
      <c r="F59" s="244"/>
      <c r="G59" s="245"/>
      <c r="H59" s="246" t="s">
        <v>246</v>
      </c>
      <c r="I59" s="247" t="str">
        <f t="shared" ca="1" si="5"/>
        <v>02.001.002.001</v>
      </c>
      <c r="J59" s="255" t="s">
        <v>300</v>
      </c>
      <c r="K59" s="250" t="s">
        <v>79</v>
      </c>
      <c r="L59" s="250">
        <f>EPCs!D12</f>
        <v>135.43</v>
      </c>
      <c r="M59" s="250">
        <v>284.79860000000002</v>
      </c>
      <c r="N59" s="251">
        <f t="shared" si="6"/>
        <v>38570.274398000001</v>
      </c>
      <c r="O59" s="252" t="s">
        <v>301</v>
      </c>
      <c r="P59" s="253" t="s">
        <v>249</v>
      </c>
    </row>
    <row r="60" spans="1:16" ht="13.5" hidden="1" customHeight="1" outlineLevel="1" x14ac:dyDescent="0.2">
      <c r="A60" s="233">
        <f t="shared" ca="1" si="0"/>
        <v>0</v>
      </c>
      <c r="B60" s="233">
        <f t="shared" ca="1" si="1"/>
        <v>2</v>
      </c>
      <c r="C60" s="233">
        <f t="shared" ca="1" si="2"/>
        <v>1</v>
      </c>
      <c r="D60" s="234">
        <f t="shared" ca="1" si="3"/>
        <v>2</v>
      </c>
      <c r="E60" s="234">
        <f t="shared" ca="1" si="4"/>
        <v>2</v>
      </c>
      <c r="F60" s="244"/>
      <c r="G60" s="245"/>
      <c r="H60" s="246" t="s">
        <v>246</v>
      </c>
      <c r="I60" s="247" t="str">
        <f t="shared" ca="1" si="5"/>
        <v>02.001.002.002</v>
      </c>
      <c r="J60" s="255" t="s">
        <v>302</v>
      </c>
      <c r="K60" s="250" t="s">
        <v>79</v>
      </c>
      <c r="L60" s="250">
        <f>EPCs!D13</f>
        <v>290.49</v>
      </c>
      <c r="M60" s="250">
        <v>270.93860000000001</v>
      </c>
      <c r="N60" s="251">
        <f t="shared" si="6"/>
        <v>78704.953913999998</v>
      </c>
      <c r="O60" s="252" t="s">
        <v>301</v>
      </c>
      <c r="P60" s="253" t="s">
        <v>249</v>
      </c>
    </row>
    <row r="61" spans="1:16" ht="13.5" hidden="1" customHeight="1" outlineLevel="1" x14ac:dyDescent="0.2">
      <c r="A61" s="233">
        <f t="shared" ca="1" si="0"/>
        <v>0</v>
      </c>
      <c r="B61" s="233">
        <f t="shared" ca="1" si="1"/>
        <v>2</v>
      </c>
      <c r="C61" s="233">
        <f t="shared" ca="1" si="2"/>
        <v>1</v>
      </c>
      <c r="D61" s="234">
        <f t="shared" ca="1" si="3"/>
        <v>2</v>
      </c>
      <c r="E61" s="234">
        <f t="shared" ca="1" si="4"/>
        <v>3</v>
      </c>
      <c r="F61" s="244"/>
      <c r="G61" s="245"/>
      <c r="H61" s="246" t="s">
        <v>246</v>
      </c>
      <c r="I61" s="247" t="str">
        <f t="shared" ca="1" si="5"/>
        <v>02.001.002.003</v>
      </c>
      <c r="J61" s="255" t="s">
        <v>303</v>
      </c>
      <c r="K61" s="250" t="s">
        <v>92</v>
      </c>
      <c r="L61" s="250">
        <f>EPCs!D19</f>
        <v>530.19000000000005</v>
      </c>
      <c r="M61" s="250">
        <v>38.653767000000002</v>
      </c>
      <c r="N61" s="251">
        <f t="shared" si="6"/>
        <v>20493.840725730002</v>
      </c>
      <c r="O61" s="252" t="s">
        <v>301</v>
      </c>
      <c r="P61" s="253" t="s">
        <v>249</v>
      </c>
    </row>
    <row r="62" spans="1:16" ht="13.5" hidden="1" customHeight="1" outlineLevel="1" x14ac:dyDescent="0.2">
      <c r="A62" s="233">
        <f t="shared" ca="1" si="0"/>
        <v>0</v>
      </c>
      <c r="B62" s="233">
        <f t="shared" ca="1" si="1"/>
        <v>2</v>
      </c>
      <c r="C62" s="233">
        <f t="shared" ca="1" si="2"/>
        <v>1</v>
      </c>
      <c r="D62" s="234">
        <f t="shared" ca="1" si="3"/>
        <v>2</v>
      </c>
      <c r="E62" s="234">
        <f t="shared" ca="1" si="4"/>
        <v>4</v>
      </c>
      <c r="F62" s="244"/>
      <c r="G62" s="245"/>
      <c r="H62" s="246" t="s">
        <v>246</v>
      </c>
      <c r="I62" s="247" t="str">
        <f t="shared" ca="1" si="5"/>
        <v>02.001.002.004</v>
      </c>
      <c r="J62" s="255" t="s">
        <v>304</v>
      </c>
      <c r="K62" s="250" t="s">
        <v>79</v>
      </c>
      <c r="L62" s="250">
        <f>EPCs!D26</f>
        <v>387.32</v>
      </c>
      <c r="M62" s="250">
        <v>41.037177</v>
      </c>
      <c r="N62" s="251">
        <f t="shared" si="6"/>
        <v>15894.51939564</v>
      </c>
      <c r="O62" s="252" t="s">
        <v>301</v>
      </c>
      <c r="P62" s="253" t="s">
        <v>249</v>
      </c>
    </row>
    <row r="63" spans="1:16" ht="13.5" hidden="1" customHeight="1" outlineLevel="1" x14ac:dyDescent="0.2">
      <c r="A63" s="233">
        <f t="shared" ca="1" si="0"/>
        <v>0</v>
      </c>
      <c r="B63" s="233">
        <f t="shared" ca="1" si="1"/>
        <v>2</v>
      </c>
      <c r="C63" s="233">
        <f t="shared" ca="1" si="2"/>
        <v>1</v>
      </c>
      <c r="D63" s="234">
        <f t="shared" ca="1" si="3"/>
        <v>2</v>
      </c>
      <c r="E63" s="234">
        <f t="shared" ca="1" si="4"/>
        <v>5</v>
      </c>
      <c r="F63" s="244"/>
      <c r="G63" s="245"/>
      <c r="H63" s="246" t="s">
        <v>246</v>
      </c>
      <c r="I63" s="247" t="str">
        <f t="shared" ca="1" si="5"/>
        <v>02.001.002.005</v>
      </c>
      <c r="J63" s="255" t="s">
        <v>305</v>
      </c>
      <c r="K63" s="250" t="s">
        <v>92</v>
      </c>
      <c r="L63" s="250">
        <f>EPCs!D34</f>
        <v>52.92</v>
      </c>
      <c r="M63" s="250">
        <v>47.353011000000002</v>
      </c>
      <c r="N63" s="251">
        <f t="shared" si="6"/>
        <v>2505.9213421200002</v>
      </c>
      <c r="O63" s="252" t="s">
        <v>301</v>
      </c>
      <c r="P63" s="253" t="s">
        <v>249</v>
      </c>
    </row>
    <row r="64" spans="1:16" ht="13.5" hidden="1" customHeight="1" outlineLevel="1" x14ac:dyDescent="0.2">
      <c r="A64" s="233">
        <f t="shared" ca="1" si="0"/>
        <v>0</v>
      </c>
      <c r="B64" s="233">
        <f t="shared" ca="1" si="1"/>
        <v>2</v>
      </c>
      <c r="C64" s="233">
        <f t="shared" ca="1" si="2"/>
        <v>1</v>
      </c>
      <c r="D64" s="234">
        <f t="shared" ca="1" si="3"/>
        <v>2</v>
      </c>
      <c r="E64" s="234">
        <f t="shared" ca="1" si="4"/>
        <v>6</v>
      </c>
      <c r="F64" s="244"/>
      <c r="G64" s="245"/>
      <c r="H64" s="246" t="s">
        <v>246</v>
      </c>
      <c r="I64" s="247" t="str">
        <f t="shared" ca="1" si="5"/>
        <v>02.001.002.006</v>
      </c>
      <c r="J64" s="255" t="s">
        <v>306</v>
      </c>
      <c r="K64" s="250" t="s">
        <v>92</v>
      </c>
      <c r="L64" s="250">
        <f>EPCs!D41</f>
        <v>153.09</v>
      </c>
      <c r="M64" s="250">
        <v>47.353011000000002</v>
      </c>
      <c r="N64" s="251">
        <f t="shared" si="6"/>
        <v>7249.2724539900009</v>
      </c>
      <c r="O64" s="252" t="s">
        <v>301</v>
      </c>
      <c r="P64" s="253" t="s">
        <v>249</v>
      </c>
    </row>
    <row r="65" spans="1:16" ht="13.5" hidden="1" customHeight="1" outlineLevel="1" x14ac:dyDescent="0.2">
      <c r="A65" s="233">
        <f t="shared" ca="1" si="0"/>
        <v>0</v>
      </c>
      <c r="B65" s="233">
        <f t="shared" ca="1" si="1"/>
        <v>2</v>
      </c>
      <c r="C65" s="233">
        <f t="shared" ca="1" si="2"/>
        <v>1</v>
      </c>
      <c r="D65" s="234">
        <f t="shared" ca="1" si="3"/>
        <v>2</v>
      </c>
      <c r="E65" s="234">
        <f t="shared" ca="1" si="4"/>
        <v>7</v>
      </c>
      <c r="F65" s="244"/>
      <c r="G65" s="245"/>
      <c r="H65" s="246" t="s">
        <v>246</v>
      </c>
      <c r="I65" s="247" t="str">
        <f t="shared" ca="1" si="5"/>
        <v>02.001.002.007</v>
      </c>
      <c r="J65" s="255" t="s">
        <v>307</v>
      </c>
      <c r="K65" s="250" t="s">
        <v>79</v>
      </c>
      <c r="L65" s="250">
        <v>697.18</v>
      </c>
      <c r="M65" s="250">
        <v>417.43900000000002</v>
      </c>
      <c r="N65" s="251">
        <f t="shared" si="6"/>
        <v>291030.12202000001</v>
      </c>
      <c r="O65" s="252" t="s">
        <v>301</v>
      </c>
      <c r="P65" s="253" t="s">
        <v>249</v>
      </c>
    </row>
    <row r="66" spans="1:16" ht="13.5" hidden="1" customHeight="1" outlineLevel="1" x14ac:dyDescent="0.2">
      <c r="A66" s="233">
        <f t="shared" ca="1" si="0"/>
        <v>0</v>
      </c>
      <c r="B66" s="233">
        <f t="shared" ca="1" si="1"/>
        <v>2</v>
      </c>
      <c r="C66" s="233">
        <f t="shared" ca="1" si="2"/>
        <v>1</v>
      </c>
      <c r="D66" s="234">
        <f t="shared" ca="1" si="3"/>
        <v>2</v>
      </c>
      <c r="E66" s="234">
        <f t="shared" ca="1" si="4"/>
        <v>8</v>
      </c>
      <c r="F66" s="244"/>
      <c r="G66" s="245"/>
      <c r="H66" s="246" t="s">
        <v>246</v>
      </c>
      <c r="I66" s="247" t="str">
        <f t="shared" ca="1" si="5"/>
        <v>02.001.002.008</v>
      </c>
      <c r="J66" s="255" t="s">
        <v>308</v>
      </c>
      <c r="K66" s="250" t="s">
        <v>92</v>
      </c>
      <c r="L66" s="250">
        <f>EPCs!D47</f>
        <v>4612.7883999999995</v>
      </c>
      <c r="M66" s="250">
        <v>7.9493</v>
      </c>
      <c r="N66" s="251">
        <f t="shared" si="6"/>
        <v>36668.438828119994</v>
      </c>
      <c r="O66" s="252" t="s">
        <v>301</v>
      </c>
      <c r="P66" s="253" t="s">
        <v>249</v>
      </c>
    </row>
    <row r="67" spans="1:16" ht="13.5" hidden="1" customHeight="1" outlineLevel="1" x14ac:dyDescent="0.2">
      <c r="A67" s="233">
        <f t="shared" ca="1" si="0"/>
        <v>0</v>
      </c>
      <c r="B67" s="233">
        <f t="shared" ca="1" si="1"/>
        <v>2</v>
      </c>
      <c r="C67" s="233">
        <f t="shared" ca="1" si="2"/>
        <v>1</v>
      </c>
      <c r="D67" s="234">
        <f t="shared" ca="1" si="3"/>
        <v>2</v>
      </c>
      <c r="E67" s="234">
        <f t="shared" ca="1" si="4"/>
        <v>9</v>
      </c>
      <c r="F67" s="244"/>
      <c r="G67" s="245"/>
      <c r="H67" s="246" t="s">
        <v>246</v>
      </c>
      <c r="I67" s="247" t="str">
        <f t="shared" ca="1" si="5"/>
        <v>02.001.002.009</v>
      </c>
      <c r="J67" s="255" t="s">
        <v>309</v>
      </c>
      <c r="K67" s="250" t="s">
        <v>175</v>
      </c>
      <c r="L67" s="250">
        <v>1</v>
      </c>
      <c r="M67" s="250">
        <v>7891.02</v>
      </c>
      <c r="N67" s="251">
        <f t="shared" si="6"/>
        <v>7891.02</v>
      </c>
      <c r="O67" s="252" t="s">
        <v>301</v>
      </c>
      <c r="P67" s="253" t="s">
        <v>249</v>
      </c>
    </row>
    <row r="68" spans="1:16" ht="13.5" hidden="1" customHeight="1" outlineLevel="1" x14ac:dyDescent="0.2">
      <c r="A68" s="233">
        <f t="shared" ca="1" si="0"/>
        <v>0</v>
      </c>
      <c r="B68" s="233">
        <f t="shared" ca="1" si="1"/>
        <v>2</v>
      </c>
      <c r="C68" s="233">
        <f t="shared" ca="1" si="2"/>
        <v>1</v>
      </c>
      <c r="D68" s="234">
        <f t="shared" ca="1" si="3"/>
        <v>2</v>
      </c>
      <c r="E68" s="234">
        <f t="shared" ca="1" si="4"/>
        <v>10</v>
      </c>
      <c r="F68" s="244"/>
      <c r="G68" s="245"/>
      <c r="H68" s="246" t="s">
        <v>246</v>
      </c>
      <c r="I68" s="247" t="str">
        <f t="shared" ca="1" si="5"/>
        <v>02.001.002.010</v>
      </c>
      <c r="J68" s="255" t="s">
        <v>310</v>
      </c>
      <c r="K68" s="250" t="s">
        <v>79</v>
      </c>
      <c r="L68" s="250">
        <f>EPCs!D60</f>
        <v>387.32</v>
      </c>
      <c r="M68" s="250">
        <v>87.213999999999999</v>
      </c>
      <c r="N68" s="251">
        <f t="shared" si="6"/>
        <v>33779.726479999998</v>
      </c>
      <c r="O68" s="254" t="s">
        <v>301</v>
      </c>
      <c r="P68" s="253" t="s">
        <v>249</v>
      </c>
    </row>
    <row r="69" spans="1:16" ht="13.5" customHeight="1" collapsed="1" x14ac:dyDescent="0.2">
      <c r="A69" s="233">
        <f t="shared" ca="1" si="0"/>
        <v>0</v>
      </c>
      <c r="B69" s="233">
        <f t="shared" ca="1" si="1"/>
        <v>2</v>
      </c>
      <c r="C69" s="233">
        <f t="shared" ca="1" si="2"/>
        <v>1</v>
      </c>
      <c r="D69" s="234">
        <f t="shared" ca="1" si="3"/>
        <v>3</v>
      </c>
      <c r="E69" s="234">
        <f t="shared" ca="1" si="4"/>
        <v>0</v>
      </c>
      <c r="F69" s="244"/>
      <c r="G69" s="245"/>
      <c r="H69" s="246" t="s">
        <v>244</v>
      </c>
      <c r="I69" s="247" t="str">
        <f t="shared" ca="1" si="5"/>
        <v>02.001.003</v>
      </c>
      <c r="J69" s="248" t="s">
        <v>311</v>
      </c>
      <c r="K69" s="249"/>
      <c r="L69" s="250"/>
      <c r="M69" s="259"/>
      <c r="N69" s="251">
        <f t="shared" ca="1" si="6"/>
        <v>8413.9296474623134</v>
      </c>
      <c r="O69" s="252"/>
      <c r="P69" s="253"/>
    </row>
    <row r="70" spans="1:16" ht="13.5" hidden="1" customHeight="1" outlineLevel="1" x14ac:dyDescent="0.2">
      <c r="A70" s="233">
        <f t="shared" ca="1" si="0"/>
        <v>0</v>
      </c>
      <c r="B70" s="233">
        <f t="shared" ca="1" si="1"/>
        <v>2</v>
      </c>
      <c r="C70" s="233">
        <f t="shared" ca="1" si="2"/>
        <v>1</v>
      </c>
      <c r="D70" s="234">
        <f t="shared" ca="1" si="3"/>
        <v>3</v>
      </c>
      <c r="E70" s="234">
        <f t="shared" ca="1" si="4"/>
        <v>1</v>
      </c>
      <c r="F70" s="244"/>
      <c r="G70" s="245"/>
      <c r="H70" s="246" t="s">
        <v>246</v>
      </c>
      <c r="I70" s="247" t="str">
        <f t="shared" ca="1" si="5"/>
        <v>02.001.003.001</v>
      </c>
      <c r="J70" s="255" t="s">
        <v>312</v>
      </c>
      <c r="K70" s="250" t="s">
        <v>175</v>
      </c>
      <c r="L70" s="250">
        <v>1</v>
      </c>
      <c r="M70" s="250">
        <v>4611.8417429237925</v>
      </c>
      <c r="N70" s="251">
        <f t="shared" si="6"/>
        <v>4611.8417429237925</v>
      </c>
      <c r="O70" s="254" t="s">
        <v>254</v>
      </c>
      <c r="P70" s="253" t="s">
        <v>249</v>
      </c>
    </row>
    <row r="71" spans="1:16" ht="13.5" hidden="1" customHeight="1" outlineLevel="1" x14ac:dyDescent="0.2">
      <c r="A71" s="233">
        <f t="shared" ca="1" si="0"/>
        <v>0</v>
      </c>
      <c r="B71" s="233">
        <f t="shared" ca="1" si="1"/>
        <v>2</v>
      </c>
      <c r="C71" s="233">
        <f t="shared" ca="1" si="2"/>
        <v>1</v>
      </c>
      <c r="D71" s="234">
        <f t="shared" ca="1" si="3"/>
        <v>3</v>
      </c>
      <c r="E71" s="234">
        <f t="shared" ca="1" si="4"/>
        <v>2</v>
      </c>
      <c r="F71" s="244"/>
      <c r="G71" s="245"/>
      <c r="H71" s="246" t="s">
        <v>246</v>
      </c>
      <c r="I71" s="247" t="str">
        <f t="shared" ca="1" si="5"/>
        <v>02.001.003.002</v>
      </c>
      <c r="J71" s="255" t="s">
        <v>313</v>
      </c>
      <c r="K71" s="250" t="s">
        <v>175</v>
      </c>
      <c r="L71" s="250">
        <v>1</v>
      </c>
      <c r="M71" s="250">
        <v>3452.4180000000006</v>
      </c>
      <c r="N71" s="251">
        <f t="shared" si="6"/>
        <v>3452.4180000000006</v>
      </c>
      <c r="O71" s="254" t="s">
        <v>254</v>
      </c>
      <c r="P71" s="253" t="s">
        <v>249</v>
      </c>
    </row>
    <row r="72" spans="1:16" ht="13.5" hidden="1" customHeight="1" outlineLevel="1" x14ac:dyDescent="0.2">
      <c r="A72" s="233">
        <f t="shared" ca="1" si="0"/>
        <v>0</v>
      </c>
      <c r="B72" s="233">
        <f t="shared" ca="1" si="1"/>
        <v>2</v>
      </c>
      <c r="C72" s="233">
        <f t="shared" ca="1" si="2"/>
        <v>1</v>
      </c>
      <c r="D72" s="234">
        <f t="shared" ca="1" si="3"/>
        <v>3</v>
      </c>
      <c r="E72" s="234">
        <f t="shared" ca="1" si="4"/>
        <v>3</v>
      </c>
      <c r="F72" s="244"/>
      <c r="G72" s="245"/>
      <c r="H72" s="246" t="s">
        <v>246</v>
      </c>
      <c r="I72" s="247" t="str">
        <f t="shared" ca="1" si="5"/>
        <v>02.001.003.003</v>
      </c>
      <c r="J72" s="255" t="s">
        <v>314</v>
      </c>
      <c r="K72" s="249" t="s">
        <v>175</v>
      </c>
      <c r="L72" s="250">
        <v>1</v>
      </c>
      <c r="M72" s="250">
        <v>349.66990453851963</v>
      </c>
      <c r="N72" s="251">
        <f t="shared" si="6"/>
        <v>349.66990453851963</v>
      </c>
      <c r="O72" s="254"/>
      <c r="P72" s="253" t="s">
        <v>249</v>
      </c>
    </row>
    <row r="73" spans="1:16" ht="12.75" customHeight="1" collapsed="1" x14ac:dyDescent="0.2">
      <c r="A73" s="233">
        <f t="shared" ca="1" si="0"/>
        <v>0</v>
      </c>
      <c r="B73" s="233">
        <f t="shared" ca="1" si="1"/>
        <v>2</v>
      </c>
      <c r="C73" s="233">
        <f t="shared" ca="1" si="2"/>
        <v>1</v>
      </c>
      <c r="D73" s="234">
        <f t="shared" ca="1" si="3"/>
        <v>4</v>
      </c>
      <c r="E73" s="234">
        <f t="shared" ca="1" si="4"/>
        <v>0</v>
      </c>
      <c r="F73" s="244"/>
      <c r="G73" s="245"/>
      <c r="H73" s="246" t="s">
        <v>244</v>
      </c>
      <c r="I73" s="247" t="str">
        <f t="shared" ca="1" si="5"/>
        <v>02.001.004</v>
      </c>
      <c r="J73" s="248" t="s">
        <v>315</v>
      </c>
      <c r="K73" s="249"/>
      <c r="L73" s="250"/>
      <c r="M73" s="250"/>
      <c r="N73" s="251">
        <f t="shared" ca="1" si="6"/>
        <v>2791.3037688897543</v>
      </c>
      <c r="O73" s="252"/>
      <c r="P73" s="253"/>
    </row>
    <row r="74" spans="1:16" ht="13.5" hidden="1" customHeight="1" outlineLevel="1" x14ac:dyDescent="0.2">
      <c r="A74" s="233">
        <f t="shared" ca="1" si="0"/>
        <v>0</v>
      </c>
      <c r="B74" s="233">
        <f t="shared" ca="1" si="1"/>
        <v>2</v>
      </c>
      <c r="C74" s="233">
        <f t="shared" ca="1" si="2"/>
        <v>1</v>
      </c>
      <c r="D74" s="234">
        <f t="shared" ca="1" si="3"/>
        <v>4</v>
      </c>
      <c r="E74" s="234">
        <f t="shared" ca="1" si="4"/>
        <v>1</v>
      </c>
      <c r="F74" s="244"/>
      <c r="G74" s="245"/>
      <c r="H74" s="246" t="s">
        <v>246</v>
      </c>
      <c r="I74" s="247" t="str">
        <f t="shared" ca="1" si="5"/>
        <v>02.001.004.001</v>
      </c>
      <c r="J74" s="248" t="s">
        <v>316</v>
      </c>
      <c r="K74" s="250" t="s">
        <v>297</v>
      </c>
      <c r="L74" s="250">
        <v>42</v>
      </c>
      <c r="M74" s="250">
        <v>66.459613544994156</v>
      </c>
      <c r="N74" s="251">
        <f t="shared" si="6"/>
        <v>2791.3037688897543</v>
      </c>
      <c r="O74" s="254" t="s">
        <v>254</v>
      </c>
      <c r="P74" s="253" t="s">
        <v>249</v>
      </c>
    </row>
    <row r="75" spans="1:16" ht="17.25" customHeight="1" x14ac:dyDescent="0.2">
      <c r="A75" s="233">
        <f t="shared" ca="1" si="0"/>
        <v>0</v>
      </c>
      <c r="B75" s="233">
        <f t="shared" ca="1" si="1"/>
        <v>2</v>
      </c>
      <c r="C75" s="233">
        <f t="shared" ca="1" si="2"/>
        <v>2</v>
      </c>
      <c r="D75" s="234">
        <f t="shared" ca="1" si="3"/>
        <v>0</v>
      </c>
      <c r="E75" s="234">
        <f t="shared" ca="1" si="4"/>
        <v>1</v>
      </c>
      <c r="F75" s="244"/>
      <c r="G75" s="245"/>
      <c r="H75" s="246" t="s">
        <v>37</v>
      </c>
      <c r="I75" s="247" t="str">
        <f t="shared" ca="1" si="5"/>
        <v>02.002</v>
      </c>
      <c r="J75" s="248" t="s">
        <v>317</v>
      </c>
      <c r="K75" s="249"/>
      <c r="L75" s="250"/>
      <c r="M75" s="250"/>
      <c r="N75" s="251">
        <f t="shared" ca="1" si="6"/>
        <v>1427522.0051706422</v>
      </c>
      <c r="O75" s="252"/>
      <c r="P75" s="253"/>
    </row>
    <row r="76" spans="1:16" ht="13.5" customHeight="1" collapsed="1" x14ac:dyDescent="0.2">
      <c r="A76" s="233">
        <f t="shared" ca="1" si="0"/>
        <v>0</v>
      </c>
      <c r="B76" s="233">
        <f t="shared" ca="1" si="1"/>
        <v>2</v>
      </c>
      <c r="C76" s="233">
        <f t="shared" ca="1" si="2"/>
        <v>2</v>
      </c>
      <c r="D76" s="234">
        <f t="shared" ca="1" si="3"/>
        <v>1</v>
      </c>
      <c r="E76" s="234">
        <f t="shared" ca="1" si="4"/>
        <v>0</v>
      </c>
      <c r="F76" s="244"/>
      <c r="G76" s="245"/>
      <c r="H76" s="246" t="s">
        <v>244</v>
      </c>
      <c r="I76" s="247" t="str">
        <f t="shared" ca="1" si="5"/>
        <v>02.002.001</v>
      </c>
      <c r="J76" s="248" t="s">
        <v>318</v>
      </c>
      <c r="K76" s="249"/>
      <c r="L76" s="250"/>
      <c r="M76" s="250"/>
      <c r="N76" s="251">
        <f t="shared" ca="1" si="6"/>
        <v>908029.37399999995</v>
      </c>
      <c r="O76" s="252"/>
      <c r="P76" s="253"/>
    </row>
    <row r="77" spans="1:16" ht="13.5" hidden="1" customHeight="1" outlineLevel="1" x14ac:dyDescent="0.2">
      <c r="A77" s="233">
        <f t="shared" ca="1" si="0"/>
        <v>0</v>
      </c>
      <c r="B77" s="233">
        <f t="shared" ca="1" si="1"/>
        <v>2</v>
      </c>
      <c r="C77" s="233">
        <f t="shared" ca="1" si="2"/>
        <v>2</v>
      </c>
      <c r="D77" s="234">
        <f t="shared" ca="1" si="3"/>
        <v>1</v>
      </c>
      <c r="E77" s="234">
        <f t="shared" ca="1" si="4"/>
        <v>1</v>
      </c>
      <c r="F77" s="244"/>
      <c r="G77" s="245"/>
      <c r="H77" s="246" t="s">
        <v>246</v>
      </c>
      <c r="I77" s="247" t="str">
        <f t="shared" ca="1" si="5"/>
        <v>02.002.001.001</v>
      </c>
      <c r="J77" s="248" t="s">
        <v>319</v>
      </c>
      <c r="K77" s="250" t="s">
        <v>320</v>
      </c>
      <c r="L77" s="250">
        <f>'Obra '!$E$7</f>
        <v>42</v>
      </c>
      <c r="M77" s="250">
        <v>10000</v>
      </c>
      <c r="N77" s="251">
        <f t="shared" si="6"/>
        <v>420000</v>
      </c>
      <c r="O77" s="254" t="s">
        <v>248</v>
      </c>
      <c r="P77" s="253" t="s">
        <v>249</v>
      </c>
    </row>
    <row r="78" spans="1:16" ht="13.5" hidden="1" customHeight="1" outlineLevel="1" x14ac:dyDescent="0.2">
      <c r="A78" s="233">
        <f t="shared" ca="1" si="0"/>
        <v>0</v>
      </c>
      <c r="B78" s="233">
        <f t="shared" ca="1" si="1"/>
        <v>2</v>
      </c>
      <c r="C78" s="233">
        <f t="shared" ca="1" si="2"/>
        <v>2</v>
      </c>
      <c r="D78" s="234">
        <f t="shared" ca="1" si="3"/>
        <v>1</v>
      </c>
      <c r="E78" s="234">
        <f t="shared" ca="1" si="4"/>
        <v>2</v>
      </c>
      <c r="F78" s="244"/>
      <c r="G78" s="245"/>
      <c r="H78" s="246" t="s">
        <v>246</v>
      </c>
      <c r="I78" s="247" t="str">
        <f t="shared" ca="1" si="5"/>
        <v>02.002.001.002</v>
      </c>
      <c r="J78" s="248" t="s">
        <v>321</v>
      </c>
      <c r="K78" s="250" t="s">
        <v>320</v>
      </c>
      <c r="L78" s="250">
        <f>'Obra '!E7</f>
        <v>42</v>
      </c>
      <c r="M78" s="250">
        <v>11619.746999999999</v>
      </c>
      <c r="N78" s="251">
        <f t="shared" si="6"/>
        <v>488029.37399999995</v>
      </c>
      <c r="O78" s="254" t="s">
        <v>254</v>
      </c>
      <c r="P78" s="253" t="s">
        <v>249</v>
      </c>
    </row>
    <row r="79" spans="1:16" ht="13.5" customHeight="1" collapsed="1" x14ac:dyDescent="0.2">
      <c r="A79" s="233">
        <f t="shared" ca="1" si="0"/>
        <v>0</v>
      </c>
      <c r="B79" s="233">
        <f t="shared" ca="1" si="1"/>
        <v>2</v>
      </c>
      <c r="C79" s="233">
        <f t="shared" ca="1" si="2"/>
        <v>2</v>
      </c>
      <c r="D79" s="234">
        <f t="shared" ca="1" si="3"/>
        <v>2</v>
      </c>
      <c r="E79" s="234">
        <f t="shared" ca="1" si="4"/>
        <v>0</v>
      </c>
      <c r="F79" s="244"/>
      <c r="G79" s="245"/>
      <c r="H79" s="246" t="s">
        <v>244</v>
      </c>
      <c r="I79" s="247" t="str">
        <f t="shared" ca="1" si="5"/>
        <v>02.002.002</v>
      </c>
      <c r="J79" s="248" t="s">
        <v>322</v>
      </c>
      <c r="K79" s="249"/>
      <c r="L79" s="250"/>
      <c r="M79" s="250"/>
      <c r="N79" s="251">
        <f t="shared" ca="1" si="6"/>
        <v>35719.106826907097</v>
      </c>
      <c r="O79" s="252"/>
      <c r="P79" s="253"/>
    </row>
    <row r="80" spans="1:16" ht="13.5" hidden="1" customHeight="1" outlineLevel="1" x14ac:dyDescent="0.2">
      <c r="A80" s="233">
        <f t="shared" ca="1" si="0"/>
        <v>0</v>
      </c>
      <c r="B80" s="233">
        <f t="shared" ca="1" si="1"/>
        <v>2</v>
      </c>
      <c r="C80" s="233">
        <f t="shared" ca="1" si="2"/>
        <v>2</v>
      </c>
      <c r="D80" s="234">
        <f t="shared" ca="1" si="3"/>
        <v>2</v>
      </c>
      <c r="E80" s="234">
        <f t="shared" ca="1" si="4"/>
        <v>1</v>
      </c>
      <c r="F80" s="244"/>
      <c r="G80" s="245"/>
      <c r="H80" s="246" t="s">
        <v>246</v>
      </c>
      <c r="I80" s="247" t="str">
        <f t="shared" ca="1" si="5"/>
        <v>02.002.002.001</v>
      </c>
      <c r="J80" s="248" t="s">
        <v>323</v>
      </c>
      <c r="K80" s="250" t="s">
        <v>175</v>
      </c>
      <c r="L80" s="250">
        <v>1</v>
      </c>
      <c r="M80" s="250">
        <v>33849.506826907098</v>
      </c>
      <c r="N80" s="251">
        <f t="shared" si="6"/>
        <v>33849.506826907098</v>
      </c>
      <c r="O80" s="254" t="s">
        <v>254</v>
      </c>
      <c r="P80" s="253" t="s">
        <v>249</v>
      </c>
    </row>
    <row r="81" spans="1:16" ht="13.5" hidden="1" customHeight="1" outlineLevel="1" x14ac:dyDescent="0.2">
      <c r="A81" s="233">
        <f t="shared" ca="1" si="0"/>
        <v>0</v>
      </c>
      <c r="B81" s="233">
        <f t="shared" ca="1" si="1"/>
        <v>2</v>
      </c>
      <c r="C81" s="233">
        <f t="shared" ca="1" si="2"/>
        <v>2</v>
      </c>
      <c r="D81" s="234">
        <f t="shared" ca="1" si="3"/>
        <v>2</v>
      </c>
      <c r="E81" s="234">
        <f t="shared" ca="1" si="4"/>
        <v>2</v>
      </c>
      <c r="F81" s="244"/>
      <c r="G81" s="245"/>
      <c r="H81" s="246" t="s">
        <v>246</v>
      </c>
      <c r="I81" s="247" t="str">
        <f t="shared" ca="1" si="5"/>
        <v>02.002.002.002</v>
      </c>
      <c r="J81" s="248" t="s">
        <v>324</v>
      </c>
      <c r="K81" s="250" t="s">
        <v>92</v>
      </c>
      <c r="L81" s="250">
        <f>'Obra '!E8</f>
        <v>1140</v>
      </c>
      <c r="M81" s="250">
        <v>1.64</v>
      </c>
      <c r="N81" s="251">
        <f t="shared" si="6"/>
        <v>1869.6</v>
      </c>
      <c r="O81" s="254" t="s">
        <v>254</v>
      </c>
      <c r="P81" s="253" t="s">
        <v>249</v>
      </c>
    </row>
    <row r="82" spans="1:16" ht="13.5" customHeight="1" collapsed="1" x14ac:dyDescent="0.2">
      <c r="A82" s="233">
        <f t="shared" ca="1" si="0"/>
        <v>0</v>
      </c>
      <c r="B82" s="233">
        <f t="shared" ca="1" si="1"/>
        <v>2</v>
      </c>
      <c r="C82" s="233">
        <f t="shared" ca="1" si="2"/>
        <v>2</v>
      </c>
      <c r="D82" s="234">
        <f t="shared" ca="1" si="3"/>
        <v>3</v>
      </c>
      <c r="E82" s="234">
        <f t="shared" ca="1" si="4"/>
        <v>0</v>
      </c>
      <c r="F82" s="244"/>
      <c r="G82" s="245"/>
      <c r="H82" s="246" t="s">
        <v>244</v>
      </c>
      <c r="I82" s="247" t="str">
        <f t="shared" ca="1" si="5"/>
        <v>02.002.003</v>
      </c>
      <c r="J82" s="248" t="s">
        <v>322</v>
      </c>
      <c r="K82" s="249"/>
      <c r="L82" s="250"/>
      <c r="M82" s="250"/>
      <c r="N82" s="251">
        <f t="shared" ca="1" si="6"/>
        <v>355613.88405851217</v>
      </c>
      <c r="O82" s="252"/>
      <c r="P82" s="253"/>
    </row>
    <row r="83" spans="1:16" ht="13.5" hidden="1" customHeight="1" outlineLevel="1" x14ac:dyDescent="0.2">
      <c r="A83" s="233">
        <f t="shared" ca="1" si="0"/>
        <v>0</v>
      </c>
      <c r="B83" s="233">
        <f t="shared" ca="1" si="1"/>
        <v>2</v>
      </c>
      <c r="C83" s="233">
        <f t="shared" ca="1" si="2"/>
        <v>2</v>
      </c>
      <c r="D83" s="234">
        <f t="shared" ca="1" si="3"/>
        <v>3</v>
      </c>
      <c r="E83" s="234">
        <f t="shared" ca="1" si="4"/>
        <v>1</v>
      </c>
      <c r="F83" s="244"/>
      <c r="G83" s="245"/>
      <c r="H83" s="246" t="s">
        <v>246</v>
      </c>
      <c r="I83" s="247" t="str">
        <f t="shared" ca="1" si="5"/>
        <v>02.002.003.001</v>
      </c>
      <c r="J83" s="255" t="s">
        <v>325</v>
      </c>
      <c r="K83" s="250" t="s">
        <v>320</v>
      </c>
      <c r="L83" s="250">
        <f>'Obra '!$E$7</f>
        <v>42</v>
      </c>
      <c r="M83" s="250">
        <v>500</v>
      </c>
      <c r="N83" s="251">
        <f t="shared" si="6"/>
        <v>21000</v>
      </c>
      <c r="O83" s="254" t="s">
        <v>254</v>
      </c>
      <c r="P83" s="253" t="s">
        <v>249</v>
      </c>
    </row>
    <row r="84" spans="1:16" ht="13.5" hidden="1" customHeight="1" outlineLevel="1" x14ac:dyDescent="0.2">
      <c r="A84" s="233">
        <f t="shared" ca="1" si="0"/>
        <v>0</v>
      </c>
      <c r="B84" s="233">
        <f t="shared" ca="1" si="1"/>
        <v>2</v>
      </c>
      <c r="C84" s="233">
        <f t="shared" ca="1" si="2"/>
        <v>2</v>
      </c>
      <c r="D84" s="234">
        <f t="shared" ca="1" si="3"/>
        <v>3</v>
      </c>
      <c r="E84" s="234">
        <f t="shared" ca="1" si="4"/>
        <v>2</v>
      </c>
      <c r="F84" s="244"/>
      <c r="G84" s="245"/>
      <c r="H84" s="246" t="s">
        <v>246</v>
      </c>
      <c r="I84" s="247" t="str">
        <f t="shared" ca="1" si="5"/>
        <v>02.002.003.002</v>
      </c>
      <c r="J84" s="248" t="s">
        <v>326</v>
      </c>
      <c r="K84" s="250" t="s">
        <v>320</v>
      </c>
      <c r="L84" s="250">
        <f>'Obra '!$E$7</f>
        <v>42</v>
      </c>
      <c r="M84" s="250">
        <v>500</v>
      </c>
      <c r="N84" s="251">
        <f t="shared" si="6"/>
        <v>21000</v>
      </c>
      <c r="O84" s="254" t="s">
        <v>254</v>
      </c>
      <c r="P84" s="253" t="s">
        <v>249</v>
      </c>
    </row>
    <row r="85" spans="1:16" ht="13.5" hidden="1" customHeight="1" outlineLevel="1" x14ac:dyDescent="0.2">
      <c r="A85" s="233">
        <f t="shared" ca="1" si="0"/>
        <v>0</v>
      </c>
      <c r="B85" s="233">
        <f t="shared" ca="1" si="1"/>
        <v>2</v>
      </c>
      <c r="C85" s="233">
        <f t="shared" ca="1" si="2"/>
        <v>2</v>
      </c>
      <c r="D85" s="234">
        <f t="shared" ca="1" si="3"/>
        <v>3</v>
      </c>
      <c r="E85" s="234">
        <f t="shared" ca="1" si="4"/>
        <v>3</v>
      </c>
      <c r="F85" s="244"/>
      <c r="G85" s="245"/>
      <c r="H85" s="246" t="s">
        <v>246</v>
      </c>
      <c r="I85" s="247" t="str">
        <f t="shared" ca="1" si="5"/>
        <v>02.002.003.003</v>
      </c>
      <c r="J85" s="255" t="s">
        <v>327</v>
      </c>
      <c r="K85" s="250" t="s">
        <v>320</v>
      </c>
      <c r="L85" s="250">
        <f>'Obra '!$E$7</f>
        <v>42</v>
      </c>
      <c r="M85" s="250">
        <v>76.720400000000012</v>
      </c>
      <c r="N85" s="251">
        <f t="shared" si="6"/>
        <v>3222.2568000000006</v>
      </c>
      <c r="O85" s="254" t="s">
        <v>254</v>
      </c>
      <c r="P85" s="253" t="s">
        <v>249</v>
      </c>
    </row>
    <row r="86" spans="1:16" ht="13.5" hidden="1" customHeight="1" outlineLevel="1" x14ac:dyDescent="0.2">
      <c r="A86" s="233">
        <f t="shared" ca="1" si="0"/>
        <v>0</v>
      </c>
      <c r="B86" s="233">
        <f t="shared" ca="1" si="1"/>
        <v>2</v>
      </c>
      <c r="C86" s="233">
        <f t="shared" ca="1" si="2"/>
        <v>2</v>
      </c>
      <c r="D86" s="234">
        <f t="shared" ca="1" si="3"/>
        <v>3</v>
      </c>
      <c r="E86" s="234">
        <f t="shared" ca="1" si="4"/>
        <v>4</v>
      </c>
      <c r="F86" s="244"/>
      <c r="G86" s="245"/>
      <c r="H86" s="246" t="s">
        <v>246</v>
      </c>
      <c r="I86" s="247" t="str">
        <f t="shared" ca="1" si="5"/>
        <v>02.002.003.004</v>
      </c>
      <c r="J86" s="255" t="s">
        <v>328</v>
      </c>
      <c r="K86" s="250" t="s">
        <v>320</v>
      </c>
      <c r="L86" s="250">
        <f>'Obra '!$E$7</f>
        <v>42</v>
      </c>
      <c r="M86" s="250">
        <v>38.360200000000006</v>
      </c>
      <c r="N86" s="251">
        <f t="shared" si="6"/>
        <v>1611.1284000000003</v>
      </c>
      <c r="O86" s="254" t="s">
        <v>254</v>
      </c>
      <c r="P86" s="253" t="s">
        <v>249</v>
      </c>
    </row>
    <row r="87" spans="1:16" ht="13.5" hidden="1" customHeight="1" outlineLevel="1" x14ac:dyDescent="0.2">
      <c r="A87" s="233">
        <f t="shared" ca="1" si="0"/>
        <v>0</v>
      </c>
      <c r="B87" s="233">
        <f t="shared" ca="1" si="1"/>
        <v>2</v>
      </c>
      <c r="C87" s="233">
        <f t="shared" ca="1" si="2"/>
        <v>2</v>
      </c>
      <c r="D87" s="234">
        <f t="shared" ca="1" si="3"/>
        <v>3</v>
      </c>
      <c r="E87" s="234">
        <f t="shared" ca="1" si="4"/>
        <v>5</v>
      </c>
      <c r="F87" s="244"/>
      <c r="G87" s="245"/>
      <c r="H87" s="246" t="s">
        <v>246</v>
      </c>
      <c r="I87" s="247" t="str">
        <f t="shared" ca="1" si="5"/>
        <v>02.002.003.005</v>
      </c>
      <c r="J87" s="255" t="s">
        <v>329</v>
      </c>
      <c r="K87" s="250" t="s">
        <v>320</v>
      </c>
      <c r="L87" s="250">
        <f>'Obra '!$E$7</f>
        <v>42</v>
      </c>
      <c r="M87" s="250">
        <v>200</v>
      </c>
      <c r="N87" s="251">
        <f t="shared" si="6"/>
        <v>8400</v>
      </c>
      <c r="O87" s="254" t="s">
        <v>254</v>
      </c>
      <c r="P87" s="253" t="s">
        <v>249</v>
      </c>
    </row>
    <row r="88" spans="1:16" ht="13.5" hidden="1" customHeight="1" outlineLevel="1" x14ac:dyDescent="0.2">
      <c r="A88" s="233">
        <f t="shared" ca="1" si="0"/>
        <v>0</v>
      </c>
      <c r="B88" s="233">
        <f t="shared" ca="1" si="1"/>
        <v>2</v>
      </c>
      <c r="C88" s="233">
        <f t="shared" ca="1" si="2"/>
        <v>2</v>
      </c>
      <c r="D88" s="234">
        <f t="shared" ca="1" si="3"/>
        <v>3</v>
      </c>
      <c r="E88" s="234">
        <f t="shared" ca="1" si="4"/>
        <v>6</v>
      </c>
      <c r="F88" s="244"/>
      <c r="G88" s="245"/>
      <c r="H88" s="246" t="s">
        <v>246</v>
      </c>
      <c r="I88" s="247" t="str">
        <f t="shared" ca="1" si="5"/>
        <v>02.002.003.006</v>
      </c>
      <c r="J88" s="255" t="s">
        <v>330</v>
      </c>
      <c r="K88" s="250" t="s">
        <v>320</v>
      </c>
      <c r="L88" s="250">
        <f>'Obra '!$E$7</f>
        <v>42</v>
      </c>
      <c r="M88" s="250">
        <v>500</v>
      </c>
      <c r="N88" s="251">
        <f t="shared" si="6"/>
        <v>21000</v>
      </c>
      <c r="O88" s="254" t="s">
        <v>254</v>
      </c>
      <c r="P88" s="253" t="s">
        <v>249</v>
      </c>
    </row>
    <row r="89" spans="1:16" ht="13.5" hidden="1" customHeight="1" outlineLevel="1" x14ac:dyDescent="0.2">
      <c r="A89" s="233">
        <f t="shared" ca="1" si="0"/>
        <v>0</v>
      </c>
      <c r="B89" s="233">
        <f t="shared" ca="1" si="1"/>
        <v>2</v>
      </c>
      <c r="C89" s="233">
        <f t="shared" ca="1" si="2"/>
        <v>2</v>
      </c>
      <c r="D89" s="234">
        <f t="shared" ca="1" si="3"/>
        <v>3</v>
      </c>
      <c r="E89" s="234">
        <f t="shared" ca="1" si="4"/>
        <v>7</v>
      </c>
      <c r="F89" s="244"/>
      <c r="G89" s="245"/>
      <c r="H89" s="246" t="s">
        <v>246</v>
      </c>
      <c r="I89" s="247" t="str">
        <f t="shared" ca="1" si="5"/>
        <v>02.002.003.007</v>
      </c>
      <c r="J89" s="255" t="s">
        <v>331</v>
      </c>
      <c r="K89" s="250" t="s">
        <v>320</v>
      </c>
      <c r="L89" s="250">
        <f>'Obra '!$E$7</f>
        <v>42</v>
      </c>
      <c r="M89" s="250">
        <v>73.253399511828135</v>
      </c>
      <c r="N89" s="251">
        <f t="shared" si="6"/>
        <v>3076.6427794967817</v>
      </c>
      <c r="O89" s="254" t="s">
        <v>254</v>
      </c>
      <c r="P89" s="253" t="s">
        <v>249</v>
      </c>
    </row>
    <row r="90" spans="1:16" ht="13.5" hidden="1" customHeight="1" outlineLevel="1" x14ac:dyDescent="0.2">
      <c r="A90" s="233">
        <f t="shared" ca="1" si="0"/>
        <v>0</v>
      </c>
      <c r="B90" s="233">
        <f t="shared" ca="1" si="1"/>
        <v>2</v>
      </c>
      <c r="C90" s="233">
        <f t="shared" ca="1" si="2"/>
        <v>2</v>
      </c>
      <c r="D90" s="234">
        <f t="shared" ca="1" si="3"/>
        <v>3</v>
      </c>
      <c r="E90" s="234">
        <f t="shared" ca="1" si="4"/>
        <v>8</v>
      </c>
      <c r="F90" s="244"/>
      <c r="G90" s="245"/>
      <c r="H90" s="246" t="s">
        <v>246</v>
      </c>
      <c r="I90" s="247" t="str">
        <f t="shared" ca="1" si="5"/>
        <v>02.002.003.008</v>
      </c>
      <c r="J90" s="255" t="s">
        <v>332</v>
      </c>
      <c r="K90" s="250" t="s">
        <v>175</v>
      </c>
      <c r="L90" s="250">
        <v>1</v>
      </c>
      <c r="M90" s="250">
        <v>16787.254072277206</v>
      </c>
      <c r="N90" s="251">
        <f t="shared" si="6"/>
        <v>16787.254072277206</v>
      </c>
      <c r="O90" s="254" t="s">
        <v>254</v>
      </c>
      <c r="P90" s="253" t="s">
        <v>249</v>
      </c>
    </row>
    <row r="91" spans="1:16" ht="13.5" hidden="1" customHeight="1" outlineLevel="1" x14ac:dyDescent="0.2">
      <c r="A91" s="233">
        <f t="shared" ca="1" si="0"/>
        <v>0</v>
      </c>
      <c r="B91" s="233">
        <f t="shared" ca="1" si="1"/>
        <v>2</v>
      </c>
      <c r="C91" s="233">
        <f t="shared" ca="1" si="2"/>
        <v>2</v>
      </c>
      <c r="D91" s="234">
        <f t="shared" ca="1" si="3"/>
        <v>3</v>
      </c>
      <c r="E91" s="234">
        <f t="shared" ca="1" si="4"/>
        <v>9</v>
      </c>
      <c r="F91" s="244"/>
      <c r="G91" s="245"/>
      <c r="H91" s="246" t="s">
        <v>246</v>
      </c>
      <c r="I91" s="247" t="str">
        <f t="shared" ca="1" si="5"/>
        <v>02.002.003.009</v>
      </c>
      <c r="J91" s="255" t="s">
        <v>333</v>
      </c>
      <c r="K91" s="250" t="s">
        <v>320</v>
      </c>
      <c r="L91" s="250">
        <f>'Obra '!$E$7</f>
        <v>42</v>
      </c>
      <c r="M91" s="250">
        <v>5199.4628584809716</v>
      </c>
      <c r="N91" s="251">
        <f t="shared" si="6"/>
        <v>218377.44005620081</v>
      </c>
      <c r="O91" s="254" t="s">
        <v>254</v>
      </c>
      <c r="P91" s="253" t="s">
        <v>249</v>
      </c>
    </row>
    <row r="92" spans="1:16" ht="13.5" hidden="1" customHeight="1" outlineLevel="1" x14ac:dyDescent="0.2">
      <c r="A92" s="233">
        <f t="shared" ca="1" si="0"/>
        <v>0</v>
      </c>
      <c r="B92" s="233">
        <f t="shared" ca="1" si="1"/>
        <v>2</v>
      </c>
      <c r="C92" s="233">
        <f t="shared" ca="1" si="2"/>
        <v>2</v>
      </c>
      <c r="D92" s="234">
        <f t="shared" ca="1" si="3"/>
        <v>3</v>
      </c>
      <c r="E92" s="234">
        <f t="shared" ca="1" si="4"/>
        <v>10</v>
      </c>
      <c r="F92" s="244"/>
      <c r="G92" s="245"/>
      <c r="H92" s="246" t="s">
        <v>246</v>
      </c>
      <c r="I92" s="247" t="str">
        <f t="shared" ca="1" si="5"/>
        <v>02.002.003.010</v>
      </c>
      <c r="J92" s="255" t="s">
        <v>334</v>
      </c>
      <c r="K92" s="250" t="s">
        <v>320</v>
      </c>
      <c r="L92" s="250">
        <f>'Obra '!$E$7</f>
        <v>42</v>
      </c>
      <c r="M92" s="250">
        <v>453.16771083138019</v>
      </c>
      <c r="N92" s="251">
        <f t="shared" si="6"/>
        <v>19033.043854917967</v>
      </c>
      <c r="O92" s="254" t="s">
        <v>254</v>
      </c>
      <c r="P92" s="253" t="s">
        <v>249</v>
      </c>
    </row>
    <row r="93" spans="1:16" ht="13.5" hidden="1" customHeight="1" outlineLevel="1" x14ac:dyDescent="0.2">
      <c r="A93" s="233">
        <f t="shared" ca="1" si="0"/>
        <v>0</v>
      </c>
      <c r="B93" s="233">
        <f t="shared" ca="1" si="1"/>
        <v>2</v>
      </c>
      <c r="C93" s="233">
        <f t="shared" ca="1" si="2"/>
        <v>2</v>
      </c>
      <c r="D93" s="234">
        <f t="shared" ca="1" si="3"/>
        <v>3</v>
      </c>
      <c r="E93" s="234">
        <f t="shared" ca="1" si="4"/>
        <v>11</v>
      </c>
      <c r="F93" s="244"/>
      <c r="G93" s="245"/>
      <c r="H93" s="246" t="s">
        <v>246</v>
      </c>
      <c r="I93" s="247" t="str">
        <f t="shared" ca="1" si="5"/>
        <v>02.002.003.011</v>
      </c>
      <c r="J93" s="255" t="s">
        <v>335</v>
      </c>
      <c r="K93" s="250" t="s">
        <v>320</v>
      </c>
      <c r="L93" s="250">
        <f>'Obra '!$E$7</f>
        <v>42</v>
      </c>
      <c r="M93" s="250">
        <v>317.21739758196611</v>
      </c>
      <c r="N93" s="251">
        <f t="shared" si="6"/>
        <v>13323.130698442577</v>
      </c>
      <c r="O93" s="254" t="s">
        <v>254</v>
      </c>
      <c r="P93" s="253" t="s">
        <v>249</v>
      </c>
    </row>
    <row r="94" spans="1:16" ht="13.5" hidden="1" customHeight="1" outlineLevel="1" x14ac:dyDescent="0.2">
      <c r="A94" s="233">
        <f t="shared" ca="1" si="0"/>
        <v>0</v>
      </c>
      <c r="B94" s="233">
        <f t="shared" ca="1" si="1"/>
        <v>2</v>
      </c>
      <c r="C94" s="233">
        <f t="shared" ca="1" si="2"/>
        <v>2</v>
      </c>
      <c r="D94" s="234">
        <f t="shared" ca="1" si="3"/>
        <v>3</v>
      </c>
      <c r="E94" s="234">
        <f t="shared" ca="1" si="4"/>
        <v>12</v>
      </c>
      <c r="F94" s="244"/>
      <c r="G94" s="245"/>
      <c r="H94" s="246" t="s">
        <v>246</v>
      </c>
      <c r="I94" s="247" t="str">
        <f t="shared" ca="1" si="5"/>
        <v>02.002.003.012</v>
      </c>
      <c r="J94" s="255" t="s">
        <v>336</v>
      </c>
      <c r="K94" s="250" t="s">
        <v>320</v>
      </c>
      <c r="L94" s="250">
        <f>'Obra '!$E$7</f>
        <v>42</v>
      </c>
      <c r="M94" s="250">
        <v>209.11874755182913</v>
      </c>
      <c r="N94" s="251">
        <f t="shared" si="6"/>
        <v>8782.9873971768229</v>
      </c>
      <c r="O94" s="254" t="s">
        <v>254</v>
      </c>
      <c r="P94" s="253" t="s">
        <v>249</v>
      </c>
    </row>
    <row r="95" spans="1:16" ht="13.5" customHeight="1" collapsed="1" x14ac:dyDescent="0.2">
      <c r="A95" s="233">
        <f t="shared" ca="1" si="0"/>
        <v>0</v>
      </c>
      <c r="B95" s="233">
        <f t="shared" ca="1" si="1"/>
        <v>2</v>
      </c>
      <c r="C95" s="233">
        <f t="shared" ca="1" si="2"/>
        <v>2</v>
      </c>
      <c r="D95" s="234">
        <f t="shared" ca="1" si="3"/>
        <v>4</v>
      </c>
      <c r="E95" s="234">
        <f t="shared" ca="1" si="4"/>
        <v>0</v>
      </c>
      <c r="F95" s="244"/>
      <c r="G95" s="245"/>
      <c r="H95" s="246" t="s">
        <v>244</v>
      </c>
      <c r="I95" s="247" t="str">
        <f t="shared" ca="1" si="5"/>
        <v>02.002.004</v>
      </c>
      <c r="J95" s="248" t="s">
        <v>337</v>
      </c>
      <c r="K95" s="249"/>
      <c r="L95" s="250"/>
      <c r="M95" s="250"/>
      <c r="N95" s="251">
        <f t="shared" ca="1" si="6"/>
        <v>112824.9448904</v>
      </c>
      <c r="O95" s="252"/>
      <c r="P95" s="253"/>
    </row>
    <row r="96" spans="1:16" ht="13.5" hidden="1" customHeight="1" outlineLevel="1" x14ac:dyDescent="0.2">
      <c r="A96" s="233">
        <f t="shared" ca="1" si="0"/>
        <v>0</v>
      </c>
      <c r="B96" s="233">
        <f t="shared" ca="1" si="1"/>
        <v>2</v>
      </c>
      <c r="C96" s="233">
        <f t="shared" ca="1" si="2"/>
        <v>2</v>
      </c>
      <c r="D96" s="234">
        <f t="shared" ca="1" si="3"/>
        <v>4</v>
      </c>
      <c r="E96" s="234">
        <f t="shared" ca="1" si="4"/>
        <v>1</v>
      </c>
      <c r="F96" s="244"/>
      <c r="G96" s="245"/>
      <c r="H96" s="246" t="s">
        <v>246</v>
      </c>
      <c r="I96" s="247" t="str">
        <f t="shared" ca="1" si="5"/>
        <v>02.002.004.001</v>
      </c>
      <c r="J96" s="248" t="s">
        <v>138</v>
      </c>
      <c r="K96" s="250" t="s">
        <v>175</v>
      </c>
      <c r="L96" s="250">
        <v>1</v>
      </c>
      <c r="M96" s="250">
        <v>97935.977899999998</v>
      </c>
      <c r="N96" s="251">
        <f t="shared" si="6"/>
        <v>97935.977899999998</v>
      </c>
      <c r="O96" s="254" t="s">
        <v>254</v>
      </c>
      <c r="P96" s="253" t="s">
        <v>249</v>
      </c>
    </row>
    <row r="97" spans="1:19" ht="13.5" hidden="1" customHeight="1" outlineLevel="1" x14ac:dyDescent="0.2">
      <c r="A97" s="233">
        <f t="shared" ca="1" si="0"/>
        <v>0</v>
      </c>
      <c r="B97" s="233">
        <f t="shared" ca="1" si="1"/>
        <v>2</v>
      </c>
      <c r="C97" s="233">
        <f t="shared" ca="1" si="2"/>
        <v>2</v>
      </c>
      <c r="D97" s="234">
        <f t="shared" ca="1" si="3"/>
        <v>4</v>
      </c>
      <c r="E97" s="234">
        <f t="shared" ca="1" si="4"/>
        <v>2</v>
      </c>
      <c r="F97" s="244"/>
      <c r="G97" s="245"/>
      <c r="H97" s="246" t="s">
        <v>246</v>
      </c>
      <c r="I97" s="247" t="str">
        <f t="shared" ca="1" si="5"/>
        <v>02.002.004.002</v>
      </c>
      <c r="J97" s="248" t="s">
        <v>338</v>
      </c>
      <c r="K97" s="250" t="s">
        <v>92</v>
      </c>
      <c r="L97" s="250">
        <f>EPCs!D54</f>
        <v>90.744</v>
      </c>
      <c r="M97" s="250">
        <v>164.07660000000001</v>
      </c>
      <c r="N97" s="251">
        <f t="shared" si="6"/>
        <v>14888.966990400002</v>
      </c>
      <c r="O97" s="254" t="s">
        <v>254</v>
      </c>
      <c r="P97" s="253" t="s">
        <v>249</v>
      </c>
      <c r="Q97" s="244"/>
      <c r="R97" s="244"/>
      <c r="S97" s="244"/>
    </row>
    <row r="98" spans="1:19" ht="13.5" customHeight="1" collapsed="1" x14ac:dyDescent="0.2">
      <c r="A98" s="233">
        <f t="shared" ca="1" si="0"/>
        <v>0</v>
      </c>
      <c r="B98" s="233">
        <f t="shared" ca="1" si="1"/>
        <v>2</v>
      </c>
      <c r="C98" s="233">
        <f t="shared" ca="1" si="2"/>
        <v>2</v>
      </c>
      <c r="D98" s="234">
        <f t="shared" ca="1" si="3"/>
        <v>5</v>
      </c>
      <c r="E98" s="234">
        <f t="shared" ca="1" si="4"/>
        <v>0</v>
      </c>
      <c r="F98" s="244"/>
      <c r="G98" s="245"/>
      <c r="H98" s="246" t="s">
        <v>244</v>
      </c>
      <c r="I98" s="247" t="str">
        <f t="shared" ca="1" si="5"/>
        <v>02.002.005</v>
      </c>
      <c r="J98" s="248" t="s">
        <v>339</v>
      </c>
      <c r="K98" s="249"/>
      <c r="L98" s="250"/>
      <c r="M98" s="250"/>
      <c r="N98" s="251">
        <f t="shared" ca="1" si="6"/>
        <v>15334.695394822957</v>
      </c>
      <c r="O98" s="252"/>
      <c r="P98" s="253"/>
      <c r="Q98" s="260"/>
      <c r="R98" s="244"/>
      <c r="S98" s="244"/>
    </row>
    <row r="99" spans="1:19" ht="13.5" hidden="1" customHeight="1" outlineLevel="1" x14ac:dyDescent="0.2">
      <c r="A99" s="233">
        <f t="shared" ca="1" si="0"/>
        <v>0</v>
      </c>
      <c r="B99" s="233">
        <f t="shared" ca="1" si="1"/>
        <v>2</v>
      </c>
      <c r="C99" s="233">
        <f t="shared" ca="1" si="2"/>
        <v>2</v>
      </c>
      <c r="D99" s="234">
        <f t="shared" ca="1" si="3"/>
        <v>5</v>
      </c>
      <c r="E99" s="234">
        <f t="shared" ca="1" si="4"/>
        <v>1</v>
      </c>
      <c r="F99" s="244"/>
      <c r="G99" s="245"/>
      <c r="H99" s="246" t="s">
        <v>246</v>
      </c>
      <c r="I99" s="247" t="str">
        <f t="shared" ca="1" si="5"/>
        <v>02.002.005.001</v>
      </c>
      <c r="J99" s="248" t="s">
        <v>340</v>
      </c>
      <c r="K99" s="250" t="s">
        <v>175</v>
      </c>
      <c r="L99" s="250">
        <v>1</v>
      </c>
      <c r="M99" s="250">
        <v>8130.060988448603</v>
      </c>
      <c r="N99" s="251">
        <f t="shared" si="6"/>
        <v>8130.060988448603</v>
      </c>
      <c r="O99" s="254" t="s">
        <v>254</v>
      </c>
      <c r="P99" s="253" t="s">
        <v>249</v>
      </c>
      <c r="Q99" s="244"/>
      <c r="R99" s="244"/>
      <c r="S99" s="244"/>
    </row>
    <row r="100" spans="1:19" ht="13.5" hidden="1" customHeight="1" outlineLevel="1" x14ac:dyDescent="0.2">
      <c r="A100" s="233">
        <f t="shared" ca="1" si="0"/>
        <v>0</v>
      </c>
      <c r="B100" s="233">
        <f t="shared" ca="1" si="1"/>
        <v>2</v>
      </c>
      <c r="C100" s="233">
        <f t="shared" ca="1" si="2"/>
        <v>2</v>
      </c>
      <c r="D100" s="234">
        <f t="shared" ca="1" si="3"/>
        <v>5</v>
      </c>
      <c r="E100" s="234">
        <f t="shared" ca="1" si="4"/>
        <v>2</v>
      </c>
      <c r="F100" s="244"/>
      <c r="G100" s="245"/>
      <c r="H100" s="246" t="s">
        <v>246</v>
      </c>
      <c r="I100" s="247" t="str">
        <f t="shared" ca="1" si="5"/>
        <v>02.002.005.002</v>
      </c>
      <c r="J100" s="248" t="s">
        <v>341</v>
      </c>
      <c r="K100" s="250" t="s">
        <v>175</v>
      </c>
      <c r="L100" s="250">
        <v>1</v>
      </c>
      <c r="M100" s="250">
        <v>7204.6344063743527</v>
      </c>
      <c r="N100" s="251">
        <f t="shared" si="6"/>
        <v>7204.6344063743527</v>
      </c>
      <c r="O100" s="254" t="s">
        <v>254</v>
      </c>
      <c r="P100" s="253" t="s">
        <v>249</v>
      </c>
      <c r="Q100" s="244"/>
      <c r="R100" s="244"/>
      <c r="S100" s="244"/>
    </row>
    <row r="101" spans="1:19" ht="13.5" customHeight="1" x14ac:dyDescent="0.2">
      <c r="A101" s="233">
        <f t="shared" ca="1" si="0"/>
        <v>0</v>
      </c>
      <c r="B101" s="233">
        <f t="shared" ca="1" si="1"/>
        <v>3</v>
      </c>
      <c r="C101" s="233">
        <f t="shared" ca="1" si="2"/>
        <v>0</v>
      </c>
      <c r="D101" s="234">
        <f t="shared" ca="1" si="3"/>
        <v>5</v>
      </c>
      <c r="E101" s="234">
        <f t="shared" ca="1" si="4"/>
        <v>2</v>
      </c>
      <c r="F101" s="244"/>
      <c r="G101" s="245"/>
      <c r="H101" s="246" t="s">
        <v>241</v>
      </c>
      <c r="I101" s="247" t="str">
        <f t="shared" ca="1" si="5"/>
        <v>03</v>
      </c>
      <c r="J101" s="248" t="s">
        <v>342</v>
      </c>
      <c r="K101" s="249"/>
      <c r="L101" s="250"/>
      <c r="M101" s="250"/>
      <c r="N101" s="251">
        <f t="shared" ca="1" si="6"/>
        <v>479260</v>
      </c>
      <c r="O101" s="252"/>
      <c r="P101" s="253"/>
      <c r="Q101" s="260"/>
      <c r="R101" s="244"/>
      <c r="S101" s="244"/>
    </row>
    <row r="102" spans="1:19" ht="13.5" customHeight="1" x14ac:dyDescent="0.2">
      <c r="A102" s="233">
        <f t="shared" ca="1" si="0"/>
        <v>0</v>
      </c>
      <c r="B102" s="233">
        <f t="shared" ca="1" si="1"/>
        <v>3</v>
      </c>
      <c r="C102" s="233">
        <f t="shared" ca="1" si="2"/>
        <v>1</v>
      </c>
      <c r="D102" s="234">
        <f t="shared" ca="1" si="3"/>
        <v>0</v>
      </c>
      <c r="E102" s="234">
        <f t="shared" ca="1" si="4"/>
        <v>2</v>
      </c>
      <c r="F102" s="244"/>
      <c r="G102" s="245"/>
      <c r="H102" s="246" t="s">
        <v>37</v>
      </c>
      <c r="I102" s="247" t="str">
        <f t="shared" ca="1" si="5"/>
        <v>03.001</v>
      </c>
      <c r="J102" s="248" t="s">
        <v>342</v>
      </c>
      <c r="K102" s="249"/>
      <c r="L102" s="250"/>
      <c r="M102" s="250"/>
      <c r="N102" s="251">
        <f t="shared" ca="1" si="6"/>
        <v>479260</v>
      </c>
      <c r="O102" s="252"/>
      <c r="P102" s="253"/>
      <c r="Q102" s="260"/>
      <c r="R102" s="244"/>
      <c r="S102" s="244"/>
    </row>
    <row r="103" spans="1:19" ht="13.5" customHeight="1" collapsed="1" x14ac:dyDescent="0.2">
      <c r="A103" s="233">
        <f t="shared" ca="1" si="0"/>
        <v>0</v>
      </c>
      <c r="B103" s="233">
        <f t="shared" ca="1" si="1"/>
        <v>3</v>
      </c>
      <c r="C103" s="233">
        <f t="shared" ca="1" si="2"/>
        <v>1</v>
      </c>
      <c r="D103" s="234">
        <f t="shared" ca="1" si="3"/>
        <v>1</v>
      </c>
      <c r="E103" s="234">
        <f t="shared" ca="1" si="4"/>
        <v>0</v>
      </c>
      <c r="F103" s="244"/>
      <c r="G103" s="245"/>
      <c r="H103" s="246" t="s">
        <v>244</v>
      </c>
      <c r="I103" s="247" t="str">
        <f t="shared" ca="1" si="5"/>
        <v>03.001.001</v>
      </c>
      <c r="J103" s="248" t="s">
        <v>343</v>
      </c>
      <c r="K103" s="249"/>
      <c r="L103" s="250"/>
      <c r="M103" s="250"/>
      <c r="N103" s="251">
        <f t="shared" ca="1" si="6"/>
        <v>393100</v>
      </c>
      <c r="O103" s="252"/>
      <c r="P103" s="253"/>
      <c r="Q103" s="260"/>
      <c r="R103" s="244"/>
      <c r="S103" s="244"/>
    </row>
    <row r="104" spans="1:19" ht="13.5" hidden="1" customHeight="1" outlineLevel="1" x14ac:dyDescent="0.2">
      <c r="A104" s="233">
        <f t="shared" ca="1" si="0"/>
        <v>0</v>
      </c>
      <c r="B104" s="233">
        <f t="shared" ca="1" si="1"/>
        <v>3</v>
      </c>
      <c r="C104" s="233">
        <f t="shared" ca="1" si="2"/>
        <v>1</v>
      </c>
      <c r="D104" s="234">
        <f t="shared" ca="1" si="3"/>
        <v>1</v>
      </c>
      <c r="E104" s="234">
        <f t="shared" ca="1" si="4"/>
        <v>1</v>
      </c>
      <c r="F104" s="244"/>
      <c r="G104" s="245"/>
      <c r="H104" s="246" t="s">
        <v>246</v>
      </c>
      <c r="I104" s="247" t="str">
        <f t="shared" ca="1" si="5"/>
        <v>03.001.001.001</v>
      </c>
      <c r="J104" s="255" t="s">
        <v>344</v>
      </c>
      <c r="K104" s="250" t="s">
        <v>88</v>
      </c>
      <c r="L104" s="250">
        <v>1</v>
      </c>
      <c r="M104" s="250">
        <v>235000</v>
      </c>
      <c r="N104" s="251">
        <f t="shared" si="6"/>
        <v>235000</v>
      </c>
      <c r="O104" s="254" t="s">
        <v>254</v>
      </c>
      <c r="P104" s="253" t="s">
        <v>249</v>
      </c>
      <c r="Q104" s="244"/>
      <c r="R104" s="244"/>
      <c r="S104" s="244"/>
    </row>
    <row r="105" spans="1:19" ht="13.5" hidden="1" customHeight="1" outlineLevel="1" x14ac:dyDescent="0.2">
      <c r="A105" s="233">
        <f t="shared" ca="1" si="0"/>
        <v>0</v>
      </c>
      <c r="B105" s="233">
        <f t="shared" ca="1" si="1"/>
        <v>3</v>
      </c>
      <c r="C105" s="233">
        <f t="shared" ca="1" si="2"/>
        <v>1</v>
      </c>
      <c r="D105" s="234">
        <f t="shared" ca="1" si="3"/>
        <v>1</v>
      </c>
      <c r="E105" s="234">
        <f t="shared" ca="1" si="4"/>
        <v>2</v>
      </c>
      <c r="F105" s="244"/>
      <c r="G105" s="245"/>
      <c r="H105" s="246" t="s">
        <v>246</v>
      </c>
      <c r="I105" s="247" t="str">
        <f t="shared" ca="1" si="5"/>
        <v>03.001.001.002</v>
      </c>
      <c r="J105" s="255" t="s">
        <v>345</v>
      </c>
      <c r="K105" s="250" t="s">
        <v>88</v>
      </c>
      <c r="L105" s="250">
        <v>1</v>
      </c>
      <c r="M105" s="250">
        <v>5500</v>
      </c>
      <c r="N105" s="251">
        <f t="shared" si="6"/>
        <v>5500</v>
      </c>
      <c r="O105" s="254" t="s">
        <v>254</v>
      </c>
      <c r="P105" s="253" t="s">
        <v>249</v>
      </c>
      <c r="Q105" s="244"/>
      <c r="R105" s="244"/>
      <c r="S105" s="244"/>
    </row>
    <row r="106" spans="1:19" ht="13.5" hidden="1" customHeight="1" outlineLevel="1" x14ac:dyDescent="0.2">
      <c r="A106" s="233">
        <f t="shared" ca="1" si="0"/>
        <v>0</v>
      </c>
      <c r="B106" s="233">
        <f t="shared" ca="1" si="1"/>
        <v>3</v>
      </c>
      <c r="C106" s="233">
        <f t="shared" ca="1" si="2"/>
        <v>1</v>
      </c>
      <c r="D106" s="234">
        <f t="shared" ca="1" si="3"/>
        <v>1</v>
      </c>
      <c r="E106" s="234">
        <f t="shared" ca="1" si="4"/>
        <v>3</v>
      </c>
      <c r="F106" s="244"/>
      <c r="G106" s="245"/>
      <c r="H106" s="246" t="s">
        <v>246</v>
      </c>
      <c r="I106" s="247" t="str">
        <f t="shared" ca="1" si="5"/>
        <v>03.001.001.003</v>
      </c>
      <c r="J106" s="255" t="s">
        <v>346</v>
      </c>
      <c r="K106" s="250" t="s">
        <v>297</v>
      </c>
      <c r="L106" s="250">
        <v>19</v>
      </c>
      <c r="M106" s="250">
        <v>1200</v>
      </c>
      <c r="N106" s="251">
        <f t="shared" si="6"/>
        <v>22800</v>
      </c>
      <c r="O106" s="254" t="s">
        <v>254</v>
      </c>
      <c r="P106" s="253" t="s">
        <v>249</v>
      </c>
      <c r="Q106" s="244"/>
      <c r="R106" s="244"/>
      <c r="S106" s="244"/>
    </row>
    <row r="107" spans="1:19" ht="13.5" hidden="1" customHeight="1" outlineLevel="1" x14ac:dyDescent="0.2">
      <c r="A107" s="233">
        <f t="shared" ca="1" si="0"/>
        <v>0</v>
      </c>
      <c r="B107" s="233">
        <f t="shared" ca="1" si="1"/>
        <v>3</v>
      </c>
      <c r="C107" s="233">
        <f t="shared" ca="1" si="2"/>
        <v>1</v>
      </c>
      <c r="D107" s="234">
        <f t="shared" ca="1" si="3"/>
        <v>1</v>
      </c>
      <c r="E107" s="234">
        <f t="shared" ca="1" si="4"/>
        <v>4</v>
      </c>
      <c r="F107" s="244"/>
      <c r="G107" s="245"/>
      <c r="H107" s="246" t="s">
        <v>246</v>
      </c>
      <c r="I107" s="247" t="str">
        <f t="shared" ca="1" si="5"/>
        <v>03.001.001.004</v>
      </c>
      <c r="J107" s="255" t="s">
        <v>347</v>
      </c>
      <c r="K107" s="250" t="s">
        <v>88</v>
      </c>
      <c r="L107" s="250">
        <v>1</v>
      </c>
      <c r="M107" s="250">
        <v>10100</v>
      </c>
      <c r="N107" s="251">
        <f t="shared" si="6"/>
        <v>10100</v>
      </c>
      <c r="O107" s="254" t="s">
        <v>254</v>
      </c>
      <c r="P107" s="253" t="s">
        <v>249</v>
      </c>
      <c r="Q107" s="244"/>
      <c r="R107" s="244"/>
      <c r="S107" s="261">
        <v>45600</v>
      </c>
    </row>
    <row r="108" spans="1:19" ht="13.5" hidden="1" customHeight="1" outlineLevel="1" x14ac:dyDescent="0.2">
      <c r="A108" s="233">
        <f t="shared" ca="1" si="0"/>
        <v>0</v>
      </c>
      <c r="B108" s="233">
        <f t="shared" ca="1" si="1"/>
        <v>3</v>
      </c>
      <c r="C108" s="233">
        <f t="shared" ca="1" si="2"/>
        <v>1</v>
      </c>
      <c r="D108" s="234">
        <f t="shared" ca="1" si="3"/>
        <v>1</v>
      </c>
      <c r="E108" s="234">
        <f t="shared" ca="1" si="4"/>
        <v>5</v>
      </c>
      <c r="F108" s="244"/>
      <c r="G108" s="245"/>
      <c r="H108" s="246" t="s">
        <v>246</v>
      </c>
      <c r="I108" s="247" t="str">
        <f t="shared" ca="1" si="5"/>
        <v>03.001.001.005</v>
      </c>
      <c r="J108" s="255" t="s">
        <v>348</v>
      </c>
      <c r="K108" s="250" t="s">
        <v>88</v>
      </c>
      <c r="L108" s="250">
        <v>1</v>
      </c>
      <c r="M108" s="250">
        <v>2800</v>
      </c>
      <c r="N108" s="251">
        <f t="shared" si="6"/>
        <v>2800</v>
      </c>
      <c r="O108" s="254" t="s">
        <v>254</v>
      </c>
      <c r="P108" s="253" t="s">
        <v>249</v>
      </c>
      <c r="Q108" s="244"/>
      <c r="R108" s="244"/>
      <c r="S108" s="261"/>
    </row>
    <row r="109" spans="1:19" ht="13.5" hidden="1" customHeight="1" outlineLevel="1" x14ac:dyDescent="0.2">
      <c r="A109" s="233">
        <f t="shared" ca="1" si="0"/>
        <v>0</v>
      </c>
      <c r="B109" s="233">
        <f t="shared" ca="1" si="1"/>
        <v>3</v>
      </c>
      <c r="C109" s="233">
        <f t="shared" ca="1" si="2"/>
        <v>1</v>
      </c>
      <c r="D109" s="234">
        <f t="shared" ca="1" si="3"/>
        <v>1</v>
      </c>
      <c r="E109" s="234">
        <f t="shared" ca="1" si="4"/>
        <v>6</v>
      </c>
      <c r="F109" s="244"/>
      <c r="G109" s="245"/>
      <c r="H109" s="246" t="s">
        <v>246</v>
      </c>
      <c r="I109" s="247" t="str">
        <f t="shared" ca="1" si="5"/>
        <v>03.001.001.006</v>
      </c>
      <c r="J109" s="255" t="s">
        <v>349</v>
      </c>
      <c r="K109" s="250" t="s">
        <v>88</v>
      </c>
      <c r="L109" s="250">
        <v>1</v>
      </c>
      <c r="M109" s="250">
        <v>79000</v>
      </c>
      <c r="N109" s="251">
        <f t="shared" si="6"/>
        <v>79000</v>
      </c>
      <c r="O109" s="254" t="s">
        <v>254</v>
      </c>
      <c r="P109" s="253" t="s">
        <v>249</v>
      </c>
      <c r="Q109" s="244"/>
      <c r="R109" s="244"/>
      <c r="S109" s="261"/>
    </row>
    <row r="110" spans="1:19" ht="13.5" hidden="1" customHeight="1" outlineLevel="1" x14ac:dyDescent="0.2">
      <c r="A110" s="233">
        <f t="shared" ca="1" si="0"/>
        <v>0</v>
      </c>
      <c r="B110" s="233">
        <f t="shared" ca="1" si="1"/>
        <v>3</v>
      </c>
      <c r="C110" s="233">
        <f t="shared" ca="1" si="2"/>
        <v>1</v>
      </c>
      <c r="D110" s="234">
        <f t="shared" ca="1" si="3"/>
        <v>1</v>
      </c>
      <c r="E110" s="234">
        <f t="shared" ca="1" si="4"/>
        <v>7</v>
      </c>
      <c r="F110" s="244"/>
      <c r="G110" s="245"/>
      <c r="H110" s="246" t="s">
        <v>246</v>
      </c>
      <c r="I110" s="247" t="str">
        <f t="shared" ca="1" si="5"/>
        <v>03.001.001.007</v>
      </c>
      <c r="J110" s="255" t="s">
        <v>350</v>
      </c>
      <c r="K110" s="250" t="s">
        <v>88</v>
      </c>
      <c r="L110" s="250">
        <v>1</v>
      </c>
      <c r="M110" s="250">
        <v>3500</v>
      </c>
      <c r="N110" s="251">
        <f t="shared" si="6"/>
        <v>3500</v>
      </c>
      <c r="O110" s="254" t="s">
        <v>254</v>
      </c>
      <c r="P110" s="253" t="s">
        <v>249</v>
      </c>
      <c r="Q110" s="244"/>
      <c r="R110" s="244"/>
      <c r="S110" s="261"/>
    </row>
    <row r="111" spans="1:19" ht="13.5" hidden="1" customHeight="1" outlineLevel="1" x14ac:dyDescent="0.2">
      <c r="A111" s="233">
        <f t="shared" ca="1" si="0"/>
        <v>0</v>
      </c>
      <c r="B111" s="233">
        <f t="shared" ca="1" si="1"/>
        <v>3</v>
      </c>
      <c r="C111" s="233">
        <f t="shared" ca="1" si="2"/>
        <v>1</v>
      </c>
      <c r="D111" s="234">
        <f t="shared" ca="1" si="3"/>
        <v>1</v>
      </c>
      <c r="E111" s="234">
        <f t="shared" ca="1" si="4"/>
        <v>8</v>
      </c>
      <c r="F111" s="244"/>
      <c r="G111" s="245"/>
      <c r="H111" s="246" t="s">
        <v>246</v>
      </c>
      <c r="I111" s="247" t="str">
        <f t="shared" ca="1" si="5"/>
        <v>03.001.001.008</v>
      </c>
      <c r="J111" s="255" t="s">
        <v>351</v>
      </c>
      <c r="K111" s="250" t="s">
        <v>88</v>
      </c>
      <c r="L111" s="250">
        <v>20</v>
      </c>
      <c r="M111" s="250">
        <v>1000</v>
      </c>
      <c r="N111" s="251">
        <f t="shared" si="6"/>
        <v>20000</v>
      </c>
      <c r="O111" s="254" t="s">
        <v>254</v>
      </c>
      <c r="P111" s="253" t="s">
        <v>249</v>
      </c>
      <c r="Q111" s="244"/>
      <c r="R111" s="244"/>
      <c r="S111" s="261"/>
    </row>
    <row r="112" spans="1:19" ht="13.5" hidden="1" customHeight="1" outlineLevel="1" x14ac:dyDescent="0.2">
      <c r="A112" s="233">
        <f t="shared" ca="1" si="0"/>
        <v>0</v>
      </c>
      <c r="B112" s="233">
        <f t="shared" ca="1" si="1"/>
        <v>3</v>
      </c>
      <c r="C112" s="233">
        <f t="shared" ca="1" si="2"/>
        <v>1</v>
      </c>
      <c r="D112" s="234">
        <f t="shared" ca="1" si="3"/>
        <v>1</v>
      </c>
      <c r="E112" s="234">
        <f t="shared" ca="1" si="4"/>
        <v>9</v>
      </c>
      <c r="F112" s="244"/>
      <c r="G112" s="245"/>
      <c r="H112" s="246" t="s">
        <v>246</v>
      </c>
      <c r="I112" s="247" t="str">
        <f t="shared" ca="1" si="5"/>
        <v>03.001.001.009</v>
      </c>
      <c r="J112" s="255" t="s">
        <v>352</v>
      </c>
      <c r="K112" s="250" t="s">
        <v>88</v>
      </c>
      <c r="L112" s="250">
        <v>1</v>
      </c>
      <c r="M112" s="250">
        <v>7000</v>
      </c>
      <c r="N112" s="251">
        <f t="shared" si="6"/>
        <v>7000</v>
      </c>
      <c r="O112" s="254" t="s">
        <v>254</v>
      </c>
      <c r="P112" s="253" t="s">
        <v>249</v>
      </c>
      <c r="Q112" s="244"/>
      <c r="R112" s="244"/>
      <c r="S112" s="261"/>
    </row>
    <row r="113" spans="1:20" ht="13.5" hidden="1" customHeight="1" outlineLevel="1" x14ac:dyDescent="0.2">
      <c r="A113" s="233">
        <f t="shared" ca="1" si="0"/>
        <v>0</v>
      </c>
      <c r="B113" s="233">
        <f t="shared" ca="1" si="1"/>
        <v>3</v>
      </c>
      <c r="C113" s="233">
        <f t="shared" ca="1" si="2"/>
        <v>1</v>
      </c>
      <c r="D113" s="234">
        <f t="shared" ca="1" si="3"/>
        <v>1</v>
      </c>
      <c r="E113" s="234">
        <f t="shared" ca="1" si="4"/>
        <v>10</v>
      </c>
      <c r="F113" s="244"/>
      <c r="G113" s="245"/>
      <c r="H113" s="246" t="s">
        <v>246</v>
      </c>
      <c r="I113" s="247" t="str">
        <f t="shared" ca="1" si="5"/>
        <v>03.001.001.010</v>
      </c>
      <c r="J113" s="255" t="s">
        <v>353</v>
      </c>
      <c r="K113" s="250" t="s">
        <v>88</v>
      </c>
      <c r="L113" s="250">
        <v>1</v>
      </c>
      <c r="M113" s="250">
        <v>2800</v>
      </c>
      <c r="N113" s="251">
        <f t="shared" si="6"/>
        <v>2800</v>
      </c>
      <c r="O113" s="254" t="s">
        <v>254</v>
      </c>
      <c r="P113" s="253" t="s">
        <v>249</v>
      </c>
      <c r="Q113" s="244"/>
      <c r="R113" s="244"/>
      <c r="S113" s="261"/>
      <c r="T113" s="244"/>
    </row>
    <row r="114" spans="1:20" ht="13.5" hidden="1" customHeight="1" outlineLevel="1" x14ac:dyDescent="0.2">
      <c r="A114" s="233">
        <f t="shared" ca="1" si="0"/>
        <v>0</v>
      </c>
      <c r="B114" s="233">
        <f t="shared" ca="1" si="1"/>
        <v>3</v>
      </c>
      <c r="C114" s="233">
        <f t="shared" ca="1" si="2"/>
        <v>1</v>
      </c>
      <c r="D114" s="234">
        <f t="shared" ca="1" si="3"/>
        <v>1</v>
      </c>
      <c r="E114" s="234">
        <f t="shared" ca="1" si="4"/>
        <v>11</v>
      </c>
      <c r="F114" s="244"/>
      <c r="G114" s="245"/>
      <c r="H114" s="246" t="s">
        <v>246</v>
      </c>
      <c r="I114" s="247" t="str">
        <f t="shared" ca="1" si="5"/>
        <v>03.001.001.011</v>
      </c>
      <c r="J114" s="255" t="s">
        <v>354</v>
      </c>
      <c r="K114" s="250" t="s">
        <v>88</v>
      </c>
      <c r="L114" s="250">
        <v>1</v>
      </c>
      <c r="M114" s="250">
        <v>4600</v>
      </c>
      <c r="N114" s="251">
        <f t="shared" si="6"/>
        <v>4600</v>
      </c>
      <c r="O114" s="254" t="s">
        <v>254</v>
      </c>
      <c r="P114" s="253" t="s">
        <v>249</v>
      </c>
      <c r="Q114" s="244"/>
      <c r="R114" s="244"/>
      <c r="S114" s="261">
        <v>47212</v>
      </c>
      <c r="T114" s="244"/>
    </row>
    <row r="115" spans="1:20" ht="13.5" customHeight="1" collapsed="1" x14ac:dyDescent="0.2">
      <c r="A115" s="233">
        <f t="shared" ca="1" si="0"/>
        <v>0</v>
      </c>
      <c r="B115" s="233">
        <f t="shared" ca="1" si="1"/>
        <v>3</v>
      </c>
      <c r="C115" s="233">
        <f t="shared" ca="1" si="2"/>
        <v>1</v>
      </c>
      <c r="D115" s="234">
        <f t="shared" ca="1" si="3"/>
        <v>2</v>
      </c>
      <c r="E115" s="234">
        <f t="shared" ca="1" si="4"/>
        <v>0</v>
      </c>
      <c r="F115" s="244"/>
      <c r="G115" s="245"/>
      <c r="H115" s="246" t="s">
        <v>244</v>
      </c>
      <c r="I115" s="247" t="str">
        <f t="shared" ca="1" si="5"/>
        <v>03.001.002</v>
      </c>
      <c r="J115" s="248" t="s">
        <v>355</v>
      </c>
      <c r="K115" s="249"/>
      <c r="L115" s="250"/>
      <c r="M115" s="250"/>
      <c r="N115" s="251">
        <f t="shared" ca="1" si="6"/>
        <v>35460</v>
      </c>
      <c r="O115" s="252"/>
      <c r="P115" s="253"/>
      <c r="Q115" s="260"/>
      <c r="R115" s="244"/>
      <c r="S115" s="244">
        <f>S114-S107</f>
        <v>1612</v>
      </c>
      <c r="T115" s="244">
        <f>S115/30</f>
        <v>53.733333333333334</v>
      </c>
    </row>
    <row r="116" spans="1:20" ht="13.5" hidden="1" customHeight="1" outlineLevel="1" x14ac:dyDescent="0.2">
      <c r="A116" s="233">
        <f t="shared" ca="1" si="0"/>
        <v>0</v>
      </c>
      <c r="B116" s="233">
        <f t="shared" ca="1" si="1"/>
        <v>3</v>
      </c>
      <c r="C116" s="233">
        <f t="shared" ca="1" si="2"/>
        <v>1</v>
      </c>
      <c r="D116" s="234">
        <f t="shared" ca="1" si="3"/>
        <v>2</v>
      </c>
      <c r="E116" s="234">
        <f t="shared" ca="1" si="4"/>
        <v>1</v>
      </c>
      <c r="F116" s="244"/>
      <c r="G116" s="245"/>
      <c r="H116" s="246" t="s">
        <v>246</v>
      </c>
      <c r="I116" s="247" t="str">
        <f t="shared" ca="1" si="5"/>
        <v>03.001.002.001</v>
      </c>
      <c r="J116" s="255" t="s">
        <v>356</v>
      </c>
      <c r="K116" s="250" t="s">
        <v>320</v>
      </c>
      <c r="L116" s="250">
        <v>6</v>
      </c>
      <c r="M116" s="250">
        <v>510</v>
      </c>
      <c r="N116" s="251">
        <f t="shared" si="6"/>
        <v>3060</v>
      </c>
      <c r="O116" s="254" t="s">
        <v>254</v>
      </c>
      <c r="P116" s="253" t="s">
        <v>249</v>
      </c>
      <c r="Q116" s="244"/>
      <c r="R116" s="244"/>
      <c r="S116" s="244">
        <f t="shared" ref="S116:S117" si="7">5*12</f>
        <v>60</v>
      </c>
      <c r="T116" s="244"/>
    </row>
    <row r="117" spans="1:20" ht="13.5" hidden="1" customHeight="1" outlineLevel="1" x14ac:dyDescent="0.2">
      <c r="A117" s="233">
        <f t="shared" ca="1" si="0"/>
        <v>0</v>
      </c>
      <c r="B117" s="233">
        <f t="shared" ca="1" si="1"/>
        <v>3</v>
      </c>
      <c r="C117" s="233">
        <f t="shared" ca="1" si="2"/>
        <v>1</v>
      </c>
      <c r="D117" s="234">
        <f t="shared" ca="1" si="3"/>
        <v>2</v>
      </c>
      <c r="E117" s="234">
        <f t="shared" ca="1" si="4"/>
        <v>2</v>
      </c>
      <c r="F117" s="244"/>
      <c r="G117" s="245"/>
      <c r="H117" s="246" t="s">
        <v>246</v>
      </c>
      <c r="I117" s="247" t="str">
        <f t="shared" ca="1" si="5"/>
        <v>03.001.002.002</v>
      </c>
      <c r="J117" s="255" t="s">
        <v>357</v>
      </c>
      <c r="K117" s="250" t="s">
        <v>320</v>
      </c>
      <c r="L117" s="250">
        <v>6</v>
      </c>
      <c r="M117" s="250">
        <v>5400</v>
      </c>
      <c r="N117" s="251">
        <f t="shared" si="6"/>
        <v>32400</v>
      </c>
      <c r="O117" s="254" t="s">
        <v>254</v>
      </c>
      <c r="P117" s="253" t="s">
        <v>249</v>
      </c>
      <c r="Q117" s="244"/>
      <c r="R117" s="244"/>
      <c r="S117" s="244">
        <f t="shared" si="7"/>
        <v>60</v>
      </c>
      <c r="T117" s="244"/>
    </row>
    <row r="118" spans="1:20" ht="13.5" customHeight="1" collapsed="1" x14ac:dyDescent="0.2">
      <c r="A118" s="233">
        <f t="shared" ca="1" si="0"/>
        <v>0</v>
      </c>
      <c r="B118" s="233">
        <f t="shared" ca="1" si="1"/>
        <v>3</v>
      </c>
      <c r="C118" s="233">
        <f t="shared" ca="1" si="2"/>
        <v>1</v>
      </c>
      <c r="D118" s="234">
        <f t="shared" ca="1" si="3"/>
        <v>3</v>
      </c>
      <c r="E118" s="234">
        <f t="shared" ca="1" si="4"/>
        <v>0</v>
      </c>
      <c r="F118" s="244"/>
      <c r="G118" s="245"/>
      <c r="H118" s="246" t="s">
        <v>244</v>
      </c>
      <c r="I118" s="247" t="str">
        <f t="shared" ca="1" si="5"/>
        <v>03.001.003</v>
      </c>
      <c r="J118" s="248" t="s">
        <v>358</v>
      </c>
      <c r="K118" s="249"/>
      <c r="L118" s="250"/>
      <c r="M118" s="250"/>
      <c r="N118" s="251">
        <f t="shared" ca="1" si="6"/>
        <v>50700</v>
      </c>
      <c r="O118" s="252"/>
      <c r="P118" s="253"/>
      <c r="Q118" s="260"/>
      <c r="R118" s="244"/>
      <c r="S118" s="261">
        <f>S117-S110</f>
        <v>60</v>
      </c>
      <c r="T118" s="261">
        <f>S118/30</f>
        <v>2</v>
      </c>
    </row>
    <row r="119" spans="1:20" ht="13.5" hidden="1" customHeight="1" outlineLevel="1" x14ac:dyDescent="0.2">
      <c r="A119" s="233">
        <f t="shared" ca="1" si="0"/>
        <v>0</v>
      </c>
      <c r="B119" s="233">
        <f t="shared" ca="1" si="1"/>
        <v>3</v>
      </c>
      <c r="C119" s="233">
        <f t="shared" ca="1" si="2"/>
        <v>1</v>
      </c>
      <c r="D119" s="234">
        <f t="shared" ca="1" si="3"/>
        <v>3</v>
      </c>
      <c r="E119" s="234">
        <f t="shared" ca="1" si="4"/>
        <v>1</v>
      </c>
      <c r="F119" s="244"/>
      <c r="G119" s="245"/>
      <c r="H119" s="246" t="s">
        <v>246</v>
      </c>
      <c r="I119" s="247" t="str">
        <f t="shared" ca="1" si="5"/>
        <v>03.001.003.001</v>
      </c>
      <c r="J119" s="255" t="s">
        <v>359</v>
      </c>
      <c r="K119" s="256" t="s">
        <v>320</v>
      </c>
      <c r="L119" s="256">
        <v>20</v>
      </c>
      <c r="M119" s="256">
        <v>1000</v>
      </c>
      <c r="N119" s="251">
        <f t="shared" si="6"/>
        <v>20000</v>
      </c>
      <c r="O119" s="254" t="s">
        <v>254</v>
      </c>
      <c r="P119" s="262" t="s">
        <v>249</v>
      </c>
      <c r="Q119" s="244"/>
      <c r="R119" s="244"/>
      <c r="S119" s="244">
        <f t="shared" ref="S119:S120" si="8">5*12</f>
        <v>60</v>
      </c>
      <c r="T119" s="244"/>
    </row>
    <row r="120" spans="1:20" ht="13.5" hidden="1" customHeight="1" outlineLevel="1" x14ac:dyDescent="0.2">
      <c r="A120" s="233">
        <f t="shared" ca="1" si="0"/>
        <v>0</v>
      </c>
      <c r="B120" s="233">
        <f t="shared" ca="1" si="1"/>
        <v>3</v>
      </c>
      <c r="C120" s="233">
        <f t="shared" ca="1" si="2"/>
        <v>1</v>
      </c>
      <c r="D120" s="234">
        <f t="shared" ca="1" si="3"/>
        <v>3</v>
      </c>
      <c r="E120" s="234">
        <f t="shared" ca="1" si="4"/>
        <v>2</v>
      </c>
      <c r="F120" s="244"/>
      <c r="G120" s="245"/>
      <c r="H120" s="246" t="s">
        <v>246</v>
      </c>
      <c r="I120" s="247" t="str">
        <f t="shared" ca="1" si="5"/>
        <v>03.001.003.002</v>
      </c>
      <c r="J120" s="255" t="s">
        <v>360</v>
      </c>
      <c r="K120" s="250" t="s">
        <v>320</v>
      </c>
      <c r="L120" s="250">
        <v>20</v>
      </c>
      <c r="M120" s="250">
        <v>1535</v>
      </c>
      <c r="N120" s="251">
        <f t="shared" si="6"/>
        <v>30700</v>
      </c>
      <c r="O120" s="254" t="s">
        <v>254</v>
      </c>
      <c r="P120" s="253" t="s">
        <v>249</v>
      </c>
      <c r="Q120" s="244"/>
      <c r="R120" s="244"/>
      <c r="S120" s="244">
        <f t="shared" si="8"/>
        <v>60</v>
      </c>
      <c r="T120" s="244"/>
    </row>
    <row r="121" spans="1:20" ht="13.5" customHeight="1" x14ac:dyDescent="0.2">
      <c r="A121" s="233">
        <f t="shared" ca="1" si="0"/>
        <v>0</v>
      </c>
      <c r="B121" s="233">
        <f t="shared" ca="1" si="1"/>
        <v>3</v>
      </c>
      <c r="C121" s="233">
        <f t="shared" ca="1" si="2"/>
        <v>1</v>
      </c>
      <c r="D121" s="234">
        <f t="shared" ca="1" si="3"/>
        <v>3</v>
      </c>
      <c r="E121" s="234">
        <f t="shared" ca="1" si="4"/>
        <v>2</v>
      </c>
      <c r="F121" s="263"/>
      <c r="G121" s="264"/>
      <c r="H121" s="264"/>
      <c r="I121" s="264"/>
      <c r="J121" s="265" t="s">
        <v>59</v>
      </c>
      <c r="K121" s="266"/>
      <c r="L121" s="265"/>
      <c r="M121" s="265"/>
      <c r="N121" s="267">
        <f ca="1">N101+N53+N8</f>
        <v>5188435.5997512508</v>
      </c>
      <c r="O121" s="265"/>
      <c r="P121" s="266"/>
      <c r="Q121" s="263"/>
      <c r="R121" s="268"/>
      <c r="S121" s="268"/>
      <c r="T121" s="268"/>
    </row>
    <row r="122" spans="1:20" ht="13.5" customHeight="1" x14ac:dyDescent="0.2">
      <c r="A122" s="233">
        <f t="shared" ca="1" si="0"/>
        <v>0</v>
      </c>
      <c r="B122" s="233">
        <f t="shared" ca="1" si="1"/>
        <v>3</v>
      </c>
      <c r="C122" s="233">
        <f t="shared" ca="1" si="2"/>
        <v>1</v>
      </c>
      <c r="D122" s="234">
        <f t="shared" ca="1" si="3"/>
        <v>3</v>
      </c>
      <c r="E122" s="234">
        <f t="shared" ca="1" si="4"/>
        <v>2</v>
      </c>
      <c r="F122" s="244"/>
      <c r="G122" s="269"/>
      <c r="H122" s="269"/>
      <c r="I122" s="269"/>
      <c r="J122" s="270"/>
      <c r="K122" s="271"/>
      <c r="L122" s="272"/>
      <c r="M122" s="273">
        <f t="shared" ref="M122:M125" ca="1" si="9">SUMIFS($N$7:$N$413,$H$7:$H$413,N122)</f>
        <v>5188435.5997512508</v>
      </c>
      <c r="N122" s="274" t="s">
        <v>241</v>
      </c>
      <c r="O122" s="270"/>
      <c r="P122" s="275"/>
      <c r="Q122" s="270"/>
      <c r="R122" s="269"/>
      <c r="S122" s="269"/>
      <c r="T122" s="269"/>
    </row>
    <row r="123" spans="1:20" ht="13.5" customHeight="1" x14ac:dyDescent="0.2">
      <c r="A123" s="233">
        <f t="shared" ca="1" si="0"/>
        <v>0</v>
      </c>
      <c r="B123" s="233">
        <f t="shared" ca="1" si="1"/>
        <v>3</v>
      </c>
      <c r="C123" s="233">
        <f t="shared" ca="1" si="2"/>
        <v>1</v>
      </c>
      <c r="D123" s="234">
        <f t="shared" ca="1" si="3"/>
        <v>3</v>
      </c>
      <c r="E123" s="234">
        <f t="shared" ca="1" si="4"/>
        <v>2</v>
      </c>
      <c r="F123" s="244"/>
      <c r="G123" s="269"/>
      <c r="H123" s="269"/>
      <c r="I123" s="269"/>
      <c r="J123" s="270"/>
      <c r="K123" s="271"/>
      <c r="L123" s="272"/>
      <c r="M123" s="273">
        <f t="shared" ca="1" si="9"/>
        <v>5188435.5997512517</v>
      </c>
      <c r="N123" s="274" t="s">
        <v>37</v>
      </c>
      <c r="O123" s="270"/>
      <c r="P123" s="275"/>
      <c r="Q123" s="270"/>
      <c r="R123" s="269"/>
      <c r="S123" s="269"/>
      <c r="T123" s="269"/>
    </row>
    <row r="124" spans="1:20" ht="13.5" customHeight="1" x14ac:dyDescent="0.2">
      <c r="A124" s="233">
        <f t="shared" ca="1" si="0"/>
        <v>0</v>
      </c>
      <c r="B124" s="233">
        <f t="shared" ca="1" si="1"/>
        <v>3</v>
      </c>
      <c r="C124" s="233">
        <f t="shared" ca="1" si="2"/>
        <v>1</v>
      </c>
      <c r="D124" s="234">
        <f t="shared" ca="1" si="3"/>
        <v>3</v>
      </c>
      <c r="E124" s="234">
        <f t="shared" ca="1" si="4"/>
        <v>2</v>
      </c>
      <c r="F124" s="244"/>
      <c r="G124" s="269"/>
      <c r="H124" s="269"/>
      <c r="I124" s="269"/>
      <c r="J124" s="270"/>
      <c r="K124" s="271"/>
      <c r="L124" s="272"/>
      <c r="M124" s="273">
        <f t="shared" ca="1" si="9"/>
        <v>5188435.5997512517</v>
      </c>
      <c r="N124" s="274" t="s">
        <v>244</v>
      </c>
      <c r="O124" s="270"/>
      <c r="P124" s="275"/>
      <c r="Q124" s="270"/>
      <c r="R124" s="269"/>
      <c r="S124" s="269"/>
      <c r="T124" s="269"/>
    </row>
    <row r="125" spans="1:20" ht="13.5" customHeight="1" x14ac:dyDescent="0.2">
      <c r="A125" s="233">
        <f t="shared" ca="1" si="0"/>
        <v>0</v>
      </c>
      <c r="B125" s="233">
        <f t="shared" ca="1" si="1"/>
        <v>3</v>
      </c>
      <c r="C125" s="233">
        <f t="shared" ca="1" si="2"/>
        <v>1</v>
      </c>
      <c r="D125" s="234">
        <f t="shared" ca="1" si="3"/>
        <v>3</v>
      </c>
      <c r="E125" s="234">
        <f t="shared" ca="1" si="4"/>
        <v>2</v>
      </c>
      <c r="F125" s="244"/>
      <c r="G125" s="269"/>
      <c r="H125" s="269"/>
      <c r="I125" s="269"/>
      <c r="J125" s="270"/>
      <c r="K125" s="271"/>
      <c r="L125" s="272"/>
      <c r="M125" s="273">
        <f t="shared" si="9"/>
        <v>5188435.5997512517</v>
      </c>
      <c r="N125" s="274" t="s">
        <v>246</v>
      </c>
      <c r="O125" s="270"/>
      <c r="P125" s="269"/>
      <c r="Q125" s="269"/>
      <c r="R125" s="269"/>
      <c r="S125" s="269"/>
      <c r="T125" s="269"/>
    </row>
    <row r="126" spans="1:20" ht="13.5" customHeight="1" x14ac:dyDescent="0.2">
      <c r="A126" s="233">
        <f t="shared" ca="1" si="0"/>
        <v>0</v>
      </c>
      <c r="B126" s="233">
        <f t="shared" ca="1" si="1"/>
        <v>3</v>
      </c>
      <c r="C126" s="233">
        <f t="shared" ca="1" si="2"/>
        <v>1</v>
      </c>
      <c r="D126" s="234">
        <f t="shared" ca="1" si="3"/>
        <v>3</v>
      </c>
      <c r="E126" s="234">
        <f t="shared" ca="1" si="4"/>
        <v>2</v>
      </c>
      <c r="F126" s="244"/>
      <c r="G126" s="269"/>
      <c r="H126" s="269"/>
      <c r="I126" s="269"/>
      <c r="J126" s="270"/>
      <c r="K126" s="271"/>
      <c r="L126" s="272"/>
      <c r="M126" s="273">
        <f ca="1">'Obra '!C35</f>
        <v>5188435.5997512508</v>
      </c>
      <c r="N126" s="274" t="s">
        <v>361</v>
      </c>
      <c r="O126" s="270"/>
      <c r="P126" s="269"/>
      <c r="Q126" s="269"/>
      <c r="R126" s="269"/>
      <c r="S126" s="269"/>
      <c r="T126" s="269"/>
    </row>
    <row r="127" spans="1:20" ht="13.5" customHeight="1" x14ac:dyDescent="0.2">
      <c r="A127" s="233">
        <f t="shared" ca="1" si="0"/>
        <v>0</v>
      </c>
      <c r="B127" s="233">
        <f t="shared" ca="1" si="1"/>
        <v>3</v>
      </c>
      <c r="C127" s="233">
        <f t="shared" ca="1" si="2"/>
        <v>1</v>
      </c>
      <c r="D127" s="234">
        <f t="shared" ca="1" si="3"/>
        <v>3</v>
      </c>
      <c r="E127" s="234">
        <f t="shared" ca="1" si="4"/>
        <v>2</v>
      </c>
      <c r="F127" s="244"/>
      <c r="G127" s="269"/>
      <c r="H127" s="269"/>
      <c r="I127" s="269"/>
      <c r="J127" s="270"/>
      <c r="K127" s="271"/>
      <c r="L127" s="272"/>
      <c r="M127" s="276"/>
      <c r="N127" s="274"/>
      <c r="O127" s="270"/>
      <c r="P127" s="269"/>
      <c r="Q127" s="269"/>
      <c r="R127" s="269"/>
      <c r="S127" s="269"/>
      <c r="T127" s="269"/>
    </row>
    <row r="128" spans="1:20" ht="13.5" customHeight="1" x14ac:dyDescent="0.2">
      <c r="A128" s="233">
        <f t="shared" ca="1" si="0"/>
        <v>0</v>
      </c>
      <c r="B128" s="233">
        <f t="shared" ca="1" si="1"/>
        <v>3</v>
      </c>
      <c r="C128" s="233">
        <f t="shared" ca="1" si="2"/>
        <v>1</v>
      </c>
      <c r="D128" s="234">
        <f t="shared" ca="1" si="3"/>
        <v>3</v>
      </c>
      <c r="E128" s="234">
        <f t="shared" ca="1" si="4"/>
        <v>2</v>
      </c>
      <c r="F128" s="244"/>
      <c r="G128" s="269"/>
      <c r="H128" s="269"/>
      <c r="I128" s="269"/>
      <c r="J128" s="270"/>
      <c r="K128" s="271"/>
      <c r="L128" s="272"/>
      <c r="M128" s="277"/>
      <c r="N128" s="278"/>
      <c r="O128" s="275"/>
      <c r="P128" s="270"/>
      <c r="Q128" s="270"/>
      <c r="R128" s="269"/>
      <c r="S128" s="269"/>
      <c r="T128" s="269"/>
    </row>
    <row r="129" spans="1:5" ht="13.5" customHeight="1" x14ac:dyDescent="0.2">
      <c r="A129" s="233">
        <f t="shared" ca="1" si="0"/>
        <v>0</v>
      </c>
      <c r="B129" s="233">
        <f t="shared" ca="1" si="1"/>
        <v>3</v>
      </c>
      <c r="C129" s="233">
        <f t="shared" ca="1" si="2"/>
        <v>1</v>
      </c>
      <c r="D129" s="234">
        <f t="shared" ca="1" si="3"/>
        <v>3</v>
      </c>
      <c r="E129" s="234">
        <f t="shared" ca="1" si="4"/>
        <v>2</v>
      </c>
    </row>
    <row r="130" spans="1:5" ht="13.5" customHeight="1" x14ac:dyDescent="0.2">
      <c r="A130" s="233">
        <f t="shared" ca="1" si="0"/>
        <v>0</v>
      </c>
      <c r="B130" s="233">
        <f t="shared" ca="1" si="1"/>
        <v>3</v>
      </c>
      <c r="C130" s="233">
        <f t="shared" ca="1" si="2"/>
        <v>1</v>
      </c>
      <c r="D130" s="234">
        <f t="shared" ca="1" si="3"/>
        <v>3</v>
      </c>
      <c r="E130" s="234">
        <f t="shared" ca="1" si="4"/>
        <v>2</v>
      </c>
    </row>
    <row r="131" spans="1:5" ht="13.5" customHeight="1" x14ac:dyDescent="0.2">
      <c r="A131" s="233">
        <f t="shared" ca="1" si="0"/>
        <v>0</v>
      </c>
      <c r="B131" s="233">
        <f t="shared" ca="1" si="1"/>
        <v>3</v>
      </c>
      <c r="C131" s="233">
        <f t="shared" ca="1" si="2"/>
        <v>1</v>
      </c>
      <c r="D131" s="234">
        <f t="shared" ca="1" si="3"/>
        <v>3</v>
      </c>
      <c r="E131" s="234">
        <f t="shared" ca="1" si="4"/>
        <v>2</v>
      </c>
    </row>
    <row r="132" spans="1:5" ht="13.5" customHeight="1" x14ac:dyDescent="0.2">
      <c r="A132" s="233">
        <f t="shared" ca="1" si="0"/>
        <v>0</v>
      </c>
      <c r="B132" s="233">
        <f t="shared" ca="1" si="1"/>
        <v>3</v>
      </c>
      <c r="C132" s="233">
        <f t="shared" ca="1" si="2"/>
        <v>1</v>
      </c>
      <c r="D132" s="234">
        <f t="shared" ca="1" si="3"/>
        <v>3</v>
      </c>
      <c r="E132" s="234">
        <f t="shared" ca="1" si="4"/>
        <v>2</v>
      </c>
    </row>
    <row r="133" spans="1:5" ht="13.5" customHeight="1" x14ac:dyDescent="0.2">
      <c r="A133" s="233">
        <f t="shared" ca="1" si="0"/>
        <v>0</v>
      </c>
      <c r="B133" s="233">
        <f t="shared" ca="1" si="1"/>
        <v>3</v>
      </c>
      <c r="C133" s="233">
        <f t="shared" ca="1" si="2"/>
        <v>1</v>
      </c>
      <c r="D133" s="234">
        <f t="shared" ca="1" si="3"/>
        <v>3</v>
      </c>
      <c r="E133" s="234">
        <f t="shared" ca="1" si="4"/>
        <v>2</v>
      </c>
    </row>
    <row r="134" spans="1:5" ht="13.5" customHeight="1" x14ac:dyDescent="0.2">
      <c r="A134" s="233">
        <f t="shared" ca="1" si="0"/>
        <v>0</v>
      </c>
      <c r="B134" s="233">
        <f t="shared" ca="1" si="1"/>
        <v>3</v>
      </c>
      <c r="C134" s="233">
        <f t="shared" ca="1" si="2"/>
        <v>1</v>
      </c>
      <c r="D134" s="234">
        <f t="shared" ca="1" si="3"/>
        <v>3</v>
      </c>
      <c r="E134" s="234">
        <f t="shared" ca="1" si="4"/>
        <v>2</v>
      </c>
    </row>
    <row r="135" spans="1:5" ht="13.5" customHeight="1" x14ac:dyDescent="0.2">
      <c r="A135" s="233">
        <f t="shared" ca="1" si="0"/>
        <v>0</v>
      </c>
      <c r="B135" s="233">
        <f t="shared" ca="1" si="1"/>
        <v>3</v>
      </c>
      <c r="C135" s="233">
        <f t="shared" ca="1" si="2"/>
        <v>1</v>
      </c>
      <c r="D135" s="234">
        <f t="shared" ca="1" si="3"/>
        <v>3</v>
      </c>
      <c r="E135" s="234">
        <f t="shared" ca="1" si="4"/>
        <v>2</v>
      </c>
    </row>
    <row r="136" spans="1:5" ht="13.5" customHeight="1" x14ac:dyDescent="0.2">
      <c r="A136" s="233">
        <f t="shared" ca="1" si="0"/>
        <v>0</v>
      </c>
      <c r="B136" s="233">
        <f t="shared" ca="1" si="1"/>
        <v>3</v>
      </c>
      <c r="C136" s="233">
        <f t="shared" ca="1" si="2"/>
        <v>1</v>
      </c>
      <c r="D136" s="234">
        <f t="shared" ca="1" si="3"/>
        <v>3</v>
      </c>
      <c r="E136" s="234">
        <f t="shared" ca="1" si="4"/>
        <v>2</v>
      </c>
    </row>
    <row r="137" spans="1:5" ht="13.5" customHeight="1" x14ac:dyDescent="0.2">
      <c r="A137" s="233">
        <f t="shared" ca="1" si="0"/>
        <v>0</v>
      </c>
      <c r="B137" s="233">
        <f t="shared" ca="1" si="1"/>
        <v>3</v>
      </c>
      <c r="C137" s="233">
        <f t="shared" ca="1" si="2"/>
        <v>1</v>
      </c>
      <c r="D137" s="234">
        <f t="shared" ca="1" si="3"/>
        <v>3</v>
      </c>
      <c r="E137" s="234">
        <f t="shared" ca="1" si="4"/>
        <v>2</v>
      </c>
    </row>
    <row r="138" spans="1:5" ht="13.5" customHeight="1" x14ac:dyDescent="0.2">
      <c r="A138" s="233">
        <f t="shared" ca="1" si="0"/>
        <v>0</v>
      </c>
      <c r="B138" s="233">
        <f t="shared" ca="1" si="1"/>
        <v>3</v>
      </c>
      <c r="C138" s="233">
        <f t="shared" ca="1" si="2"/>
        <v>1</v>
      </c>
      <c r="D138" s="234">
        <f t="shared" ca="1" si="3"/>
        <v>3</v>
      </c>
      <c r="E138" s="234">
        <f t="shared" ca="1" si="4"/>
        <v>2</v>
      </c>
    </row>
    <row r="139" spans="1:5" ht="13.5" customHeight="1" x14ac:dyDescent="0.2">
      <c r="A139" s="233">
        <f t="shared" ca="1" si="0"/>
        <v>0</v>
      </c>
      <c r="B139" s="233">
        <f t="shared" ca="1" si="1"/>
        <v>3</v>
      </c>
      <c r="C139" s="233">
        <f t="shared" ca="1" si="2"/>
        <v>1</v>
      </c>
      <c r="D139" s="234">
        <f t="shared" ca="1" si="3"/>
        <v>3</v>
      </c>
      <c r="E139" s="234">
        <f t="shared" ca="1" si="4"/>
        <v>2</v>
      </c>
    </row>
    <row r="140" spans="1:5" ht="13.5" customHeight="1" x14ac:dyDescent="0.2">
      <c r="A140" s="233">
        <f t="shared" ca="1" si="0"/>
        <v>0</v>
      </c>
      <c r="B140" s="233">
        <f t="shared" ca="1" si="1"/>
        <v>3</v>
      </c>
      <c r="C140" s="233">
        <f t="shared" ca="1" si="2"/>
        <v>1</v>
      </c>
      <c r="D140" s="234">
        <f t="shared" ca="1" si="3"/>
        <v>3</v>
      </c>
      <c r="E140" s="234">
        <f t="shared" ca="1" si="4"/>
        <v>2</v>
      </c>
    </row>
    <row r="141" spans="1:5" ht="13.5" customHeight="1" x14ac:dyDescent="0.2">
      <c r="A141" s="233">
        <f t="shared" ca="1" si="0"/>
        <v>0</v>
      </c>
      <c r="B141" s="233">
        <f t="shared" ca="1" si="1"/>
        <v>3</v>
      </c>
      <c r="C141" s="233">
        <f t="shared" ca="1" si="2"/>
        <v>1</v>
      </c>
      <c r="D141" s="234">
        <f t="shared" ca="1" si="3"/>
        <v>3</v>
      </c>
      <c r="E141" s="234">
        <f t="shared" ca="1" si="4"/>
        <v>2</v>
      </c>
    </row>
    <row r="142" spans="1:5" ht="13.5" customHeight="1" x14ac:dyDescent="0.2">
      <c r="A142" s="233">
        <f t="shared" ca="1" si="0"/>
        <v>0</v>
      </c>
      <c r="B142" s="233">
        <f t="shared" ca="1" si="1"/>
        <v>3</v>
      </c>
      <c r="C142" s="233">
        <f t="shared" ca="1" si="2"/>
        <v>1</v>
      </c>
      <c r="D142" s="234">
        <f t="shared" ca="1" si="3"/>
        <v>3</v>
      </c>
      <c r="E142" s="234">
        <f t="shared" ca="1" si="4"/>
        <v>2</v>
      </c>
    </row>
    <row r="143" spans="1:5" ht="13.5" customHeight="1" x14ac:dyDescent="0.2">
      <c r="A143" s="233">
        <f t="shared" ca="1" si="0"/>
        <v>0</v>
      </c>
      <c r="B143" s="233">
        <f t="shared" ca="1" si="1"/>
        <v>3</v>
      </c>
      <c r="C143" s="233">
        <f t="shared" ca="1" si="2"/>
        <v>1</v>
      </c>
      <c r="D143" s="234">
        <f t="shared" ca="1" si="3"/>
        <v>3</v>
      </c>
      <c r="E143" s="234">
        <f t="shared" ca="1" si="4"/>
        <v>2</v>
      </c>
    </row>
    <row r="144" spans="1:5" ht="13.5" customHeight="1" x14ac:dyDescent="0.2">
      <c r="A144" s="233">
        <f t="shared" ca="1" si="0"/>
        <v>0</v>
      </c>
      <c r="B144" s="233">
        <f t="shared" ca="1" si="1"/>
        <v>3</v>
      </c>
      <c r="C144" s="233">
        <f t="shared" ca="1" si="2"/>
        <v>1</v>
      </c>
      <c r="D144" s="234">
        <f t="shared" ca="1" si="3"/>
        <v>3</v>
      </c>
      <c r="E144" s="234">
        <f t="shared" ca="1" si="4"/>
        <v>2</v>
      </c>
    </row>
    <row r="145" spans="1:5" ht="13.5" customHeight="1" x14ac:dyDescent="0.2">
      <c r="A145" s="233">
        <f t="shared" ca="1" si="0"/>
        <v>0</v>
      </c>
      <c r="B145" s="233">
        <f t="shared" ca="1" si="1"/>
        <v>3</v>
      </c>
      <c r="C145" s="233">
        <f t="shared" ca="1" si="2"/>
        <v>1</v>
      </c>
      <c r="D145" s="234">
        <f t="shared" ca="1" si="3"/>
        <v>3</v>
      </c>
      <c r="E145" s="234">
        <f t="shared" ca="1" si="4"/>
        <v>2</v>
      </c>
    </row>
    <row r="146" spans="1:5" ht="13.5" customHeight="1" x14ac:dyDescent="0.2">
      <c r="A146" s="233">
        <f t="shared" ca="1" si="0"/>
        <v>0</v>
      </c>
      <c r="B146" s="233">
        <f t="shared" ca="1" si="1"/>
        <v>3</v>
      </c>
      <c r="C146" s="233">
        <f t="shared" ca="1" si="2"/>
        <v>1</v>
      </c>
      <c r="D146" s="234">
        <f t="shared" ca="1" si="3"/>
        <v>3</v>
      </c>
      <c r="E146" s="234">
        <f t="shared" ca="1" si="4"/>
        <v>2</v>
      </c>
    </row>
    <row r="147" spans="1:5" ht="13.5" customHeight="1" x14ac:dyDescent="0.2">
      <c r="A147" s="233">
        <f t="shared" ca="1" si="0"/>
        <v>0</v>
      </c>
      <c r="B147" s="233">
        <f t="shared" ca="1" si="1"/>
        <v>3</v>
      </c>
      <c r="C147" s="233">
        <f t="shared" ca="1" si="2"/>
        <v>1</v>
      </c>
      <c r="D147" s="234">
        <f t="shared" ca="1" si="3"/>
        <v>3</v>
      </c>
      <c r="E147" s="234">
        <f t="shared" ca="1" si="4"/>
        <v>2</v>
      </c>
    </row>
    <row r="148" spans="1:5" ht="13.5" customHeight="1" x14ac:dyDescent="0.2">
      <c r="A148" s="233">
        <f t="shared" ca="1" si="0"/>
        <v>0</v>
      </c>
      <c r="B148" s="233">
        <f t="shared" ca="1" si="1"/>
        <v>3</v>
      </c>
      <c r="C148" s="233">
        <f t="shared" ca="1" si="2"/>
        <v>1</v>
      </c>
      <c r="D148" s="234">
        <f t="shared" ca="1" si="3"/>
        <v>3</v>
      </c>
      <c r="E148" s="234">
        <f t="shared" ca="1" si="4"/>
        <v>2</v>
      </c>
    </row>
    <row r="149" spans="1:5" ht="13.5" customHeight="1" x14ac:dyDescent="0.2">
      <c r="A149" s="233">
        <f t="shared" ca="1" si="0"/>
        <v>0</v>
      </c>
      <c r="B149" s="233">
        <f t="shared" ca="1" si="1"/>
        <v>3</v>
      </c>
      <c r="C149" s="233">
        <f t="shared" ca="1" si="2"/>
        <v>1</v>
      </c>
      <c r="D149" s="234">
        <f t="shared" ca="1" si="3"/>
        <v>3</v>
      </c>
      <c r="E149" s="234">
        <f t="shared" ca="1" si="4"/>
        <v>2</v>
      </c>
    </row>
    <row r="150" spans="1:5" ht="13.5" customHeight="1" x14ac:dyDescent="0.2">
      <c r="A150" s="233">
        <f t="shared" ca="1" si="0"/>
        <v>0</v>
      </c>
      <c r="B150" s="233">
        <f t="shared" ca="1" si="1"/>
        <v>3</v>
      </c>
      <c r="C150" s="233">
        <f t="shared" ca="1" si="2"/>
        <v>1</v>
      </c>
      <c r="D150" s="234">
        <f t="shared" ca="1" si="3"/>
        <v>3</v>
      </c>
      <c r="E150" s="234">
        <f t="shared" ca="1" si="4"/>
        <v>2</v>
      </c>
    </row>
    <row r="151" spans="1:5" ht="13.5" customHeight="1" x14ac:dyDescent="0.2">
      <c r="A151" s="233">
        <f t="shared" ca="1" si="0"/>
        <v>0</v>
      </c>
      <c r="B151" s="233">
        <f t="shared" ca="1" si="1"/>
        <v>3</v>
      </c>
      <c r="C151" s="233">
        <f t="shared" ca="1" si="2"/>
        <v>1</v>
      </c>
      <c r="D151" s="234">
        <f t="shared" ca="1" si="3"/>
        <v>3</v>
      </c>
      <c r="E151" s="234">
        <f t="shared" ca="1" si="4"/>
        <v>2</v>
      </c>
    </row>
    <row r="152" spans="1:5" ht="13.5" customHeight="1" x14ac:dyDescent="0.2">
      <c r="A152" s="233">
        <f t="shared" ca="1" si="0"/>
        <v>0</v>
      </c>
      <c r="B152" s="233">
        <f t="shared" ca="1" si="1"/>
        <v>3</v>
      </c>
      <c r="C152" s="233">
        <f t="shared" ca="1" si="2"/>
        <v>1</v>
      </c>
      <c r="D152" s="234">
        <f t="shared" ca="1" si="3"/>
        <v>3</v>
      </c>
      <c r="E152" s="234">
        <f t="shared" ca="1" si="4"/>
        <v>2</v>
      </c>
    </row>
    <row r="153" spans="1:5" ht="13.5" customHeight="1" x14ac:dyDescent="0.2">
      <c r="A153" s="233">
        <f t="shared" ca="1" si="0"/>
        <v>0</v>
      </c>
      <c r="B153" s="233">
        <f t="shared" ca="1" si="1"/>
        <v>3</v>
      </c>
      <c r="C153" s="233">
        <f t="shared" ca="1" si="2"/>
        <v>1</v>
      </c>
      <c r="D153" s="234">
        <f t="shared" ca="1" si="3"/>
        <v>3</v>
      </c>
      <c r="E153" s="234">
        <f t="shared" ca="1" si="4"/>
        <v>2</v>
      </c>
    </row>
    <row r="154" spans="1:5" ht="13.5" customHeight="1" x14ac:dyDescent="0.2">
      <c r="A154" s="233">
        <f t="shared" ca="1" si="0"/>
        <v>0</v>
      </c>
      <c r="B154" s="233">
        <f t="shared" ca="1" si="1"/>
        <v>3</v>
      </c>
      <c r="C154" s="233">
        <f t="shared" ca="1" si="2"/>
        <v>1</v>
      </c>
      <c r="D154" s="234">
        <f t="shared" ca="1" si="3"/>
        <v>3</v>
      </c>
      <c r="E154" s="234">
        <f t="shared" ca="1" si="4"/>
        <v>2</v>
      </c>
    </row>
    <row r="155" spans="1:5" ht="13.5" customHeight="1" x14ac:dyDescent="0.2">
      <c r="A155" s="233">
        <f t="shared" ca="1" si="0"/>
        <v>0</v>
      </c>
      <c r="B155" s="233">
        <f t="shared" ca="1" si="1"/>
        <v>3</v>
      </c>
      <c r="C155" s="233">
        <f t="shared" ca="1" si="2"/>
        <v>1</v>
      </c>
      <c r="D155" s="234">
        <f t="shared" ca="1" si="3"/>
        <v>3</v>
      </c>
      <c r="E155" s="234">
        <f t="shared" ca="1" si="4"/>
        <v>2</v>
      </c>
    </row>
    <row r="156" spans="1:5" ht="13.5" customHeight="1" x14ac:dyDescent="0.2">
      <c r="A156" s="233">
        <f t="shared" ca="1" si="0"/>
        <v>0</v>
      </c>
      <c r="B156" s="233">
        <f t="shared" ca="1" si="1"/>
        <v>3</v>
      </c>
      <c r="C156" s="233">
        <f t="shared" ca="1" si="2"/>
        <v>1</v>
      </c>
      <c r="D156" s="234">
        <f t="shared" ca="1" si="3"/>
        <v>3</v>
      </c>
      <c r="E156" s="234">
        <f t="shared" ca="1" si="4"/>
        <v>2</v>
      </c>
    </row>
    <row r="157" spans="1:5" ht="13.5" customHeight="1" x14ac:dyDescent="0.2">
      <c r="A157" s="233">
        <f t="shared" ca="1" si="0"/>
        <v>0</v>
      </c>
      <c r="B157" s="233">
        <f t="shared" ca="1" si="1"/>
        <v>3</v>
      </c>
      <c r="C157" s="233">
        <f t="shared" ca="1" si="2"/>
        <v>1</v>
      </c>
      <c r="D157" s="234">
        <f t="shared" ca="1" si="3"/>
        <v>3</v>
      </c>
      <c r="E157" s="234">
        <f t="shared" ca="1" si="4"/>
        <v>2</v>
      </c>
    </row>
    <row r="158" spans="1:5" ht="13.5" customHeight="1" x14ac:dyDescent="0.2">
      <c r="A158" s="233">
        <f t="shared" ca="1" si="0"/>
        <v>0</v>
      </c>
      <c r="B158" s="233">
        <f t="shared" ca="1" si="1"/>
        <v>3</v>
      </c>
      <c r="C158" s="233">
        <f t="shared" ca="1" si="2"/>
        <v>1</v>
      </c>
      <c r="D158" s="234">
        <f t="shared" ca="1" si="3"/>
        <v>3</v>
      </c>
      <c r="E158" s="234">
        <f t="shared" ca="1" si="4"/>
        <v>2</v>
      </c>
    </row>
    <row r="159" spans="1:5" ht="13.5" customHeight="1" x14ac:dyDescent="0.2">
      <c r="A159" s="233">
        <f t="shared" ca="1" si="0"/>
        <v>0</v>
      </c>
      <c r="B159" s="233">
        <f t="shared" ca="1" si="1"/>
        <v>3</v>
      </c>
      <c r="C159" s="233">
        <f t="shared" ca="1" si="2"/>
        <v>1</v>
      </c>
      <c r="D159" s="234">
        <f t="shared" ca="1" si="3"/>
        <v>3</v>
      </c>
      <c r="E159" s="234">
        <f t="shared" ca="1" si="4"/>
        <v>2</v>
      </c>
    </row>
    <row r="160" spans="1:5" ht="13.5" customHeight="1" x14ac:dyDescent="0.2">
      <c r="A160" s="233">
        <f t="shared" ca="1" si="0"/>
        <v>0</v>
      </c>
      <c r="B160" s="233">
        <f t="shared" ca="1" si="1"/>
        <v>3</v>
      </c>
      <c r="C160" s="233">
        <f t="shared" ca="1" si="2"/>
        <v>1</v>
      </c>
      <c r="D160" s="234">
        <f t="shared" ca="1" si="3"/>
        <v>3</v>
      </c>
      <c r="E160" s="234">
        <f t="shared" ca="1" si="4"/>
        <v>2</v>
      </c>
    </row>
    <row r="161" spans="1:5" ht="13.5" customHeight="1" x14ac:dyDescent="0.2">
      <c r="A161" s="233">
        <f t="shared" ca="1" si="0"/>
        <v>0</v>
      </c>
      <c r="B161" s="233">
        <f t="shared" ca="1" si="1"/>
        <v>3</v>
      </c>
      <c r="C161" s="233">
        <f t="shared" ca="1" si="2"/>
        <v>1</v>
      </c>
      <c r="D161" s="234">
        <f t="shared" ca="1" si="3"/>
        <v>3</v>
      </c>
      <c r="E161" s="234">
        <f t="shared" ca="1" si="4"/>
        <v>2</v>
      </c>
    </row>
    <row r="162" spans="1:5" ht="13.5" customHeight="1" x14ac:dyDescent="0.2">
      <c r="A162" s="233">
        <f t="shared" ca="1" si="0"/>
        <v>0</v>
      </c>
      <c r="B162" s="233">
        <f t="shared" ca="1" si="1"/>
        <v>3</v>
      </c>
      <c r="C162" s="233">
        <f t="shared" ca="1" si="2"/>
        <v>1</v>
      </c>
      <c r="D162" s="234">
        <f t="shared" ca="1" si="3"/>
        <v>3</v>
      </c>
      <c r="E162" s="234">
        <f t="shared" ca="1" si="4"/>
        <v>2</v>
      </c>
    </row>
    <row r="163" spans="1:5" ht="13.5" customHeight="1" x14ac:dyDescent="0.2">
      <c r="A163" s="233">
        <f t="shared" ca="1" si="0"/>
        <v>0</v>
      </c>
      <c r="B163" s="233">
        <f t="shared" ca="1" si="1"/>
        <v>3</v>
      </c>
      <c r="C163" s="233">
        <f t="shared" ca="1" si="2"/>
        <v>1</v>
      </c>
      <c r="D163" s="234">
        <f t="shared" ca="1" si="3"/>
        <v>3</v>
      </c>
      <c r="E163" s="234">
        <f t="shared" ca="1" si="4"/>
        <v>2</v>
      </c>
    </row>
    <row r="164" spans="1:5" ht="13.5" customHeight="1" x14ac:dyDescent="0.2">
      <c r="A164" s="233">
        <f t="shared" ca="1" si="0"/>
        <v>0</v>
      </c>
      <c r="B164" s="233">
        <f t="shared" ca="1" si="1"/>
        <v>3</v>
      </c>
      <c r="C164" s="233">
        <f t="shared" ca="1" si="2"/>
        <v>1</v>
      </c>
      <c r="D164" s="234">
        <f t="shared" ca="1" si="3"/>
        <v>3</v>
      </c>
      <c r="E164" s="234">
        <f t="shared" ca="1" si="4"/>
        <v>2</v>
      </c>
    </row>
    <row r="165" spans="1:5" ht="13.5" customHeight="1" x14ac:dyDescent="0.2">
      <c r="A165" s="233">
        <f t="shared" ca="1" si="0"/>
        <v>0</v>
      </c>
      <c r="B165" s="233">
        <f t="shared" ca="1" si="1"/>
        <v>3</v>
      </c>
      <c r="C165" s="233">
        <f t="shared" ca="1" si="2"/>
        <v>1</v>
      </c>
      <c r="D165" s="234">
        <f t="shared" ca="1" si="3"/>
        <v>3</v>
      </c>
      <c r="E165" s="234">
        <f t="shared" ca="1" si="4"/>
        <v>2</v>
      </c>
    </row>
    <row r="166" spans="1:5" ht="13.5" customHeight="1" x14ac:dyDescent="0.2">
      <c r="A166" s="233">
        <f t="shared" ca="1" si="0"/>
        <v>0</v>
      </c>
      <c r="B166" s="233">
        <f t="shared" ca="1" si="1"/>
        <v>3</v>
      </c>
      <c r="C166" s="233">
        <f t="shared" ca="1" si="2"/>
        <v>1</v>
      </c>
      <c r="D166" s="234">
        <f t="shared" ca="1" si="3"/>
        <v>3</v>
      </c>
      <c r="E166" s="234">
        <f t="shared" ca="1" si="4"/>
        <v>2</v>
      </c>
    </row>
    <row r="167" spans="1:5" ht="13.5" customHeight="1" x14ac:dyDescent="0.2">
      <c r="A167" s="233">
        <f t="shared" ca="1" si="0"/>
        <v>0</v>
      </c>
      <c r="B167" s="233">
        <f t="shared" ca="1" si="1"/>
        <v>3</v>
      </c>
      <c r="C167" s="233">
        <f t="shared" ca="1" si="2"/>
        <v>1</v>
      </c>
      <c r="D167" s="234">
        <f t="shared" ca="1" si="3"/>
        <v>3</v>
      </c>
      <c r="E167" s="234">
        <f t="shared" ca="1" si="4"/>
        <v>2</v>
      </c>
    </row>
    <row r="168" spans="1:5" ht="13.5" customHeight="1" x14ac:dyDescent="0.2">
      <c r="A168" s="233">
        <f t="shared" ca="1" si="0"/>
        <v>0</v>
      </c>
      <c r="B168" s="233">
        <f t="shared" ca="1" si="1"/>
        <v>3</v>
      </c>
      <c r="C168" s="233">
        <f t="shared" ca="1" si="2"/>
        <v>1</v>
      </c>
      <c r="D168" s="234">
        <f t="shared" ca="1" si="3"/>
        <v>3</v>
      </c>
      <c r="E168" s="234">
        <f t="shared" ca="1" si="4"/>
        <v>2</v>
      </c>
    </row>
    <row r="169" spans="1:5" ht="13.5" customHeight="1" x14ac:dyDescent="0.2">
      <c r="A169" s="233">
        <f t="shared" ca="1" si="0"/>
        <v>0</v>
      </c>
      <c r="B169" s="233">
        <f t="shared" ca="1" si="1"/>
        <v>3</v>
      </c>
      <c r="C169" s="233">
        <f t="shared" ca="1" si="2"/>
        <v>1</v>
      </c>
      <c r="D169" s="234">
        <f t="shared" ca="1" si="3"/>
        <v>3</v>
      </c>
      <c r="E169" s="234">
        <f t="shared" ca="1" si="4"/>
        <v>2</v>
      </c>
    </row>
    <row r="170" spans="1:5" ht="13.5" customHeight="1" x14ac:dyDescent="0.2">
      <c r="A170" s="233">
        <f t="shared" ca="1" si="0"/>
        <v>0</v>
      </c>
      <c r="B170" s="233">
        <f t="shared" ca="1" si="1"/>
        <v>3</v>
      </c>
      <c r="C170" s="233">
        <f t="shared" ca="1" si="2"/>
        <v>1</v>
      </c>
      <c r="D170" s="234">
        <f t="shared" ca="1" si="3"/>
        <v>3</v>
      </c>
      <c r="E170" s="234">
        <f t="shared" ca="1" si="4"/>
        <v>2</v>
      </c>
    </row>
    <row r="171" spans="1:5" ht="13.5" customHeight="1" x14ac:dyDescent="0.2">
      <c r="A171" s="233">
        <f t="shared" ca="1" si="0"/>
        <v>0</v>
      </c>
      <c r="B171" s="233">
        <f t="shared" ca="1" si="1"/>
        <v>3</v>
      </c>
      <c r="C171" s="233">
        <f t="shared" ca="1" si="2"/>
        <v>1</v>
      </c>
      <c r="D171" s="234">
        <f t="shared" ca="1" si="3"/>
        <v>3</v>
      </c>
      <c r="E171" s="234">
        <f t="shared" ca="1" si="4"/>
        <v>2</v>
      </c>
    </row>
    <row r="172" spans="1:5" ht="13.5" customHeight="1" x14ac:dyDescent="0.2">
      <c r="A172" s="233">
        <f t="shared" ca="1" si="0"/>
        <v>0</v>
      </c>
      <c r="B172" s="233">
        <f t="shared" ca="1" si="1"/>
        <v>3</v>
      </c>
      <c r="C172" s="233">
        <f t="shared" ca="1" si="2"/>
        <v>1</v>
      </c>
      <c r="D172" s="234">
        <f t="shared" ca="1" si="3"/>
        <v>3</v>
      </c>
      <c r="E172" s="234">
        <f t="shared" ca="1" si="4"/>
        <v>2</v>
      </c>
    </row>
    <row r="173" spans="1:5" ht="13.5" customHeight="1" x14ac:dyDescent="0.2">
      <c r="A173" s="233">
        <f t="shared" ca="1" si="0"/>
        <v>0</v>
      </c>
      <c r="B173" s="233">
        <f t="shared" ca="1" si="1"/>
        <v>3</v>
      </c>
      <c r="C173" s="233">
        <f t="shared" ca="1" si="2"/>
        <v>1</v>
      </c>
      <c r="D173" s="234">
        <f t="shared" ca="1" si="3"/>
        <v>3</v>
      </c>
      <c r="E173" s="234">
        <f t="shared" ca="1" si="4"/>
        <v>2</v>
      </c>
    </row>
    <row r="174" spans="1:5" ht="13.5" customHeight="1" x14ac:dyDescent="0.2">
      <c r="A174" s="233">
        <f t="shared" ca="1" si="0"/>
        <v>0</v>
      </c>
      <c r="B174" s="233">
        <f t="shared" ca="1" si="1"/>
        <v>3</v>
      </c>
      <c r="C174" s="233">
        <f t="shared" ca="1" si="2"/>
        <v>1</v>
      </c>
      <c r="D174" s="234">
        <f t="shared" ca="1" si="3"/>
        <v>3</v>
      </c>
      <c r="E174" s="234">
        <f t="shared" ca="1" si="4"/>
        <v>2</v>
      </c>
    </row>
    <row r="175" spans="1:5" ht="13.5" customHeight="1" x14ac:dyDescent="0.2">
      <c r="A175" s="233">
        <f t="shared" ca="1" si="0"/>
        <v>0</v>
      </c>
      <c r="B175" s="233">
        <f t="shared" ca="1" si="1"/>
        <v>3</v>
      </c>
      <c r="C175" s="233">
        <f t="shared" ca="1" si="2"/>
        <v>1</v>
      </c>
      <c r="D175" s="234">
        <f t="shared" ca="1" si="3"/>
        <v>3</v>
      </c>
      <c r="E175" s="234">
        <f t="shared" ca="1" si="4"/>
        <v>2</v>
      </c>
    </row>
    <row r="176" spans="1:5" ht="13.5" customHeight="1" x14ac:dyDescent="0.2">
      <c r="A176" s="233">
        <f t="shared" ca="1" si="0"/>
        <v>0</v>
      </c>
      <c r="B176" s="233">
        <f t="shared" ca="1" si="1"/>
        <v>3</v>
      </c>
      <c r="C176" s="233">
        <f t="shared" ca="1" si="2"/>
        <v>1</v>
      </c>
      <c r="D176" s="234">
        <f t="shared" ca="1" si="3"/>
        <v>3</v>
      </c>
      <c r="E176" s="234">
        <f t="shared" ca="1" si="4"/>
        <v>2</v>
      </c>
    </row>
    <row r="177" spans="1:5" ht="13.5" customHeight="1" x14ac:dyDescent="0.2">
      <c r="A177" s="233">
        <f t="shared" ca="1" si="0"/>
        <v>0</v>
      </c>
      <c r="B177" s="233">
        <f t="shared" ca="1" si="1"/>
        <v>3</v>
      </c>
      <c r="C177" s="233">
        <f t="shared" ca="1" si="2"/>
        <v>1</v>
      </c>
      <c r="D177" s="234">
        <f t="shared" ca="1" si="3"/>
        <v>3</v>
      </c>
      <c r="E177" s="234">
        <f t="shared" ca="1" si="4"/>
        <v>2</v>
      </c>
    </row>
    <row r="178" spans="1:5" ht="13.5" customHeight="1" x14ac:dyDescent="0.2">
      <c r="A178" s="233">
        <f t="shared" ca="1" si="0"/>
        <v>0</v>
      </c>
      <c r="B178" s="233">
        <f t="shared" ca="1" si="1"/>
        <v>3</v>
      </c>
      <c r="C178" s="233">
        <f t="shared" ca="1" si="2"/>
        <v>1</v>
      </c>
      <c r="D178" s="234">
        <f t="shared" ca="1" si="3"/>
        <v>3</v>
      </c>
      <c r="E178" s="234">
        <f t="shared" ca="1" si="4"/>
        <v>2</v>
      </c>
    </row>
    <row r="179" spans="1:5" ht="13.5" customHeight="1" x14ac:dyDescent="0.2">
      <c r="A179" s="233">
        <f t="shared" ca="1" si="0"/>
        <v>0</v>
      </c>
      <c r="B179" s="233">
        <f t="shared" ca="1" si="1"/>
        <v>3</v>
      </c>
      <c r="C179" s="233">
        <f t="shared" ca="1" si="2"/>
        <v>1</v>
      </c>
      <c r="D179" s="234">
        <f t="shared" ca="1" si="3"/>
        <v>3</v>
      </c>
      <c r="E179" s="234">
        <f t="shared" ca="1" si="4"/>
        <v>2</v>
      </c>
    </row>
    <row r="180" spans="1:5" ht="13.5" customHeight="1" x14ac:dyDescent="0.2">
      <c r="A180" s="233">
        <f t="shared" ca="1" si="0"/>
        <v>0</v>
      </c>
      <c r="B180" s="233">
        <f t="shared" ca="1" si="1"/>
        <v>3</v>
      </c>
      <c r="C180" s="233">
        <f t="shared" ca="1" si="2"/>
        <v>1</v>
      </c>
      <c r="D180" s="234">
        <f t="shared" ca="1" si="3"/>
        <v>3</v>
      </c>
      <c r="E180" s="234">
        <f t="shared" ca="1" si="4"/>
        <v>2</v>
      </c>
    </row>
    <row r="181" spans="1:5" ht="13.5" customHeight="1" x14ac:dyDescent="0.2">
      <c r="A181" s="233">
        <f t="shared" ca="1" si="0"/>
        <v>0</v>
      </c>
      <c r="B181" s="233">
        <f t="shared" ca="1" si="1"/>
        <v>3</v>
      </c>
      <c r="C181" s="233">
        <f t="shared" ca="1" si="2"/>
        <v>1</v>
      </c>
      <c r="D181" s="234">
        <f t="shared" ca="1" si="3"/>
        <v>3</v>
      </c>
      <c r="E181" s="234">
        <f t="shared" ca="1" si="4"/>
        <v>2</v>
      </c>
    </row>
    <row r="182" spans="1:5" ht="13.5" customHeight="1" x14ac:dyDescent="0.2">
      <c r="A182" s="233">
        <f t="shared" ca="1" si="0"/>
        <v>0</v>
      </c>
      <c r="B182" s="233">
        <f t="shared" ca="1" si="1"/>
        <v>3</v>
      </c>
      <c r="C182" s="233">
        <f t="shared" ca="1" si="2"/>
        <v>1</v>
      </c>
      <c r="D182" s="234">
        <f t="shared" ca="1" si="3"/>
        <v>3</v>
      </c>
      <c r="E182" s="234">
        <f t="shared" ca="1" si="4"/>
        <v>2</v>
      </c>
    </row>
    <row r="183" spans="1:5" ht="13.5" customHeight="1" x14ac:dyDescent="0.2">
      <c r="A183" s="233">
        <f t="shared" ca="1" si="0"/>
        <v>0</v>
      </c>
      <c r="B183" s="233">
        <f t="shared" ca="1" si="1"/>
        <v>3</v>
      </c>
      <c r="C183" s="233">
        <f t="shared" ca="1" si="2"/>
        <v>1</v>
      </c>
      <c r="D183" s="234">
        <f t="shared" ca="1" si="3"/>
        <v>3</v>
      </c>
      <c r="E183" s="234">
        <f t="shared" ca="1" si="4"/>
        <v>2</v>
      </c>
    </row>
    <row r="184" spans="1:5" ht="13.5" customHeight="1" x14ac:dyDescent="0.2">
      <c r="A184" s="233">
        <f t="shared" ca="1" si="0"/>
        <v>0</v>
      </c>
      <c r="B184" s="233">
        <f t="shared" ca="1" si="1"/>
        <v>3</v>
      </c>
      <c r="C184" s="233">
        <f t="shared" ca="1" si="2"/>
        <v>1</v>
      </c>
      <c r="D184" s="234">
        <f t="shared" ca="1" si="3"/>
        <v>3</v>
      </c>
      <c r="E184" s="234">
        <f t="shared" ca="1" si="4"/>
        <v>2</v>
      </c>
    </row>
    <row r="185" spans="1:5" ht="13.5" customHeight="1" x14ac:dyDescent="0.2">
      <c r="A185" s="233">
        <f t="shared" ca="1" si="0"/>
        <v>0</v>
      </c>
      <c r="B185" s="233">
        <f t="shared" ca="1" si="1"/>
        <v>3</v>
      </c>
      <c r="C185" s="233">
        <f t="shared" ca="1" si="2"/>
        <v>1</v>
      </c>
      <c r="D185" s="234">
        <f t="shared" ca="1" si="3"/>
        <v>3</v>
      </c>
      <c r="E185" s="234">
        <f t="shared" ca="1" si="4"/>
        <v>2</v>
      </c>
    </row>
    <row r="186" spans="1:5" ht="13.5" customHeight="1" x14ac:dyDescent="0.2">
      <c r="A186" s="233">
        <f t="shared" ca="1" si="0"/>
        <v>0</v>
      </c>
      <c r="B186" s="233">
        <f t="shared" ca="1" si="1"/>
        <v>3</v>
      </c>
      <c r="C186" s="233">
        <f t="shared" ca="1" si="2"/>
        <v>1</v>
      </c>
      <c r="D186" s="234">
        <f t="shared" ca="1" si="3"/>
        <v>3</v>
      </c>
      <c r="E186" s="234">
        <f t="shared" ca="1" si="4"/>
        <v>2</v>
      </c>
    </row>
    <row r="187" spans="1:5" ht="13.5" customHeight="1" x14ac:dyDescent="0.2">
      <c r="A187" s="233">
        <f t="shared" ca="1" si="0"/>
        <v>0</v>
      </c>
      <c r="B187" s="233">
        <f t="shared" ca="1" si="1"/>
        <v>3</v>
      </c>
      <c r="C187" s="233">
        <f t="shared" ca="1" si="2"/>
        <v>1</v>
      </c>
      <c r="D187" s="234">
        <f t="shared" ca="1" si="3"/>
        <v>3</v>
      </c>
      <c r="E187" s="234">
        <f t="shared" ca="1" si="4"/>
        <v>2</v>
      </c>
    </row>
    <row r="188" spans="1:5" ht="13.5" customHeight="1" x14ac:dyDescent="0.2">
      <c r="A188" s="233">
        <f t="shared" ca="1" si="0"/>
        <v>0</v>
      </c>
      <c r="B188" s="233">
        <f t="shared" ca="1" si="1"/>
        <v>3</v>
      </c>
      <c r="C188" s="233">
        <f t="shared" ca="1" si="2"/>
        <v>1</v>
      </c>
      <c r="D188" s="234">
        <f t="shared" ca="1" si="3"/>
        <v>3</v>
      </c>
      <c r="E188" s="234">
        <f t="shared" ca="1" si="4"/>
        <v>2</v>
      </c>
    </row>
    <row r="189" spans="1:5" ht="13.5" customHeight="1" x14ac:dyDescent="0.2">
      <c r="A189" s="233">
        <f t="shared" ca="1" si="0"/>
        <v>0</v>
      </c>
      <c r="B189" s="233">
        <f t="shared" ca="1" si="1"/>
        <v>3</v>
      </c>
      <c r="C189" s="233">
        <f t="shared" ca="1" si="2"/>
        <v>1</v>
      </c>
      <c r="D189" s="234">
        <f t="shared" ca="1" si="3"/>
        <v>3</v>
      </c>
      <c r="E189" s="234">
        <f t="shared" ca="1" si="4"/>
        <v>2</v>
      </c>
    </row>
    <row r="190" spans="1:5" ht="13.5" customHeight="1" x14ac:dyDescent="0.2">
      <c r="A190" s="233">
        <f t="shared" ca="1" si="0"/>
        <v>0</v>
      </c>
      <c r="B190" s="233">
        <f t="shared" ca="1" si="1"/>
        <v>3</v>
      </c>
      <c r="C190" s="233">
        <f t="shared" ca="1" si="2"/>
        <v>1</v>
      </c>
      <c r="D190" s="234">
        <f t="shared" ca="1" si="3"/>
        <v>3</v>
      </c>
      <c r="E190" s="234">
        <f t="shared" ca="1" si="4"/>
        <v>2</v>
      </c>
    </row>
    <row r="191" spans="1:5" ht="13.5" customHeight="1" x14ac:dyDescent="0.2">
      <c r="A191" s="233">
        <f t="shared" ca="1" si="0"/>
        <v>0</v>
      </c>
      <c r="B191" s="233">
        <f t="shared" ca="1" si="1"/>
        <v>3</v>
      </c>
      <c r="C191" s="233">
        <f t="shared" ca="1" si="2"/>
        <v>1</v>
      </c>
      <c r="D191" s="234">
        <f t="shared" ca="1" si="3"/>
        <v>3</v>
      </c>
      <c r="E191" s="234">
        <f t="shared" ca="1" si="4"/>
        <v>2</v>
      </c>
    </row>
    <row r="192" spans="1:5" ht="13.5" customHeight="1" x14ac:dyDescent="0.2">
      <c r="A192" s="233">
        <f t="shared" ca="1" si="0"/>
        <v>0</v>
      </c>
      <c r="B192" s="233">
        <f t="shared" ca="1" si="1"/>
        <v>3</v>
      </c>
      <c r="C192" s="233">
        <f t="shared" ca="1" si="2"/>
        <v>1</v>
      </c>
      <c r="D192" s="234">
        <f t="shared" ca="1" si="3"/>
        <v>3</v>
      </c>
      <c r="E192" s="234">
        <f t="shared" ca="1" si="4"/>
        <v>2</v>
      </c>
    </row>
    <row r="193" spans="1:5" ht="13.5" customHeight="1" x14ac:dyDescent="0.2">
      <c r="A193" s="233">
        <f t="shared" ca="1" si="0"/>
        <v>0</v>
      </c>
      <c r="B193" s="233">
        <f t="shared" ca="1" si="1"/>
        <v>3</v>
      </c>
      <c r="C193" s="233">
        <f t="shared" ca="1" si="2"/>
        <v>1</v>
      </c>
      <c r="D193" s="234">
        <f t="shared" ca="1" si="3"/>
        <v>3</v>
      </c>
      <c r="E193" s="234">
        <f t="shared" ca="1" si="4"/>
        <v>2</v>
      </c>
    </row>
    <row r="194" spans="1:5" ht="13.5" customHeight="1" x14ac:dyDescent="0.2">
      <c r="A194" s="233">
        <f t="shared" ca="1" si="0"/>
        <v>0</v>
      </c>
      <c r="B194" s="233">
        <f t="shared" ca="1" si="1"/>
        <v>3</v>
      </c>
      <c r="C194" s="233">
        <f t="shared" ca="1" si="2"/>
        <v>1</v>
      </c>
      <c r="D194" s="234">
        <f t="shared" ca="1" si="3"/>
        <v>3</v>
      </c>
      <c r="E194" s="234">
        <f t="shared" ca="1" si="4"/>
        <v>2</v>
      </c>
    </row>
    <row r="195" spans="1:5" ht="13.5" customHeight="1" x14ac:dyDescent="0.2">
      <c r="A195" s="233">
        <f t="shared" ca="1" si="0"/>
        <v>0</v>
      </c>
      <c r="B195" s="233">
        <f t="shared" ca="1" si="1"/>
        <v>3</v>
      </c>
      <c r="C195" s="233">
        <f t="shared" ca="1" si="2"/>
        <v>1</v>
      </c>
      <c r="D195" s="234">
        <f t="shared" ca="1" si="3"/>
        <v>3</v>
      </c>
      <c r="E195" s="234">
        <f t="shared" ca="1" si="4"/>
        <v>2</v>
      </c>
    </row>
    <row r="196" spans="1:5" ht="13.5" customHeight="1" x14ac:dyDescent="0.2">
      <c r="A196" s="233">
        <f t="shared" ca="1" si="0"/>
        <v>0</v>
      </c>
      <c r="B196" s="233">
        <f t="shared" ca="1" si="1"/>
        <v>3</v>
      </c>
      <c r="C196" s="233">
        <f t="shared" ca="1" si="2"/>
        <v>1</v>
      </c>
      <c r="D196" s="234">
        <f t="shared" ca="1" si="3"/>
        <v>3</v>
      </c>
      <c r="E196" s="234">
        <f t="shared" ca="1" si="4"/>
        <v>2</v>
      </c>
    </row>
    <row r="197" spans="1:5" ht="13.5" customHeight="1" x14ac:dyDescent="0.2">
      <c r="A197" s="233">
        <f t="shared" ca="1" si="0"/>
        <v>0</v>
      </c>
      <c r="B197" s="233">
        <f t="shared" ca="1" si="1"/>
        <v>3</v>
      </c>
      <c r="C197" s="233">
        <f t="shared" ca="1" si="2"/>
        <v>1</v>
      </c>
      <c r="D197" s="234">
        <f t="shared" ca="1" si="3"/>
        <v>3</v>
      </c>
      <c r="E197" s="234">
        <f t="shared" ca="1" si="4"/>
        <v>2</v>
      </c>
    </row>
    <row r="198" spans="1:5" ht="13.5" customHeight="1" x14ac:dyDescent="0.2">
      <c r="A198" s="233">
        <f t="shared" ca="1" si="0"/>
        <v>0</v>
      </c>
      <c r="B198" s="233">
        <f t="shared" ca="1" si="1"/>
        <v>3</v>
      </c>
      <c r="C198" s="233">
        <f t="shared" ca="1" si="2"/>
        <v>1</v>
      </c>
      <c r="D198" s="234">
        <f t="shared" ca="1" si="3"/>
        <v>3</v>
      </c>
      <c r="E198" s="234">
        <f t="shared" ca="1" si="4"/>
        <v>2</v>
      </c>
    </row>
    <row r="199" spans="1:5" ht="13.5" customHeight="1" x14ac:dyDescent="0.2">
      <c r="A199" s="233">
        <f t="shared" ca="1" si="0"/>
        <v>0</v>
      </c>
      <c r="B199" s="233">
        <f t="shared" ca="1" si="1"/>
        <v>3</v>
      </c>
      <c r="C199" s="233">
        <f t="shared" ca="1" si="2"/>
        <v>1</v>
      </c>
      <c r="D199" s="234">
        <f t="shared" ca="1" si="3"/>
        <v>3</v>
      </c>
      <c r="E199" s="234">
        <f t="shared" ca="1" si="4"/>
        <v>2</v>
      </c>
    </row>
    <row r="200" spans="1:5" ht="13.5" customHeight="1" x14ac:dyDescent="0.2">
      <c r="A200" s="233">
        <f t="shared" ca="1" si="0"/>
        <v>0</v>
      </c>
      <c r="B200" s="233">
        <f t="shared" ca="1" si="1"/>
        <v>3</v>
      </c>
      <c r="C200" s="233">
        <f t="shared" ca="1" si="2"/>
        <v>1</v>
      </c>
      <c r="D200" s="234">
        <f t="shared" ca="1" si="3"/>
        <v>3</v>
      </c>
      <c r="E200" s="234">
        <f t="shared" ca="1" si="4"/>
        <v>2</v>
      </c>
    </row>
    <row r="201" spans="1:5" ht="13.5" customHeight="1" x14ac:dyDescent="0.2">
      <c r="A201" s="233">
        <f t="shared" ca="1" si="0"/>
        <v>0</v>
      </c>
      <c r="B201" s="233">
        <f t="shared" ca="1" si="1"/>
        <v>3</v>
      </c>
      <c r="C201" s="233">
        <f t="shared" ca="1" si="2"/>
        <v>1</v>
      </c>
      <c r="D201" s="234">
        <f t="shared" ca="1" si="3"/>
        <v>3</v>
      </c>
      <c r="E201" s="234">
        <f t="shared" ca="1" si="4"/>
        <v>2</v>
      </c>
    </row>
    <row r="202" spans="1:5" ht="13.5" customHeight="1" x14ac:dyDescent="0.2">
      <c r="A202" s="233">
        <f t="shared" ca="1" si="0"/>
        <v>0</v>
      </c>
      <c r="B202" s="233">
        <f t="shared" ca="1" si="1"/>
        <v>3</v>
      </c>
      <c r="C202" s="233">
        <f t="shared" ca="1" si="2"/>
        <v>1</v>
      </c>
      <c r="D202" s="234">
        <f t="shared" ca="1" si="3"/>
        <v>3</v>
      </c>
      <c r="E202" s="234">
        <f t="shared" ca="1" si="4"/>
        <v>2</v>
      </c>
    </row>
    <row r="203" spans="1:5" ht="13.5" customHeight="1" x14ac:dyDescent="0.2">
      <c r="A203" s="233">
        <f t="shared" ca="1" si="0"/>
        <v>0</v>
      </c>
      <c r="B203" s="233">
        <f t="shared" ca="1" si="1"/>
        <v>3</v>
      </c>
      <c r="C203" s="233">
        <f t="shared" ca="1" si="2"/>
        <v>1</v>
      </c>
      <c r="D203" s="234">
        <f t="shared" ca="1" si="3"/>
        <v>3</v>
      </c>
      <c r="E203" s="234">
        <f t="shared" ca="1" si="4"/>
        <v>2</v>
      </c>
    </row>
    <row r="204" spans="1:5" ht="13.5" customHeight="1" x14ac:dyDescent="0.2">
      <c r="A204" s="233">
        <f t="shared" ca="1" si="0"/>
        <v>0</v>
      </c>
      <c r="B204" s="233">
        <f t="shared" ca="1" si="1"/>
        <v>3</v>
      </c>
      <c r="C204" s="233">
        <f t="shared" ca="1" si="2"/>
        <v>1</v>
      </c>
      <c r="D204" s="234">
        <f t="shared" ca="1" si="3"/>
        <v>3</v>
      </c>
      <c r="E204" s="234">
        <f t="shared" ca="1" si="4"/>
        <v>2</v>
      </c>
    </row>
    <row r="205" spans="1:5" ht="13.5" customHeight="1" x14ac:dyDescent="0.2">
      <c r="A205" s="233">
        <f t="shared" ca="1" si="0"/>
        <v>0</v>
      </c>
      <c r="B205" s="233">
        <f t="shared" ca="1" si="1"/>
        <v>3</v>
      </c>
      <c r="C205" s="233">
        <f t="shared" ca="1" si="2"/>
        <v>1</v>
      </c>
      <c r="D205" s="234">
        <f t="shared" ca="1" si="3"/>
        <v>3</v>
      </c>
      <c r="E205" s="234">
        <f t="shared" ca="1" si="4"/>
        <v>2</v>
      </c>
    </row>
    <row r="206" spans="1:5" ht="13.5" customHeight="1" x14ac:dyDescent="0.2">
      <c r="A206" s="233">
        <f t="shared" ca="1" si="0"/>
        <v>0</v>
      </c>
      <c r="B206" s="233">
        <f t="shared" ca="1" si="1"/>
        <v>3</v>
      </c>
      <c r="C206" s="233">
        <f t="shared" ca="1" si="2"/>
        <v>1</v>
      </c>
      <c r="D206" s="234">
        <f t="shared" ca="1" si="3"/>
        <v>3</v>
      </c>
      <c r="E206" s="234">
        <f t="shared" ca="1" si="4"/>
        <v>2</v>
      </c>
    </row>
    <row r="207" spans="1:5" ht="13.5" customHeight="1" x14ac:dyDescent="0.2">
      <c r="A207" s="233">
        <f t="shared" ca="1" si="0"/>
        <v>0</v>
      </c>
      <c r="B207" s="233">
        <f t="shared" ca="1" si="1"/>
        <v>3</v>
      </c>
      <c r="C207" s="233">
        <f t="shared" ca="1" si="2"/>
        <v>1</v>
      </c>
      <c r="D207" s="234">
        <f t="shared" ca="1" si="3"/>
        <v>3</v>
      </c>
      <c r="E207" s="234">
        <f t="shared" ca="1" si="4"/>
        <v>2</v>
      </c>
    </row>
    <row r="208" spans="1:5" ht="13.5" customHeight="1" x14ac:dyDescent="0.2">
      <c r="A208" s="233">
        <f t="shared" ca="1" si="0"/>
        <v>0</v>
      </c>
      <c r="B208" s="233">
        <f t="shared" ca="1" si="1"/>
        <v>3</v>
      </c>
      <c r="C208" s="233">
        <f t="shared" ca="1" si="2"/>
        <v>1</v>
      </c>
      <c r="D208" s="234">
        <f t="shared" ca="1" si="3"/>
        <v>3</v>
      </c>
      <c r="E208" s="234">
        <f t="shared" ca="1" si="4"/>
        <v>2</v>
      </c>
    </row>
    <row r="209" spans="1:5" ht="13.5" customHeight="1" x14ac:dyDescent="0.2">
      <c r="A209" s="233">
        <f t="shared" ca="1" si="0"/>
        <v>0</v>
      </c>
      <c r="B209" s="233">
        <f t="shared" ca="1" si="1"/>
        <v>3</v>
      </c>
      <c r="C209" s="233">
        <f t="shared" ca="1" si="2"/>
        <v>1</v>
      </c>
      <c r="D209" s="234">
        <f t="shared" ca="1" si="3"/>
        <v>3</v>
      </c>
      <c r="E209" s="234">
        <f t="shared" ca="1" si="4"/>
        <v>2</v>
      </c>
    </row>
    <row r="210" spans="1:5" ht="13.5" customHeight="1" x14ac:dyDescent="0.2">
      <c r="A210" s="233">
        <f t="shared" ca="1" si="0"/>
        <v>0</v>
      </c>
      <c r="B210" s="233">
        <f t="shared" ca="1" si="1"/>
        <v>3</v>
      </c>
      <c r="C210" s="233">
        <f t="shared" ca="1" si="2"/>
        <v>1</v>
      </c>
      <c r="D210" s="234">
        <f t="shared" ca="1" si="3"/>
        <v>3</v>
      </c>
      <c r="E210" s="234">
        <f t="shared" ca="1" si="4"/>
        <v>2</v>
      </c>
    </row>
    <row r="211" spans="1:5" ht="13.5" customHeight="1" x14ac:dyDescent="0.2">
      <c r="A211" s="233">
        <f t="shared" ca="1" si="0"/>
        <v>0</v>
      </c>
      <c r="B211" s="233">
        <f t="shared" ca="1" si="1"/>
        <v>3</v>
      </c>
      <c r="C211" s="233">
        <f t="shared" ca="1" si="2"/>
        <v>1</v>
      </c>
      <c r="D211" s="234">
        <f t="shared" ca="1" si="3"/>
        <v>3</v>
      </c>
      <c r="E211" s="234">
        <f t="shared" ca="1" si="4"/>
        <v>2</v>
      </c>
    </row>
    <row r="212" spans="1:5" ht="13.5" customHeight="1" x14ac:dyDescent="0.2">
      <c r="A212" s="233">
        <f t="shared" ca="1" si="0"/>
        <v>0</v>
      </c>
      <c r="B212" s="233">
        <f t="shared" ca="1" si="1"/>
        <v>3</v>
      </c>
      <c r="C212" s="233">
        <f t="shared" ca="1" si="2"/>
        <v>1</v>
      </c>
      <c r="D212" s="234">
        <f t="shared" ca="1" si="3"/>
        <v>3</v>
      </c>
      <c r="E212" s="234">
        <f t="shared" ca="1" si="4"/>
        <v>2</v>
      </c>
    </row>
    <row r="213" spans="1:5" ht="13.5" customHeight="1" x14ac:dyDescent="0.2">
      <c r="A213" s="233">
        <f t="shared" ca="1" si="0"/>
        <v>0</v>
      </c>
      <c r="B213" s="233">
        <f t="shared" ca="1" si="1"/>
        <v>3</v>
      </c>
      <c r="C213" s="233">
        <f t="shared" ca="1" si="2"/>
        <v>1</v>
      </c>
      <c r="D213" s="234">
        <f t="shared" ca="1" si="3"/>
        <v>3</v>
      </c>
      <c r="E213" s="234">
        <f t="shared" ca="1" si="4"/>
        <v>2</v>
      </c>
    </row>
    <row r="214" spans="1:5" ht="13.5" customHeight="1" x14ac:dyDescent="0.2">
      <c r="A214" s="233">
        <f t="shared" ca="1" si="0"/>
        <v>0</v>
      </c>
      <c r="B214" s="233">
        <f t="shared" ca="1" si="1"/>
        <v>3</v>
      </c>
      <c r="C214" s="233">
        <f t="shared" ca="1" si="2"/>
        <v>1</v>
      </c>
      <c r="D214" s="234">
        <f t="shared" ca="1" si="3"/>
        <v>3</v>
      </c>
      <c r="E214" s="234">
        <f t="shared" ca="1" si="4"/>
        <v>2</v>
      </c>
    </row>
    <row r="215" spans="1:5" ht="13.5" customHeight="1" x14ac:dyDescent="0.2">
      <c r="A215" s="233">
        <f t="shared" ca="1" si="0"/>
        <v>0</v>
      </c>
      <c r="B215" s="233">
        <f t="shared" ca="1" si="1"/>
        <v>3</v>
      </c>
      <c r="C215" s="233">
        <f t="shared" ca="1" si="2"/>
        <v>1</v>
      </c>
      <c r="D215" s="234">
        <f t="shared" ca="1" si="3"/>
        <v>3</v>
      </c>
      <c r="E215" s="234">
        <f t="shared" ca="1" si="4"/>
        <v>2</v>
      </c>
    </row>
    <row r="216" spans="1:5" ht="13.5" customHeight="1" x14ac:dyDescent="0.2">
      <c r="A216" s="233">
        <f t="shared" ca="1" si="0"/>
        <v>0</v>
      </c>
      <c r="B216" s="233">
        <f t="shared" ca="1" si="1"/>
        <v>3</v>
      </c>
      <c r="C216" s="233">
        <f t="shared" ca="1" si="2"/>
        <v>1</v>
      </c>
      <c r="D216" s="234">
        <f t="shared" ca="1" si="3"/>
        <v>3</v>
      </c>
      <c r="E216" s="234">
        <f t="shared" ca="1" si="4"/>
        <v>2</v>
      </c>
    </row>
    <row r="217" spans="1:5" ht="13.5" customHeight="1" x14ac:dyDescent="0.2">
      <c r="A217" s="233">
        <f t="shared" ca="1" si="0"/>
        <v>0</v>
      </c>
      <c r="B217" s="233">
        <f t="shared" ca="1" si="1"/>
        <v>3</v>
      </c>
      <c r="C217" s="233">
        <f t="shared" ca="1" si="2"/>
        <v>1</v>
      </c>
      <c r="D217" s="234">
        <f t="shared" ca="1" si="3"/>
        <v>3</v>
      </c>
      <c r="E217" s="234">
        <f t="shared" ca="1" si="4"/>
        <v>2</v>
      </c>
    </row>
    <row r="218" spans="1:5" ht="13.5" customHeight="1" x14ac:dyDescent="0.2">
      <c r="A218" s="233">
        <f t="shared" ca="1" si="0"/>
        <v>0</v>
      </c>
      <c r="B218" s="233">
        <f t="shared" ca="1" si="1"/>
        <v>3</v>
      </c>
      <c r="C218" s="233">
        <f t="shared" ca="1" si="2"/>
        <v>1</v>
      </c>
      <c r="D218" s="234">
        <f t="shared" ca="1" si="3"/>
        <v>3</v>
      </c>
      <c r="E218" s="234">
        <f t="shared" ca="1" si="4"/>
        <v>2</v>
      </c>
    </row>
    <row r="219" spans="1:5" ht="13.5" customHeight="1" x14ac:dyDescent="0.2">
      <c r="A219" s="233">
        <f t="shared" ca="1" si="0"/>
        <v>0</v>
      </c>
      <c r="B219" s="233">
        <f t="shared" ca="1" si="1"/>
        <v>3</v>
      </c>
      <c r="C219" s="233">
        <f t="shared" ca="1" si="2"/>
        <v>1</v>
      </c>
      <c r="D219" s="234">
        <f t="shared" ca="1" si="3"/>
        <v>3</v>
      </c>
      <c r="E219" s="234">
        <f t="shared" ca="1" si="4"/>
        <v>2</v>
      </c>
    </row>
    <row r="220" spans="1:5" ht="13.5" customHeight="1" x14ac:dyDescent="0.2">
      <c r="A220" s="233">
        <f t="shared" ca="1" si="0"/>
        <v>0</v>
      </c>
      <c r="B220" s="233">
        <f t="shared" ca="1" si="1"/>
        <v>3</v>
      </c>
      <c r="C220" s="233">
        <f t="shared" ca="1" si="2"/>
        <v>1</v>
      </c>
      <c r="D220" s="234">
        <f t="shared" ca="1" si="3"/>
        <v>3</v>
      </c>
      <c r="E220" s="234">
        <f t="shared" ca="1" si="4"/>
        <v>2</v>
      </c>
    </row>
    <row r="221" spans="1:5" ht="13.5" customHeight="1" x14ac:dyDescent="0.2">
      <c r="A221" s="233">
        <f t="shared" ca="1" si="0"/>
        <v>0</v>
      </c>
      <c r="B221" s="233">
        <f t="shared" ca="1" si="1"/>
        <v>3</v>
      </c>
      <c r="C221" s="233">
        <f t="shared" ca="1" si="2"/>
        <v>1</v>
      </c>
      <c r="D221" s="234">
        <f t="shared" ca="1" si="3"/>
        <v>3</v>
      </c>
      <c r="E221" s="234">
        <f t="shared" ca="1" si="4"/>
        <v>2</v>
      </c>
    </row>
    <row r="222" spans="1:5" ht="13.5" customHeight="1" x14ac:dyDescent="0.2">
      <c r="A222" s="233">
        <f t="shared" ca="1" si="0"/>
        <v>0</v>
      </c>
      <c r="B222" s="233">
        <f t="shared" ca="1" si="1"/>
        <v>3</v>
      </c>
      <c r="C222" s="233">
        <f t="shared" ca="1" si="2"/>
        <v>1</v>
      </c>
      <c r="D222" s="234">
        <f t="shared" ca="1" si="3"/>
        <v>3</v>
      </c>
      <c r="E222" s="234">
        <f t="shared" ca="1" si="4"/>
        <v>2</v>
      </c>
    </row>
    <row r="223" spans="1:5" ht="13.5" customHeight="1" x14ac:dyDescent="0.2">
      <c r="A223" s="233">
        <f t="shared" ca="1" si="0"/>
        <v>0</v>
      </c>
      <c r="B223" s="233">
        <f t="shared" ca="1" si="1"/>
        <v>3</v>
      </c>
      <c r="C223" s="233">
        <f t="shared" ca="1" si="2"/>
        <v>1</v>
      </c>
      <c r="D223" s="234">
        <f t="shared" ca="1" si="3"/>
        <v>3</v>
      </c>
      <c r="E223" s="234">
        <f t="shared" ca="1" si="4"/>
        <v>2</v>
      </c>
    </row>
    <row r="224" spans="1:5" ht="13.5" customHeight="1" x14ac:dyDescent="0.2">
      <c r="A224" s="233">
        <f t="shared" ca="1" si="0"/>
        <v>0</v>
      </c>
      <c r="B224" s="233">
        <f t="shared" ca="1" si="1"/>
        <v>3</v>
      </c>
      <c r="C224" s="233">
        <f t="shared" ca="1" si="2"/>
        <v>1</v>
      </c>
      <c r="D224" s="234">
        <f t="shared" ca="1" si="3"/>
        <v>3</v>
      </c>
      <c r="E224" s="234">
        <f t="shared" ca="1" si="4"/>
        <v>2</v>
      </c>
    </row>
    <row r="225" spans="1:5" ht="13.5" customHeight="1" x14ac:dyDescent="0.2">
      <c r="A225" s="233">
        <f t="shared" ca="1" si="0"/>
        <v>0</v>
      </c>
      <c r="B225" s="233">
        <f t="shared" ca="1" si="1"/>
        <v>3</v>
      </c>
      <c r="C225" s="233">
        <f t="shared" ca="1" si="2"/>
        <v>1</v>
      </c>
      <c r="D225" s="234">
        <f t="shared" ca="1" si="3"/>
        <v>3</v>
      </c>
      <c r="E225" s="234">
        <f t="shared" ca="1" si="4"/>
        <v>2</v>
      </c>
    </row>
    <row r="226" spans="1:5" ht="13.5" customHeight="1" x14ac:dyDescent="0.2">
      <c r="A226" s="233">
        <f t="shared" ca="1" si="0"/>
        <v>0</v>
      </c>
      <c r="B226" s="233">
        <f t="shared" ca="1" si="1"/>
        <v>3</v>
      </c>
      <c r="C226" s="233">
        <f t="shared" ca="1" si="2"/>
        <v>1</v>
      </c>
      <c r="D226" s="234">
        <f t="shared" ca="1" si="3"/>
        <v>3</v>
      </c>
      <c r="E226" s="234">
        <f t="shared" ca="1" si="4"/>
        <v>2</v>
      </c>
    </row>
    <row r="227" spans="1:5" ht="13.5" customHeight="1" x14ac:dyDescent="0.2">
      <c r="A227" s="233">
        <f t="shared" ca="1" si="0"/>
        <v>0</v>
      </c>
      <c r="B227" s="233">
        <f t="shared" ca="1" si="1"/>
        <v>3</v>
      </c>
      <c r="C227" s="233">
        <f t="shared" ca="1" si="2"/>
        <v>1</v>
      </c>
      <c r="D227" s="234">
        <f t="shared" ca="1" si="3"/>
        <v>3</v>
      </c>
      <c r="E227" s="234">
        <f t="shared" ca="1" si="4"/>
        <v>2</v>
      </c>
    </row>
    <row r="228" spans="1:5" ht="13.5" customHeight="1" x14ac:dyDescent="0.2">
      <c r="A228" s="233">
        <f t="shared" ca="1" si="0"/>
        <v>0</v>
      </c>
      <c r="B228" s="233">
        <f t="shared" ca="1" si="1"/>
        <v>3</v>
      </c>
      <c r="C228" s="233">
        <f t="shared" ca="1" si="2"/>
        <v>1</v>
      </c>
      <c r="D228" s="234">
        <f t="shared" ca="1" si="3"/>
        <v>3</v>
      </c>
      <c r="E228" s="234">
        <f t="shared" ca="1" si="4"/>
        <v>2</v>
      </c>
    </row>
    <row r="229" spans="1:5" ht="13.5" customHeight="1" x14ac:dyDescent="0.2">
      <c r="A229" s="233">
        <f t="shared" ca="1" si="0"/>
        <v>0</v>
      </c>
      <c r="B229" s="233">
        <f t="shared" ca="1" si="1"/>
        <v>3</v>
      </c>
      <c r="C229" s="233">
        <f t="shared" ca="1" si="2"/>
        <v>1</v>
      </c>
      <c r="D229" s="234">
        <f t="shared" ca="1" si="3"/>
        <v>3</v>
      </c>
      <c r="E229" s="234">
        <f t="shared" ca="1" si="4"/>
        <v>2</v>
      </c>
    </row>
    <row r="230" spans="1:5" ht="13.5" customHeight="1" x14ac:dyDescent="0.2">
      <c r="A230" s="233">
        <f t="shared" ca="1" si="0"/>
        <v>0</v>
      </c>
      <c r="B230" s="233">
        <f t="shared" ca="1" si="1"/>
        <v>3</v>
      </c>
      <c r="C230" s="233">
        <f t="shared" ca="1" si="2"/>
        <v>1</v>
      </c>
      <c r="D230" s="234">
        <f t="shared" ca="1" si="3"/>
        <v>3</v>
      </c>
      <c r="E230" s="234">
        <f t="shared" ca="1" si="4"/>
        <v>2</v>
      </c>
    </row>
    <row r="231" spans="1:5" ht="13.5" customHeight="1" x14ac:dyDescent="0.2">
      <c r="A231" s="233">
        <f t="shared" ca="1" si="0"/>
        <v>0</v>
      </c>
      <c r="B231" s="233">
        <f t="shared" ca="1" si="1"/>
        <v>3</v>
      </c>
      <c r="C231" s="233">
        <f t="shared" ca="1" si="2"/>
        <v>1</v>
      </c>
      <c r="D231" s="234">
        <f t="shared" ca="1" si="3"/>
        <v>3</v>
      </c>
      <c r="E231" s="234">
        <f t="shared" ca="1" si="4"/>
        <v>2</v>
      </c>
    </row>
    <row r="232" spans="1:5" ht="13.5" customHeight="1" x14ac:dyDescent="0.2">
      <c r="A232" s="233">
        <f t="shared" ca="1" si="0"/>
        <v>0</v>
      </c>
      <c r="B232" s="233">
        <f t="shared" ca="1" si="1"/>
        <v>3</v>
      </c>
      <c r="C232" s="233">
        <f t="shared" ca="1" si="2"/>
        <v>1</v>
      </c>
      <c r="D232" s="234">
        <f t="shared" ca="1" si="3"/>
        <v>3</v>
      </c>
      <c r="E232" s="234">
        <f t="shared" ca="1" si="4"/>
        <v>2</v>
      </c>
    </row>
    <row r="233" spans="1:5" ht="13.5" customHeight="1" x14ac:dyDescent="0.2">
      <c r="A233" s="233">
        <f t="shared" ca="1" si="0"/>
        <v>0</v>
      </c>
      <c r="B233" s="233">
        <f t="shared" ca="1" si="1"/>
        <v>3</v>
      </c>
      <c r="C233" s="233">
        <f t="shared" ca="1" si="2"/>
        <v>1</v>
      </c>
      <c r="D233" s="234">
        <f t="shared" ca="1" si="3"/>
        <v>3</v>
      </c>
      <c r="E233" s="234">
        <f t="shared" ca="1" si="4"/>
        <v>2</v>
      </c>
    </row>
    <row r="234" spans="1:5" ht="13.5" customHeight="1" x14ac:dyDescent="0.2">
      <c r="A234" s="233">
        <f t="shared" ca="1" si="0"/>
        <v>0</v>
      </c>
      <c r="B234" s="233">
        <f t="shared" ca="1" si="1"/>
        <v>3</v>
      </c>
      <c r="C234" s="233">
        <f t="shared" ca="1" si="2"/>
        <v>1</v>
      </c>
      <c r="D234" s="234">
        <f t="shared" ca="1" si="3"/>
        <v>3</v>
      </c>
      <c r="E234" s="234">
        <f t="shared" ca="1" si="4"/>
        <v>2</v>
      </c>
    </row>
    <row r="235" spans="1:5" ht="13.5" customHeight="1" x14ac:dyDescent="0.2">
      <c r="A235" s="233">
        <f t="shared" ca="1" si="0"/>
        <v>0</v>
      </c>
      <c r="B235" s="233">
        <f t="shared" ca="1" si="1"/>
        <v>3</v>
      </c>
      <c r="C235" s="233">
        <f t="shared" ca="1" si="2"/>
        <v>1</v>
      </c>
      <c r="D235" s="234">
        <f t="shared" ca="1" si="3"/>
        <v>3</v>
      </c>
      <c r="E235" s="234">
        <f t="shared" ca="1" si="4"/>
        <v>2</v>
      </c>
    </row>
    <row r="236" spans="1:5" ht="13.5" customHeight="1" x14ac:dyDescent="0.2">
      <c r="A236" s="233">
        <f t="shared" ca="1" si="0"/>
        <v>0</v>
      </c>
      <c r="B236" s="233">
        <f t="shared" ca="1" si="1"/>
        <v>3</v>
      </c>
      <c r="C236" s="233">
        <f t="shared" ca="1" si="2"/>
        <v>1</v>
      </c>
      <c r="D236" s="234">
        <f t="shared" ca="1" si="3"/>
        <v>3</v>
      </c>
      <c r="E236" s="234">
        <f t="shared" ca="1" si="4"/>
        <v>2</v>
      </c>
    </row>
    <row r="237" spans="1:5" ht="13.5" customHeight="1" x14ac:dyDescent="0.2">
      <c r="A237" s="233">
        <f t="shared" ca="1" si="0"/>
        <v>0</v>
      </c>
      <c r="B237" s="233">
        <f t="shared" ca="1" si="1"/>
        <v>3</v>
      </c>
      <c r="C237" s="233">
        <f t="shared" ca="1" si="2"/>
        <v>1</v>
      </c>
      <c r="D237" s="234">
        <f t="shared" ca="1" si="3"/>
        <v>3</v>
      </c>
      <c r="E237" s="234">
        <f t="shared" ca="1" si="4"/>
        <v>2</v>
      </c>
    </row>
    <row r="238" spans="1:5" ht="13.5" customHeight="1" x14ac:dyDescent="0.2">
      <c r="A238" s="233">
        <f t="shared" ca="1" si="0"/>
        <v>0</v>
      </c>
      <c r="B238" s="233">
        <f t="shared" ca="1" si="1"/>
        <v>3</v>
      </c>
      <c r="C238" s="233">
        <f t="shared" ca="1" si="2"/>
        <v>1</v>
      </c>
      <c r="D238" s="234">
        <f t="shared" ca="1" si="3"/>
        <v>3</v>
      </c>
      <c r="E238" s="234">
        <f t="shared" ca="1" si="4"/>
        <v>2</v>
      </c>
    </row>
    <row r="239" spans="1:5" ht="13.5" customHeight="1" x14ac:dyDescent="0.2">
      <c r="A239" s="233">
        <f t="shared" ca="1" si="0"/>
        <v>0</v>
      </c>
      <c r="B239" s="233">
        <f t="shared" ca="1" si="1"/>
        <v>3</v>
      </c>
      <c r="C239" s="233">
        <f t="shared" ca="1" si="2"/>
        <v>1</v>
      </c>
      <c r="D239" s="234">
        <f t="shared" ca="1" si="3"/>
        <v>3</v>
      </c>
      <c r="E239" s="234">
        <f t="shared" ca="1" si="4"/>
        <v>2</v>
      </c>
    </row>
    <row r="240" spans="1:5" ht="13.5" customHeight="1" x14ac:dyDescent="0.2">
      <c r="A240" s="233">
        <f t="shared" ca="1" si="0"/>
        <v>0</v>
      </c>
      <c r="B240" s="233">
        <f t="shared" ca="1" si="1"/>
        <v>3</v>
      </c>
      <c r="C240" s="233">
        <f t="shared" ca="1" si="2"/>
        <v>1</v>
      </c>
      <c r="D240" s="234">
        <f t="shared" ca="1" si="3"/>
        <v>3</v>
      </c>
      <c r="E240" s="234">
        <f t="shared" ca="1" si="4"/>
        <v>2</v>
      </c>
    </row>
    <row r="241" spans="1:5" ht="13.5" customHeight="1" x14ac:dyDescent="0.2">
      <c r="A241" s="233">
        <f t="shared" ca="1" si="0"/>
        <v>0</v>
      </c>
      <c r="B241" s="233">
        <f t="shared" ca="1" si="1"/>
        <v>3</v>
      </c>
      <c r="C241" s="233">
        <f t="shared" ca="1" si="2"/>
        <v>1</v>
      </c>
      <c r="D241" s="234">
        <f t="shared" ca="1" si="3"/>
        <v>3</v>
      </c>
      <c r="E241" s="234">
        <f t="shared" ca="1" si="4"/>
        <v>2</v>
      </c>
    </row>
    <row r="242" spans="1:5" ht="13.5" customHeight="1" x14ac:dyDescent="0.2">
      <c r="A242" s="233">
        <f t="shared" ca="1" si="0"/>
        <v>0</v>
      </c>
      <c r="B242" s="233">
        <f t="shared" ca="1" si="1"/>
        <v>3</v>
      </c>
      <c r="C242" s="233">
        <f t="shared" ca="1" si="2"/>
        <v>1</v>
      </c>
      <c r="D242" s="234">
        <f t="shared" ca="1" si="3"/>
        <v>3</v>
      </c>
      <c r="E242" s="234">
        <f t="shared" ca="1" si="4"/>
        <v>2</v>
      </c>
    </row>
    <row r="243" spans="1:5" ht="13.5" customHeight="1" x14ac:dyDescent="0.2">
      <c r="A243" s="233">
        <f t="shared" ca="1" si="0"/>
        <v>0</v>
      </c>
      <c r="B243" s="233">
        <f t="shared" ca="1" si="1"/>
        <v>3</v>
      </c>
      <c r="C243" s="233">
        <f t="shared" ca="1" si="2"/>
        <v>1</v>
      </c>
      <c r="D243" s="234">
        <f t="shared" ca="1" si="3"/>
        <v>3</v>
      </c>
      <c r="E243" s="234">
        <f t="shared" ca="1" si="4"/>
        <v>2</v>
      </c>
    </row>
    <row r="244" spans="1:5" ht="13.5" customHeight="1" x14ac:dyDescent="0.2">
      <c r="A244" s="233">
        <f t="shared" ca="1" si="0"/>
        <v>0</v>
      </c>
      <c r="B244" s="233">
        <f t="shared" ca="1" si="1"/>
        <v>3</v>
      </c>
      <c r="C244" s="233">
        <f t="shared" ca="1" si="2"/>
        <v>1</v>
      </c>
      <c r="D244" s="234">
        <f t="shared" ca="1" si="3"/>
        <v>3</v>
      </c>
      <c r="E244" s="234">
        <f t="shared" ca="1" si="4"/>
        <v>2</v>
      </c>
    </row>
    <row r="245" spans="1:5" ht="13.5" customHeight="1" x14ac:dyDescent="0.2">
      <c r="A245" s="233">
        <f t="shared" ca="1" si="0"/>
        <v>0</v>
      </c>
      <c r="B245" s="233">
        <f t="shared" ca="1" si="1"/>
        <v>3</v>
      </c>
      <c r="C245" s="233">
        <f t="shared" ca="1" si="2"/>
        <v>1</v>
      </c>
      <c r="D245" s="234">
        <f t="shared" ca="1" si="3"/>
        <v>3</v>
      </c>
      <c r="E245" s="234">
        <f t="shared" ca="1" si="4"/>
        <v>2</v>
      </c>
    </row>
    <row r="246" spans="1:5" ht="13.5" customHeight="1" x14ac:dyDescent="0.2">
      <c r="A246" s="233">
        <f t="shared" ca="1" si="0"/>
        <v>0</v>
      </c>
      <c r="B246" s="233">
        <f t="shared" ca="1" si="1"/>
        <v>3</v>
      </c>
      <c r="C246" s="233">
        <f t="shared" ca="1" si="2"/>
        <v>1</v>
      </c>
      <c r="D246" s="234">
        <f t="shared" ca="1" si="3"/>
        <v>3</v>
      </c>
      <c r="E246" s="234">
        <f t="shared" ca="1" si="4"/>
        <v>2</v>
      </c>
    </row>
    <row r="247" spans="1:5" ht="13.5" customHeight="1" x14ac:dyDescent="0.2">
      <c r="A247" s="233">
        <f t="shared" ca="1" si="0"/>
        <v>0</v>
      </c>
      <c r="B247" s="233">
        <f t="shared" ca="1" si="1"/>
        <v>3</v>
      </c>
      <c r="C247" s="233">
        <f t="shared" ca="1" si="2"/>
        <v>1</v>
      </c>
      <c r="D247" s="234">
        <f t="shared" ca="1" si="3"/>
        <v>3</v>
      </c>
      <c r="E247" s="234">
        <f t="shared" ca="1" si="4"/>
        <v>2</v>
      </c>
    </row>
    <row r="248" spans="1:5" ht="13.5" customHeight="1" x14ac:dyDescent="0.2">
      <c r="A248" s="233">
        <f t="shared" ca="1" si="0"/>
        <v>0</v>
      </c>
      <c r="B248" s="233">
        <f t="shared" ca="1" si="1"/>
        <v>3</v>
      </c>
      <c r="C248" s="233">
        <f t="shared" ca="1" si="2"/>
        <v>1</v>
      </c>
      <c r="D248" s="234">
        <f t="shared" ca="1" si="3"/>
        <v>3</v>
      </c>
      <c r="E248" s="234">
        <f t="shared" ca="1" si="4"/>
        <v>2</v>
      </c>
    </row>
    <row r="249" spans="1:5" ht="13.5" customHeight="1" x14ac:dyDescent="0.2">
      <c r="A249" s="233">
        <f t="shared" ca="1" si="0"/>
        <v>0</v>
      </c>
      <c r="B249" s="233">
        <f t="shared" ca="1" si="1"/>
        <v>3</v>
      </c>
      <c r="C249" s="233">
        <f t="shared" ca="1" si="2"/>
        <v>1</v>
      </c>
      <c r="D249" s="234">
        <f t="shared" ca="1" si="3"/>
        <v>3</v>
      </c>
      <c r="E249" s="234">
        <f t="shared" ca="1" si="4"/>
        <v>2</v>
      </c>
    </row>
    <row r="250" spans="1:5" ht="13.5" customHeight="1" x14ac:dyDescent="0.2">
      <c r="A250" s="233">
        <f t="shared" ca="1" si="0"/>
        <v>0</v>
      </c>
      <c r="B250" s="233">
        <f t="shared" ca="1" si="1"/>
        <v>3</v>
      </c>
      <c r="C250" s="233">
        <f t="shared" ca="1" si="2"/>
        <v>1</v>
      </c>
      <c r="D250" s="234">
        <f t="shared" ca="1" si="3"/>
        <v>3</v>
      </c>
      <c r="E250" s="234">
        <f t="shared" ca="1" si="4"/>
        <v>2</v>
      </c>
    </row>
    <row r="251" spans="1:5" ht="13.5" customHeight="1" x14ac:dyDescent="0.2">
      <c r="A251" s="233">
        <f t="shared" ca="1" si="0"/>
        <v>0</v>
      </c>
      <c r="B251" s="233">
        <f t="shared" ca="1" si="1"/>
        <v>3</v>
      </c>
      <c r="C251" s="233">
        <f t="shared" ca="1" si="2"/>
        <v>1</v>
      </c>
      <c r="D251" s="234">
        <f t="shared" ca="1" si="3"/>
        <v>3</v>
      </c>
      <c r="E251" s="234">
        <f t="shared" ca="1" si="4"/>
        <v>2</v>
      </c>
    </row>
    <row r="252" spans="1:5" ht="13.5" customHeight="1" x14ac:dyDescent="0.2">
      <c r="A252" s="233">
        <f t="shared" ca="1" si="0"/>
        <v>0</v>
      </c>
      <c r="B252" s="233">
        <f t="shared" ca="1" si="1"/>
        <v>3</v>
      </c>
      <c r="C252" s="233">
        <f t="shared" ca="1" si="2"/>
        <v>1</v>
      </c>
      <c r="D252" s="234">
        <f t="shared" ca="1" si="3"/>
        <v>3</v>
      </c>
      <c r="E252" s="234">
        <f t="shared" ca="1" si="4"/>
        <v>2</v>
      </c>
    </row>
    <row r="253" spans="1:5" ht="13.5" customHeight="1" x14ac:dyDescent="0.2">
      <c r="A253" s="233">
        <f t="shared" ca="1" si="0"/>
        <v>0</v>
      </c>
      <c r="B253" s="233">
        <f t="shared" ca="1" si="1"/>
        <v>3</v>
      </c>
      <c r="C253" s="233">
        <f t="shared" ca="1" si="2"/>
        <v>1</v>
      </c>
      <c r="D253" s="234">
        <f t="shared" ca="1" si="3"/>
        <v>3</v>
      </c>
      <c r="E253" s="234">
        <f t="shared" ca="1" si="4"/>
        <v>2</v>
      </c>
    </row>
    <row r="254" spans="1:5" ht="13.5" customHeight="1" x14ac:dyDescent="0.2">
      <c r="A254" s="233">
        <f t="shared" ca="1" si="0"/>
        <v>0</v>
      </c>
      <c r="B254" s="233">
        <f t="shared" ca="1" si="1"/>
        <v>3</v>
      </c>
      <c r="C254" s="233">
        <f t="shared" ca="1" si="2"/>
        <v>1</v>
      </c>
      <c r="D254" s="234">
        <f t="shared" ca="1" si="3"/>
        <v>3</v>
      </c>
      <c r="E254" s="234">
        <f t="shared" ca="1" si="4"/>
        <v>2</v>
      </c>
    </row>
    <row r="255" spans="1:5" ht="13.5" customHeight="1" x14ac:dyDescent="0.2">
      <c r="A255" s="233">
        <f t="shared" ca="1" si="0"/>
        <v>0</v>
      </c>
      <c r="B255" s="233">
        <f t="shared" ca="1" si="1"/>
        <v>3</v>
      </c>
      <c r="C255" s="233">
        <f t="shared" ca="1" si="2"/>
        <v>1</v>
      </c>
      <c r="D255" s="234">
        <f t="shared" ca="1" si="3"/>
        <v>3</v>
      </c>
      <c r="E255" s="234">
        <f t="shared" ca="1" si="4"/>
        <v>2</v>
      </c>
    </row>
    <row r="256" spans="1:5" ht="13.5" customHeight="1" x14ac:dyDescent="0.2">
      <c r="A256" s="233">
        <f t="shared" ca="1" si="0"/>
        <v>0</v>
      </c>
      <c r="B256" s="233">
        <f t="shared" ca="1" si="1"/>
        <v>3</v>
      </c>
      <c r="C256" s="233">
        <f t="shared" ca="1" si="2"/>
        <v>1</v>
      </c>
      <c r="D256" s="234">
        <f t="shared" ca="1" si="3"/>
        <v>3</v>
      </c>
      <c r="E256" s="234">
        <f t="shared" ca="1" si="4"/>
        <v>2</v>
      </c>
    </row>
    <row r="257" spans="1:5" ht="13.5" customHeight="1" x14ac:dyDescent="0.2">
      <c r="A257" s="233">
        <f t="shared" ca="1" si="0"/>
        <v>0</v>
      </c>
      <c r="B257" s="233">
        <f t="shared" ca="1" si="1"/>
        <v>3</v>
      </c>
      <c r="C257" s="233">
        <f t="shared" ca="1" si="2"/>
        <v>1</v>
      </c>
      <c r="D257" s="234">
        <f t="shared" ca="1" si="3"/>
        <v>3</v>
      </c>
      <c r="E257" s="234">
        <f t="shared" ca="1" si="4"/>
        <v>2</v>
      </c>
    </row>
    <row r="258" spans="1:5" ht="13.5" customHeight="1" x14ac:dyDescent="0.2">
      <c r="A258" s="233">
        <f t="shared" ca="1" si="0"/>
        <v>0</v>
      </c>
      <c r="B258" s="233">
        <f t="shared" ca="1" si="1"/>
        <v>3</v>
      </c>
      <c r="C258" s="233">
        <f t="shared" ca="1" si="2"/>
        <v>1</v>
      </c>
      <c r="D258" s="234">
        <f t="shared" ca="1" si="3"/>
        <v>3</v>
      </c>
      <c r="E258" s="234">
        <f t="shared" ca="1" si="4"/>
        <v>2</v>
      </c>
    </row>
    <row r="259" spans="1:5" ht="13.5" customHeight="1" x14ac:dyDescent="0.2">
      <c r="A259" s="233">
        <f t="shared" ca="1" si="0"/>
        <v>0</v>
      </c>
      <c r="B259" s="233">
        <f t="shared" ca="1" si="1"/>
        <v>3</v>
      </c>
      <c r="C259" s="233">
        <f t="shared" ca="1" si="2"/>
        <v>1</v>
      </c>
      <c r="D259" s="234">
        <f t="shared" ca="1" si="3"/>
        <v>3</v>
      </c>
      <c r="E259" s="234">
        <f t="shared" ca="1" si="4"/>
        <v>2</v>
      </c>
    </row>
    <row r="260" spans="1:5" ht="13.5" customHeight="1" x14ac:dyDescent="0.2">
      <c r="A260" s="233">
        <f t="shared" ca="1" si="0"/>
        <v>0</v>
      </c>
      <c r="B260" s="233">
        <f t="shared" ca="1" si="1"/>
        <v>3</v>
      </c>
      <c r="C260" s="233">
        <f t="shared" ca="1" si="2"/>
        <v>1</v>
      </c>
      <c r="D260" s="234">
        <f t="shared" ca="1" si="3"/>
        <v>3</v>
      </c>
      <c r="E260" s="234">
        <f t="shared" ca="1" si="4"/>
        <v>2</v>
      </c>
    </row>
    <row r="261" spans="1:5" ht="13.5" customHeight="1" x14ac:dyDescent="0.2">
      <c r="A261" s="233">
        <f t="shared" ca="1" si="0"/>
        <v>0</v>
      </c>
      <c r="B261" s="233">
        <f t="shared" ca="1" si="1"/>
        <v>3</v>
      </c>
      <c r="C261" s="233">
        <f t="shared" ca="1" si="2"/>
        <v>1</v>
      </c>
      <c r="D261" s="234">
        <f t="shared" ca="1" si="3"/>
        <v>3</v>
      </c>
      <c r="E261" s="234">
        <f t="shared" ca="1" si="4"/>
        <v>2</v>
      </c>
    </row>
    <row r="262" spans="1:5" ht="13.5" customHeight="1" x14ac:dyDescent="0.2">
      <c r="A262" s="233">
        <f t="shared" ca="1" si="0"/>
        <v>0</v>
      </c>
      <c r="B262" s="233">
        <f t="shared" ca="1" si="1"/>
        <v>3</v>
      </c>
      <c r="C262" s="233">
        <f t="shared" ca="1" si="2"/>
        <v>1</v>
      </c>
      <c r="D262" s="234">
        <f t="shared" ca="1" si="3"/>
        <v>3</v>
      </c>
      <c r="E262" s="234">
        <f t="shared" ca="1" si="4"/>
        <v>2</v>
      </c>
    </row>
    <row r="263" spans="1:5" ht="13.5" customHeight="1" x14ac:dyDescent="0.2">
      <c r="A263" s="233">
        <f t="shared" ref="A263:A517" ca="1" si="10">IF($H263="UNIDADE CONSTRUTIVA",OFFSET(A263,-1,0)+1,LARGE(A$3:A262,1))</f>
        <v>0</v>
      </c>
      <c r="B263" s="233">
        <f t="shared" ref="B263:B517" ca="1" si="11">IF(H263="UNIDADE CONSTRUTIVA",0,IF(H263="CÉLULA CONSTRUTIVA",OFFSET(B263,-1,0)+1,OFFSET(B263,-1,0)))</f>
        <v>3</v>
      </c>
      <c r="C263" s="233">
        <f t="shared" ref="C263:C517" ca="1" si="12">IF(H263="CÉLULA CONSTRUTIVA",0,IF(H263="ETAPA",OFFSET(C263,-1,0)+1,OFFSET(C263,-1,0)))</f>
        <v>1</v>
      </c>
      <c r="D263" s="234">
        <f t="shared" ref="D263:D517" ca="1" si="13">IF(H263="ETAPA",0,IF(H263="SUBETAPA",OFFSET(D263,-1,0)+1,OFFSET(D263,-1,0)))</f>
        <v>3</v>
      </c>
      <c r="E263" s="234">
        <f t="shared" ref="E263:E517" ca="1" si="14">IF(H263="Subetapa",0,IF(H263="serviço",OFFSET(E263,-1,0)+1,OFFSET(E263,-1,0)))</f>
        <v>2</v>
      </c>
    </row>
    <row r="264" spans="1:5" ht="13.5" customHeight="1" x14ac:dyDescent="0.2">
      <c r="A264" s="233">
        <f t="shared" ca="1" si="10"/>
        <v>0</v>
      </c>
      <c r="B264" s="233">
        <f t="shared" ca="1" si="11"/>
        <v>3</v>
      </c>
      <c r="C264" s="233">
        <f t="shared" ca="1" si="12"/>
        <v>1</v>
      </c>
      <c r="D264" s="234">
        <f t="shared" ca="1" si="13"/>
        <v>3</v>
      </c>
      <c r="E264" s="234">
        <f t="shared" ca="1" si="14"/>
        <v>2</v>
      </c>
    </row>
    <row r="265" spans="1:5" ht="13.5" customHeight="1" x14ac:dyDescent="0.2">
      <c r="A265" s="233">
        <f t="shared" ca="1" si="10"/>
        <v>0</v>
      </c>
      <c r="B265" s="233">
        <f t="shared" ca="1" si="11"/>
        <v>3</v>
      </c>
      <c r="C265" s="233">
        <f t="shared" ca="1" si="12"/>
        <v>1</v>
      </c>
      <c r="D265" s="234">
        <f t="shared" ca="1" si="13"/>
        <v>3</v>
      </c>
      <c r="E265" s="234">
        <f t="shared" ca="1" si="14"/>
        <v>2</v>
      </c>
    </row>
    <row r="266" spans="1:5" ht="13.5" customHeight="1" x14ac:dyDescent="0.2">
      <c r="A266" s="233">
        <f t="shared" ca="1" si="10"/>
        <v>0</v>
      </c>
      <c r="B266" s="233">
        <f t="shared" ca="1" si="11"/>
        <v>3</v>
      </c>
      <c r="C266" s="233">
        <f t="shared" ca="1" si="12"/>
        <v>1</v>
      </c>
      <c r="D266" s="234">
        <f t="shared" ca="1" si="13"/>
        <v>3</v>
      </c>
      <c r="E266" s="234">
        <f t="shared" ca="1" si="14"/>
        <v>2</v>
      </c>
    </row>
    <row r="267" spans="1:5" ht="13.5" customHeight="1" x14ac:dyDescent="0.2">
      <c r="A267" s="233">
        <f t="shared" ca="1" si="10"/>
        <v>0</v>
      </c>
      <c r="B267" s="233">
        <f t="shared" ca="1" si="11"/>
        <v>3</v>
      </c>
      <c r="C267" s="233">
        <f t="shared" ca="1" si="12"/>
        <v>1</v>
      </c>
      <c r="D267" s="234">
        <f t="shared" ca="1" si="13"/>
        <v>3</v>
      </c>
      <c r="E267" s="234">
        <f t="shared" ca="1" si="14"/>
        <v>2</v>
      </c>
    </row>
    <row r="268" spans="1:5" ht="13.5" customHeight="1" x14ac:dyDescent="0.2">
      <c r="A268" s="233">
        <f t="shared" ca="1" si="10"/>
        <v>0</v>
      </c>
      <c r="B268" s="233">
        <f t="shared" ca="1" si="11"/>
        <v>3</v>
      </c>
      <c r="C268" s="233">
        <f t="shared" ca="1" si="12"/>
        <v>1</v>
      </c>
      <c r="D268" s="234">
        <f t="shared" ca="1" si="13"/>
        <v>3</v>
      </c>
      <c r="E268" s="234">
        <f t="shared" ca="1" si="14"/>
        <v>2</v>
      </c>
    </row>
    <row r="269" spans="1:5" ht="13.5" customHeight="1" x14ac:dyDescent="0.2">
      <c r="A269" s="233">
        <f t="shared" ca="1" si="10"/>
        <v>0</v>
      </c>
      <c r="B269" s="233">
        <f t="shared" ca="1" si="11"/>
        <v>3</v>
      </c>
      <c r="C269" s="233">
        <f t="shared" ca="1" si="12"/>
        <v>1</v>
      </c>
      <c r="D269" s="234">
        <f t="shared" ca="1" si="13"/>
        <v>3</v>
      </c>
      <c r="E269" s="234">
        <f t="shared" ca="1" si="14"/>
        <v>2</v>
      </c>
    </row>
    <row r="270" spans="1:5" ht="13.5" customHeight="1" x14ac:dyDescent="0.2">
      <c r="A270" s="233">
        <f t="shared" ca="1" si="10"/>
        <v>0</v>
      </c>
      <c r="B270" s="233">
        <f t="shared" ca="1" si="11"/>
        <v>3</v>
      </c>
      <c r="C270" s="233">
        <f t="shared" ca="1" si="12"/>
        <v>1</v>
      </c>
      <c r="D270" s="234">
        <f t="shared" ca="1" si="13"/>
        <v>3</v>
      </c>
      <c r="E270" s="234">
        <f t="shared" ca="1" si="14"/>
        <v>2</v>
      </c>
    </row>
    <row r="271" spans="1:5" ht="13.5" customHeight="1" x14ac:dyDescent="0.2">
      <c r="A271" s="233">
        <f t="shared" ca="1" si="10"/>
        <v>0</v>
      </c>
      <c r="B271" s="233">
        <f t="shared" ca="1" si="11"/>
        <v>3</v>
      </c>
      <c r="C271" s="233">
        <f t="shared" ca="1" si="12"/>
        <v>1</v>
      </c>
      <c r="D271" s="234">
        <f t="shared" ca="1" si="13"/>
        <v>3</v>
      </c>
      <c r="E271" s="234">
        <f t="shared" ca="1" si="14"/>
        <v>2</v>
      </c>
    </row>
    <row r="272" spans="1:5" ht="13.5" customHeight="1" x14ac:dyDescent="0.2">
      <c r="A272" s="233">
        <f t="shared" ca="1" si="10"/>
        <v>0</v>
      </c>
      <c r="B272" s="233">
        <f t="shared" ca="1" si="11"/>
        <v>3</v>
      </c>
      <c r="C272" s="233">
        <f t="shared" ca="1" si="12"/>
        <v>1</v>
      </c>
      <c r="D272" s="234">
        <f t="shared" ca="1" si="13"/>
        <v>3</v>
      </c>
      <c r="E272" s="234">
        <f t="shared" ca="1" si="14"/>
        <v>2</v>
      </c>
    </row>
    <row r="273" spans="1:5" ht="13.5" customHeight="1" x14ac:dyDescent="0.2">
      <c r="A273" s="233">
        <f t="shared" ca="1" si="10"/>
        <v>0</v>
      </c>
      <c r="B273" s="233">
        <f t="shared" ca="1" si="11"/>
        <v>3</v>
      </c>
      <c r="C273" s="233">
        <f t="shared" ca="1" si="12"/>
        <v>1</v>
      </c>
      <c r="D273" s="234">
        <f t="shared" ca="1" si="13"/>
        <v>3</v>
      </c>
      <c r="E273" s="234">
        <f t="shared" ca="1" si="14"/>
        <v>2</v>
      </c>
    </row>
    <row r="274" spans="1:5" ht="13.5" customHeight="1" x14ac:dyDescent="0.2">
      <c r="A274" s="233">
        <f t="shared" ca="1" si="10"/>
        <v>0</v>
      </c>
      <c r="B274" s="233">
        <f t="shared" ca="1" si="11"/>
        <v>3</v>
      </c>
      <c r="C274" s="233">
        <f t="shared" ca="1" si="12"/>
        <v>1</v>
      </c>
      <c r="D274" s="234">
        <f t="shared" ca="1" si="13"/>
        <v>3</v>
      </c>
      <c r="E274" s="234">
        <f t="shared" ca="1" si="14"/>
        <v>2</v>
      </c>
    </row>
    <row r="275" spans="1:5" ht="13.5" customHeight="1" x14ac:dyDescent="0.2">
      <c r="A275" s="233">
        <f t="shared" ca="1" si="10"/>
        <v>0</v>
      </c>
      <c r="B275" s="233">
        <f t="shared" ca="1" si="11"/>
        <v>3</v>
      </c>
      <c r="C275" s="233">
        <f t="shared" ca="1" si="12"/>
        <v>1</v>
      </c>
      <c r="D275" s="234">
        <f t="shared" ca="1" si="13"/>
        <v>3</v>
      </c>
      <c r="E275" s="234">
        <f t="shared" ca="1" si="14"/>
        <v>2</v>
      </c>
    </row>
    <row r="276" spans="1:5" ht="13.5" customHeight="1" x14ac:dyDescent="0.2">
      <c r="A276" s="233">
        <f t="shared" ca="1" si="10"/>
        <v>0</v>
      </c>
      <c r="B276" s="233">
        <f t="shared" ca="1" si="11"/>
        <v>3</v>
      </c>
      <c r="C276" s="233">
        <f t="shared" ca="1" si="12"/>
        <v>1</v>
      </c>
      <c r="D276" s="234">
        <f t="shared" ca="1" si="13"/>
        <v>3</v>
      </c>
      <c r="E276" s="234">
        <f t="shared" ca="1" si="14"/>
        <v>2</v>
      </c>
    </row>
    <row r="277" spans="1:5" ht="13.5" customHeight="1" x14ac:dyDescent="0.2">
      <c r="A277" s="233">
        <f t="shared" ca="1" si="10"/>
        <v>0</v>
      </c>
      <c r="B277" s="233">
        <f t="shared" ca="1" si="11"/>
        <v>3</v>
      </c>
      <c r="C277" s="233">
        <f t="shared" ca="1" si="12"/>
        <v>1</v>
      </c>
      <c r="D277" s="234">
        <f t="shared" ca="1" si="13"/>
        <v>3</v>
      </c>
      <c r="E277" s="234">
        <f t="shared" ca="1" si="14"/>
        <v>2</v>
      </c>
    </row>
    <row r="278" spans="1:5" ht="13.5" customHeight="1" x14ac:dyDescent="0.2">
      <c r="A278" s="233">
        <f t="shared" ca="1" si="10"/>
        <v>0</v>
      </c>
      <c r="B278" s="233">
        <f t="shared" ca="1" si="11"/>
        <v>3</v>
      </c>
      <c r="C278" s="233">
        <f t="shared" ca="1" si="12"/>
        <v>1</v>
      </c>
      <c r="D278" s="234">
        <f t="shared" ca="1" si="13"/>
        <v>3</v>
      </c>
      <c r="E278" s="234">
        <f t="shared" ca="1" si="14"/>
        <v>2</v>
      </c>
    </row>
    <row r="279" spans="1:5" ht="13.5" customHeight="1" x14ac:dyDescent="0.2">
      <c r="A279" s="233">
        <f t="shared" ca="1" si="10"/>
        <v>0</v>
      </c>
      <c r="B279" s="233">
        <f t="shared" ca="1" si="11"/>
        <v>3</v>
      </c>
      <c r="C279" s="233">
        <f t="shared" ca="1" si="12"/>
        <v>1</v>
      </c>
      <c r="D279" s="234">
        <f t="shared" ca="1" si="13"/>
        <v>3</v>
      </c>
      <c r="E279" s="234">
        <f t="shared" ca="1" si="14"/>
        <v>2</v>
      </c>
    </row>
    <row r="280" spans="1:5" ht="13.5" customHeight="1" x14ac:dyDescent="0.2">
      <c r="A280" s="233">
        <f t="shared" ca="1" si="10"/>
        <v>0</v>
      </c>
      <c r="B280" s="233">
        <f t="shared" ca="1" si="11"/>
        <v>3</v>
      </c>
      <c r="C280" s="233">
        <f t="shared" ca="1" si="12"/>
        <v>1</v>
      </c>
      <c r="D280" s="234">
        <f t="shared" ca="1" si="13"/>
        <v>3</v>
      </c>
      <c r="E280" s="234">
        <f t="shared" ca="1" si="14"/>
        <v>2</v>
      </c>
    </row>
    <row r="281" spans="1:5" ht="13.5" customHeight="1" x14ac:dyDescent="0.2">
      <c r="A281" s="233">
        <f t="shared" ca="1" si="10"/>
        <v>0</v>
      </c>
      <c r="B281" s="233">
        <f t="shared" ca="1" si="11"/>
        <v>3</v>
      </c>
      <c r="C281" s="233">
        <f t="shared" ca="1" si="12"/>
        <v>1</v>
      </c>
      <c r="D281" s="234">
        <f t="shared" ca="1" si="13"/>
        <v>3</v>
      </c>
      <c r="E281" s="234">
        <f t="shared" ca="1" si="14"/>
        <v>2</v>
      </c>
    </row>
    <row r="282" spans="1:5" ht="13.5" customHeight="1" x14ac:dyDescent="0.2">
      <c r="A282" s="233">
        <f t="shared" ca="1" si="10"/>
        <v>0</v>
      </c>
      <c r="B282" s="233">
        <f t="shared" ca="1" si="11"/>
        <v>3</v>
      </c>
      <c r="C282" s="233">
        <f t="shared" ca="1" si="12"/>
        <v>1</v>
      </c>
      <c r="D282" s="234">
        <f t="shared" ca="1" si="13"/>
        <v>3</v>
      </c>
      <c r="E282" s="234">
        <f t="shared" ca="1" si="14"/>
        <v>2</v>
      </c>
    </row>
    <row r="283" spans="1:5" ht="13.5" customHeight="1" x14ac:dyDescent="0.2">
      <c r="A283" s="233">
        <f t="shared" ca="1" si="10"/>
        <v>0</v>
      </c>
      <c r="B283" s="233">
        <f t="shared" ca="1" si="11"/>
        <v>3</v>
      </c>
      <c r="C283" s="233">
        <f t="shared" ca="1" si="12"/>
        <v>1</v>
      </c>
      <c r="D283" s="234">
        <f t="shared" ca="1" si="13"/>
        <v>3</v>
      </c>
      <c r="E283" s="234">
        <f t="shared" ca="1" si="14"/>
        <v>2</v>
      </c>
    </row>
    <row r="284" spans="1:5" ht="13.5" customHeight="1" x14ac:dyDescent="0.2">
      <c r="A284" s="233">
        <f t="shared" ca="1" si="10"/>
        <v>0</v>
      </c>
      <c r="B284" s="233">
        <f t="shared" ca="1" si="11"/>
        <v>3</v>
      </c>
      <c r="C284" s="233">
        <f t="shared" ca="1" si="12"/>
        <v>1</v>
      </c>
      <c r="D284" s="234">
        <f t="shared" ca="1" si="13"/>
        <v>3</v>
      </c>
      <c r="E284" s="234">
        <f t="shared" ca="1" si="14"/>
        <v>2</v>
      </c>
    </row>
    <row r="285" spans="1:5" ht="13.5" customHeight="1" x14ac:dyDescent="0.2">
      <c r="A285" s="233">
        <f t="shared" ca="1" si="10"/>
        <v>0</v>
      </c>
      <c r="B285" s="233">
        <f t="shared" ca="1" si="11"/>
        <v>3</v>
      </c>
      <c r="C285" s="233">
        <f t="shared" ca="1" si="12"/>
        <v>1</v>
      </c>
      <c r="D285" s="234">
        <f t="shared" ca="1" si="13"/>
        <v>3</v>
      </c>
      <c r="E285" s="234">
        <f t="shared" ca="1" si="14"/>
        <v>2</v>
      </c>
    </row>
    <row r="286" spans="1:5" ht="13.5" customHeight="1" x14ac:dyDescent="0.2">
      <c r="A286" s="233">
        <f t="shared" ca="1" si="10"/>
        <v>0</v>
      </c>
      <c r="B286" s="233">
        <f t="shared" ca="1" si="11"/>
        <v>3</v>
      </c>
      <c r="C286" s="233">
        <f t="shared" ca="1" si="12"/>
        <v>1</v>
      </c>
      <c r="D286" s="234">
        <f t="shared" ca="1" si="13"/>
        <v>3</v>
      </c>
      <c r="E286" s="234">
        <f t="shared" ca="1" si="14"/>
        <v>2</v>
      </c>
    </row>
    <row r="287" spans="1:5" ht="13.5" customHeight="1" x14ac:dyDescent="0.2">
      <c r="A287" s="233">
        <f t="shared" ca="1" si="10"/>
        <v>0</v>
      </c>
      <c r="B287" s="233">
        <f t="shared" ca="1" si="11"/>
        <v>3</v>
      </c>
      <c r="C287" s="233">
        <f t="shared" ca="1" si="12"/>
        <v>1</v>
      </c>
      <c r="D287" s="234">
        <f t="shared" ca="1" si="13"/>
        <v>3</v>
      </c>
      <c r="E287" s="234">
        <f t="shared" ca="1" si="14"/>
        <v>2</v>
      </c>
    </row>
    <row r="288" spans="1:5" ht="13.5" customHeight="1" x14ac:dyDescent="0.2">
      <c r="A288" s="233">
        <f t="shared" ca="1" si="10"/>
        <v>0</v>
      </c>
      <c r="B288" s="233">
        <f t="shared" ca="1" si="11"/>
        <v>3</v>
      </c>
      <c r="C288" s="233">
        <f t="shared" ca="1" si="12"/>
        <v>1</v>
      </c>
      <c r="D288" s="234">
        <f t="shared" ca="1" si="13"/>
        <v>3</v>
      </c>
      <c r="E288" s="234">
        <f t="shared" ca="1" si="14"/>
        <v>2</v>
      </c>
    </row>
    <row r="289" spans="1:5" ht="13.5" customHeight="1" x14ac:dyDescent="0.2">
      <c r="A289" s="233">
        <f t="shared" ca="1" si="10"/>
        <v>0</v>
      </c>
      <c r="B289" s="233">
        <f t="shared" ca="1" si="11"/>
        <v>3</v>
      </c>
      <c r="C289" s="233">
        <f t="shared" ca="1" si="12"/>
        <v>1</v>
      </c>
      <c r="D289" s="234">
        <f t="shared" ca="1" si="13"/>
        <v>3</v>
      </c>
      <c r="E289" s="234">
        <f t="shared" ca="1" si="14"/>
        <v>2</v>
      </c>
    </row>
    <row r="290" spans="1:5" ht="13.5" customHeight="1" x14ac:dyDescent="0.2">
      <c r="A290" s="233">
        <f t="shared" ca="1" si="10"/>
        <v>0</v>
      </c>
      <c r="B290" s="233">
        <f t="shared" ca="1" si="11"/>
        <v>3</v>
      </c>
      <c r="C290" s="233">
        <f t="shared" ca="1" si="12"/>
        <v>1</v>
      </c>
      <c r="D290" s="234">
        <f t="shared" ca="1" si="13"/>
        <v>3</v>
      </c>
      <c r="E290" s="234">
        <f t="shared" ca="1" si="14"/>
        <v>2</v>
      </c>
    </row>
    <row r="291" spans="1:5" ht="13.5" customHeight="1" x14ac:dyDescent="0.2">
      <c r="A291" s="233">
        <f t="shared" ca="1" si="10"/>
        <v>0</v>
      </c>
      <c r="B291" s="233">
        <f t="shared" ca="1" si="11"/>
        <v>3</v>
      </c>
      <c r="C291" s="233">
        <f t="shared" ca="1" si="12"/>
        <v>1</v>
      </c>
      <c r="D291" s="234">
        <f t="shared" ca="1" si="13"/>
        <v>3</v>
      </c>
      <c r="E291" s="234">
        <f t="shared" ca="1" si="14"/>
        <v>2</v>
      </c>
    </row>
    <row r="292" spans="1:5" ht="13.5" customHeight="1" x14ac:dyDescent="0.2">
      <c r="A292" s="233">
        <f t="shared" ca="1" si="10"/>
        <v>0</v>
      </c>
      <c r="B292" s="233">
        <f t="shared" ca="1" si="11"/>
        <v>3</v>
      </c>
      <c r="C292" s="233">
        <f t="shared" ca="1" si="12"/>
        <v>1</v>
      </c>
      <c r="D292" s="234">
        <f t="shared" ca="1" si="13"/>
        <v>3</v>
      </c>
      <c r="E292" s="234">
        <f t="shared" ca="1" si="14"/>
        <v>2</v>
      </c>
    </row>
    <row r="293" spans="1:5" ht="13.5" customHeight="1" x14ac:dyDescent="0.2">
      <c r="A293" s="233">
        <f t="shared" ca="1" si="10"/>
        <v>0</v>
      </c>
      <c r="B293" s="233">
        <f t="shared" ca="1" si="11"/>
        <v>3</v>
      </c>
      <c r="C293" s="233">
        <f t="shared" ca="1" si="12"/>
        <v>1</v>
      </c>
      <c r="D293" s="234">
        <f t="shared" ca="1" si="13"/>
        <v>3</v>
      </c>
      <c r="E293" s="234">
        <f t="shared" ca="1" si="14"/>
        <v>2</v>
      </c>
    </row>
    <row r="294" spans="1:5" ht="13.5" customHeight="1" x14ac:dyDescent="0.2">
      <c r="A294" s="233">
        <f t="shared" ca="1" si="10"/>
        <v>0</v>
      </c>
      <c r="B294" s="233">
        <f t="shared" ca="1" si="11"/>
        <v>3</v>
      </c>
      <c r="C294" s="233">
        <f t="shared" ca="1" si="12"/>
        <v>1</v>
      </c>
      <c r="D294" s="234">
        <f t="shared" ca="1" si="13"/>
        <v>3</v>
      </c>
      <c r="E294" s="234">
        <f t="shared" ca="1" si="14"/>
        <v>2</v>
      </c>
    </row>
    <row r="295" spans="1:5" ht="13.5" customHeight="1" x14ac:dyDescent="0.2">
      <c r="A295" s="233">
        <f t="shared" ca="1" si="10"/>
        <v>0</v>
      </c>
      <c r="B295" s="233">
        <f t="shared" ca="1" si="11"/>
        <v>3</v>
      </c>
      <c r="C295" s="233">
        <f t="shared" ca="1" si="12"/>
        <v>1</v>
      </c>
      <c r="D295" s="234">
        <f t="shared" ca="1" si="13"/>
        <v>3</v>
      </c>
      <c r="E295" s="234">
        <f t="shared" ca="1" si="14"/>
        <v>2</v>
      </c>
    </row>
    <row r="296" spans="1:5" ht="13.5" customHeight="1" x14ac:dyDescent="0.2">
      <c r="A296" s="233">
        <f t="shared" ca="1" si="10"/>
        <v>0</v>
      </c>
      <c r="B296" s="233">
        <f t="shared" ca="1" si="11"/>
        <v>3</v>
      </c>
      <c r="C296" s="233">
        <f t="shared" ca="1" si="12"/>
        <v>1</v>
      </c>
      <c r="D296" s="234">
        <f t="shared" ca="1" si="13"/>
        <v>3</v>
      </c>
      <c r="E296" s="234">
        <f t="shared" ca="1" si="14"/>
        <v>2</v>
      </c>
    </row>
    <row r="297" spans="1:5" ht="13.5" customHeight="1" x14ac:dyDescent="0.2">
      <c r="A297" s="233">
        <f t="shared" ca="1" si="10"/>
        <v>0</v>
      </c>
      <c r="B297" s="233">
        <f t="shared" ca="1" si="11"/>
        <v>3</v>
      </c>
      <c r="C297" s="233">
        <f t="shared" ca="1" si="12"/>
        <v>1</v>
      </c>
      <c r="D297" s="234">
        <f t="shared" ca="1" si="13"/>
        <v>3</v>
      </c>
      <c r="E297" s="234">
        <f t="shared" ca="1" si="14"/>
        <v>2</v>
      </c>
    </row>
    <row r="298" spans="1:5" ht="13.5" customHeight="1" x14ac:dyDescent="0.2">
      <c r="A298" s="233">
        <f t="shared" ca="1" si="10"/>
        <v>0</v>
      </c>
      <c r="B298" s="233">
        <f t="shared" ca="1" si="11"/>
        <v>3</v>
      </c>
      <c r="C298" s="233">
        <f t="shared" ca="1" si="12"/>
        <v>1</v>
      </c>
      <c r="D298" s="234">
        <f t="shared" ca="1" si="13"/>
        <v>3</v>
      </c>
      <c r="E298" s="234">
        <f t="shared" ca="1" si="14"/>
        <v>2</v>
      </c>
    </row>
    <row r="299" spans="1:5" ht="13.5" customHeight="1" x14ac:dyDescent="0.2">
      <c r="A299" s="233">
        <f t="shared" ca="1" si="10"/>
        <v>0</v>
      </c>
      <c r="B299" s="233">
        <f t="shared" ca="1" si="11"/>
        <v>3</v>
      </c>
      <c r="C299" s="233">
        <f t="shared" ca="1" si="12"/>
        <v>1</v>
      </c>
      <c r="D299" s="234">
        <f t="shared" ca="1" si="13"/>
        <v>3</v>
      </c>
      <c r="E299" s="234">
        <f t="shared" ca="1" si="14"/>
        <v>2</v>
      </c>
    </row>
    <row r="300" spans="1:5" ht="13.5" customHeight="1" x14ac:dyDescent="0.2">
      <c r="A300" s="233">
        <f t="shared" ca="1" si="10"/>
        <v>0</v>
      </c>
      <c r="B300" s="233">
        <f t="shared" ca="1" si="11"/>
        <v>3</v>
      </c>
      <c r="C300" s="233">
        <f t="shared" ca="1" si="12"/>
        <v>1</v>
      </c>
      <c r="D300" s="234">
        <f t="shared" ca="1" si="13"/>
        <v>3</v>
      </c>
      <c r="E300" s="234">
        <f t="shared" ca="1" si="14"/>
        <v>2</v>
      </c>
    </row>
    <row r="301" spans="1:5" ht="13.5" customHeight="1" x14ac:dyDescent="0.2">
      <c r="A301" s="233">
        <f t="shared" ca="1" si="10"/>
        <v>0</v>
      </c>
      <c r="B301" s="233">
        <f t="shared" ca="1" si="11"/>
        <v>3</v>
      </c>
      <c r="C301" s="233">
        <f t="shared" ca="1" si="12"/>
        <v>1</v>
      </c>
      <c r="D301" s="234">
        <f t="shared" ca="1" si="13"/>
        <v>3</v>
      </c>
      <c r="E301" s="234">
        <f t="shared" ca="1" si="14"/>
        <v>2</v>
      </c>
    </row>
    <row r="302" spans="1:5" ht="13.5" customHeight="1" x14ac:dyDescent="0.2">
      <c r="A302" s="233">
        <f t="shared" ca="1" si="10"/>
        <v>0</v>
      </c>
      <c r="B302" s="233">
        <f t="shared" ca="1" si="11"/>
        <v>3</v>
      </c>
      <c r="C302" s="233">
        <f t="shared" ca="1" si="12"/>
        <v>1</v>
      </c>
      <c r="D302" s="234">
        <f t="shared" ca="1" si="13"/>
        <v>3</v>
      </c>
      <c r="E302" s="234">
        <f t="shared" ca="1" si="14"/>
        <v>2</v>
      </c>
    </row>
    <row r="303" spans="1:5" ht="13.5" customHeight="1" x14ac:dyDescent="0.2">
      <c r="A303" s="233">
        <f t="shared" ca="1" si="10"/>
        <v>0</v>
      </c>
      <c r="B303" s="233">
        <f t="shared" ca="1" si="11"/>
        <v>3</v>
      </c>
      <c r="C303" s="233">
        <f t="shared" ca="1" si="12"/>
        <v>1</v>
      </c>
      <c r="D303" s="234">
        <f t="shared" ca="1" si="13"/>
        <v>3</v>
      </c>
      <c r="E303" s="234">
        <f t="shared" ca="1" si="14"/>
        <v>2</v>
      </c>
    </row>
    <row r="304" spans="1:5" ht="13.5" customHeight="1" x14ac:dyDescent="0.2">
      <c r="A304" s="233">
        <f t="shared" ca="1" si="10"/>
        <v>0</v>
      </c>
      <c r="B304" s="233">
        <f t="shared" ca="1" si="11"/>
        <v>3</v>
      </c>
      <c r="C304" s="233">
        <f t="shared" ca="1" si="12"/>
        <v>1</v>
      </c>
      <c r="D304" s="234">
        <f t="shared" ca="1" si="13"/>
        <v>3</v>
      </c>
      <c r="E304" s="234">
        <f t="shared" ca="1" si="14"/>
        <v>2</v>
      </c>
    </row>
    <row r="305" spans="1:5" ht="13.5" customHeight="1" x14ac:dyDescent="0.2">
      <c r="A305" s="233">
        <f t="shared" ca="1" si="10"/>
        <v>0</v>
      </c>
      <c r="B305" s="233">
        <f t="shared" ca="1" si="11"/>
        <v>3</v>
      </c>
      <c r="C305" s="233">
        <f t="shared" ca="1" si="12"/>
        <v>1</v>
      </c>
      <c r="D305" s="234">
        <f t="shared" ca="1" si="13"/>
        <v>3</v>
      </c>
      <c r="E305" s="234">
        <f t="shared" ca="1" si="14"/>
        <v>2</v>
      </c>
    </row>
    <row r="306" spans="1:5" ht="13.5" customHeight="1" x14ac:dyDescent="0.2">
      <c r="A306" s="233">
        <f t="shared" ca="1" si="10"/>
        <v>0</v>
      </c>
      <c r="B306" s="233">
        <f t="shared" ca="1" si="11"/>
        <v>3</v>
      </c>
      <c r="C306" s="233">
        <f t="shared" ca="1" si="12"/>
        <v>1</v>
      </c>
      <c r="D306" s="234">
        <f t="shared" ca="1" si="13"/>
        <v>3</v>
      </c>
      <c r="E306" s="234">
        <f t="shared" ca="1" si="14"/>
        <v>2</v>
      </c>
    </row>
    <row r="307" spans="1:5" ht="13.5" customHeight="1" x14ac:dyDescent="0.2">
      <c r="A307" s="233">
        <f t="shared" ca="1" si="10"/>
        <v>0</v>
      </c>
      <c r="B307" s="233">
        <f t="shared" ca="1" si="11"/>
        <v>3</v>
      </c>
      <c r="C307" s="233">
        <f t="shared" ca="1" si="12"/>
        <v>1</v>
      </c>
      <c r="D307" s="234">
        <f t="shared" ca="1" si="13"/>
        <v>3</v>
      </c>
      <c r="E307" s="234">
        <f t="shared" ca="1" si="14"/>
        <v>2</v>
      </c>
    </row>
    <row r="308" spans="1:5" ht="13.5" customHeight="1" x14ac:dyDescent="0.2">
      <c r="A308" s="233">
        <f t="shared" ca="1" si="10"/>
        <v>0</v>
      </c>
      <c r="B308" s="233">
        <f t="shared" ca="1" si="11"/>
        <v>3</v>
      </c>
      <c r="C308" s="233">
        <f t="shared" ca="1" si="12"/>
        <v>1</v>
      </c>
      <c r="D308" s="234">
        <f t="shared" ca="1" si="13"/>
        <v>3</v>
      </c>
      <c r="E308" s="234">
        <f t="shared" ca="1" si="14"/>
        <v>2</v>
      </c>
    </row>
    <row r="309" spans="1:5" ht="13.5" customHeight="1" x14ac:dyDescent="0.2">
      <c r="A309" s="233">
        <f t="shared" ca="1" si="10"/>
        <v>0</v>
      </c>
      <c r="B309" s="233">
        <f t="shared" ca="1" si="11"/>
        <v>3</v>
      </c>
      <c r="C309" s="233">
        <f t="shared" ca="1" si="12"/>
        <v>1</v>
      </c>
      <c r="D309" s="234">
        <f t="shared" ca="1" si="13"/>
        <v>3</v>
      </c>
      <c r="E309" s="234">
        <f t="shared" ca="1" si="14"/>
        <v>2</v>
      </c>
    </row>
    <row r="310" spans="1:5" ht="13.5" customHeight="1" x14ac:dyDescent="0.2">
      <c r="A310" s="233">
        <f t="shared" ca="1" si="10"/>
        <v>0</v>
      </c>
      <c r="B310" s="233">
        <f t="shared" ca="1" si="11"/>
        <v>3</v>
      </c>
      <c r="C310" s="233">
        <f t="shared" ca="1" si="12"/>
        <v>1</v>
      </c>
      <c r="D310" s="234">
        <f t="shared" ca="1" si="13"/>
        <v>3</v>
      </c>
      <c r="E310" s="234">
        <f t="shared" ca="1" si="14"/>
        <v>2</v>
      </c>
    </row>
    <row r="311" spans="1:5" ht="13.5" customHeight="1" x14ac:dyDescent="0.2">
      <c r="A311" s="233">
        <f t="shared" ca="1" si="10"/>
        <v>0</v>
      </c>
      <c r="B311" s="233">
        <f t="shared" ca="1" si="11"/>
        <v>3</v>
      </c>
      <c r="C311" s="233">
        <f t="shared" ca="1" si="12"/>
        <v>1</v>
      </c>
      <c r="D311" s="234">
        <f t="shared" ca="1" si="13"/>
        <v>3</v>
      </c>
      <c r="E311" s="234">
        <f t="shared" ca="1" si="14"/>
        <v>2</v>
      </c>
    </row>
    <row r="312" spans="1:5" ht="13.5" customHeight="1" x14ac:dyDescent="0.2">
      <c r="A312" s="233">
        <f t="shared" ca="1" si="10"/>
        <v>0</v>
      </c>
      <c r="B312" s="233">
        <f t="shared" ca="1" si="11"/>
        <v>3</v>
      </c>
      <c r="C312" s="233">
        <f t="shared" ca="1" si="12"/>
        <v>1</v>
      </c>
      <c r="D312" s="234">
        <f t="shared" ca="1" si="13"/>
        <v>3</v>
      </c>
      <c r="E312" s="234">
        <f t="shared" ca="1" si="14"/>
        <v>2</v>
      </c>
    </row>
    <row r="313" spans="1:5" ht="13.5" customHeight="1" x14ac:dyDescent="0.2">
      <c r="A313" s="233">
        <f t="shared" ca="1" si="10"/>
        <v>0</v>
      </c>
      <c r="B313" s="233">
        <f t="shared" ca="1" si="11"/>
        <v>3</v>
      </c>
      <c r="C313" s="233">
        <f t="shared" ca="1" si="12"/>
        <v>1</v>
      </c>
      <c r="D313" s="234">
        <f t="shared" ca="1" si="13"/>
        <v>3</v>
      </c>
      <c r="E313" s="234">
        <f t="shared" ca="1" si="14"/>
        <v>2</v>
      </c>
    </row>
    <row r="314" spans="1:5" ht="13.5" customHeight="1" x14ac:dyDescent="0.2">
      <c r="A314" s="233">
        <f t="shared" ca="1" si="10"/>
        <v>0</v>
      </c>
      <c r="B314" s="233">
        <f t="shared" ca="1" si="11"/>
        <v>3</v>
      </c>
      <c r="C314" s="233">
        <f t="shared" ca="1" si="12"/>
        <v>1</v>
      </c>
      <c r="D314" s="234">
        <f t="shared" ca="1" si="13"/>
        <v>3</v>
      </c>
      <c r="E314" s="234">
        <f t="shared" ca="1" si="14"/>
        <v>2</v>
      </c>
    </row>
    <row r="315" spans="1:5" ht="13.5" customHeight="1" x14ac:dyDescent="0.2">
      <c r="A315" s="233">
        <f t="shared" ca="1" si="10"/>
        <v>0</v>
      </c>
      <c r="B315" s="233">
        <f t="shared" ca="1" si="11"/>
        <v>3</v>
      </c>
      <c r="C315" s="233">
        <f t="shared" ca="1" si="12"/>
        <v>1</v>
      </c>
      <c r="D315" s="234">
        <f t="shared" ca="1" si="13"/>
        <v>3</v>
      </c>
      <c r="E315" s="234">
        <f t="shared" ca="1" si="14"/>
        <v>2</v>
      </c>
    </row>
    <row r="316" spans="1:5" ht="13.5" customHeight="1" x14ac:dyDescent="0.2">
      <c r="A316" s="233">
        <f t="shared" ca="1" si="10"/>
        <v>0</v>
      </c>
      <c r="B316" s="233">
        <f t="shared" ca="1" si="11"/>
        <v>3</v>
      </c>
      <c r="C316" s="233">
        <f t="shared" ca="1" si="12"/>
        <v>1</v>
      </c>
      <c r="D316" s="234">
        <f t="shared" ca="1" si="13"/>
        <v>3</v>
      </c>
      <c r="E316" s="234">
        <f t="shared" ca="1" si="14"/>
        <v>2</v>
      </c>
    </row>
    <row r="317" spans="1:5" ht="13.5" customHeight="1" x14ac:dyDescent="0.2">
      <c r="A317" s="233">
        <f t="shared" ca="1" si="10"/>
        <v>0</v>
      </c>
      <c r="B317" s="233">
        <f t="shared" ca="1" si="11"/>
        <v>3</v>
      </c>
      <c r="C317" s="233">
        <f t="shared" ca="1" si="12"/>
        <v>1</v>
      </c>
      <c r="D317" s="234">
        <f t="shared" ca="1" si="13"/>
        <v>3</v>
      </c>
      <c r="E317" s="234">
        <f t="shared" ca="1" si="14"/>
        <v>2</v>
      </c>
    </row>
    <row r="318" spans="1:5" ht="13.5" customHeight="1" x14ac:dyDescent="0.2">
      <c r="A318" s="233">
        <f t="shared" ca="1" si="10"/>
        <v>0</v>
      </c>
      <c r="B318" s="233">
        <f t="shared" ca="1" si="11"/>
        <v>3</v>
      </c>
      <c r="C318" s="233">
        <f t="shared" ca="1" si="12"/>
        <v>1</v>
      </c>
      <c r="D318" s="234">
        <f t="shared" ca="1" si="13"/>
        <v>3</v>
      </c>
      <c r="E318" s="234">
        <f t="shared" ca="1" si="14"/>
        <v>2</v>
      </c>
    </row>
    <row r="319" spans="1:5" ht="13.5" customHeight="1" x14ac:dyDescent="0.2">
      <c r="A319" s="233">
        <f t="shared" ca="1" si="10"/>
        <v>0</v>
      </c>
      <c r="B319" s="233">
        <f t="shared" ca="1" si="11"/>
        <v>3</v>
      </c>
      <c r="C319" s="233">
        <f t="shared" ca="1" si="12"/>
        <v>1</v>
      </c>
      <c r="D319" s="234">
        <f t="shared" ca="1" si="13"/>
        <v>3</v>
      </c>
      <c r="E319" s="234">
        <f t="shared" ca="1" si="14"/>
        <v>2</v>
      </c>
    </row>
    <row r="320" spans="1:5" ht="13.5" customHeight="1" x14ac:dyDescent="0.2">
      <c r="A320" s="233">
        <f t="shared" ca="1" si="10"/>
        <v>0</v>
      </c>
      <c r="B320" s="233">
        <f t="shared" ca="1" si="11"/>
        <v>3</v>
      </c>
      <c r="C320" s="233">
        <f t="shared" ca="1" si="12"/>
        <v>1</v>
      </c>
      <c r="D320" s="234">
        <f t="shared" ca="1" si="13"/>
        <v>3</v>
      </c>
      <c r="E320" s="234">
        <f t="shared" ca="1" si="14"/>
        <v>2</v>
      </c>
    </row>
    <row r="321" spans="1:5" ht="13.5" customHeight="1" x14ac:dyDescent="0.2">
      <c r="A321" s="233">
        <f t="shared" ca="1" si="10"/>
        <v>0</v>
      </c>
      <c r="B321" s="233">
        <f t="shared" ca="1" si="11"/>
        <v>3</v>
      </c>
      <c r="C321" s="233">
        <f t="shared" ca="1" si="12"/>
        <v>1</v>
      </c>
      <c r="D321" s="234">
        <f t="shared" ca="1" si="13"/>
        <v>3</v>
      </c>
      <c r="E321" s="234">
        <f t="shared" ca="1" si="14"/>
        <v>2</v>
      </c>
    </row>
    <row r="322" spans="1:5" ht="13.5" customHeight="1" x14ac:dyDescent="0.2">
      <c r="A322" s="233">
        <f t="shared" ca="1" si="10"/>
        <v>0</v>
      </c>
      <c r="B322" s="233">
        <f t="shared" ca="1" si="11"/>
        <v>3</v>
      </c>
      <c r="C322" s="233">
        <f t="shared" ca="1" si="12"/>
        <v>1</v>
      </c>
      <c r="D322" s="234">
        <f t="shared" ca="1" si="13"/>
        <v>3</v>
      </c>
      <c r="E322" s="234">
        <f t="shared" ca="1" si="14"/>
        <v>2</v>
      </c>
    </row>
    <row r="323" spans="1:5" ht="13.5" customHeight="1" x14ac:dyDescent="0.2">
      <c r="A323" s="233">
        <f t="shared" ca="1" si="10"/>
        <v>0</v>
      </c>
      <c r="B323" s="233">
        <f t="shared" ca="1" si="11"/>
        <v>3</v>
      </c>
      <c r="C323" s="233">
        <f t="shared" ca="1" si="12"/>
        <v>1</v>
      </c>
      <c r="D323" s="234">
        <f t="shared" ca="1" si="13"/>
        <v>3</v>
      </c>
      <c r="E323" s="234">
        <f t="shared" ca="1" si="14"/>
        <v>2</v>
      </c>
    </row>
    <row r="324" spans="1:5" ht="13.5" customHeight="1" x14ac:dyDescent="0.2">
      <c r="A324" s="233">
        <f t="shared" ca="1" si="10"/>
        <v>0</v>
      </c>
      <c r="B324" s="233">
        <f t="shared" ca="1" si="11"/>
        <v>3</v>
      </c>
      <c r="C324" s="233">
        <f t="shared" ca="1" si="12"/>
        <v>1</v>
      </c>
      <c r="D324" s="234">
        <f t="shared" ca="1" si="13"/>
        <v>3</v>
      </c>
      <c r="E324" s="234">
        <f t="shared" ca="1" si="14"/>
        <v>2</v>
      </c>
    </row>
    <row r="325" spans="1:5" ht="13.5" customHeight="1" x14ac:dyDescent="0.2">
      <c r="A325" s="233">
        <f t="shared" ca="1" si="10"/>
        <v>0</v>
      </c>
      <c r="B325" s="233">
        <f t="shared" ca="1" si="11"/>
        <v>3</v>
      </c>
      <c r="C325" s="233">
        <f t="shared" ca="1" si="12"/>
        <v>1</v>
      </c>
      <c r="D325" s="234">
        <f t="shared" ca="1" si="13"/>
        <v>3</v>
      </c>
      <c r="E325" s="234">
        <f t="shared" ca="1" si="14"/>
        <v>2</v>
      </c>
    </row>
    <row r="326" spans="1:5" ht="13.5" customHeight="1" x14ac:dyDescent="0.2">
      <c r="A326" s="233">
        <f t="shared" ca="1" si="10"/>
        <v>0</v>
      </c>
      <c r="B326" s="233">
        <f t="shared" ca="1" si="11"/>
        <v>3</v>
      </c>
      <c r="C326" s="233">
        <f t="shared" ca="1" si="12"/>
        <v>1</v>
      </c>
      <c r="D326" s="234">
        <f t="shared" ca="1" si="13"/>
        <v>3</v>
      </c>
      <c r="E326" s="234">
        <f t="shared" ca="1" si="14"/>
        <v>2</v>
      </c>
    </row>
    <row r="327" spans="1:5" ht="13.5" customHeight="1" x14ac:dyDescent="0.2">
      <c r="A327" s="233">
        <f t="shared" ca="1" si="10"/>
        <v>0</v>
      </c>
      <c r="B327" s="233">
        <f t="shared" ca="1" si="11"/>
        <v>3</v>
      </c>
      <c r="C327" s="233">
        <f t="shared" ca="1" si="12"/>
        <v>1</v>
      </c>
      <c r="D327" s="234">
        <f t="shared" ca="1" si="13"/>
        <v>3</v>
      </c>
      <c r="E327" s="234">
        <f t="shared" ca="1" si="14"/>
        <v>2</v>
      </c>
    </row>
    <row r="328" spans="1:5" ht="13.5" customHeight="1" x14ac:dyDescent="0.2">
      <c r="A328" s="233">
        <f t="shared" ca="1" si="10"/>
        <v>0</v>
      </c>
      <c r="B328" s="233">
        <f t="shared" ca="1" si="11"/>
        <v>3</v>
      </c>
      <c r="C328" s="233">
        <f t="shared" ca="1" si="12"/>
        <v>1</v>
      </c>
      <c r="D328" s="234">
        <f t="shared" ca="1" si="13"/>
        <v>3</v>
      </c>
      <c r="E328" s="234">
        <f t="shared" ca="1" si="14"/>
        <v>2</v>
      </c>
    </row>
    <row r="329" spans="1:5" ht="13.5" customHeight="1" x14ac:dyDescent="0.2">
      <c r="A329" s="233">
        <f t="shared" ca="1" si="10"/>
        <v>0</v>
      </c>
      <c r="B329" s="233">
        <f t="shared" ca="1" si="11"/>
        <v>3</v>
      </c>
      <c r="C329" s="233">
        <f t="shared" ca="1" si="12"/>
        <v>1</v>
      </c>
      <c r="D329" s="234">
        <f t="shared" ca="1" si="13"/>
        <v>3</v>
      </c>
      <c r="E329" s="234">
        <f t="shared" ca="1" si="14"/>
        <v>2</v>
      </c>
    </row>
    <row r="330" spans="1:5" ht="13.5" customHeight="1" x14ac:dyDescent="0.2">
      <c r="A330" s="233">
        <f t="shared" ca="1" si="10"/>
        <v>0</v>
      </c>
      <c r="B330" s="233">
        <f t="shared" ca="1" si="11"/>
        <v>3</v>
      </c>
      <c r="C330" s="233">
        <f t="shared" ca="1" si="12"/>
        <v>1</v>
      </c>
      <c r="D330" s="234">
        <f t="shared" ca="1" si="13"/>
        <v>3</v>
      </c>
      <c r="E330" s="234">
        <f t="shared" ca="1" si="14"/>
        <v>2</v>
      </c>
    </row>
    <row r="331" spans="1:5" ht="13.5" customHeight="1" x14ac:dyDescent="0.2">
      <c r="A331" s="233">
        <f t="shared" ca="1" si="10"/>
        <v>0</v>
      </c>
      <c r="B331" s="233">
        <f t="shared" ca="1" si="11"/>
        <v>3</v>
      </c>
      <c r="C331" s="233">
        <f t="shared" ca="1" si="12"/>
        <v>1</v>
      </c>
      <c r="D331" s="234">
        <f t="shared" ca="1" si="13"/>
        <v>3</v>
      </c>
      <c r="E331" s="234">
        <f t="shared" ca="1" si="14"/>
        <v>2</v>
      </c>
    </row>
    <row r="332" spans="1:5" ht="13.5" customHeight="1" x14ac:dyDescent="0.2">
      <c r="A332" s="233">
        <f t="shared" ca="1" si="10"/>
        <v>0</v>
      </c>
      <c r="B332" s="233">
        <f t="shared" ca="1" si="11"/>
        <v>3</v>
      </c>
      <c r="C332" s="233">
        <f t="shared" ca="1" si="12"/>
        <v>1</v>
      </c>
      <c r="D332" s="234">
        <f t="shared" ca="1" si="13"/>
        <v>3</v>
      </c>
      <c r="E332" s="234">
        <f t="shared" ca="1" si="14"/>
        <v>2</v>
      </c>
    </row>
    <row r="333" spans="1:5" ht="13.5" customHeight="1" x14ac:dyDescent="0.2">
      <c r="A333" s="233">
        <f t="shared" ca="1" si="10"/>
        <v>0</v>
      </c>
      <c r="B333" s="233">
        <f t="shared" ca="1" si="11"/>
        <v>3</v>
      </c>
      <c r="C333" s="233">
        <f t="shared" ca="1" si="12"/>
        <v>1</v>
      </c>
      <c r="D333" s="234">
        <f t="shared" ca="1" si="13"/>
        <v>3</v>
      </c>
      <c r="E333" s="234">
        <f t="shared" ca="1" si="14"/>
        <v>2</v>
      </c>
    </row>
    <row r="334" spans="1:5" ht="13.5" customHeight="1" x14ac:dyDescent="0.2">
      <c r="A334" s="233">
        <f t="shared" ca="1" si="10"/>
        <v>0</v>
      </c>
      <c r="B334" s="233">
        <f t="shared" ca="1" si="11"/>
        <v>3</v>
      </c>
      <c r="C334" s="233">
        <f t="shared" ca="1" si="12"/>
        <v>1</v>
      </c>
      <c r="D334" s="234">
        <f t="shared" ca="1" si="13"/>
        <v>3</v>
      </c>
      <c r="E334" s="234">
        <f t="shared" ca="1" si="14"/>
        <v>2</v>
      </c>
    </row>
    <row r="335" spans="1:5" ht="13.5" customHeight="1" x14ac:dyDescent="0.2">
      <c r="A335" s="233">
        <f t="shared" ca="1" si="10"/>
        <v>0</v>
      </c>
      <c r="B335" s="233">
        <f t="shared" ca="1" si="11"/>
        <v>3</v>
      </c>
      <c r="C335" s="233">
        <f t="shared" ca="1" si="12"/>
        <v>1</v>
      </c>
      <c r="D335" s="234">
        <f t="shared" ca="1" si="13"/>
        <v>3</v>
      </c>
      <c r="E335" s="234">
        <f t="shared" ca="1" si="14"/>
        <v>2</v>
      </c>
    </row>
    <row r="336" spans="1:5" ht="13.5" customHeight="1" x14ac:dyDescent="0.2">
      <c r="A336" s="233">
        <f t="shared" ca="1" si="10"/>
        <v>0</v>
      </c>
      <c r="B336" s="233">
        <f t="shared" ca="1" si="11"/>
        <v>3</v>
      </c>
      <c r="C336" s="233">
        <f t="shared" ca="1" si="12"/>
        <v>1</v>
      </c>
      <c r="D336" s="234">
        <f t="shared" ca="1" si="13"/>
        <v>3</v>
      </c>
      <c r="E336" s="234">
        <f t="shared" ca="1" si="14"/>
        <v>2</v>
      </c>
    </row>
    <row r="337" spans="1:5" ht="13.5" customHeight="1" x14ac:dyDescent="0.2">
      <c r="A337" s="233">
        <f t="shared" ca="1" si="10"/>
        <v>0</v>
      </c>
      <c r="B337" s="233">
        <f t="shared" ca="1" si="11"/>
        <v>3</v>
      </c>
      <c r="C337" s="233">
        <f t="shared" ca="1" si="12"/>
        <v>1</v>
      </c>
      <c r="D337" s="234">
        <f t="shared" ca="1" si="13"/>
        <v>3</v>
      </c>
      <c r="E337" s="234">
        <f t="shared" ca="1" si="14"/>
        <v>2</v>
      </c>
    </row>
    <row r="338" spans="1:5" ht="13.5" customHeight="1" x14ac:dyDescent="0.2">
      <c r="A338" s="233">
        <f t="shared" ca="1" si="10"/>
        <v>0</v>
      </c>
      <c r="B338" s="233">
        <f t="shared" ca="1" si="11"/>
        <v>3</v>
      </c>
      <c r="C338" s="233">
        <f t="shared" ca="1" si="12"/>
        <v>1</v>
      </c>
      <c r="D338" s="234">
        <f t="shared" ca="1" si="13"/>
        <v>3</v>
      </c>
      <c r="E338" s="234">
        <f t="shared" ca="1" si="14"/>
        <v>2</v>
      </c>
    </row>
    <row r="339" spans="1:5" ht="13.5" customHeight="1" x14ac:dyDescent="0.2">
      <c r="A339" s="233">
        <f t="shared" ca="1" si="10"/>
        <v>0</v>
      </c>
      <c r="B339" s="233">
        <f t="shared" ca="1" si="11"/>
        <v>3</v>
      </c>
      <c r="C339" s="233">
        <f t="shared" ca="1" si="12"/>
        <v>1</v>
      </c>
      <c r="D339" s="234">
        <f t="shared" ca="1" si="13"/>
        <v>3</v>
      </c>
      <c r="E339" s="234">
        <f t="shared" ca="1" si="14"/>
        <v>2</v>
      </c>
    </row>
    <row r="340" spans="1:5" ht="13.5" customHeight="1" x14ac:dyDescent="0.2">
      <c r="A340" s="233">
        <f t="shared" ca="1" si="10"/>
        <v>0</v>
      </c>
      <c r="B340" s="233">
        <f t="shared" ca="1" si="11"/>
        <v>3</v>
      </c>
      <c r="C340" s="233">
        <f t="shared" ca="1" si="12"/>
        <v>1</v>
      </c>
      <c r="D340" s="234">
        <f t="shared" ca="1" si="13"/>
        <v>3</v>
      </c>
      <c r="E340" s="234">
        <f t="shared" ca="1" si="14"/>
        <v>2</v>
      </c>
    </row>
    <row r="341" spans="1:5" ht="13.5" customHeight="1" x14ac:dyDescent="0.2">
      <c r="A341" s="233">
        <f t="shared" ca="1" si="10"/>
        <v>0</v>
      </c>
      <c r="B341" s="233">
        <f t="shared" ca="1" si="11"/>
        <v>3</v>
      </c>
      <c r="C341" s="233">
        <f t="shared" ca="1" si="12"/>
        <v>1</v>
      </c>
      <c r="D341" s="234">
        <f t="shared" ca="1" si="13"/>
        <v>3</v>
      </c>
      <c r="E341" s="234">
        <f t="shared" ca="1" si="14"/>
        <v>2</v>
      </c>
    </row>
    <row r="342" spans="1:5" ht="13.5" customHeight="1" x14ac:dyDescent="0.2">
      <c r="A342" s="233">
        <f t="shared" ca="1" si="10"/>
        <v>0</v>
      </c>
      <c r="B342" s="233">
        <f t="shared" ca="1" si="11"/>
        <v>3</v>
      </c>
      <c r="C342" s="233">
        <f t="shared" ca="1" si="12"/>
        <v>1</v>
      </c>
      <c r="D342" s="234">
        <f t="shared" ca="1" si="13"/>
        <v>3</v>
      </c>
      <c r="E342" s="234">
        <f t="shared" ca="1" si="14"/>
        <v>2</v>
      </c>
    </row>
    <row r="343" spans="1:5" ht="13.5" customHeight="1" x14ac:dyDescent="0.2">
      <c r="A343" s="233">
        <f t="shared" ca="1" si="10"/>
        <v>0</v>
      </c>
      <c r="B343" s="233">
        <f t="shared" ca="1" si="11"/>
        <v>3</v>
      </c>
      <c r="C343" s="233">
        <f t="shared" ca="1" si="12"/>
        <v>1</v>
      </c>
      <c r="D343" s="234">
        <f t="shared" ca="1" si="13"/>
        <v>3</v>
      </c>
      <c r="E343" s="234">
        <f t="shared" ca="1" si="14"/>
        <v>2</v>
      </c>
    </row>
    <row r="344" spans="1:5" ht="13.5" customHeight="1" x14ac:dyDescent="0.2">
      <c r="A344" s="233">
        <f t="shared" ca="1" si="10"/>
        <v>0</v>
      </c>
      <c r="B344" s="233">
        <f t="shared" ca="1" si="11"/>
        <v>3</v>
      </c>
      <c r="C344" s="233">
        <f t="shared" ca="1" si="12"/>
        <v>1</v>
      </c>
      <c r="D344" s="234">
        <f t="shared" ca="1" si="13"/>
        <v>3</v>
      </c>
      <c r="E344" s="234">
        <f t="shared" ca="1" si="14"/>
        <v>2</v>
      </c>
    </row>
    <row r="345" spans="1:5" ht="13.5" customHeight="1" x14ac:dyDescent="0.2">
      <c r="A345" s="233">
        <f t="shared" ca="1" si="10"/>
        <v>0</v>
      </c>
      <c r="B345" s="233">
        <f t="shared" ca="1" si="11"/>
        <v>3</v>
      </c>
      <c r="C345" s="233">
        <f t="shared" ca="1" si="12"/>
        <v>1</v>
      </c>
      <c r="D345" s="234">
        <f t="shared" ca="1" si="13"/>
        <v>3</v>
      </c>
      <c r="E345" s="234">
        <f t="shared" ca="1" si="14"/>
        <v>2</v>
      </c>
    </row>
    <row r="346" spans="1:5" ht="13.5" customHeight="1" x14ac:dyDescent="0.2">
      <c r="A346" s="233">
        <f t="shared" ca="1" si="10"/>
        <v>0</v>
      </c>
      <c r="B346" s="233">
        <f t="shared" ca="1" si="11"/>
        <v>3</v>
      </c>
      <c r="C346" s="233">
        <f t="shared" ca="1" si="12"/>
        <v>1</v>
      </c>
      <c r="D346" s="234">
        <f t="shared" ca="1" si="13"/>
        <v>3</v>
      </c>
      <c r="E346" s="234">
        <f t="shared" ca="1" si="14"/>
        <v>2</v>
      </c>
    </row>
    <row r="347" spans="1:5" ht="13.5" customHeight="1" x14ac:dyDescent="0.2">
      <c r="A347" s="233">
        <f t="shared" ca="1" si="10"/>
        <v>0</v>
      </c>
      <c r="B347" s="233">
        <f t="shared" ca="1" si="11"/>
        <v>3</v>
      </c>
      <c r="C347" s="233">
        <f t="shared" ca="1" si="12"/>
        <v>1</v>
      </c>
      <c r="D347" s="234">
        <f t="shared" ca="1" si="13"/>
        <v>3</v>
      </c>
      <c r="E347" s="234">
        <f t="shared" ca="1" si="14"/>
        <v>2</v>
      </c>
    </row>
    <row r="348" spans="1:5" ht="13.5" customHeight="1" x14ac:dyDescent="0.2">
      <c r="A348" s="233">
        <f t="shared" ca="1" si="10"/>
        <v>0</v>
      </c>
      <c r="B348" s="233">
        <f t="shared" ca="1" si="11"/>
        <v>3</v>
      </c>
      <c r="C348" s="233">
        <f t="shared" ca="1" si="12"/>
        <v>1</v>
      </c>
      <c r="D348" s="234">
        <f t="shared" ca="1" si="13"/>
        <v>3</v>
      </c>
      <c r="E348" s="234">
        <f t="shared" ca="1" si="14"/>
        <v>2</v>
      </c>
    </row>
    <row r="349" spans="1:5" ht="13.5" customHeight="1" x14ac:dyDescent="0.2">
      <c r="A349" s="233">
        <f t="shared" ca="1" si="10"/>
        <v>0</v>
      </c>
      <c r="B349" s="233">
        <f t="shared" ca="1" si="11"/>
        <v>3</v>
      </c>
      <c r="C349" s="233">
        <f t="shared" ca="1" si="12"/>
        <v>1</v>
      </c>
      <c r="D349" s="234">
        <f t="shared" ca="1" si="13"/>
        <v>3</v>
      </c>
      <c r="E349" s="234">
        <f t="shared" ca="1" si="14"/>
        <v>2</v>
      </c>
    </row>
    <row r="350" spans="1:5" ht="13.5" customHeight="1" x14ac:dyDescent="0.2">
      <c r="A350" s="233">
        <f t="shared" ca="1" si="10"/>
        <v>0</v>
      </c>
      <c r="B350" s="233">
        <f t="shared" ca="1" si="11"/>
        <v>3</v>
      </c>
      <c r="C350" s="233">
        <f t="shared" ca="1" si="12"/>
        <v>1</v>
      </c>
      <c r="D350" s="234">
        <f t="shared" ca="1" si="13"/>
        <v>3</v>
      </c>
      <c r="E350" s="234">
        <f t="shared" ca="1" si="14"/>
        <v>2</v>
      </c>
    </row>
    <row r="351" spans="1:5" ht="13.5" customHeight="1" x14ac:dyDescent="0.2">
      <c r="A351" s="233">
        <f t="shared" ca="1" si="10"/>
        <v>0</v>
      </c>
      <c r="B351" s="233">
        <f t="shared" ca="1" si="11"/>
        <v>3</v>
      </c>
      <c r="C351" s="233">
        <f t="shared" ca="1" si="12"/>
        <v>1</v>
      </c>
      <c r="D351" s="234">
        <f t="shared" ca="1" si="13"/>
        <v>3</v>
      </c>
      <c r="E351" s="234">
        <f t="shared" ca="1" si="14"/>
        <v>2</v>
      </c>
    </row>
    <row r="352" spans="1:5" ht="13.5" customHeight="1" x14ac:dyDescent="0.2">
      <c r="A352" s="233">
        <f t="shared" ca="1" si="10"/>
        <v>0</v>
      </c>
      <c r="B352" s="233">
        <f t="shared" ca="1" si="11"/>
        <v>3</v>
      </c>
      <c r="C352" s="233">
        <f t="shared" ca="1" si="12"/>
        <v>1</v>
      </c>
      <c r="D352" s="234">
        <f t="shared" ca="1" si="13"/>
        <v>3</v>
      </c>
      <c r="E352" s="234">
        <f t="shared" ca="1" si="14"/>
        <v>2</v>
      </c>
    </row>
    <row r="353" spans="1:5" ht="13.5" customHeight="1" x14ac:dyDescent="0.2">
      <c r="A353" s="233">
        <f t="shared" ca="1" si="10"/>
        <v>0</v>
      </c>
      <c r="B353" s="233">
        <f t="shared" ca="1" si="11"/>
        <v>3</v>
      </c>
      <c r="C353" s="233">
        <f t="shared" ca="1" si="12"/>
        <v>1</v>
      </c>
      <c r="D353" s="234">
        <f t="shared" ca="1" si="13"/>
        <v>3</v>
      </c>
      <c r="E353" s="234">
        <f t="shared" ca="1" si="14"/>
        <v>2</v>
      </c>
    </row>
    <row r="354" spans="1:5" ht="13.5" customHeight="1" x14ac:dyDescent="0.2">
      <c r="A354" s="233">
        <f t="shared" ca="1" si="10"/>
        <v>0</v>
      </c>
      <c r="B354" s="233">
        <f t="shared" ca="1" si="11"/>
        <v>3</v>
      </c>
      <c r="C354" s="233">
        <f t="shared" ca="1" si="12"/>
        <v>1</v>
      </c>
      <c r="D354" s="234">
        <f t="shared" ca="1" si="13"/>
        <v>3</v>
      </c>
      <c r="E354" s="234">
        <f t="shared" ca="1" si="14"/>
        <v>2</v>
      </c>
    </row>
    <row r="355" spans="1:5" ht="13.5" customHeight="1" x14ac:dyDescent="0.2">
      <c r="A355" s="233">
        <f t="shared" ca="1" si="10"/>
        <v>0</v>
      </c>
      <c r="B355" s="233">
        <f t="shared" ca="1" si="11"/>
        <v>3</v>
      </c>
      <c r="C355" s="233">
        <f t="shared" ca="1" si="12"/>
        <v>1</v>
      </c>
      <c r="D355" s="234">
        <f t="shared" ca="1" si="13"/>
        <v>3</v>
      </c>
      <c r="E355" s="234">
        <f t="shared" ca="1" si="14"/>
        <v>2</v>
      </c>
    </row>
    <row r="356" spans="1:5" ht="13.5" customHeight="1" x14ac:dyDescent="0.2">
      <c r="A356" s="233">
        <f t="shared" ca="1" si="10"/>
        <v>0</v>
      </c>
      <c r="B356" s="233">
        <f t="shared" ca="1" si="11"/>
        <v>3</v>
      </c>
      <c r="C356" s="233">
        <f t="shared" ca="1" si="12"/>
        <v>1</v>
      </c>
      <c r="D356" s="234">
        <f t="shared" ca="1" si="13"/>
        <v>3</v>
      </c>
      <c r="E356" s="234">
        <f t="shared" ca="1" si="14"/>
        <v>2</v>
      </c>
    </row>
    <row r="357" spans="1:5" ht="13.5" customHeight="1" x14ac:dyDescent="0.2">
      <c r="A357" s="233">
        <f t="shared" ca="1" si="10"/>
        <v>0</v>
      </c>
      <c r="B357" s="233">
        <f t="shared" ca="1" si="11"/>
        <v>3</v>
      </c>
      <c r="C357" s="233">
        <f t="shared" ca="1" si="12"/>
        <v>1</v>
      </c>
      <c r="D357" s="234">
        <f t="shared" ca="1" si="13"/>
        <v>3</v>
      </c>
      <c r="E357" s="234">
        <f t="shared" ca="1" si="14"/>
        <v>2</v>
      </c>
    </row>
    <row r="358" spans="1:5" ht="13.5" customHeight="1" x14ac:dyDescent="0.2">
      <c r="A358" s="233">
        <f t="shared" ca="1" si="10"/>
        <v>0</v>
      </c>
      <c r="B358" s="233">
        <f t="shared" ca="1" si="11"/>
        <v>3</v>
      </c>
      <c r="C358" s="233">
        <f t="shared" ca="1" si="12"/>
        <v>1</v>
      </c>
      <c r="D358" s="234">
        <f t="shared" ca="1" si="13"/>
        <v>3</v>
      </c>
      <c r="E358" s="234">
        <f t="shared" ca="1" si="14"/>
        <v>2</v>
      </c>
    </row>
    <row r="359" spans="1:5" ht="13.5" customHeight="1" x14ac:dyDescent="0.2">
      <c r="A359" s="233">
        <f t="shared" ca="1" si="10"/>
        <v>0</v>
      </c>
      <c r="B359" s="233">
        <f t="shared" ca="1" si="11"/>
        <v>3</v>
      </c>
      <c r="C359" s="233">
        <f t="shared" ca="1" si="12"/>
        <v>1</v>
      </c>
      <c r="D359" s="234">
        <f t="shared" ca="1" si="13"/>
        <v>3</v>
      </c>
      <c r="E359" s="234">
        <f t="shared" ca="1" si="14"/>
        <v>2</v>
      </c>
    </row>
    <row r="360" spans="1:5" ht="13.5" customHeight="1" x14ac:dyDescent="0.2">
      <c r="A360" s="233">
        <f t="shared" ca="1" si="10"/>
        <v>0</v>
      </c>
      <c r="B360" s="233">
        <f t="shared" ca="1" si="11"/>
        <v>3</v>
      </c>
      <c r="C360" s="233">
        <f t="shared" ca="1" si="12"/>
        <v>1</v>
      </c>
      <c r="D360" s="234">
        <f t="shared" ca="1" si="13"/>
        <v>3</v>
      </c>
      <c r="E360" s="234">
        <f t="shared" ca="1" si="14"/>
        <v>2</v>
      </c>
    </row>
    <row r="361" spans="1:5" ht="13.5" customHeight="1" x14ac:dyDescent="0.2">
      <c r="A361" s="233">
        <f t="shared" ca="1" si="10"/>
        <v>0</v>
      </c>
      <c r="B361" s="233">
        <f t="shared" ca="1" si="11"/>
        <v>3</v>
      </c>
      <c r="C361" s="233">
        <f t="shared" ca="1" si="12"/>
        <v>1</v>
      </c>
      <c r="D361" s="234">
        <f t="shared" ca="1" si="13"/>
        <v>3</v>
      </c>
      <c r="E361" s="234">
        <f t="shared" ca="1" si="14"/>
        <v>2</v>
      </c>
    </row>
    <row r="362" spans="1:5" ht="13.5" customHeight="1" x14ac:dyDescent="0.2">
      <c r="A362" s="233">
        <f t="shared" ca="1" si="10"/>
        <v>0</v>
      </c>
      <c r="B362" s="233">
        <f t="shared" ca="1" si="11"/>
        <v>3</v>
      </c>
      <c r="C362" s="233">
        <f t="shared" ca="1" si="12"/>
        <v>1</v>
      </c>
      <c r="D362" s="234">
        <f t="shared" ca="1" si="13"/>
        <v>3</v>
      </c>
      <c r="E362" s="234">
        <f t="shared" ca="1" si="14"/>
        <v>2</v>
      </c>
    </row>
    <row r="363" spans="1:5" ht="13.5" customHeight="1" x14ac:dyDescent="0.2">
      <c r="A363" s="233">
        <f t="shared" ca="1" si="10"/>
        <v>0</v>
      </c>
      <c r="B363" s="233">
        <f t="shared" ca="1" si="11"/>
        <v>3</v>
      </c>
      <c r="C363" s="233">
        <f t="shared" ca="1" si="12"/>
        <v>1</v>
      </c>
      <c r="D363" s="234">
        <f t="shared" ca="1" si="13"/>
        <v>3</v>
      </c>
      <c r="E363" s="234">
        <f t="shared" ca="1" si="14"/>
        <v>2</v>
      </c>
    </row>
    <row r="364" spans="1:5" ht="13.5" customHeight="1" x14ac:dyDescent="0.2">
      <c r="A364" s="233">
        <f t="shared" ca="1" si="10"/>
        <v>0</v>
      </c>
      <c r="B364" s="233">
        <f t="shared" ca="1" si="11"/>
        <v>3</v>
      </c>
      <c r="C364" s="233">
        <f t="shared" ca="1" si="12"/>
        <v>1</v>
      </c>
      <c r="D364" s="234">
        <f t="shared" ca="1" si="13"/>
        <v>3</v>
      </c>
      <c r="E364" s="234">
        <f t="shared" ca="1" si="14"/>
        <v>2</v>
      </c>
    </row>
    <row r="365" spans="1:5" ht="13.5" customHeight="1" x14ac:dyDescent="0.2">
      <c r="A365" s="233">
        <f t="shared" ca="1" si="10"/>
        <v>0</v>
      </c>
      <c r="B365" s="233">
        <f t="shared" ca="1" si="11"/>
        <v>3</v>
      </c>
      <c r="C365" s="233">
        <f t="shared" ca="1" si="12"/>
        <v>1</v>
      </c>
      <c r="D365" s="234">
        <f t="shared" ca="1" si="13"/>
        <v>3</v>
      </c>
      <c r="E365" s="234">
        <f t="shared" ca="1" si="14"/>
        <v>2</v>
      </c>
    </row>
    <row r="366" spans="1:5" ht="13.5" customHeight="1" x14ac:dyDescent="0.2">
      <c r="A366" s="233">
        <f t="shared" ca="1" si="10"/>
        <v>0</v>
      </c>
      <c r="B366" s="233">
        <f t="shared" ca="1" si="11"/>
        <v>3</v>
      </c>
      <c r="C366" s="233">
        <f t="shared" ca="1" si="12"/>
        <v>1</v>
      </c>
      <c r="D366" s="234">
        <f t="shared" ca="1" si="13"/>
        <v>3</v>
      </c>
      <c r="E366" s="234">
        <f t="shared" ca="1" si="14"/>
        <v>2</v>
      </c>
    </row>
    <row r="367" spans="1:5" ht="13.5" customHeight="1" x14ac:dyDescent="0.2">
      <c r="A367" s="233">
        <f t="shared" ca="1" si="10"/>
        <v>0</v>
      </c>
      <c r="B367" s="233">
        <f t="shared" ca="1" si="11"/>
        <v>3</v>
      </c>
      <c r="C367" s="233">
        <f t="shared" ca="1" si="12"/>
        <v>1</v>
      </c>
      <c r="D367" s="234">
        <f t="shared" ca="1" si="13"/>
        <v>3</v>
      </c>
      <c r="E367" s="234">
        <f t="shared" ca="1" si="14"/>
        <v>2</v>
      </c>
    </row>
    <row r="368" spans="1:5" ht="13.5" customHeight="1" x14ac:dyDescent="0.2">
      <c r="A368" s="233">
        <f t="shared" ca="1" si="10"/>
        <v>0</v>
      </c>
      <c r="B368" s="233">
        <f t="shared" ca="1" si="11"/>
        <v>3</v>
      </c>
      <c r="C368" s="233">
        <f t="shared" ca="1" si="12"/>
        <v>1</v>
      </c>
      <c r="D368" s="234">
        <f t="shared" ca="1" si="13"/>
        <v>3</v>
      </c>
      <c r="E368" s="234">
        <f t="shared" ca="1" si="14"/>
        <v>2</v>
      </c>
    </row>
    <row r="369" spans="1:5" ht="13.5" customHeight="1" x14ac:dyDescent="0.2">
      <c r="A369" s="233">
        <f t="shared" ca="1" si="10"/>
        <v>0</v>
      </c>
      <c r="B369" s="233">
        <f t="shared" ca="1" si="11"/>
        <v>3</v>
      </c>
      <c r="C369" s="233">
        <f t="shared" ca="1" si="12"/>
        <v>1</v>
      </c>
      <c r="D369" s="234">
        <f t="shared" ca="1" si="13"/>
        <v>3</v>
      </c>
      <c r="E369" s="234">
        <f t="shared" ca="1" si="14"/>
        <v>2</v>
      </c>
    </row>
    <row r="370" spans="1:5" ht="13.5" customHeight="1" x14ac:dyDescent="0.2">
      <c r="A370" s="233">
        <f t="shared" ca="1" si="10"/>
        <v>0</v>
      </c>
      <c r="B370" s="233">
        <f t="shared" ca="1" si="11"/>
        <v>3</v>
      </c>
      <c r="C370" s="233">
        <f t="shared" ca="1" si="12"/>
        <v>1</v>
      </c>
      <c r="D370" s="234">
        <f t="shared" ca="1" si="13"/>
        <v>3</v>
      </c>
      <c r="E370" s="234">
        <f t="shared" ca="1" si="14"/>
        <v>2</v>
      </c>
    </row>
    <row r="371" spans="1:5" ht="13.5" customHeight="1" x14ac:dyDescent="0.2">
      <c r="A371" s="233">
        <f t="shared" ca="1" si="10"/>
        <v>0</v>
      </c>
      <c r="B371" s="233">
        <f t="shared" ca="1" si="11"/>
        <v>3</v>
      </c>
      <c r="C371" s="233">
        <f t="shared" ca="1" si="12"/>
        <v>1</v>
      </c>
      <c r="D371" s="234">
        <f t="shared" ca="1" si="13"/>
        <v>3</v>
      </c>
      <c r="E371" s="234">
        <f t="shared" ca="1" si="14"/>
        <v>2</v>
      </c>
    </row>
    <row r="372" spans="1:5" ht="13.5" customHeight="1" x14ac:dyDescent="0.2">
      <c r="A372" s="233">
        <f t="shared" ca="1" si="10"/>
        <v>0</v>
      </c>
      <c r="B372" s="233">
        <f t="shared" ca="1" si="11"/>
        <v>3</v>
      </c>
      <c r="C372" s="233">
        <f t="shared" ca="1" si="12"/>
        <v>1</v>
      </c>
      <c r="D372" s="234">
        <f t="shared" ca="1" si="13"/>
        <v>3</v>
      </c>
      <c r="E372" s="234">
        <f t="shared" ca="1" si="14"/>
        <v>2</v>
      </c>
    </row>
    <row r="373" spans="1:5" ht="13.5" customHeight="1" x14ac:dyDescent="0.2">
      <c r="A373" s="233">
        <f t="shared" ca="1" si="10"/>
        <v>0</v>
      </c>
      <c r="B373" s="233">
        <f t="shared" ca="1" si="11"/>
        <v>3</v>
      </c>
      <c r="C373" s="233">
        <f t="shared" ca="1" si="12"/>
        <v>1</v>
      </c>
      <c r="D373" s="234">
        <f t="shared" ca="1" si="13"/>
        <v>3</v>
      </c>
      <c r="E373" s="234">
        <f t="shared" ca="1" si="14"/>
        <v>2</v>
      </c>
    </row>
    <row r="374" spans="1:5" ht="13.5" customHeight="1" x14ac:dyDescent="0.2">
      <c r="A374" s="233">
        <f t="shared" ca="1" si="10"/>
        <v>0</v>
      </c>
      <c r="B374" s="233">
        <f t="shared" ca="1" si="11"/>
        <v>3</v>
      </c>
      <c r="C374" s="233">
        <f t="shared" ca="1" si="12"/>
        <v>1</v>
      </c>
      <c r="D374" s="234">
        <f t="shared" ca="1" si="13"/>
        <v>3</v>
      </c>
      <c r="E374" s="234">
        <f t="shared" ca="1" si="14"/>
        <v>2</v>
      </c>
    </row>
    <row r="375" spans="1:5" ht="13.5" customHeight="1" x14ac:dyDescent="0.2">
      <c r="A375" s="233">
        <f t="shared" ca="1" si="10"/>
        <v>0</v>
      </c>
      <c r="B375" s="233">
        <f t="shared" ca="1" si="11"/>
        <v>3</v>
      </c>
      <c r="C375" s="233">
        <f t="shared" ca="1" si="12"/>
        <v>1</v>
      </c>
      <c r="D375" s="234">
        <f t="shared" ca="1" si="13"/>
        <v>3</v>
      </c>
      <c r="E375" s="234">
        <f t="shared" ca="1" si="14"/>
        <v>2</v>
      </c>
    </row>
    <row r="376" spans="1:5" ht="13.5" customHeight="1" x14ac:dyDescent="0.2">
      <c r="A376" s="233">
        <f t="shared" ca="1" si="10"/>
        <v>0</v>
      </c>
      <c r="B376" s="233">
        <f t="shared" ca="1" si="11"/>
        <v>3</v>
      </c>
      <c r="C376" s="233">
        <f t="shared" ca="1" si="12"/>
        <v>1</v>
      </c>
      <c r="D376" s="234">
        <f t="shared" ca="1" si="13"/>
        <v>3</v>
      </c>
      <c r="E376" s="234">
        <f t="shared" ca="1" si="14"/>
        <v>2</v>
      </c>
    </row>
    <row r="377" spans="1:5" ht="13.5" customHeight="1" x14ac:dyDescent="0.2">
      <c r="A377" s="233">
        <f t="shared" ca="1" si="10"/>
        <v>0</v>
      </c>
      <c r="B377" s="233">
        <f t="shared" ca="1" si="11"/>
        <v>3</v>
      </c>
      <c r="C377" s="233">
        <f t="shared" ca="1" si="12"/>
        <v>1</v>
      </c>
      <c r="D377" s="234">
        <f t="shared" ca="1" si="13"/>
        <v>3</v>
      </c>
      <c r="E377" s="234">
        <f t="shared" ca="1" si="14"/>
        <v>2</v>
      </c>
    </row>
    <row r="378" spans="1:5" ht="13.5" customHeight="1" x14ac:dyDescent="0.2">
      <c r="A378" s="233">
        <f t="shared" ca="1" si="10"/>
        <v>0</v>
      </c>
      <c r="B378" s="233">
        <f t="shared" ca="1" si="11"/>
        <v>3</v>
      </c>
      <c r="C378" s="233">
        <f t="shared" ca="1" si="12"/>
        <v>1</v>
      </c>
      <c r="D378" s="234">
        <f t="shared" ca="1" si="13"/>
        <v>3</v>
      </c>
      <c r="E378" s="234">
        <f t="shared" ca="1" si="14"/>
        <v>2</v>
      </c>
    </row>
    <row r="379" spans="1:5" ht="13.5" customHeight="1" x14ac:dyDescent="0.2">
      <c r="A379" s="233">
        <f t="shared" ca="1" si="10"/>
        <v>0</v>
      </c>
      <c r="B379" s="233">
        <f t="shared" ca="1" si="11"/>
        <v>3</v>
      </c>
      <c r="C379" s="233">
        <f t="shared" ca="1" si="12"/>
        <v>1</v>
      </c>
      <c r="D379" s="234">
        <f t="shared" ca="1" si="13"/>
        <v>3</v>
      </c>
      <c r="E379" s="234">
        <f t="shared" ca="1" si="14"/>
        <v>2</v>
      </c>
    </row>
    <row r="380" spans="1:5" ht="13.5" customHeight="1" x14ac:dyDescent="0.2">
      <c r="A380" s="233">
        <f t="shared" ca="1" si="10"/>
        <v>0</v>
      </c>
      <c r="B380" s="233">
        <f t="shared" ca="1" si="11"/>
        <v>3</v>
      </c>
      <c r="C380" s="233">
        <f t="shared" ca="1" si="12"/>
        <v>1</v>
      </c>
      <c r="D380" s="234">
        <f t="shared" ca="1" si="13"/>
        <v>3</v>
      </c>
      <c r="E380" s="234">
        <f t="shared" ca="1" si="14"/>
        <v>2</v>
      </c>
    </row>
    <row r="381" spans="1:5" ht="13.5" customHeight="1" x14ac:dyDescent="0.2">
      <c r="A381" s="233">
        <f t="shared" ca="1" si="10"/>
        <v>0</v>
      </c>
      <c r="B381" s="233">
        <f t="shared" ca="1" si="11"/>
        <v>3</v>
      </c>
      <c r="C381" s="233">
        <f t="shared" ca="1" si="12"/>
        <v>1</v>
      </c>
      <c r="D381" s="234">
        <f t="shared" ca="1" si="13"/>
        <v>3</v>
      </c>
      <c r="E381" s="234">
        <f t="shared" ca="1" si="14"/>
        <v>2</v>
      </c>
    </row>
    <row r="382" spans="1:5" ht="13.5" customHeight="1" x14ac:dyDescent="0.2">
      <c r="A382" s="233">
        <f t="shared" ca="1" si="10"/>
        <v>0</v>
      </c>
      <c r="B382" s="233">
        <f t="shared" ca="1" si="11"/>
        <v>3</v>
      </c>
      <c r="C382" s="233">
        <f t="shared" ca="1" si="12"/>
        <v>1</v>
      </c>
      <c r="D382" s="234">
        <f t="shared" ca="1" si="13"/>
        <v>3</v>
      </c>
      <c r="E382" s="234">
        <f t="shared" ca="1" si="14"/>
        <v>2</v>
      </c>
    </row>
    <row r="383" spans="1:5" ht="13.5" customHeight="1" x14ac:dyDescent="0.2">
      <c r="A383" s="233">
        <f t="shared" ca="1" si="10"/>
        <v>0</v>
      </c>
      <c r="B383" s="233">
        <f t="shared" ca="1" si="11"/>
        <v>3</v>
      </c>
      <c r="C383" s="233">
        <f t="shared" ca="1" si="12"/>
        <v>1</v>
      </c>
      <c r="D383" s="234">
        <f t="shared" ca="1" si="13"/>
        <v>3</v>
      </c>
      <c r="E383" s="234">
        <f t="shared" ca="1" si="14"/>
        <v>2</v>
      </c>
    </row>
    <row r="384" spans="1:5" ht="13.5" customHeight="1" x14ac:dyDescent="0.2">
      <c r="A384" s="233">
        <f t="shared" ca="1" si="10"/>
        <v>0</v>
      </c>
      <c r="B384" s="233">
        <f t="shared" ca="1" si="11"/>
        <v>3</v>
      </c>
      <c r="C384" s="233">
        <f t="shared" ca="1" si="12"/>
        <v>1</v>
      </c>
      <c r="D384" s="234">
        <f t="shared" ca="1" si="13"/>
        <v>3</v>
      </c>
      <c r="E384" s="234">
        <f t="shared" ca="1" si="14"/>
        <v>2</v>
      </c>
    </row>
    <row r="385" spans="1:5" ht="13.5" customHeight="1" x14ac:dyDescent="0.2">
      <c r="A385" s="233">
        <f t="shared" ca="1" si="10"/>
        <v>0</v>
      </c>
      <c r="B385" s="233">
        <f t="shared" ca="1" si="11"/>
        <v>3</v>
      </c>
      <c r="C385" s="233">
        <f t="shared" ca="1" si="12"/>
        <v>1</v>
      </c>
      <c r="D385" s="234">
        <f t="shared" ca="1" si="13"/>
        <v>3</v>
      </c>
      <c r="E385" s="234">
        <f t="shared" ca="1" si="14"/>
        <v>2</v>
      </c>
    </row>
    <row r="386" spans="1:5" ht="13.5" customHeight="1" x14ac:dyDescent="0.2">
      <c r="A386" s="233">
        <f t="shared" ca="1" si="10"/>
        <v>0</v>
      </c>
      <c r="B386" s="233">
        <f t="shared" ca="1" si="11"/>
        <v>3</v>
      </c>
      <c r="C386" s="233">
        <f t="shared" ca="1" si="12"/>
        <v>1</v>
      </c>
      <c r="D386" s="234">
        <f t="shared" ca="1" si="13"/>
        <v>3</v>
      </c>
      <c r="E386" s="234">
        <f t="shared" ca="1" si="14"/>
        <v>2</v>
      </c>
    </row>
    <row r="387" spans="1:5" ht="13.5" customHeight="1" x14ac:dyDescent="0.2">
      <c r="A387" s="233">
        <f t="shared" ca="1" si="10"/>
        <v>0</v>
      </c>
      <c r="B387" s="233">
        <f t="shared" ca="1" si="11"/>
        <v>3</v>
      </c>
      <c r="C387" s="233">
        <f t="shared" ca="1" si="12"/>
        <v>1</v>
      </c>
      <c r="D387" s="234">
        <f t="shared" ca="1" si="13"/>
        <v>3</v>
      </c>
      <c r="E387" s="234">
        <f t="shared" ca="1" si="14"/>
        <v>2</v>
      </c>
    </row>
    <row r="388" spans="1:5" ht="13.5" customHeight="1" x14ac:dyDescent="0.2">
      <c r="A388" s="233">
        <f t="shared" ca="1" si="10"/>
        <v>0</v>
      </c>
      <c r="B388" s="233">
        <f t="shared" ca="1" si="11"/>
        <v>3</v>
      </c>
      <c r="C388" s="233">
        <f t="shared" ca="1" si="12"/>
        <v>1</v>
      </c>
      <c r="D388" s="234">
        <f t="shared" ca="1" si="13"/>
        <v>3</v>
      </c>
      <c r="E388" s="234">
        <f t="shared" ca="1" si="14"/>
        <v>2</v>
      </c>
    </row>
    <row r="389" spans="1:5" ht="13.5" customHeight="1" x14ac:dyDescent="0.2">
      <c r="A389" s="233">
        <f t="shared" ca="1" si="10"/>
        <v>0</v>
      </c>
      <c r="B389" s="233">
        <f t="shared" ca="1" si="11"/>
        <v>3</v>
      </c>
      <c r="C389" s="233">
        <f t="shared" ca="1" si="12"/>
        <v>1</v>
      </c>
      <c r="D389" s="234">
        <f t="shared" ca="1" si="13"/>
        <v>3</v>
      </c>
      <c r="E389" s="234">
        <f t="shared" ca="1" si="14"/>
        <v>2</v>
      </c>
    </row>
    <row r="390" spans="1:5" ht="13.5" customHeight="1" x14ac:dyDescent="0.2">
      <c r="A390" s="233">
        <f t="shared" ca="1" si="10"/>
        <v>0</v>
      </c>
      <c r="B390" s="233">
        <f t="shared" ca="1" si="11"/>
        <v>3</v>
      </c>
      <c r="C390" s="233">
        <f t="shared" ca="1" si="12"/>
        <v>1</v>
      </c>
      <c r="D390" s="234">
        <f t="shared" ca="1" si="13"/>
        <v>3</v>
      </c>
      <c r="E390" s="234">
        <f t="shared" ca="1" si="14"/>
        <v>2</v>
      </c>
    </row>
    <row r="391" spans="1:5" ht="13.5" customHeight="1" x14ac:dyDescent="0.2">
      <c r="A391" s="233">
        <f t="shared" ca="1" si="10"/>
        <v>0</v>
      </c>
      <c r="B391" s="233">
        <f t="shared" ca="1" si="11"/>
        <v>3</v>
      </c>
      <c r="C391" s="233">
        <f t="shared" ca="1" si="12"/>
        <v>1</v>
      </c>
      <c r="D391" s="234">
        <f t="shared" ca="1" si="13"/>
        <v>3</v>
      </c>
      <c r="E391" s="234">
        <f t="shared" ca="1" si="14"/>
        <v>2</v>
      </c>
    </row>
    <row r="392" spans="1:5" ht="13.5" customHeight="1" x14ac:dyDescent="0.2">
      <c r="A392" s="233">
        <f t="shared" ca="1" si="10"/>
        <v>0</v>
      </c>
      <c r="B392" s="233">
        <f t="shared" ca="1" si="11"/>
        <v>3</v>
      </c>
      <c r="C392" s="233">
        <f t="shared" ca="1" si="12"/>
        <v>1</v>
      </c>
      <c r="D392" s="234">
        <f t="shared" ca="1" si="13"/>
        <v>3</v>
      </c>
      <c r="E392" s="234">
        <f t="shared" ca="1" si="14"/>
        <v>2</v>
      </c>
    </row>
    <row r="393" spans="1:5" ht="13.5" customHeight="1" x14ac:dyDescent="0.2">
      <c r="A393" s="233">
        <f t="shared" ca="1" si="10"/>
        <v>0</v>
      </c>
      <c r="B393" s="233">
        <f t="shared" ca="1" si="11"/>
        <v>3</v>
      </c>
      <c r="C393" s="233">
        <f t="shared" ca="1" si="12"/>
        <v>1</v>
      </c>
      <c r="D393" s="234">
        <f t="shared" ca="1" si="13"/>
        <v>3</v>
      </c>
      <c r="E393" s="234">
        <f t="shared" ca="1" si="14"/>
        <v>2</v>
      </c>
    </row>
    <row r="394" spans="1:5" ht="13.5" customHeight="1" x14ac:dyDescent="0.2">
      <c r="A394" s="233">
        <f t="shared" ca="1" si="10"/>
        <v>0</v>
      </c>
      <c r="B394" s="233">
        <f t="shared" ca="1" si="11"/>
        <v>3</v>
      </c>
      <c r="C394" s="233">
        <f t="shared" ca="1" si="12"/>
        <v>1</v>
      </c>
      <c r="D394" s="234">
        <f t="shared" ca="1" si="13"/>
        <v>3</v>
      </c>
      <c r="E394" s="234">
        <f t="shared" ca="1" si="14"/>
        <v>2</v>
      </c>
    </row>
    <row r="395" spans="1:5" ht="13.5" customHeight="1" x14ac:dyDescent="0.2">
      <c r="A395" s="233">
        <f t="shared" ca="1" si="10"/>
        <v>0</v>
      </c>
      <c r="B395" s="233">
        <f t="shared" ca="1" si="11"/>
        <v>3</v>
      </c>
      <c r="C395" s="233">
        <f t="shared" ca="1" si="12"/>
        <v>1</v>
      </c>
      <c r="D395" s="234">
        <f t="shared" ca="1" si="13"/>
        <v>3</v>
      </c>
      <c r="E395" s="234">
        <f t="shared" ca="1" si="14"/>
        <v>2</v>
      </c>
    </row>
    <row r="396" spans="1:5" ht="13.5" customHeight="1" x14ac:dyDescent="0.2">
      <c r="A396" s="233">
        <f t="shared" ca="1" si="10"/>
        <v>0</v>
      </c>
      <c r="B396" s="233">
        <f t="shared" ca="1" si="11"/>
        <v>3</v>
      </c>
      <c r="C396" s="233">
        <f t="shared" ca="1" si="12"/>
        <v>1</v>
      </c>
      <c r="D396" s="234">
        <f t="shared" ca="1" si="13"/>
        <v>3</v>
      </c>
      <c r="E396" s="234">
        <f t="shared" ca="1" si="14"/>
        <v>2</v>
      </c>
    </row>
    <row r="397" spans="1:5" ht="13.5" customHeight="1" x14ac:dyDescent="0.2">
      <c r="A397" s="233">
        <f t="shared" ca="1" si="10"/>
        <v>0</v>
      </c>
      <c r="B397" s="233">
        <f t="shared" ca="1" si="11"/>
        <v>3</v>
      </c>
      <c r="C397" s="233">
        <f t="shared" ca="1" si="12"/>
        <v>1</v>
      </c>
      <c r="D397" s="234">
        <f t="shared" ca="1" si="13"/>
        <v>3</v>
      </c>
      <c r="E397" s="234">
        <f t="shared" ca="1" si="14"/>
        <v>2</v>
      </c>
    </row>
    <row r="398" spans="1:5" ht="13.5" customHeight="1" x14ac:dyDescent="0.2">
      <c r="A398" s="233">
        <f t="shared" ca="1" si="10"/>
        <v>0</v>
      </c>
      <c r="B398" s="233">
        <f t="shared" ca="1" si="11"/>
        <v>3</v>
      </c>
      <c r="C398" s="233">
        <f t="shared" ca="1" si="12"/>
        <v>1</v>
      </c>
      <c r="D398" s="234">
        <f t="shared" ca="1" si="13"/>
        <v>3</v>
      </c>
      <c r="E398" s="234">
        <f t="shared" ca="1" si="14"/>
        <v>2</v>
      </c>
    </row>
    <row r="399" spans="1:5" ht="13.5" customHeight="1" x14ac:dyDescent="0.2">
      <c r="A399" s="233">
        <f t="shared" ca="1" si="10"/>
        <v>0</v>
      </c>
      <c r="B399" s="233">
        <f t="shared" ca="1" si="11"/>
        <v>3</v>
      </c>
      <c r="C399" s="233">
        <f t="shared" ca="1" si="12"/>
        <v>1</v>
      </c>
      <c r="D399" s="234">
        <f t="shared" ca="1" si="13"/>
        <v>3</v>
      </c>
      <c r="E399" s="234">
        <f t="shared" ca="1" si="14"/>
        <v>2</v>
      </c>
    </row>
    <row r="400" spans="1:5" ht="13.5" customHeight="1" x14ac:dyDescent="0.2">
      <c r="A400" s="233">
        <f t="shared" ca="1" si="10"/>
        <v>0</v>
      </c>
      <c r="B400" s="233">
        <f t="shared" ca="1" si="11"/>
        <v>3</v>
      </c>
      <c r="C400" s="233">
        <f t="shared" ca="1" si="12"/>
        <v>1</v>
      </c>
      <c r="D400" s="234">
        <f t="shared" ca="1" si="13"/>
        <v>3</v>
      </c>
      <c r="E400" s="234">
        <f t="shared" ca="1" si="14"/>
        <v>2</v>
      </c>
    </row>
    <row r="401" spans="1:5" ht="13.5" customHeight="1" x14ac:dyDescent="0.2">
      <c r="A401" s="233">
        <f t="shared" ca="1" si="10"/>
        <v>0</v>
      </c>
      <c r="B401" s="233">
        <f t="shared" ca="1" si="11"/>
        <v>3</v>
      </c>
      <c r="C401" s="233">
        <f t="shared" ca="1" si="12"/>
        <v>1</v>
      </c>
      <c r="D401" s="234">
        <f t="shared" ca="1" si="13"/>
        <v>3</v>
      </c>
      <c r="E401" s="234">
        <f t="shared" ca="1" si="14"/>
        <v>2</v>
      </c>
    </row>
    <row r="402" spans="1:5" ht="13.5" customHeight="1" x14ac:dyDescent="0.2">
      <c r="A402" s="233">
        <f t="shared" ca="1" si="10"/>
        <v>0</v>
      </c>
      <c r="B402" s="233">
        <f t="shared" ca="1" si="11"/>
        <v>3</v>
      </c>
      <c r="C402" s="233">
        <f t="shared" ca="1" si="12"/>
        <v>1</v>
      </c>
      <c r="D402" s="234">
        <f t="shared" ca="1" si="13"/>
        <v>3</v>
      </c>
      <c r="E402" s="234">
        <f t="shared" ca="1" si="14"/>
        <v>2</v>
      </c>
    </row>
    <row r="403" spans="1:5" ht="13.5" customHeight="1" x14ac:dyDescent="0.2">
      <c r="A403" s="233">
        <f t="shared" ca="1" si="10"/>
        <v>0</v>
      </c>
      <c r="B403" s="233">
        <f t="shared" ca="1" si="11"/>
        <v>3</v>
      </c>
      <c r="C403" s="233">
        <f t="shared" ca="1" si="12"/>
        <v>1</v>
      </c>
      <c r="D403" s="234">
        <f t="shared" ca="1" si="13"/>
        <v>3</v>
      </c>
      <c r="E403" s="234">
        <f t="shared" ca="1" si="14"/>
        <v>2</v>
      </c>
    </row>
    <row r="404" spans="1:5" ht="13.5" customHeight="1" x14ac:dyDescent="0.2">
      <c r="A404" s="233">
        <f t="shared" ca="1" si="10"/>
        <v>0</v>
      </c>
      <c r="B404" s="233">
        <f t="shared" ca="1" si="11"/>
        <v>3</v>
      </c>
      <c r="C404" s="233">
        <f t="shared" ca="1" si="12"/>
        <v>1</v>
      </c>
      <c r="D404" s="234">
        <f t="shared" ca="1" si="13"/>
        <v>3</v>
      </c>
      <c r="E404" s="234">
        <f t="shared" ca="1" si="14"/>
        <v>2</v>
      </c>
    </row>
    <row r="405" spans="1:5" ht="13.5" customHeight="1" x14ac:dyDescent="0.2">
      <c r="A405" s="233">
        <f t="shared" ca="1" si="10"/>
        <v>0</v>
      </c>
      <c r="B405" s="233">
        <f t="shared" ca="1" si="11"/>
        <v>3</v>
      </c>
      <c r="C405" s="233">
        <f t="shared" ca="1" si="12"/>
        <v>1</v>
      </c>
      <c r="D405" s="234">
        <f t="shared" ca="1" si="13"/>
        <v>3</v>
      </c>
      <c r="E405" s="234">
        <f t="shared" ca="1" si="14"/>
        <v>2</v>
      </c>
    </row>
    <row r="406" spans="1:5" ht="13.5" customHeight="1" x14ac:dyDescent="0.2">
      <c r="A406" s="233">
        <f t="shared" ca="1" si="10"/>
        <v>0</v>
      </c>
      <c r="B406" s="233">
        <f t="shared" ca="1" si="11"/>
        <v>3</v>
      </c>
      <c r="C406" s="233">
        <f t="shared" ca="1" si="12"/>
        <v>1</v>
      </c>
      <c r="D406" s="234">
        <f t="shared" ca="1" si="13"/>
        <v>3</v>
      </c>
      <c r="E406" s="234">
        <f t="shared" ca="1" si="14"/>
        <v>2</v>
      </c>
    </row>
    <row r="407" spans="1:5" ht="13.5" customHeight="1" x14ac:dyDescent="0.2">
      <c r="A407" s="233">
        <f t="shared" ca="1" si="10"/>
        <v>0</v>
      </c>
      <c r="B407" s="233">
        <f t="shared" ca="1" si="11"/>
        <v>3</v>
      </c>
      <c r="C407" s="233">
        <f t="shared" ca="1" si="12"/>
        <v>1</v>
      </c>
      <c r="D407" s="234">
        <f t="shared" ca="1" si="13"/>
        <v>3</v>
      </c>
      <c r="E407" s="234">
        <f t="shared" ca="1" si="14"/>
        <v>2</v>
      </c>
    </row>
    <row r="408" spans="1:5" ht="13.5" customHeight="1" x14ac:dyDescent="0.2">
      <c r="A408" s="233">
        <f t="shared" ca="1" si="10"/>
        <v>0</v>
      </c>
      <c r="B408" s="233">
        <f t="shared" ca="1" si="11"/>
        <v>3</v>
      </c>
      <c r="C408" s="233">
        <f t="shared" ca="1" si="12"/>
        <v>1</v>
      </c>
      <c r="D408" s="234">
        <f t="shared" ca="1" si="13"/>
        <v>3</v>
      </c>
      <c r="E408" s="234">
        <f t="shared" ca="1" si="14"/>
        <v>2</v>
      </c>
    </row>
    <row r="409" spans="1:5" ht="13.5" customHeight="1" x14ac:dyDescent="0.2">
      <c r="A409" s="233">
        <f t="shared" ca="1" si="10"/>
        <v>0</v>
      </c>
      <c r="B409" s="233">
        <f t="shared" ca="1" si="11"/>
        <v>3</v>
      </c>
      <c r="C409" s="233">
        <f t="shared" ca="1" si="12"/>
        <v>1</v>
      </c>
      <c r="D409" s="234">
        <f t="shared" ca="1" si="13"/>
        <v>3</v>
      </c>
      <c r="E409" s="234">
        <f t="shared" ca="1" si="14"/>
        <v>2</v>
      </c>
    </row>
    <row r="410" spans="1:5" ht="13.5" customHeight="1" x14ac:dyDescent="0.2">
      <c r="A410" s="233">
        <f t="shared" ca="1" si="10"/>
        <v>0</v>
      </c>
      <c r="B410" s="233">
        <f t="shared" ca="1" si="11"/>
        <v>3</v>
      </c>
      <c r="C410" s="233">
        <f t="shared" ca="1" si="12"/>
        <v>1</v>
      </c>
      <c r="D410" s="234">
        <f t="shared" ca="1" si="13"/>
        <v>3</v>
      </c>
      <c r="E410" s="234">
        <f t="shared" ca="1" si="14"/>
        <v>2</v>
      </c>
    </row>
    <row r="411" spans="1:5" ht="13.5" customHeight="1" x14ac:dyDescent="0.2">
      <c r="A411" s="233">
        <f t="shared" ca="1" si="10"/>
        <v>0</v>
      </c>
      <c r="B411" s="233">
        <f t="shared" ca="1" si="11"/>
        <v>3</v>
      </c>
      <c r="C411" s="233">
        <f t="shared" ca="1" si="12"/>
        <v>1</v>
      </c>
      <c r="D411" s="234">
        <f t="shared" ca="1" si="13"/>
        <v>3</v>
      </c>
      <c r="E411" s="234">
        <f t="shared" ca="1" si="14"/>
        <v>2</v>
      </c>
    </row>
    <row r="412" spans="1:5" ht="13.5" customHeight="1" x14ac:dyDescent="0.2">
      <c r="A412" s="233">
        <f t="shared" ca="1" si="10"/>
        <v>0</v>
      </c>
      <c r="B412" s="233">
        <f t="shared" ca="1" si="11"/>
        <v>3</v>
      </c>
      <c r="C412" s="233">
        <f t="shared" ca="1" si="12"/>
        <v>1</v>
      </c>
      <c r="D412" s="234">
        <f t="shared" ca="1" si="13"/>
        <v>3</v>
      </c>
      <c r="E412" s="234">
        <f t="shared" ca="1" si="14"/>
        <v>2</v>
      </c>
    </row>
    <row r="413" spans="1:5" ht="13.5" customHeight="1" x14ac:dyDescent="0.2">
      <c r="A413" s="233">
        <f t="shared" ca="1" si="10"/>
        <v>0</v>
      </c>
      <c r="B413" s="233">
        <f t="shared" ca="1" si="11"/>
        <v>3</v>
      </c>
      <c r="C413" s="233">
        <f t="shared" ca="1" si="12"/>
        <v>1</v>
      </c>
      <c r="D413" s="234">
        <f t="shared" ca="1" si="13"/>
        <v>3</v>
      </c>
      <c r="E413" s="234">
        <f t="shared" ca="1" si="14"/>
        <v>2</v>
      </c>
    </row>
    <row r="414" spans="1:5" ht="13.5" customHeight="1" x14ac:dyDescent="0.2">
      <c r="A414" s="233">
        <f t="shared" ca="1" si="10"/>
        <v>0</v>
      </c>
      <c r="B414" s="233">
        <f t="shared" ca="1" si="11"/>
        <v>3</v>
      </c>
      <c r="C414" s="233">
        <f t="shared" ca="1" si="12"/>
        <v>1</v>
      </c>
      <c r="D414" s="234">
        <f t="shared" ca="1" si="13"/>
        <v>3</v>
      </c>
      <c r="E414" s="234">
        <f t="shared" ca="1" si="14"/>
        <v>2</v>
      </c>
    </row>
    <row r="415" spans="1:5" ht="13.5" customHeight="1" x14ac:dyDescent="0.2">
      <c r="A415" s="233">
        <f t="shared" ca="1" si="10"/>
        <v>0</v>
      </c>
      <c r="B415" s="233">
        <f t="shared" ca="1" si="11"/>
        <v>3</v>
      </c>
      <c r="C415" s="233">
        <f t="shared" ca="1" si="12"/>
        <v>1</v>
      </c>
      <c r="D415" s="234">
        <f t="shared" ca="1" si="13"/>
        <v>3</v>
      </c>
      <c r="E415" s="234">
        <f t="shared" ca="1" si="14"/>
        <v>2</v>
      </c>
    </row>
    <row r="416" spans="1:5" ht="13.5" customHeight="1" x14ac:dyDescent="0.2">
      <c r="A416" s="233">
        <f t="shared" ca="1" si="10"/>
        <v>0</v>
      </c>
      <c r="B416" s="233">
        <f t="shared" ca="1" si="11"/>
        <v>3</v>
      </c>
      <c r="C416" s="233">
        <f t="shared" ca="1" si="12"/>
        <v>1</v>
      </c>
      <c r="D416" s="234">
        <f t="shared" ca="1" si="13"/>
        <v>3</v>
      </c>
      <c r="E416" s="234">
        <f t="shared" ca="1" si="14"/>
        <v>2</v>
      </c>
    </row>
    <row r="417" spans="1:5" ht="13.5" customHeight="1" x14ac:dyDescent="0.2">
      <c r="A417" s="233">
        <f t="shared" ca="1" si="10"/>
        <v>0</v>
      </c>
      <c r="B417" s="233">
        <f t="shared" ca="1" si="11"/>
        <v>3</v>
      </c>
      <c r="C417" s="233">
        <f t="shared" ca="1" si="12"/>
        <v>1</v>
      </c>
      <c r="D417" s="234">
        <f t="shared" ca="1" si="13"/>
        <v>3</v>
      </c>
      <c r="E417" s="234">
        <f t="shared" ca="1" si="14"/>
        <v>2</v>
      </c>
    </row>
    <row r="418" spans="1:5" ht="13.5" customHeight="1" x14ac:dyDescent="0.2">
      <c r="A418" s="233">
        <f t="shared" ca="1" si="10"/>
        <v>0</v>
      </c>
      <c r="B418" s="233">
        <f t="shared" ca="1" si="11"/>
        <v>3</v>
      </c>
      <c r="C418" s="233">
        <f t="shared" ca="1" si="12"/>
        <v>1</v>
      </c>
      <c r="D418" s="234">
        <f t="shared" ca="1" si="13"/>
        <v>3</v>
      </c>
      <c r="E418" s="234">
        <f t="shared" ca="1" si="14"/>
        <v>2</v>
      </c>
    </row>
    <row r="419" spans="1:5" ht="13.5" customHeight="1" x14ac:dyDescent="0.2">
      <c r="A419" s="233">
        <f t="shared" ca="1" si="10"/>
        <v>0</v>
      </c>
      <c r="B419" s="233">
        <f t="shared" ca="1" si="11"/>
        <v>3</v>
      </c>
      <c r="C419" s="233">
        <f t="shared" ca="1" si="12"/>
        <v>1</v>
      </c>
      <c r="D419" s="234">
        <f t="shared" ca="1" si="13"/>
        <v>3</v>
      </c>
      <c r="E419" s="234">
        <f t="shared" ca="1" si="14"/>
        <v>2</v>
      </c>
    </row>
    <row r="420" spans="1:5" ht="13.5" customHeight="1" x14ac:dyDescent="0.2">
      <c r="A420" s="233">
        <f t="shared" ca="1" si="10"/>
        <v>0</v>
      </c>
      <c r="B420" s="233">
        <f t="shared" ca="1" si="11"/>
        <v>3</v>
      </c>
      <c r="C420" s="233">
        <f t="shared" ca="1" si="12"/>
        <v>1</v>
      </c>
      <c r="D420" s="234">
        <f t="shared" ca="1" si="13"/>
        <v>3</v>
      </c>
      <c r="E420" s="234">
        <f t="shared" ca="1" si="14"/>
        <v>2</v>
      </c>
    </row>
    <row r="421" spans="1:5" ht="13.5" customHeight="1" x14ac:dyDescent="0.2">
      <c r="A421" s="233">
        <f t="shared" ca="1" si="10"/>
        <v>0</v>
      </c>
      <c r="B421" s="233">
        <f t="shared" ca="1" si="11"/>
        <v>3</v>
      </c>
      <c r="C421" s="233">
        <f t="shared" ca="1" si="12"/>
        <v>1</v>
      </c>
      <c r="D421" s="234">
        <f t="shared" ca="1" si="13"/>
        <v>3</v>
      </c>
      <c r="E421" s="234">
        <f t="shared" ca="1" si="14"/>
        <v>2</v>
      </c>
    </row>
    <row r="422" spans="1:5" ht="13.5" customHeight="1" x14ac:dyDescent="0.2">
      <c r="A422" s="233">
        <f t="shared" ca="1" si="10"/>
        <v>0</v>
      </c>
      <c r="B422" s="233">
        <f t="shared" ca="1" si="11"/>
        <v>3</v>
      </c>
      <c r="C422" s="233">
        <f t="shared" ca="1" si="12"/>
        <v>1</v>
      </c>
      <c r="D422" s="234">
        <f t="shared" ca="1" si="13"/>
        <v>3</v>
      </c>
      <c r="E422" s="234">
        <f t="shared" ca="1" si="14"/>
        <v>2</v>
      </c>
    </row>
    <row r="423" spans="1:5" ht="13.5" customHeight="1" x14ac:dyDescent="0.2">
      <c r="A423" s="233">
        <f t="shared" ca="1" si="10"/>
        <v>0</v>
      </c>
      <c r="B423" s="233">
        <f t="shared" ca="1" si="11"/>
        <v>3</v>
      </c>
      <c r="C423" s="233">
        <f t="shared" ca="1" si="12"/>
        <v>1</v>
      </c>
      <c r="D423" s="234">
        <f t="shared" ca="1" si="13"/>
        <v>3</v>
      </c>
      <c r="E423" s="234">
        <f t="shared" ca="1" si="14"/>
        <v>2</v>
      </c>
    </row>
    <row r="424" spans="1:5" ht="13.5" customHeight="1" x14ac:dyDescent="0.2">
      <c r="A424" s="233">
        <f t="shared" ca="1" si="10"/>
        <v>0</v>
      </c>
      <c r="B424" s="233">
        <f t="shared" ca="1" si="11"/>
        <v>3</v>
      </c>
      <c r="C424" s="233">
        <f t="shared" ca="1" si="12"/>
        <v>1</v>
      </c>
      <c r="D424" s="234">
        <f t="shared" ca="1" si="13"/>
        <v>3</v>
      </c>
      <c r="E424" s="234">
        <f t="shared" ca="1" si="14"/>
        <v>2</v>
      </c>
    </row>
    <row r="425" spans="1:5" ht="13.5" customHeight="1" x14ac:dyDescent="0.2">
      <c r="A425" s="233">
        <f t="shared" ca="1" si="10"/>
        <v>0</v>
      </c>
      <c r="B425" s="233">
        <f t="shared" ca="1" si="11"/>
        <v>3</v>
      </c>
      <c r="C425" s="233">
        <f t="shared" ca="1" si="12"/>
        <v>1</v>
      </c>
      <c r="D425" s="234">
        <f t="shared" ca="1" si="13"/>
        <v>3</v>
      </c>
      <c r="E425" s="234">
        <f t="shared" ca="1" si="14"/>
        <v>2</v>
      </c>
    </row>
    <row r="426" spans="1:5" ht="13.5" customHeight="1" x14ac:dyDescent="0.2">
      <c r="A426" s="233">
        <f t="shared" ca="1" si="10"/>
        <v>0</v>
      </c>
      <c r="B426" s="233">
        <f t="shared" ca="1" si="11"/>
        <v>3</v>
      </c>
      <c r="C426" s="233">
        <f t="shared" ca="1" si="12"/>
        <v>1</v>
      </c>
      <c r="D426" s="234">
        <f t="shared" ca="1" si="13"/>
        <v>3</v>
      </c>
      <c r="E426" s="234">
        <f t="shared" ca="1" si="14"/>
        <v>2</v>
      </c>
    </row>
    <row r="427" spans="1:5" ht="13.5" customHeight="1" x14ac:dyDescent="0.2">
      <c r="A427" s="233">
        <f t="shared" ca="1" si="10"/>
        <v>0</v>
      </c>
      <c r="B427" s="233">
        <f t="shared" ca="1" si="11"/>
        <v>3</v>
      </c>
      <c r="C427" s="233">
        <f t="shared" ca="1" si="12"/>
        <v>1</v>
      </c>
      <c r="D427" s="234">
        <f t="shared" ca="1" si="13"/>
        <v>3</v>
      </c>
      <c r="E427" s="234">
        <f t="shared" ca="1" si="14"/>
        <v>2</v>
      </c>
    </row>
    <row r="428" spans="1:5" ht="13.5" customHeight="1" x14ac:dyDescent="0.2">
      <c r="A428" s="233">
        <f t="shared" ca="1" si="10"/>
        <v>0</v>
      </c>
      <c r="B428" s="233">
        <f t="shared" ca="1" si="11"/>
        <v>3</v>
      </c>
      <c r="C428" s="233">
        <f t="shared" ca="1" si="12"/>
        <v>1</v>
      </c>
      <c r="D428" s="234">
        <f t="shared" ca="1" si="13"/>
        <v>3</v>
      </c>
      <c r="E428" s="234">
        <f t="shared" ca="1" si="14"/>
        <v>2</v>
      </c>
    </row>
    <row r="429" spans="1:5" ht="13.5" customHeight="1" x14ac:dyDescent="0.2">
      <c r="A429" s="233">
        <f t="shared" ca="1" si="10"/>
        <v>0</v>
      </c>
      <c r="B429" s="233">
        <f t="shared" ca="1" si="11"/>
        <v>3</v>
      </c>
      <c r="C429" s="233">
        <f t="shared" ca="1" si="12"/>
        <v>1</v>
      </c>
      <c r="D429" s="234">
        <f t="shared" ca="1" si="13"/>
        <v>3</v>
      </c>
      <c r="E429" s="234">
        <f t="shared" ca="1" si="14"/>
        <v>2</v>
      </c>
    </row>
    <row r="430" spans="1:5" ht="13.5" customHeight="1" x14ac:dyDescent="0.2">
      <c r="A430" s="233">
        <f t="shared" ca="1" si="10"/>
        <v>0</v>
      </c>
      <c r="B430" s="233">
        <f t="shared" ca="1" si="11"/>
        <v>3</v>
      </c>
      <c r="C430" s="233">
        <f t="shared" ca="1" si="12"/>
        <v>1</v>
      </c>
      <c r="D430" s="234">
        <f t="shared" ca="1" si="13"/>
        <v>3</v>
      </c>
      <c r="E430" s="234">
        <f t="shared" ca="1" si="14"/>
        <v>2</v>
      </c>
    </row>
    <row r="431" spans="1:5" ht="13.5" customHeight="1" x14ac:dyDescent="0.2">
      <c r="A431" s="233">
        <f t="shared" ca="1" si="10"/>
        <v>0</v>
      </c>
      <c r="B431" s="233">
        <f t="shared" ca="1" si="11"/>
        <v>3</v>
      </c>
      <c r="C431" s="233">
        <f t="shared" ca="1" si="12"/>
        <v>1</v>
      </c>
      <c r="D431" s="234">
        <f t="shared" ca="1" si="13"/>
        <v>3</v>
      </c>
      <c r="E431" s="234">
        <f t="shared" ca="1" si="14"/>
        <v>2</v>
      </c>
    </row>
    <row r="432" spans="1:5" ht="13.5" customHeight="1" x14ac:dyDescent="0.2">
      <c r="A432" s="233">
        <f t="shared" ca="1" si="10"/>
        <v>0</v>
      </c>
      <c r="B432" s="233">
        <f t="shared" ca="1" si="11"/>
        <v>3</v>
      </c>
      <c r="C432" s="233">
        <f t="shared" ca="1" si="12"/>
        <v>1</v>
      </c>
      <c r="D432" s="234">
        <f t="shared" ca="1" si="13"/>
        <v>3</v>
      </c>
      <c r="E432" s="234">
        <f t="shared" ca="1" si="14"/>
        <v>2</v>
      </c>
    </row>
    <row r="433" spans="1:5" ht="13.5" customHeight="1" x14ac:dyDescent="0.2">
      <c r="A433" s="233">
        <f t="shared" ca="1" si="10"/>
        <v>0</v>
      </c>
      <c r="B433" s="233">
        <f t="shared" ca="1" si="11"/>
        <v>3</v>
      </c>
      <c r="C433" s="233">
        <f t="shared" ca="1" si="12"/>
        <v>1</v>
      </c>
      <c r="D433" s="234">
        <f t="shared" ca="1" si="13"/>
        <v>3</v>
      </c>
      <c r="E433" s="234">
        <f t="shared" ca="1" si="14"/>
        <v>2</v>
      </c>
    </row>
    <row r="434" spans="1:5" ht="13.5" customHeight="1" x14ac:dyDescent="0.2">
      <c r="A434" s="233">
        <f t="shared" ca="1" si="10"/>
        <v>0</v>
      </c>
      <c r="B434" s="233">
        <f t="shared" ca="1" si="11"/>
        <v>3</v>
      </c>
      <c r="C434" s="233">
        <f t="shared" ca="1" si="12"/>
        <v>1</v>
      </c>
      <c r="D434" s="234">
        <f t="shared" ca="1" si="13"/>
        <v>3</v>
      </c>
      <c r="E434" s="234">
        <f t="shared" ca="1" si="14"/>
        <v>2</v>
      </c>
    </row>
    <row r="435" spans="1:5" ht="13.5" customHeight="1" x14ac:dyDescent="0.2">
      <c r="A435" s="233">
        <f t="shared" ca="1" si="10"/>
        <v>0</v>
      </c>
      <c r="B435" s="233">
        <f t="shared" ca="1" si="11"/>
        <v>3</v>
      </c>
      <c r="C435" s="233">
        <f t="shared" ca="1" si="12"/>
        <v>1</v>
      </c>
      <c r="D435" s="234">
        <f t="shared" ca="1" si="13"/>
        <v>3</v>
      </c>
      <c r="E435" s="234">
        <f t="shared" ca="1" si="14"/>
        <v>2</v>
      </c>
    </row>
    <row r="436" spans="1:5" ht="13.5" customHeight="1" x14ac:dyDescent="0.2">
      <c r="A436" s="233">
        <f t="shared" ca="1" si="10"/>
        <v>0</v>
      </c>
      <c r="B436" s="233">
        <f t="shared" ca="1" si="11"/>
        <v>3</v>
      </c>
      <c r="C436" s="233">
        <f t="shared" ca="1" si="12"/>
        <v>1</v>
      </c>
      <c r="D436" s="234">
        <f t="shared" ca="1" si="13"/>
        <v>3</v>
      </c>
      <c r="E436" s="234">
        <f t="shared" ca="1" si="14"/>
        <v>2</v>
      </c>
    </row>
    <row r="437" spans="1:5" ht="13.5" customHeight="1" x14ac:dyDescent="0.2">
      <c r="A437" s="233">
        <f t="shared" ca="1" si="10"/>
        <v>0</v>
      </c>
      <c r="B437" s="233">
        <f t="shared" ca="1" si="11"/>
        <v>3</v>
      </c>
      <c r="C437" s="233">
        <f t="shared" ca="1" si="12"/>
        <v>1</v>
      </c>
      <c r="D437" s="234">
        <f t="shared" ca="1" si="13"/>
        <v>3</v>
      </c>
      <c r="E437" s="234">
        <f t="shared" ca="1" si="14"/>
        <v>2</v>
      </c>
    </row>
    <row r="438" spans="1:5" ht="13.5" customHeight="1" x14ac:dyDescent="0.2">
      <c r="A438" s="233">
        <f t="shared" ca="1" si="10"/>
        <v>0</v>
      </c>
      <c r="B438" s="233">
        <f t="shared" ca="1" si="11"/>
        <v>3</v>
      </c>
      <c r="C438" s="233">
        <f t="shared" ca="1" si="12"/>
        <v>1</v>
      </c>
      <c r="D438" s="234">
        <f t="shared" ca="1" si="13"/>
        <v>3</v>
      </c>
      <c r="E438" s="234">
        <f t="shared" ca="1" si="14"/>
        <v>2</v>
      </c>
    </row>
    <row r="439" spans="1:5" ht="13.5" customHeight="1" x14ac:dyDescent="0.2">
      <c r="A439" s="233">
        <f t="shared" ca="1" si="10"/>
        <v>0</v>
      </c>
      <c r="B439" s="233">
        <f t="shared" ca="1" si="11"/>
        <v>3</v>
      </c>
      <c r="C439" s="233">
        <f t="shared" ca="1" si="12"/>
        <v>1</v>
      </c>
      <c r="D439" s="234">
        <f t="shared" ca="1" si="13"/>
        <v>3</v>
      </c>
      <c r="E439" s="234">
        <f t="shared" ca="1" si="14"/>
        <v>2</v>
      </c>
    </row>
    <row r="440" spans="1:5" ht="13.5" customHeight="1" x14ac:dyDescent="0.2">
      <c r="A440" s="233">
        <f t="shared" ca="1" si="10"/>
        <v>0</v>
      </c>
      <c r="B440" s="233">
        <f t="shared" ca="1" si="11"/>
        <v>3</v>
      </c>
      <c r="C440" s="233">
        <f t="shared" ca="1" si="12"/>
        <v>1</v>
      </c>
      <c r="D440" s="234">
        <f t="shared" ca="1" si="13"/>
        <v>3</v>
      </c>
      <c r="E440" s="234">
        <f t="shared" ca="1" si="14"/>
        <v>2</v>
      </c>
    </row>
    <row r="441" spans="1:5" ht="13.5" customHeight="1" x14ac:dyDescent="0.2">
      <c r="A441" s="233">
        <f t="shared" ca="1" si="10"/>
        <v>0</v>
      </c>
      <c r="B441" s="233">
        <f t="shared" ca="1" si="11"/>
        <v>3</v>
      </c>
      <c r="C441" s="233">
        <f t="shared" ca="1" si="12"/>
        <v>1</v>
      </c>
      <c r="D441" s="234">
        <f t="shared" ca="1" si="13"/>
        <v>3</v>
      </c>
      <c r="E441" s="234">
        <f t="shared" ca="1" si="14"/>
        <v>2</v>
      </c>
    </row>
    <row r="442" spans="1:5" ht="13.5" customHeight="1" x14ac:dyDescent="0.2">
      <c r="A442" s="233">
        <f t="shared" ca="1" si="10"/>
        <v>0</v>
      </c>
      <c r="B442" s="233">
        <f t="shared" ca="1" si="11"/>
        <v>3</v>
      </c>
      <c r="C442" s="233">
        <f t="shared" ca="1" si="12"/>
        <v>1</v>
      </c>
      <c r="D442" s="234">
        <f t="shared" ca="1" si="13"/>
        <v>3</v>
      </c>
      <c r="E442" s="234">
        <f t="shared" ca="1" si="14"/>
        <v>2</v>
      </c>
    </row>
    <row r="443" spans="1:5" ht="13.5" customHeight="1" x14ac:dyDescent="0.2">
      <c r="A443" s="233">
        <f t="shared" ca="1" si="10"/>
        <v>0</v>
      </c>
      <c r="B443" s="233">
        <f t="shared" ca="1" si="11"/>
        <v>3</v>
      </c>
      <c r="C443" s="233">
        <f t="shared" ca="1" si="12"/>
        <v>1</v>
      </c>
      <c r="D443" s="234">
        <f t="shared" ca="1" si="13"/>
        <v>3</v>
      </c>
      <c r="E443" s="234">
        <f t="shared" ca="1" si="14"/>
        <v>2</v>
      </c>
    </row>
    <row r="444" spans="1:5" ht="13.5" customHeight="1" x14ac:dyDescent="0.2">
      <c r="A444" s="233">
        <f t="shared" ca="1" si="10"/>
        <v>0</v>
      </c>
      <c r="B444" s="233">
        <f t="shared" ca="1" si="11"/>
        <v>3</v>
      </c>
      <c r="C444" s="233">
        <f t="shared" ca="1" si="12"/>
        <v>1</v>
      </c>
      <c r="D444" s="234">
        <f t="shared" ca="1" si="13"/>
        <v>3</v>
      </c>
      <c r="E444" s="234">
        <f t="shared" ca="1" si="14"/>
        <v>2</v>
      </c>
    </row>
    <row r="445" spans="1:5" ht="13.5" customHeight="1" x14ac:dyDescent="0.2">
      <c r="A445" s="233">
        <f t="shared" ca="1" si="10"/>
        <v>0</v>
      </c>
      <c r="B445" s="233">
        <f t="shared" ca="1" si="11"/>
        <v>3</v>
      </c>
      <c r="C445" s="233">
        <f t="shared" ca="1" si="12"/>
        <v>1</v>
      </c>
      <c r="D445" s="234">
        <f t="shared" ca="1" si="13"/>
        <v>3</v>
      </c>
      <c r="E445" s="234">
        <f t="shared" ca="1" si="14"/>
        <v>2</v>
      </c>
    </row>
    <row r="446" spans="1:5" ht="13.5" customHeight="1" x14ac:dyDescent="0.2">
      <c r="A446" s="233">
        <f t="shared" ca="1" si="10"/>
        <v>0</v>
      </c>
      <c r="B446" s="233">
        <f t="shared" ca="1" si="11"/>
        <v>3</v>
      </c>
      <c r="C446" s="233">
        <f t="shared" ca="1" si="12"/>
        <v>1</v>
      </c>
      <c r="D446" s="234">
        <f t="shared" ca="1" si="13"/>
        <v>3</v>
      </c>
      <c r="E446" s="234">
        <f t="shared" ca="1" si="14"/>
        <v>2</v>
      </c>
    </row>
    <row r="447" spans="1:5" ht="13.5" customHeight="1" x14ac:dyDescent="0.2">
      <c r="A447" s="233">
        <f t="shared" ca="1" si="10"/>
        <v>0</v>
      </c>
      <c r="B447" s="233">
        <f t="shared" ca="1" si="11"/>
        <v>3</v>
      </c>
      <c r="C447" s="233">
        <f t="shared" ca="1" si="12"/>
        <v>1</v>
      </c>
      <c r="D447" s="234">
        <f t="shared" ca="1" si="13"/>
        <v>3</v>
      </c>
      <c r="E447" s="234">
        <f t="shared" ca="1" si="14"/>
        <v>2</v>
      </c>
    </row>
    <row r="448" spans="1:5" ht="13.5" customHeight="1" x14ac:dyDescent="0.2">
      <c r="A448" s="233">
        <f t="shared" ca="1" si="10"/>
        <v>0</v>
      </c>
      <c r="B448" s="233">
        <f t="shared" ca="1" si="11"/>
        <v>3</v>
      </c>
      <c r="C448" s="233">
        <f t="shared" ca="1" si="12"/>
        <v>1</v>
      </c>
      <c r="D448" s="234">
        <f t="shared" ca="1" si="13"/>
        <v>3</v>
      </c>
      <c r="E448" s="234">
        <f t="shared" ca="1" si="14"/>
        <v>2</v>
      </c>
    </row>
    <row r="449" spans="1:5" ht="13.5" customHeight="1" x14ac:dyDescent="0.2">
      <c r="A449" s="233">
        <f t="shared" ca="1" si="10"/>
        <v>0</v>
      </c>
      <c r="B449" s="233">
        <f t="shared" ca="1" si="11"/>
        <v>3</v>
      </c>
      <c r="C449" s="233">
        <f t="shared" ca="1" si="12"/>
        <v>1</v>
      </c>
      <c r="D449" s="234">
        <f t="shared" ca="1" si="13"/>
        <v>3</v>
      </c>
      <c r="E449" s="234">
        <f t="shared" ca="1" si="14"/>
        <v>2</v>
      </c>
    </row>
    <row r="450" spans="1:5" ht="13.5" customHeight="1" x14ac:dyDescent="0.2">
      <c r="A450" s="233">
        <f t="shared" ca="1" si="10"/>
        <v>0</v>
      </c>
      <c r="B450" s="233">
        <f t="shared" ca="1" si="11"/>
        <v>3</v>
      </c>
      <c r="C450" s="233">
        <f t="shared" ca="1" si="12"/>
        <v>1</v>
      </c>
      <c r="D450" s="234">
        <f t="shared" ca="1" si="13"/>
        <v>3</v>
      </c>
      <c r="E450" s="234">
        <f t="shared" ca="1" si="14"/>
        <v>2</v>
      </c>
    </row>
    <row r="451" spans="1:5" ht="13.5" customHeight="1" x14ac:dyDescent="0.2">
      <c r="A451" s="233">
        <f t="shared" ca="1" si="10"/>
        <v>0</v>
      </c>
      <c r="B451" s="233">
        <f t="shared" ca="1" si="11"/>
        <v>3</v>
      </c>
      <c r="C451" s="233">
        <f t="shared" ca="1" si="12"/>
        <v>1</v>
      </c>
      <c r="D451" s="234">
        <f t="shared" ca="1" si="13"/>
        <v>3</v>
      </c>
      <c r="E451" s="234">
        <f t="shared" ca="1" si="14"/>
        <v>2</v>
      </c>
    </row>
    <row r="452" spans="1:5" ht="13.5" customHeight="1" x14ac:dyDescent="0.2">
      <c r="A452" s="233">
        <f t="shared" ca="1" si="10"/>
        <v>0</v>
      </c>
      <c r="B452" s="233">
        <f t="shared" ca="1" si="11"/>
        <v>3</v>
      </c>
      <c r="C452" s="233">
        <f t="shared" ca="1" si="12"/>
        <v>1</v>
      </c>
      <c r="D452" s="234">
        <f t="shared" ca="1" si="13"/>
        <v>3</v>
      </c>
      <c r="E452" s="234">
        <f t="shared" ca="1" si="14"/>
        <v>2</v>
      </c>
    </row>
    <row r="453" spans="1:5" ht="13.5" customHeight="1" x14ac:dyDescent="0.2">
      <c r="A453" s="233">
        <f t="shared" ca="1" si="10"/>
        <v>0</v>
      </c>
      <c r="B453" s="233">
        <f t="shared" ca="1" si="11"/>
        <v>3</v>
      </c>
      <c r="C453" s="233">
        <f t="shared" ca="1" si="12"/>
        <v>1</v>
      </c>
      <c r="D453" s="234">
        <f t="shared" ca="1" si="13"/>
        <v>3</v>
      </c>
      <c r="E453" s="234">
        <f t="shared" ca="1" si="14"/>
        <v>2</v>
      </c>
    </row>
    <row r="454" spans="1:5" ht="13.5" customHeight="1" x14ac:dyDescent="0.2">
      <c r="A454" s="233">
        <f t="shared" ca="1" si="10"/>
        <v>0</v>
      </c>
      <c r="B454" s="233">
        <f t="shared" ca="1" si="11"/>
        <v>3</v>
      </c>
      <c r="C454" s="233">
        <f t="shared" ca="1" si="12"/>
        <v>1</v>
      </c>
      <c r="D454" s="234">
        <f t="shared" ca="1" si="13"/>
        <v>3</v>
      </c>
      <c r="E454" s="234">
        <f t="shared" ca="1" si="14"/>
        <v>2</v>
      </c>
    </row>
    <row r="455" spans="1:5" ht="13.5" customHeight="1" x14ac:dyDescent="0.2">
      <c r="A455" s="233">
        <f t="shared" ca="1" si="10"/>
        <v>0</v>
      </c>
      <c r="B455" s="233">
        <f t="shared" ca="1" si="11"/>
        <v>3</v>
      </c>
      <c r="C455" s="233">
        <f t="shared" ca="1" si="12"/>
        <v>1</v>
      </c>
      <c r="D455" s="234">
        <f t="shared" ca="1" si="13"/>
        <v>3</v>
      </c>
      <c r="E455" s="234">
        <f t="shared" ca="1" si="14"/>
        <v>2</v>
      </c>
    </row>
    <row r="456" spans="1:5" ht="13.5" customHeight="1" x14ac:dyDescent="0.2">
      <c r="A456" s="233">
        <f t="shared" ca="1" si="10"/>
        <v>0</v>
      </c>
      <c r="B456" s="233">
        <f t="shared" ca="1" si="11"/>
        <v>3</v>
      </c>
      <c r="C456" s="233">
        <f t="shared" ca="1" si="12"/>
        <v>1</v>
      </c>
      <c r="D456" s="234">
        <f t="shared" ca="1" si="13"/>
        <v>3</v>
      </c>
      <c r="E456" s="234">
        <f t="shared" ca="1" si="14"/>
        <v>2</v>
      </c>
    </row>
    <row r="457" spans="1:5" ht="13.5" customHeight="1" x14ac:dyDescent="0.2">
      <c r="A457" s="233">
        <f t="shared" ca="1" si="10"/>
        <v>0</v>
      </c>
      <c r="B457" s="233">
        <f t="shared" ca="1" si="11"/>
        <v>3</v>
      </c>
      <c r="C457" s="233">
        <f t="shared" ca="1" si="12"/>
        <v>1</v>
      </c>
      <c r="D457" s="234">
        <f t="shared" ca="1" si="13"/>
        <v>3</v>
      </c>
      <c r="E457" s="234">
        <f t="shared" ca="1" si="14"/>
        <v>2</v>
      </c>
    </row>
    <row r="458" spans="1:5" ht="13.5" customHeight="1" x14ac:dyDescent="0.2">
      <c r="A458" s="233">
        <f t="shared" ca="1" si="10"/>
        <v>0</v>
      </c>
      <c r="B458" s="233">
        <f t="shared" ca="1" si="11"/>
        <v>3</v>
      </c>
      <c r="C458" s="233">
        <f t="shared" ca="1" si="12"/>
        <v>1</v>
      </c>
      <c r="D458" s="234">
        <f t="shared" ca="1" si="13"/>
        <v>3</v>
      </c>
      <c r="E458" s="234">
        <f t="shared" ca="1" si="14"/>
        <v>2</v>
      </c>
    </row>
    <row r="459" spans="1:5" ht="13.5" customHeight="1" x14ac:dyDescent="0.2">
      <c r="A459" s="233">
        <f t="shared" ca="1" si="10"/>
        <v>0</v>
      </c>
      <c r="B459" s="233">
        <f t="shared" ca="1" si="11"/>
        <v>3</v>
      </c>
      <c r="C459" s="233">
        <f t="shared" ca="1" si="12"/>
        <v>1</v>
      </c>
      <c r="D459" s="234">
        <f t="shared" ca="1" si="13"/>
        <v>3</v>
      </c>
      <c r="E459" s="234">
        <f t="shared" ca="1" si="14"/>
        <v>2</v>
      </c>
    </row>
    <row r="460" spans="1:5" ht="13.5" customHeight="1" x14ac:dyDescent="0.2">
      <c r="A460" s="233">
        <f t="shared" ca="1" si="10"/>
        <v>0</v>
      </c>
      <c r="B460" s="233">
        <f t="shared" ca="1" si="11"/>
        <v>3</v>
      </c>
      <c r="C460" s="233">
        <f t="shared" ca="1" si="12"/>
        <v>1</v>
      </c>
      <c r="D460" s="234">
        <f t="shared" ca="1" si="13"/>
        <v>3</v>
      </c>
      <c r="E460" s="234">
        <f t="shared" ca="1" si="14"/>
        <v>2</v>
      </c>
    </row>
    <row r="461" spans="1:5" ht="13.5" customHeight="1" x14ac:dyDescent="0.2">
      <c r="A461" s="233">
        <f t="shared" ca="1" si="10"/>
        <v>0</v>
      </c>
      <c r="B461" s="233">
        <f t="shared" ca="1" si="11"/>
        <v>3</v>
      </c>
      <c r="C461" s="233">
        <f t="shared" ca="1" si="12"/>
        <v>1</v>
      </c>
      <c r="D461" s="234">
        <f t="shared" ca="1" si="13"/>
        <v>3</v>
      </c>
      <c r="E461" s="234">
        <f t="shared" ca="1" si="14"/>
        <v>2</v>
      </c>
    </row>
    <row r="462" spans="1:5" ht="13.5" customHeight="1" x14ac:dyDescent="0.2">
      <c r="A462" s="233">
        <f t="shared" ca="1" si="10"/>
        <v>0</v>
      </c>
      <c r="B462" s="233">
        <f t="shared" ca="1" si="11"/>
        <v>3</v>
      </c>
      <c r="C462" s="233">
        <f t="shared" ca="1" si="12"/>
        <v>1</v>
      </c>
      <c r="D462" s="234">
        <f t="shared" ca="1" si="13"/>
        <v>3</v>
      </c>
      <c r="E462" s="234">
        <f t="shared" ca="1" si="14"/>
        <v>2</v>
      </c>
    </row>
    <row r="463" spans="1:5" ht="13.5" customHeight="1" x14ac:dyDescent="0.2">
      <c r="A463" s="233">
        <f t="shared" ca="1" si="10"/>
        <v>0</v>
      </c>
      <c r="B463" s="233">
        <f t="shared" ca="1" si="11"/>
        <v>3</v>
      </c>
      <c r="C463" s="233">
        <f t="shared" ca="1" si="12"/>
        <v>1</v>
      </c>
      <c r="D463" s="234">
        <f t="shared" ca="1" si="13"/>
        <v>3</v>
      </c>
      <c r="E463" s="234">
        <f t="shared" ca="1" si="14"/>
        <v>2</v>
      </c>
    </row>
    <row r="464" spans="1:5" ht="13.5" customHeight="1" x14ac:dyDescent="0.2">
      <c r="A464" s="233">
        <f t="shared" ca="1" si="10"/>
        <v>0</v>
      </c>
      <c r="B464" s="233">
        <f t="shared" ca="1" si="11"/>
        <v>3</v>
      </c>
      <c r="C464" s="233">
        <f t="shared" ca="1" si="12"/>
        <v>1</v>
      </c>
      <c r="D464" s="234">
        <f t="shared" ca="1" si="13"/>
        <v>3</v>
      </c>
      <c r="E464" s="234">
        <f t="shared" ca="1" si="14"/>
        <v>2</v>
      </c>
    </row>
    <row r="465" spans="1:5" ht="13.5" customHeight="1" x14ac:dyDescent="0.2">
      <c r="A465" s="233">
        <f t="shared" ca="1" si="10"/>
        <v>0</v>
      </c>
      <c r="B465" s="233">
        <f t="shared" ca="1" si="11"/>
        <v>3</v>
      </c>
      <c r="C465" s="233">
        <f t="shared" ca="1" si="12"/>
        <v>1</v>
      </c>
      <c r="D465" s="234">
        <f t="shared" ca="1" si="13"/>
        <v>3</v>
      </c>
      <c r="E465" s="234">
        <f t="shared" ca="1" si="14"/>
        <v>2</v>
      </c>
    </row>
    <row r="466" spans="1:5" ht="13.5" customHeight="1" x14ac:dyDescent="0.2">
      <c r="A466" s="233">
        <f t="shared" ca="1" si="10"/>
        <v>0</v>
      </c>
      <c r="B466" s="233">
        <f t="shared" ca="1" si="11"/>
        <v>3</v>
      </c>
      <c r="C466" s="233">
        <f t="shared" ca="1" si="12"/>
        <v>1</v>
      </c>
      <c r="D466" s="234">
        <f t="shared" ca="1" si="13"/>
        <v>3</v>
      </c>
      <c r="E466" s="234">
        <f t="shared" ca="1" si="14"/>
        <v>2</v>
      </c>
    </row>
    <row r="467" spans="1:5" ht="13.5" customHeight="1" x14ac:dyDescent="0.2">
      <c r="A467" s="233">
        <f t="shared" ca="1" si="10"/>
        <v>0</v>
      </c>
      <c r="B467" s="233">
        <f t="shared" ca="1" si="11"/>
        <v>3</v>
      </c>
      <c r="C467" s="233">
        <f t="shared" ca="1" si="12"/>
        <v>1</v>
      </c>
      <c r="D467" s="234">
        <f t="shared" ca="1" si="13"/>
        <v>3</v>
      </c>
      <c r="E467" s="234">
        <f t="shared" ca="1" si="14"/>
        <v>2</v>
      </c>
    </row>
    <row r="468" spans="1:5" ht="13.5" customHeight="1" x14ac:dyDescent="0.2">
      <c r="A468" s="233">
        <f t="shared" ca="1" si="10"/>
        <v>0</v>
      </c>
      <c r="B468" s="233">
        <f t="shared" ca="1" si="11"/>
        <v>3</v>
      </c>
      <c r="C468" s="233">
        <f t="shared" ca="1" si="12"/>
        <v>1</v>
      </c>
      <c r="D468" s="234">
        <f t="shared" ca="1" si="13"/>
        <v>3</v>
      </c>
      <c r="E468" s="234">
        <f t="shared" ca="1" si="14"/>
        <v>2</v>
      </c>
    </row>
    <row r="469" spans="1:5" ht="13.5" customHeight="1" x14ac:dyDescent="0.2">
      <c r="A469" s="233">
        <f t="shared" ca="1" si="10"/>
        <v>0</v>
      </c>
      <c r="B469" s="233">
        <f t="shared" ca="1" si="11"/>
        <v>3</v>
      </c>
      <c r="C469" s="233">
        <f t="shared" ca="1" si="12"/>
        <v>1</v>
      </c>
      <c r="D469" s="234">
        <f t="shared" ca="1" si="13"/>
        <v>3</v>
      </c>
      <c r="E469" s="234">
        <f t="shared" ca="1" si="14"/>
        <v>2</v>
      </c>
    </row>
    <row r="470" spans="1:5" ht="13.5" customHeight="1" x14ac:dyDescent="0.2">
      <c r="A470" s="233">
        <f t="shared" ca="1" si="10"/>
        <v>0</v>
      </c>
      <c r="B470" s="233">
        <f t="shared" ca="1" si="11"/>
        <v>3</v>
      </c>
      <c r="C470" s="233">
        <f t="shared" ca="1" si="12"/>
        <v>1</v>
      </c>
      <c r="D470" s="234">
        <f t="shared" ca="1" si="13"/>
        <v>3</v>
      </c>
      <c r="E470" s="234">
        <f t="shared" ca="1" si="14"/>
        <v>2</v>
      </c>
    </row>
    <row r="471" spans="1:5" ht="13.5" customHeight="1" x14ac:dyDescent="0.2">
      <c r="A471" s="233">
        <f t="shared" ca="1" si="10"/>
        <v>0</v>
      </c>
      <c r="B471" s="233">
        <f t="shared" ca="1" si="11"/>
        <v>3</v>
      </c>
      <c r="C471" s="233">
        <f t="shared" ca="1" si="12"/>
        <v>1</v>
      </c>
      <c r="D471" s="234">
        <f t="shared" ca="1" si="13"/>
        <v>3</v>
      </c>
      <c r="E471" s="234">
        <f t="shared" ca="1" si="14"/>
        <v>2</v>
      </c>
    </row>
    <row r="472" spans="1:5" ht="13.5" customHeight="1" x14ac:dyDescent="0.2">
      <c r="A472" s="233">
        <f t="shared" ca="1" si="10"/>
        <v>0</v>
      </c>
      <c r="B472" s="233">
        <f t="shared" ca="1" si="11"/>
        <v>3</v>
      </c>
      <c r="C472" s="233">
        <f t="shared" ca="1" si="12"/>
        <v>1</v>
      </c>
      <c r="D472" s="234">
        <f t="shared" ca="1" si="13"/>
        <v>3</v>
      </c>
      <c r="E472" s="234">
        <f t="shared" ca="1" si="14"/>
        <v>2</v>
      </c>
    </row>
    <row r="473" spans="1:5" ht="13.5" customHeight="1" x14ac:dyDescent="0.2">
      <c r="A473" s="233">
        <f t="shared" ca="1" si="10"/>
        <v>0</v>
      </c>
      <c r="B473" s="233">
        <f t="shared" ca="1" si="11"/>
        <v>3</v>
      </c>
      <c r="C473" s="233">
        <f t="shared" ca="1" si="12"/>
        <v>1</v>
      </c>
      <c r="D473" s="234">
        <f t="shared" ca="1" si="13"/>
        <v>3</v>
      </c>
      <c r="E473" s="234">
        <f t="shared" ca="1" si="14"/>
        <v>2</v>
      </c>
    </row>
    <row r="474" spans="1:5" ht="13.5" customHeight="1" x14ac:dyDescent="0.2">
      <c r="A474" s="233">
        <f t="shared" ca="1" si="10"/>
        <v>0</v>
      </c>
      <c r="B474" s="233">
        <f t="shared" ca="1" si="11"/>
        <v>3</v>
      </c>
      <c r="C474" s="233">
        <f t="shared" ca="1" si="12"/>
        <v>1</v>
      </c>
      <c r="D474" s="234">
        <f t="shared" ca="1" si="13"/>
        <v>3</v>
      </c>
      <c r="E474" s="234">
        <f t="shared" ca="1" si="14"/>
        <v>2</v>
      </c>
    </row>
    <row r="475" spans="1:5" ht="13.5" customHeight="1" x14ac:dyDescent="0.2">
      <c r="A475" s="233">
        <f t="shared" ca="1" si="10"/>
        <v>0</v>
      </c>
      <c r="B475" s="233">
        <f t="shared" ca="1" si="11"/>
        <v>3</v>
      </c>
      <c r="C475" s="233">
        <f t="shared" ca="1" si="12"/>
        <v>1</v>
      </c>
      <c r="D475" s="234">
        <f t="shared" ca="1" si="13"/>
        <v>3</v>
      </c>
      <c r="E475" s="234">
        <f t="shared" ca="1" si="14"/>
        <v>2</v>
      </c>
    </row>
    <row r="476" spans="1:5" ht="13.5" customHeight="1" x14ac:dyDescent="0.2">
      <c r="A476" s="233">
        <f t="shared" ca="1" si="10"/>
        <v>0</v>
      </c>
      <c r="B476" s="233">
        <f t="shared" ca="1" si="11"/>
        <v>3</v>
      </c>
      <c r="C476" s="233">
        <f t="shared" ca="1" si="12"/>
        <v>1</v>
      </c>
      <c r="D476" s="234">
        <f t="shared" ca="1" si="13"/>
        <v>3</v>
      </c>
      <c r="E476" s="234">
        <f t="shared" ca="1" si="14"/>
        <v>2</v>
      </c>
    </row>
    <row r="477" spans="1:5" ht="13.5" customHeight="1" x14ac:dyDescent="0.2">
      <c r="A477" s="233">
        <f t="shared" ca="1" si="10"/>
        <v>0</v>
      </c>
      <c r="B477" s="233">
        <f t="shared" ca="1" si="11"/>
        <v>3</v>
      </c>
      <c r="C477" s="233">
        <f t="shared" ca="1" si="12"/>
        <v>1</v>
      </c>
      <c r="D477" s="234">
        <f t="shared" ca="1" si="13"/>
        <v>3</v>
      </c>
      <c r="E477" s="234">
        <f t="shared" ca="1" si="14"/>
        <v>2</v>
      </c>
    </row>
    <row r="478" spans="1:5" ht="13.5" customHeight="1" x14ac:dyDescent="0.2">
      <c r="A478" s="233">
        <f t="shared" ca="1" si="10"/>
        <v>0</v>
      </c>
      <c r="B478" s="233">
        <f t="shared" ca="1" si="11"/>
        <v>3</v>
      </c>
      <c r="C478" s="233">
        <f t="shared" ca="1" si="12"/>
        <v>1</v>
      </c>
      <c r="D478" s="234">
        <f t="shared" ca="1" si="13"/>
        <v>3</v>
      </c>
      <c r="E478" s="234">
        <f t="shared" ca="1" si="14"/>
        <v>2</v>
      </c>
    </row>
    <row r="479" spans="1:5" ht="13.5" customHeight="1" x14ac:dyDescent="0.2">
      <c r="A479" s="233">
        <f t="shared" ca="1" si="10"/>
        <v>0</v>
      </c>
      <c r="B479" s="233">
        <f t="shared" ca="1" si="11"/>
        <v>3</v>
      </c>
      <c r="C479" s="233">
        <f t="shared" ca="1" si="12"/>
        <v>1</v>
      </c>
      <c r="D479" s="234">
        <f t="shared" ca="1" si="13"/>
        <v>3</v>
      </c>
      <c r="E479" s="234">
        <f t="shared" ca="1" si="14"/>
        <v>2</v>
      </c>
    </row>
    <row r="480" spans="1:5" ht="13.5" customHeight="1" x14ac:dyDescent="0.2">
      <c r="A480" s="233">
        <f t="shared" ca="1" si="10"/>
        <v>0</v>
      </c>
      <c r="B480" s="233">
        <f t="shared" ca="1" si="11"/>
        <v>3</v>
      </c>
      <c r="C480" s="233">
        <f t="shared" ca="1" si="12"/>
        <v>1</v>
      </c>
      <c r="D480" s="234">
        <f t="shared" ca="1" si="13"/>
        <v>3</v>
      </c>
      <c r="E480" s="234">
        <f t="shared" ca="1" si="14"/>
        <v>2</v>
      </c>
    </row>
    <row r="481" spans="1:5" ht="13.5" customHeight="1" x14ac:dyDescent="0.2">
      <c r="A481" s="233">
        <f t="shared" ca="1" si="10"/>
        <v>0</v>
      </c>
      <c r="B481" s="233">
        <f t="shared" ca="1" si="11"/>
        <v>3</v>
      </c>
      <c r="C481" s="233">
        <f t="shared" ca="1" si="12"/>
        <v>1</v>
      </c>
      <c r="D481" s="234">
        <f t="shared" ca="1" si="13"/>
        <v>3</v>
      </c>
      <c r="E481" s="234">
        <f t="shared" ca="1" si="14"/>
        <v>2</v>
      </c>
    </row>
    <row r="482" spans="1:5" ht="13.5" customHeight="1" x14ac:dyDescent="0.2">
      <c r="A482" s="233">
        <f t="shared" ca="1" si="10"/>
        <v>0</v>
      </c>
      <c r="B482" s="233">
        <f t="shared" ca="1" si="11"/>
        <v>3</v>
      </c>
      <c r="C482" s="233">
        <f t="shared" ca="1" si="12"/>
        <v>1</v>
      </c>
      <c r="D482" s="234">
        <f t="shared" ca="1" si="13"/>
        <v>3</v>
      </c>
      <c r="E482" s="234">
        <f t="shared" ca="1" si="14"/>
        <v>2</v>
      </c>
    </row>
    <row r="483" spans="1:5" ht="13.5" customHeight="1" x14ac:dyDescent="0.2">
      <c r="A483" s="233">
        <f t="shared" ca="1" si="10"/>
        <v>0</v>
      </c>
      <c r="B483" s="233">
        <f t="shared" ca="1" si="11"/>
        <v>3</v>
      </c>
      <c r="C483" s="233">
        <f t="shared" ca="1" si="12"/>
        <v>1</v>
      </c>
      <c r="D483" s="234">
        <f t="shared" ca="1" si="13"/>
        <v>3</v>
      </c>
      <c r="E483" s="234">
        <f t="shared" ca="1" si="14"/>
        <v>2</v>
      </c>
    </row>
    <row r="484" spans="1:5" ht="13.5" customHeight="1" x14ac:dyDescent="0.2">
      <c r="A484" s="233">
        <f t="shared" ca="1" si="10"/>
        <v>0</v>
      </c>
      <c r="B484" s="233">
        <f t="shared" ca="1" si="11"/>
        <v>3</v>
      </c>
      <c r="C484" s="233">
        <f t="shared" ca="1" si="12"/>
        <v>1</v>
      </c>
      <c r="D484" s="234">
        <f t="shared" ca="1" si="13"/>
        <v>3</v>
      </c>
      <c r="E484" s="234">
        <f t="shared" ca="1" si="14"/>
        <v>2</v>
      </c>
    </row>
    <row r="485" spans="1:5" ht="13.5" customHeight="1" x14ac:dyDescent="0.2">
      <c r="A485" s="233">
        <f t="shared" ca="1" si="10"/>
        <v>0</v>
      </c>
      <c r="B485" s="233">
        <f t="shared" ca="1" si="11"/>
        <v>3</v>
      </c>
      <c r="C485" s="233">
        <f t="shared" ca="1" si="12"/>
        <v>1</v>
      </c>
      <c r="D485" s="234">
        <f t="shared" ca="1" si="13"/>
        <v>3</v>
      </c>
      <c r="E485" s="234">
        <f t="shared" ca="1" si="14"/>
        <v>2</v>
      </c>
    </row>
    <row r="486" spans="1:5" ht="13.5" customHeight="1" x14ac:dyDescent="0.2">
      <c r="A486" s="233">
        <f t="shared" ca="1" si="10"/>
        <v>0</v>
      </c>
      <c r="B486" s="233">
        <f t="shared" ca="1" si="11"/>
        <v>3</v>
      </c>
      <c r="C486" s="233">
        <f t="shared" ca="1" si="12"/>
        <v>1</v>
      </c>
      <c r="D486" s="234">
        <f t="shared" ca="1" si="13"/>
        <v>3</v>
      </c>
      <c r="E486" s="234">
        <f t="shared" ca="1" si="14"/>
        <v>2</v>
      </c>
    </row>
    <row r="487" spans="1:5" ht="13.5" customHeight="1" x14ac:dyDescent="0.2">
      <c r="A487" s="233">
        <f t="shared" ca="1" si="10"/>
        <v>0</v>
      </c>
      <c r="B487" s="233">
        <f t="shared" ca="1" si="11"/>
        <v>3</v>
      </c>
      <c r="C487" s="233">
        <f t="shared" ca="1" si="12"/>
        <v>1</v>
      </c>
      <c r="D487" s="234">
        <f t="shared" ca="1" si="13"/>
        <v>3</v>
      </c>
      <c r="E487" s="234">
        <f t="shared" ca="1" si="14"/>
        <v>2</v>
      </c>
    </row>
    <row r="488" spans="1:5" ht="13.5" customHeight="1" x14ac:dyDescent="0.2">
      <c r="A488" s="233">
        <f t="shared" ca="1" si="10"/>
        <v>0</v>
      </c>
      <c r="B488" s="233">
        <f t="shared" ca="1" si="11"/>
        <v>3</v>
      </c>
      <c r="C488" s="233">
        <f t="shared" ca="1" si="12"/>
        <v>1</v>
      </c>
      <c r="D488" s="234">
        <f t="shared" ca="1" si="13"/>
        <v>3</v>
      </c>
      <c r="E488" s="234">
        <f t="shared" ca="1" si="14"/>
        <v>2</v>
      </c>
    </row>
    <row r="489" spans="1:5" ht="13.5" customHeight="1" x14ac:dyDescent="0.2">
      <c r="A489" s="233">
        <f t="shared" ca="1" si="10"/>
        <v>0</v>
      </c>
      <c r="B489" s="233">
        <f t="shared" ca="1" si="11"/>
        <v>3</v>
      </c>
      <c r="C489" s="233">
        <f t="shared" ca="1" si="12"/>
        <v>1</v>
      </c>
      <c r="D489" s="234">
        <f t="shared" ca="1" si="13"/>
        <v>3</v>
      </c>
      <c r="E489" s="234">
        <f t="shared" ca="1" si="14"/>
        <v>2</v>
      </c>
    </row>
    <row r="490" spans="1:5" ht="13.5" customHeight="1" x14ac:dyDescent="0.2">
      <c r="A490" s="233">
        <f t="shared" ca="1" si="10"/>
        <v>0</v>
      </c>
      <c r="B490" s="233">
        <f t="shared" ca="1" si="11"/>
        <v>3</v>
      </c>
      <c r="C490" s="233">
        <f t="shared" ca="1" si="12"/>
        <v>1</v>
      </c>
      <c r="D490" s="234">
        <f t="shared" ca="1" si="13"/>
        <v>3</v>
      </c>
      <c r="E490" s="234">
        <f t="shared" ca="1" si="14"/>
        <v>2</v>
      </c>
    </row>
    <row r="491" spans="1:5" ht="13.5" customHeight="1" x14ac:dyDescent="0.2">
      <c r="A491" s="233">
        <f t="shared" ca="1" si="10"/>
        <v>0</v>
      </c>
      <c r="B491" s="233">
        <f t="shared" ca="1" si="11"/>
        <v>3</v>
      </c>
      <c r="C491" s="233">
        <f t="shared" ca="1" si="12"/>
        <v>1</v>
      </c>
      <c r="D491" s="234">
        <f t="shared" ca="1" si="13"/>
        <v>3</v>
      </c>
      <c r="E491" s="234">
        <f t="shared" ca="1" si="14"/>
        <v>2</v>
      </c>
    </row>
    <row r="492" spans="1:5" ht="13.5" customHeight="1" x14ac:dyDescent="0.2">
      <c r="A492" s="233">
        <f t="shared" ca="1" si="10"/>
        <v>0</v>
      </c>
      <c r="B492" s="233">
        <f t="shared" ca="1" si="11"/>
        <v>3</v>
      </c>
      <c r="C492" s="233">
        <f t="shared" ca="1" si="12"/>
        <v>1</v>
      </c>
      <c r="D492" s="234">
        <f t="shared" ca="1" si="13"/>
        <v>3</v>
      </c>
      <c r="E492" s="234">
        <f t="shared" ca="1" si="14"/>
        <v>2</v>
      </c>
    </row>
    <row r="493" spans="1:5" ht="13.5" customHeight="1" x14ac:dyDescent="0.2">
      <c r="A493" s="233">
        <f t="shared" ca="1" si="10"/>
        <v>0</v>
      </c>
      <c r="B493" s="233">
        <f t="shared" ca="1" si="11"/>
        <v>3</v>
      </c>
      <c r="C493" s="233">
        <f t="shared" ca="1" si="12"/>
        <v>1</v>
      </c>
      <c r="D493" s="234">
        <f t="shared" ca="1" si="13"/>
        <v>3</v>
      </c>
      <c r="E493" s="234">
        <f t="shared" ca="1" si="14"/>
        <v>2</v>
      </c>
    </row>
    <row r="494" spans="1:5" ht="13.5" customHeight="1" x14ac:dyDescent="0.2">
      <c r="A494" s="233">
        <f t="shared" ca="1" si="10"/>
        <v>0</v>
      </c>
      <c r="B494" s="233">
        <f t="shared" ca="1" si="11"/>
        <v>3</v>
      </c>
      <c r="C494" s="233">
        <f t="shared" ca="1" si="12"/>
        <v>1</v>
      </c>
      <c r="D494" s="234">
        <f t="shared" ca="1" si="13"/>
        <v>3</v>
      </c>
      <c r="E494" s="234">
        <f t="shared" ca="1" si="14"/>
        <v>2</v>
      </c>
    </row>
    <row r="495" spans="1:5" ht="13.5" customHeight="1" x14ac:dyDescent="0.2">
      <c r="A495" s="233">
        <f t="shared" ca="1" si="10"/>
        <v>0</v>
      </c>
      <c r="B495" s="233">
        <f t="shared" ca="1" si="11"/>
        <v>3</v>
      </c>
      <c r="C495" s="233">
        <f t="shared" ca="1" si="12"/>
        <v>1</v>
      </c>
      <c r="D495" s="234">
        <f t="shared" ca="1" si="13"/>
        <v>3</v>
      </c>
      <c r="E495" s="234">
        <f t="shared" ca="1" si="14"/>
        <v>2</v>
      </c>
    </row>
    <row r="496" spans="1:5" ht="13.5" customHeight="1" x14ac:dyDescent="0.2">
      <c r="A496" s="233">
        <f t="shared" ca="1" si="10"/>
        <v>0</v>
      </c>
      <c r="B496" s="233">
        <f t="shared" ca="1" si="11"/>
        <v>3</v>
      </c>
      <c r="C496" s="233">
        <f t="shared" ca="1" si="12"/>
        <v>1</v>
      </c>
      <c r="D496" s="234">
        <f t="shared" ca="1" si="13"/>
        <v>3</v>
      </c>
      <c r="E496" s="234">
        <f t="shared" ca="1" si="14"/>
        <v>2</v>
      </c>
    </row>
    <row r="497" spans="1:5" ht="13.5" customHeight="1" x14ac:dyDescent="0.2">
      <c r="A497" s="233">
        <f t="shared" ca="1" si="10"/>
        <v>0</v>
      </c>
      <c r="B497" s="233">
        <f t="shared" ca="1" si="11"/>
        <v>3</v>
      </c>
      <c r="C497" s="233">
        <f t="shared" ca="1" si="12"/>
        <v>1</v>
      </c>
      <c r="D497" s="234">
        <f t="shared" ca="1" si="13"/>
        <v>3</v>
      </c>
      <c r="E497" s="234">
        <f t="shared" ca="1" si="14"/>
        <v>2</v>
      </c>
    </row>
    <row r="498" spans="1:5" ht="13.5" customHeight="1" x14ac:dyDescent="0.2">
      <c r="A498" s="233">
        <f t="shared" ca="1" si="10"/>
        <v>0</v>
      </c>
      <c r="B498" s="233">
        <f t="shared" ca="1" si="11"/>
        <v>3</v>
      </c>
      <c r="C498" s="233">
        <f t="shared" ca="1" si="12"/>
        <v>1</v>
      </c>
      <c r="D498" s="234">
        <f t="shared" ca="1" si="13"/>
        <v>3</v>
      </c>
      <c r="E498" s="234">
        <f t="shared" ca="1" si="14"/>
        <v>2</v>
      </c>
    </row>
    <row r="499" spans="1:5" ht="13.5" customHeight="1" x14ac:dyDescent="0.2">
      <c r="A499" s="233">
        <f t="shared" ca="1" si="10"/>
        <v>0</v>
      </c>
      <c r="B499" s="233">
        <f t="shared" ca="1" si="11"/>
        <v>3</v>
      </c>
      <c r="C499" s="233">
        <f t="shared" ca="1" si="12"/>
        <v>1</v>
      </c>
      <c r="D499" s="234">
        <f t="shared" ca="1" si="13"/>
        <v>3</v>
      </c>
      <c r="E499" s="234">
        <f t="shared" ca="1" si="14"/>
        <v>2</v>
      </c>
    </row>
    <row r="500" spans="1:5" ht="13.5" customHeight="1" x14ac:dyDescent="0.2">
      <c r="A500" s="233">
        <f t="shared" ca="1" si="10"/>
        <v>0</v>
      </c>
      <c r="B500" s="233">
        <f t="shared" ca="1" si="11"/>
        <v>3</v>
      </c>
      <c r="C500" s="233">
        <f t="shared" ca="1" si="12"/>
        <v>1</v>
      </c>
      <c r="D500" s="234">
        <f t="shared" ca="1" si="13"/>
        <v>3</v>
      </c>
      <c r="E500" s="234">
        <f t="shared" ca="1" si="14"/>
        <v>2</v>
      </c>
    </row>
    <row r="501" spans="1:5" ht="13.5" customHeight="1" x14ac:dyDescent="0.2">
      <c r="A501" s="233">
        <f t="shared" ca="1" si="10"/>
        <v>0</v>
      </c>
      <c r="B501" s="233">
        <f t="shared" ca="1" si="11"/>
        <v>3</v>
      </c>
      <c r="C501" s="233">
        <f t="shared" ca="1" si="12"/>
        <v>1</v>
      </c>
      <c r="D501" s="234">
        <f t="shared" ca="1" si="13"/>
        <v>3</v>
      </c>
      <c r="E501" s="234">
        <f t="shared" ca="1" si="14"/>
        <v>2</v>
      </c>
    </row>
    <row r="502" spans="1:5" ht="13.5" customHeight="1" x14ac:dyDescent="0.2">
      <c r="A502" s="233">
        <f t="shared" ca="1" si="10"/>
        <v>0</v>
      </c>
      <c r="B502" s="233">
        <f t="shared" ca="1" si="11"/>
        <v>3</v>
      </c>
      <c r="C502" s="233">
        <f t="shared" ca="1" si="12"/>
        <v>1</v>
      </c>
      <c r="D502" s="234">
        <f t="shared" ca="1" si="13"/>
        <v>3</v>
      </c>
      <c r="E502" s="234">
        <f t="shared" ca="1" si="14"/>
        <v>2</v>
      </c>
    </row>
    <row r="503" spans="1:5" ht="13.5" customHeight="1" x14ac:dyDescent="0.2">
      <c r="A503" s="233">
        <f t="shared" ca="1" si="10"/>
        <v>0</v>
      </c>
      <c r="B503" s="233">
        <f t="shared" ca="1" si="11"/>
        <v>3</v>
      </c>
      <c r="C503" s="233">
        <f t="shared" ca="1" si="12"/>
        <v>1</v>
      </c>
      <c r="D503" s="234">
        <f t="shared" ca="1" si="13"/>
        <v>3</v>
      </c>
      <c r="E503" s="234">
        <f t="shared" ca="1" si="14"/>
        <v>2</v>
      </c>
    </row>
    <row r="504" spans="1:5" ht="13.5" customHeight="1" x14ac:dyDescent="0.2">
      <c r="A504" s="233">
        <f t="shared" ca="1" si="10"/>
        <v>0</v>
      </c>
      <c r="B504" s="233">
        <f t="shared" ca="1" si="11"/>
        <v>3</v>
      </c>
      <c r="C504" s="233">
        <f t="shared" ca="1" si="12"/>
        <v>1</v>
      </c>
      <c r="D504" s="234">
        <f t="shared" ca="1" si="13"/>
        <v>3</v>
      </c>
      <c r="E504" s="234">
        <f t="shared" ca="1" si="14"/>
        <v>2</v>
      </c>
    </row>
    <row r="505" spans="1:5" ht="13.5" customHeight="1" x14ac:dyDescent="0.2">
      <c r="A505" s="233">
        <f t="shared" ca="1" si="10"/>
        <v>0</v>
      </c>
      <c r="B505" s="233">
        <f t="shared" ca="1" si="11"/>
        <v>3</v>
      </c>
      <c r="C505" s="233">
        <f t="shared" ca="1" si="12"/>
        <v>1</v>
      </c>
      <c r="D505" s="234">
        <f t="shared" ca="1" si="13"/>
        <v>3</v>
      </c>
      <c r="E505" s="234">
        <f t="shared" ca="1" si="14"/>
        <v>2</v>
      </c>
    </row>
    <row r="506" spans="1:5" ht="13.5" customHeight="1" x14ac:dyDescent="0.2">
      <c r="A506" s="233">
        <f t="shared" ca="1" si="10"/>
        <v>0</v>
      </c>
      <c r="B506" s="233">
        <f t="shared" ca="1" si="11"/>
        <v>3</v>
      </c>
      <c r="C506" s="233">
        <f t="shared" ca="1" si="12"/>
        <v>1</v>
      </c>
      <c r="D506" s="234">
        <f t="shared" ca="1" si="13"/>
        <v>3</v>
      </c>
      <c r="E506" s="234">
        <f t="shared" ca="1" si="14"/>
        <v>2</v>
      </c>
    </row>
    <row r="507" spans="1:5" ht="13.5" customHeight="1" x14ac:dyDescent="0.2">
      <c r="A507" s="233">
        <f t="shared" ca="1" si="10"/>
        <v>0</v>
      </c>
      <c r="B507" s="233">
        <f t="shared" ca="1" si="11"/>
        <v>3</v>
      </c>
      <c r="C507" s="233">
        <f t="shared" ca="1" si="12"/>
        <v>1</v>
      </c>
      <c r="D507" s="234">
        <f t="shared" ca="1" si="13"/>
        <v>3</v>
      </c>
      <c r="E507" s="234">
        <f t="shared" ca="1" si="14"/>
        <v>2</v>
      </c>
    </row>
    <row r="508" spans="1:5" ht="13.5" customHeight="1" x14ac:dyDescent="0.2">
      <c r="A508" s="233">
        <f t="shared" ca="1" si="10"/>
        <v>0</v>
      </c>
      <c r="B508" s="233">
        <f t="shared" ca="1" si="11"/>
        <v>3</v>
      </c>
      <c r="C508" s="233">
        <f t="shared" ca="1" si="12"/>
        <v>1</v>
      </c>
      <c r="D508" s="234">
        <f t="shared" ca="1" si="13"/>
        <v>3</v>
      </c>
      <c r="E508" s="234">
        <f t="shared" ca="1" si="14"/>
        <v>2</v>
      </c>
    </row>
    <row r="509" spans="1:5" ht="13.5" customHeight="1" x14ac:dyDescent="0.2">
      <c r="A509" s="233">
        <f t="shared" ca="1" si="10"/>
        <v>0</v>
      </c>
      <c r="B509" s="233">
        <f t="shared" ca="1" si="11"/>
        <v>3</v>
      </c>
      <c r="C509" s="233">
        <f t="shared" ca="1" si="12"/>
        <v>1</v>
      </c>
      <c r="D509" s="234">
        <f t="shared" ca="1" si="13"/>
        <v>3</v>
      </c>
      <c r="E509" s="234">
        <f t="shared" ca="1" si="14"/>
        <v>2</v>
      </c>
    </row>
    <row r="510" spans="1:5" ht="13.5" customHeight="1" x14ac:dyDescent="0.2">
      <c r="A510" s="233">
        <f t="shared" ca="1" si="10"/>
        <v>0</v>
      </c>
      <c r="B510" s="233">
        <f t="shared" ca="1" si="11"/>
        <v>3</v>
      </c>
      <c r="C510" s="233">
        <f t="shared" ca="1" si="12"/>
        <v>1</v>
      </c>
      <c r="D510" s="234">
        <f t="shared" ca="1" si="13"/>
        <v>3</v>
      </c>
      <c r="E510" s="234">
        <f t="shared" ca="1" si="14"/>
        <v>2</v>
      </c>
    </row>
    <row r="511" spans="1:5" ht="13.5" customHeight="1" x14ac:dyDescent="0.2">
      <c r="A511" s="233">
        <f t="shared" ca="1" si="10"/>
        <v>0</v>
      </c>
      <c r="B511" s="233">
        <f t="shared" ca="1" si="11"/>
        <v>3</v>
      </c>
      <c r="C511" s="233">
        <f t="shared" ca="1" si="12"/>
        <v>1</v>
      </c>
      <c r="D511" s="234">
        <f t="shared" ca="1" si="13"/>
        <v>3</v>
      </c>
      <c r="E511" s="234">
        <f t="shared" ca="1" si="14"/>
        <v>2</v>
      </c>
    </row>
    <row r="512" spans="1:5" ht="13.5" customHeight="1" x14ac:dyDescent="0.2">
      <c r="A512" s="233">
        <f t="shared" ca="1" si="10"/>
        <v>0</v>
      </c>
      <c r="B512" s="233">
        <f t="shared" ca="1" si="11"/>
        <v>3</v>
      </c>
      <c r="C512" s="233">
        <f t="shared" ca="1" si="12"/>
        <v>1</v>
      </c>
      <c r="D512" s="234">
        <f t="shared" ca="1" si="13"/>
        <v>3</v>
      </c>
      <c r="E512" s="234">
        <f t="shared" ca="1" si="14"/>
        <v>2</v>
      </c>
    </row>
    <row r="513" spans="1:5" ht="13.5" customHeight="1" x14ac:dyDescent="0.2">
      <c r="A513" s="233">
        <f t="shared" ca="1" si="10"/>
        <v>0</v>
      </c>
      <c r="B513" s="233">
        <f t="shared" ca="1" si="11"/>
        <v>3</v>
      </c>
      <c r="C513" s="233">
        <f t="shared" ca="1" si="12"/>
        <v>1</v>
      </c>
      <c r="D513" s="234">
        <f t="shared" ca="1" si="13"/>
        <v>3</v>
      </c>
      <c r="E513" s="234">
        <f t="shared" ca="1" si="14"/>
        <v>2</v>
      </c>
    </row>
    <row r="514" spans="1:5" ht="13.5" customHeight="1" x14ac:dyDescent="0.2">
      <c r="A514" s="233">
        <f t="shared" ca="1" si="10"/>
        <v>0</v>
      </c>
      <c r="B514" s="233">
        <f t="shared" ca="1" si="11"/>
        <v>3</v>
      </c>
      <c r="C514" s="233">
        <f t="shared" ca="1" si="12"/>
        <v>1</v>
      </c>
      <c r="D514" s="234">
        <f t="shared" ca="1" si="13"/>
        <v>3</v>
      </c>
      <c r="E514" s="234">
        <f t="shared" ca="1" si="14"/>
        <v>2</v>
      </c>
    </row>
    <row r="515" spans="1:5" ht="13.5" customHeight="1" x14ac:dyDescent="0.2">
      <c r="A515" s="233">
        <f t="shared" ca="1" si="10"/>
        <v>0</v>
      </c>
      <c r="B515" s="233">
        <f t="shared" ca="1" si="11"/>
        <v>3</v>
      </c>
      <c r="C515" s="233">
        <f t="shared" ca="1" si="12"/>
        <v>1</v>
      </c>
      <c r="D515" s="234">
        <f t="shared" ca="1" si="13"/>
        <v>3</v>
      </c>
      <c r="E515" s="234">
        <f t="shared" ca="1" si="14"/>
        <v>2</v>
      </c>
    </row>
    <row r="516" spans="1:5" ht="13.5" customHeight="1" x14ac:dyDescent="0.2">
      <c r="A516" s="233">
        <f t="shared" ca="1" si="10"/>
        <v>0</v>
      </c>
      <c r="B516" s="233">
        <f t="shared" ca="1" si="11"/>
        <v>3</v>
      </c>
      <c r="C516" s="233">
        <f t="shared" ca="1" si="12"/>
        <v>1</v>
      </c>
      <c r="D516" s="234">
        <f t="shared" ca="1" si="13"/>
        <v>3</v>
      </c>
      <c r="E516" s="234">
        <f t="shared" ca="1" si="14"/>
        <v>2</v>
      </c>
    </row>
    <row r="517" spans="1:5" ht="13.5" customHeight="1" x14ac:dyDescent="0.2">
      <c r="A517" s="233">
        <f t="shared" ca="1" si="10"/>
        <v>0</v>
      </c>
      <c r="B517" s="233">
        <f t="shared" ca="1" si="11"/>
        <v>3</v>
      </c>
      <c r="C517" s="233">
        <f t="shared" ca="1" si="12"/>
        <v>1</v>
      </c>
      <c r="D517" s="234">
        <f t="shared" ca="1" si="13"/>
        <v>3</v>
      </c>
      <c r="E517" s="234">
        <f t="shared" ca="1" si="14"/>
        <v>2</v>
      </c>
    </row>
    <row r="518" spans="1:5" ht="13.5" customHeight="1" x14ac:dyDescent="0.2">
      <c r="A518" s="233">
        <f t="shared" ref="A518:A758" ca="1" si="15">IF($H518="UNIDADE CONSTRUTIVA",OFFSET(A518,-1,0)+1,LARGE(A$3:A517,1))</f>
        <v>0</v>
      </c>
      <c r="B518" s="233">
        <f t="shared" ref="B518:B758" ca="1" si="16">IF(H518="UNIDADE CONSTRUTIVA",0,IF(H518="CÉLULA CONSTRUTIVA",OFFSET(B518,-1,0)+1,OFFSET(B518,-1,0)))</f>
        <v>3</v>
      </c>
      <c r="C518" s="233">
        <f t="shared" ref="C518:C758" ca="1" si="17">IF(H518="CÉLULA CONSTRUTIVA",0,IF(H518="ETAPA",OFFSET(C518,-1,0)+1,OFFSET(C518,-1,0)))</f>
        <v>1</v>
      </c>
      <c r="D518" s="234">
        <f t="shared" ref="D518:D758" ca="1" si="18">IF(H518="ETAPA",0,IF(H518="SUBETAPA",OFFSET(D518,-1,0)+1,OFFSET(D518,-1,0)))</f>
        <v>3</v>
      </c>
      <c r="E518" s="234">
        <f t="shared" ref="E518:E758" ca="1" si="19">IF(H518="Subetapa",0,IF(H518="serviço",OFFSET(E518,-1,0)+1,OFFSET(E518,-1,0)))</f>
        <v>2</v>
      </c>
    </row>
    <row r="519" spans="1:5" ht="13.5" customHeight="1" x14ac:dyDescent="0.2">
      <c r="A519" s="233">
        <f t="shared" ca="1" si="15"/>
        <v>0</v>
      </c>
      <c r="B519" s="233">
        <f t="shared" ca="1" si="16"/>
        <v>3</v>
      </c>
      <c r="C519" s="233">
        <f t="shared" ca="1" si="17"/>
        <v>1</v>
      </c>
      <c r="D519" s="234">
        <f t="shared" ca="1" si="18"/>
        <v>3</v>
      </c>
      <c r="E519" s="234">
        <f t="shared" ca="1" si="19"/>
        <v>2</v>
      </c>
    </row>
    <row r="520" spans="1:5" ht="13.5" customHeight="1" x14ac:dyDescent="0.2">
      <c r="A520" s="233">
        <f t="shared" ca="1" si="15"/>
        <v>0</v>
      </c>
      <c r="B520" s="233">
        <f t="shared" ca="1" si="16"/>
        <v>3</v>
      </c>
      <c r="C520" s="233">
        <f t="shared" ca="1" si="17"/>
        <v>1</v>
      </c>
      <c r="D520" s="234">
        <f t="shared" ca="1" si="18"/>
        <v>3</v>
      </c>
      <c r="E520" s="234">
        <f t="shared" ca="1" si="19"/>
        <v>2</v>
      </c>
    </row>
    <row r="521" spans="1:5" ht="13.5" customHeight="1" x14ac:dyDescent="0.2">
      <c r="A521" s="233">
        <f t="shared" ca="1" si="15"/>
        <v>0</v>
      </c>
      <c r="B521" s="233">
        <f t="shared" ca="1" si="16"/>
        <v>3</v>
      </c>
      <c r="C521" s="233">
        <f t="shared" ca="1" si="17"/>
        <v>1</v>
      </c>
      <c r="D521" s="234">
        <f t="shared" ca="1" si="18"/>
        <v>3</v>
      </c>
      <c r="E521" s="234">
        <f t="shared" ca="1" si="19"/>
        <v>2</v>
      </c>
    </row>
    <row r="522" spans="1:5" ht="13.5" customHeight="1" x14ac:dyDescent="0.2">
      <c r="A522" s="233">
        <f t="shared" ca="1" si="15"/>
        <v>0</v>
      </c>
      <c r="B522" s="233">
        <f t="shared" ca="1" si="16"/>
        <v>3</v>
      </c>
      <c r="C522" s="233">
        <f t="shared" ca="1" si="17"/>
        <v>1</v>
      </c>
      <c r="D522" s="234">
        <f t="shared" ca="1" si="18"/>
        <v>3</v>
      </c>
      <c r="E522" s="234">
        <f t="shared" ca="1" si="19"/>
        <v>2</v>
      </c>
    </row>
    <row r="523" spans="1:5" ht="13.5" customHeight="1" x14ac:dyDescent="0.2">
      <c r="A523" s="233">
        <f t="shared" ca="1" si="15"/>
        <v>0</v>
      </c>
      <c r="B523" s="233">
        <f t="shared" ca="1" si="16"/>
        <v>3</v>
      </c>
      <c r="C523" s="233">
        <f t="shared" ca="1" si="17"/>
        <v>1</v>
      </c>
      <c r="D523" s="234">
        <f t="shared" ca="1" si="18"/>
        <v>3</v>
      </c>
      <c r="E523" s="234">
        <f t="shared" ca="1" si="19"/>
        <v>2</v>
      </c>
    </row>
    <row r="524" spans="1:5" ht="13.5" customHeight="1" x14ac:dyDescent="0.2">
      <c r="A524" s="233">
        <f t="shared" ca="1" si="15"/>
        <v>0</v>
      </c>
      <c r="B524" s="233">
        <f t="shared" ca="1" si="16"/>
        <v>3</v>
      </c>
      <c r="C524" s="233">
        <f t="shared" ca="1" si="17"/>
        <v>1</v>
      </c>
      <c r="D524" s="234">
        <f t="shared" ca="1" si="18"/>
        <v>3</v>
      </c>
      <c r="E524" s="234">
        <f t="shared" ca="1" si="19"/>
        <v>2</v>
      </c>
    </row>
    <row r="525" spans="1:5" ht="13.5" customHeight="1" x14ac:dyDescent="0.2">
      <c r="A525" s="233">
        <f t="shared" ca="1" si="15"/>
        <v>0</v>
      </c>
      <c r="B525" s="233">
        <f t="shared" ca="1" si="16"/>
        <v>3</v>
      </c>
      <c r="C525" s="233">
        <f t="shared" ca="1" si="17"/>
        <v>1</v>
      </c>
      <c r="D525" s="234">
        <f t="shared" ca="1" si="18"/>
        <v>3</v>
      </c>
      <c r="E525" s="234">
        <f t="shared" ca="1" si="19"/>
        <v>2</v>
      </c>
    </row>
    <row r="526" spans="1:5" ht="13.5" customHeight="1" x14ac:dyDescent="0.2">
      <c r="A526" s="233">
        <f t="shared" ca="1" si="15"/>
        <v>0</v>
      </c>
      <c r="B526" s="233">
        <f t="shared" ca="1" si="16"/>
        <v>3</v>
      </c>
      <c r="C526" s="233">
        <f t="shared" ca="1" si="17"/>
        <v>1</v>
      </c>
      <c r="D526" s="234">
        <f t="shared" ca="1" si="18"/>
        <v>3</v>
      </c>
      <c r="E526" s="234">
        <f t="shared" ca="1" si="19"/>
        <v>2</v>
      </c>
    </row>
    <row r="527" spans="1:5" ht="13.5" customHeight="1" x14ac:dyDescent="0.2">
      <c r="A527" s="233">
        <f t="shared" ca="1" si="15"/>
        <v>0</v>
      </c>
      <c r="B527" s="233">
        <f t="shared" ca="1" si="16"/>
        <v>3</v>
      </c>
      <c r="C527" s="233">
        <f t="shared" ca="1" si="17"/>
        <v>1</v>
      </c>
      <c r="D527" s="234">
        <f t="shared" ca="1" si="18"/>
        <v>3</v>
      </c>
      <c r="E527" s="234">
        <f t="shared" ca="1" si="19"/>
        <v>2</v>
      </c>
    </row>
    <row r="528" spans="1:5" ht="13.5" customHeight="1" x14ac:dyDescent="0.2">
      <c r="A528" s="233">
        <f t="shared" ca="1" si="15"/>
        <v>0</v>
      </c>
      <c r="B528" s="233">
        <f t="shared" ca="1" si="16"/>
        <v>3</v>
      </c>
      <c r="C528" s="233">
        <f t="shared" ca="1" si="17"/>
        <v>1</v>
      </c>
      <c r="D528" s="234">
        <f t="shared" ca="1" si="18"/>
        <v>3</v>
      </c>
      <c r="E528" s="234">
        <f t="shared" ca="1" si="19"/>
        <v>2</v>
      </c>
    </row>
    <row r="529" spans="1:5" ht="13.5" customHeight="1" x14ac:dyDescent="0.2">
      <c r="A529" s="233">
        <f t="shared" ca="1" si="15"/>
        <v>0</v>
      </c>
      <c r="B529" s="233">
        <f t="shared" ca="1" si="16"/>
        <v>3</v>
      </c>
      <c r="C529" s="233">
        <f t="shared" ca="1" si="17"/>
        <v>1</v>
      </c>
      <c r="D529" s="234">
        <f t="shared" ca="1" si="18"/>
        <v>3</v>
      </c>
      <c r="E529" s="234">
        <f t="shared" ca="1" si="19"/>
        <v>2</v>
      </c>
    </row>
    <row r="530" spans="1:5" ht="13.5" customHeight="1" x14ac:dyDescent="0.2">
      <c r="A530" s="233">
        <f t="shared" ca="1" si="15"/>
        <v>0</v>
      </c>
      <c r="B530" s="233">
        <f t="shared" ca="1" si="16"/>
        <v>3</v>
      </c>
      <c r="C530" s="233">
        <f t="shared" ca="1" si="17"/>
        <v>1</v>
      </c>
      <c r="D530" s="234">
        <f t="shared" ca="1" si="18"/>
        <v>3</v>
      </c>
      <c r="E530" s="234">
        <f t="shared" ca="1" si="19"/>
        <v>2</v>
      </c>
    </row>
    <row r="531" spans="1:5" ht="13.5" customHeight="1" x14ac:dyDescent="0.2">
      <c r="A531" s="233">
        <f t="shared" ca="1" si="15"/>
        <v>0</v>
      </c>
      <c r="B531" s="233">
        <f t="shared" ca="1" si="16"/>
        <v>3</v>
      </c>
      <c r="C531" s="233">
        <f t="shared" ca="1" si="17"/>
        <v>1</v>
      </c>
      <c r="D531" s="234">
        <f t="shared" ca="1" si="18"/>
        <v>3</v>
      </c>
      <c r="E531" s="234">
        <f t="shared" ca="1" si="19"/>
        <v>2</v>
      </c>
    </row>
    <row r="532" spans="1:5" ht="13.5" customHeight="1" x14ac:dyDescent="0.2">
      <c r="A532" s="233">
        <f t="shared" ca="1" si="15"/>
        <v>0</v>
      </c>
      <c r="B532" s="233">
        <f t="shared" ca="1" si="16"/>
        <v>3</v>
      </c>
      <c r="C532" s="233">
        <f t="shared" ca="1" si="17"/>
        <v>1</v>
      </c>
      <c r="D532" s="234">
        <f t="shared" ca="1" si="18"/>
        <v>3</v>
      </c>
      <c r="E532" s="234">
        <f t="shared" ca="1" si="19"/>
        <v>2</v>
      </c>
    </row>
    <row r="533" spans="1:5" ht="13.5" customHeight="1" x14ac:dyDescent="0.2">
      <c r="A533" s="233">
        <f t="shared" ca="1" si="15"/>
        <v>0</v>
      </c>
      <c r="B533" s="233">
        <f t="shared" ca="1" si="16"/>
        <v>3</v>
      </c>
      <c r="C533" s="233">
        <f t="shared" ca="1" si="17"/>
        <v>1</v>
      </c>
      <c r="D533" s="234">
        <f t="shared" ca="1" si="18"/>
        <v>3</v>
      </c>
      <c r="E533" s="234">
        <f t="shared" ca="1" si="19"/>
        <v>2</v>
      </c>
    </row>
    <row r="534" spans="1:5" ht="13.5" customHeight="1" x14ac:dyDescent="0.2">
      <c r="A534" s="233">
        <f t="shared" ca="1" si="15"/>
        <v>0</v>
      </c>
      <c r="B534" s="233">
        <f t="shared" ca="1" si="16"/>
        <v>3</v>
      </c>
      <c r="C534" s="233">
        <f t="shared" ca="1" si="17"/>
        <v>1</v>
      </c>
      <c r="D534" s="234">
        <f t="shared" ca="1" si="18"/>
        <v>3</v>
      </c>
      <c r="E534" s="234">
        <f t="shared" ca="1" si="19"/>
        <v>2</v>
      </c>
    </row>
    <row r="535" spans="1:5" ht="13.5" customHeight="1" x14ac:dyDescent="0.2">
      <c r="A535" s="233">
        <f t="shared" ca="1" si="15"/>
        <v>0</v>
      </c>
      <c r="B535" s="233">
        <f t="shared" ca="1" si="16"/>
        <v>3</v>
      </c>
      <c r="C535" s="233">
        <f t="shared" ca="1" si="17"/>
        <v>1</v>
      </c>
      <c r="D535" s="234">
        <f t="shared" ca="1" si="18"/>
        <v>3</v>
      </c>
      <c r="E535" s="234">
        <f t="shared" ca="1" si="19"/>
        <v>2</v>
      </c>
    </row>
    <row r="536" spans="1:5" ht="13.5" customHeight="1" x14ac:dyDescent="0.2">
      <c r="A536" s="233">
        <f t="shared" ca="1" si="15"/>
        <v>0</v>
      </c>
      <c r="B536" s="233">
        <f t="shared" ca="1" si="16"/>
        <v>3</v>
      </c>
      <c r="C536" s="233">
        <f t="shared" ca="1" si="17"/>
        <v>1</v>
      </c>
      <c r="D536" s="234">
        <f t="shared" ca="1" si="18"/>
        <v>3</v>
      </c>
      <c r="E536" s="234">
        <f t="shared" ca="1" si="19"/>
        <v>2</v>
      </c>
    </row>
    <row r="537" spans="1:5" ht="13.5" customHeight="1" x14ac:dyDescent="0.2">
      <c r="A537" s="233">
        <f t="shared" ca="1" si="15"/>
        <v>0</v>
      </c>
      <c r="B537" s="233">
        <f t="shared" ca="1" si="16"/>
        <v>3</v>
      </c>
      <c r="C537" s="233">
        <f t="shared" ca="1" si="17"/>
        <v>1</v>
      </c>
      <c r="D537" s="234">
        <f t="shared" ca="1" si="18"/>
        <v>3</v>
      </c>
      <c r="E537" s="234">
        <f t="shared" ca="1" si="19"/>
        <v>2</v>
      </c>
    </row>
    <row r="538" spans="1:5" ht="13.5" customHeight="1" x14ac:dyDescent="0.2">
      <c r="A538" s="233">
        <f t="shared" ca="1" si="15"/>
        <v>0</v>
      </c>
      <c r="B538" s="233">
        <f t="shared" ca="1" si="16"/>
        <v>3</v>
      </c>
      <c r="C538" s="233">
        <f t="shared" ca="1" si="17"/>
        <v>1</v>
      </c>
      <c r="D538" s="234">
        <f t="shared" ca="1" si="18"/>
        <v>3</v>
      </c>
      <c r="E538" s="234">
        <f t="shared" ca="1" si="19"/>
        <v>2</v>
      </c>
    </row>
    <row r="539" spans="1:5" ht="13.5" customHeight="1" x14ac:dyDescent="0.2">
      <c r="A539" s="233">
        <f t="shared" ca="1" si="15"/>
        <v>0</v>
      </c>
      <c r="B539" s="233">
        <f t="shared" ca="1" si="16"/>
        <v>3</v>
      </c>
      <c r="C539" s="233">
        <f t="shared" ca="1" si="17"/>
        <v>1</v>
      </c>
      <c r="D539" s="234">
        <f t="shared" ca="1" si="18"/>
        <v>3</v>
      </c>
      <c r="E539" s="234">
        <f t="shared" ca="1" si="19"/>
        <v>2</v>
      </c>
    </row>
    <row r="540" spans="1:5" ht="13.5" customHeight="1" x14ac:dyDescent="0.2">
      <c r="A540" s="233">
        <f t="shared" ca="1" si="15"/>
        <v>0</v>
      </c>
      <c r="B540" s="233">
        <f t="shared" ca="1" si="16"/>
        <v>3</v>
      </c>
      <c r="C540" s="233">
        <f t="shared" ca="1" si="17"/>
        <v>1</v>
      </c>
      <c r="D540" s="234">
        <f t="shared" ca="1" si="18"/>
        <v>3</v>
      </c>
      <c r="E540" s="234">
        <f t="shared" ca="1" si="19"/>
        <v>2</v>
      </c>
    </row>
    <row r="541" spans="1:5" ht="13.5" customHeight="1" x14ac:dyDescent="0.2">
      <c r="A541" s="233">
        <f t="shared" ca="1" si="15"/>
        <v>0</v>
      </c>
      <c r="B541" s="233">
        <f t="shared" ca="1" si="16"/>
        <v>3</v>
      </c>
      <c r="C541" s="233">
        <f t="shared" ca="1" si="17"/>
        <v>1</v>
      </c>
      <c r="D541" s="234">
        <f t="shared" ca="1" si="18"/>
        <v>3</v>
      </c>
      <c r="E541" s="234">
        <f t="shared" ca="1" si="19"/>
        <v>2</v>
      </c>
    </row>
    <row r="542" spans="1:5" ht="13.5" customHeight="1" x14ac:dyDescent="0.2">
      <c r="A542" s="233">
        <f t="shared" ca="1" si="15"/>
        <v>0</v>
      </c>
      <c r="B542" s="233">
        <f t="shared" ca="1" si="16"/>
        <v>3</v>
      </c>
      <c r="C542" s="233">
        <f t="shared" ca="1" si="17"/>
        <v>1</v>
      </c>
      <c r="D542" s="234">
        <f t="shared" ca="1" si="18"/>
        <v>3</v>
      </c>
      <c r="E542" s="234">
        <f t="shared" ca="1" si="19"/>
        <v>2</v>
      </c>
    </row>
    <row r="543" spans="1:5" ht="13.5" customHeight="1" x14ac:dyDescent="0.2">
      <c r="A543" s="233">
        <f t="shared" ca="1" si="15"/>
        <v>0</v>
      </c>
      <c r="B543" s="233">
        <f t="shared" ca="1" si="16"/>
        <v>3</v>
      </c>
      <c r="C543" s="233">
        <f t="shared" ca="1" si="17"/>
        <v>1</v>
      </c>
      <c r="D543" s="234">
        <f t="shared" ca="1" si="18"/>
        <v>3</v>
      </c>
      <c r="E543" s="234">
        <f t="shared" ca="1" si="19"/>
        <v>2</v>
      </c>
    </row>
    <row r="544" spans="1:5" ht="13.5" customHeight="1" x14ac:dyDescent="0.2">
      <c r="A544" s="233">
        <f t="shared" ca="1" si="15"/>
        <v>0</v>
      </c>
      <c r="B544" s="233">
        <f t="shared" ca="1" si="16"/>
        <v>3</v>
      </c>
      <c r="C544" s="233">
        <f t="shared" ca="1" si="17"/>
        <v>1</v>
      </c>
      <c r="D544" s="234">
        <f t="shared" ca="1" si="18"/>
        <v>3</v>
      </c>
      <c r="E544" s="234">
        <f t="shared" ca="1" si="19"/>
        <v>2</v>
      </c>
    </row>
    <row r="545" spans="1:5" ht="13.5" customHeight="1" x14ac:dyDescent="0.2">
      <c r="A545" s="233">
        <f t="shared" ca="1" si="15"/>
        <v>0</v>
      </c>
      <c r="B545" s="233">
        <f t="shared" ca="1" si="16"/>
        <v>3</v>
      </c>
      <c r="C545" s="233">
        <f t="shared" ca="1" si="17"/>
        <v>1</v>
      </c>
      <c r="D545" s="234">
        <f t="shared" ca="1" si="18"/>
        <v>3</v>
      </c>
      <c r="E545" s="234">
        <f t="shared" ca="1" si="19"/>
        <v>2</v>
      </c>
    </row>
    <row r="546" spans="1:5" ht="13.5" customHeight="1" x14ac:dyDescent="0.2">
      <c r="A546" s="233">
        <f t="shared" ca="1" si="15"/>
        <v>0</v>
      </c>
      <c r="B546" s="233">
        <f t="shared" ca="1" si="16"/>
        <v>3</v>
      </c>
      <c r="C546" s="233">
        <f t="shared" ca="1" si="17"/>
        <v>1</v>
      </c>
      <c r="D546" s="234">
        <f t="shared" ca="1" si="18"/>
        <v>3</v>
      </c>
      <c r="E546" s="234">
        <f t="shared" ca="1" si="19"/>
        <v>2</v>
      </c>
    </row>
    <row r="547" spans="1:5" ht="13.5" customHeight="1" x14ac:dyDescent="0.2">
      <c r="A547" s="233">
        <f t="shared" ca="1" si="15"/>
        <v>0</v>
      </c>
      <c r="B547" s="233">
        <f t="shared" ca="1" si="16"/>
        <v>3</v>
      </c>
      <c r="C547" s="233">
        <f t="shared" ca="1" si="17"/>
        <v>1</v>
      </c>
      <c r="D547" s="234">
        <f t="shared" ca="1" si="18"/>
        <v>3</v>
      </c>
      <c r="E547" s="234">
        <f t="shared" ca="1" si="19"/>
        <v>2</v>
      </c>
    </row>
    <row r="548" spans="1:5" ht="13.5" customHeight="1" x14ac:dyDescent="0.2">
      <c r="A548" s="233">
        <f t="shared" ca="1" si="15"/>
        <v>0</v>
      </c>
      <c r="B548" s="233">
        <f t="shared" ca="1" si="16"/>
        <v>3</v>
      </c>
      <c r="C548" s="233">
        <f t="shared" ca="1" si="17"/>
        <v>1</v>
      </c>
      <c r="D548" s="234">
        <f t="shared" ca="1" si="18"/>
        <v>3</v>
      </c>
      <c r="E548" s="234">
        <f t="shared" ca="1" si="19"/>
        <v>2</v>
      </c>
    </row>
    <row r="549" spans="1:5" ht="13.5" customHeight="1" x14ac:dyDescent="0.2">
      <c r="A549" s="233">
        <f t="shared" ca="1" si="15"/>
        <v>0</v>
      </c>
      <c r="B549" s="233">
        <f t="shared" ca="1" si="16"/>
        <v>3</v>
      </c>
      <c r="C549" s="233">
        <f t="shared" ca="1" si="17"/>
        <v>1</v>
      </c>
      <c r="D549" s="234">
        <f t="shared" ca="1" si="18"/>
        <v>3</v>
      </c>
      <c r="E549" s="234">
        <f t="shared" ca="1" si="19"/>
        <v>2</v>
      </c>
    </row>
    <row r="550" spans="1:5" ht="13.5" customHeight="1" x14ac:dyDescent="0.2">
      <c r="A550" s="233">
        <f t="shared" ca="1" si="15"/>
        <v>0</v>
      </c>
      <c r="B550" s="233">
        <f t="shared" ca="1" si="16"/>
        <v>3</v>
      </c>
      <c r="C550" s="233">
        <f t="shared" ca="1" si="17"/>
        <v>1</v>
      </c>
      <c r="D550" s="234">
        <f t="shared" ca="1" si="18"/>
        <v>3</v>
      </c>
      <c r="E550" s="234">
        <f t="shared" ca="1" si="19"/>
        <v>2</v>
      </c>
    </row>
    <row r="551" spans="1:5" ht="13.5" customHeight="1" x14ac:dyDescent="0.2">
      <c r="A551" s="233">
        <f t="shared" ca="1" si="15"/>
        <v>0</v>
      </c>
      <c r="B551" s="233">
        <f t="shared" ca="1" si="16"/>
        <v>3</v>
      </c>
      <c r="C551" s="233">
        <f t="shared" ca="1" si="17"/>
        <v>1</v>
      </c>
      <c r="D551" s="234">
        <f t="shared" ca="1" si="18"/>
        <v>3</v>
      </c>
      <c r="E551" s="234">
        <f t="shared" ca="1" si="19"/>
        <v>2</v>
      </c>
    </row>
    <row r="552" spans="1:5" ht="13.5" customHeight="1" x14ac:dyDescent="0.2">
      <c r="A552" s="233">
        <f t="shared" ca="1" si="15"/>
        <v>0</v>
      </c>
      <c r="B552" s="233">
        <f t="shared" ca="1" si="16"/>
        <v>3</v>
      </c>
      <c r="C552" s="233">
        <f t="shared" ca="1" si="17"/>
        <v>1</v>
      </c>
      <c r="D552" s="234">
        <f t="shared" ca="1" si="18"/>
        <v>3</v>
      </c>
      <c r="E552" s="234">
        <f t="shared" ca="1" si="19"/>
        <v>2</v>
      </c>
    </row>
    <row r="553" spans="1:5" ht="13.5" customHeight="1" x14ac:dyDescent="0.2">
      <c r="A553" s="233">
        <f t="shared" ca="1" si="15"/>
        <v>0</v>
      </c>
      <c r="B553" s="233">
        <f t="shared" ca="1" si="16"/>
        <v>3</v>
      </c>
      <c r="C553" s="233">
        <f t="shared" ca="1" si="17"/>
        <v>1</v>
      </c>
      <c r="D553" s="234">
        <f t="shared" ca="1" si="18"/>
        <v>3</v>
      </c>
      <c r="E553" s="234">
        <f t="shared" ca="1" si="19"/>
        <v>2</v>
      </c>
    </row>
    <row r="554" spans="1:5" ht="13.5" customHeight="1" x14ac:dyDescent="0.2">
      <c r="A554" s="233">
        <f t="shared" ca="1" si="15"/>
        <v>0</v>
      </c>
      <c r="B554" s="233">
        <f t="shared" ca="1" si="16"/>
        <v>3</v>
      </c>
      <c r="C554" s="233">
        <f t="shared" ca="1" si="17"/>
        <v>1</v>
      </c>
      <c r="D554" s="234">
        <f t="shared" ca="1" si="18"/>
        <v>3</v>
      </c>
      <c r="E554" s="234">
        <f t="shared" ca="1" si="19"/>
        <v>2</v>
      </c>
    </row>
    <row r="555" spans="1:5" ht="13.5" customHeight="1" x14ac:dyDescent="0.2">
      <c r="A555" s="233">
        <f t="shared" ca="1" si="15"/>
        <v>0</v>
      </c>
      <c r="B555" s="233">
        <f t="shared" ca="1" si="16"/>
        <v>3</v>
      </c>
      <c r="C555" s="233">
        <f t="shared" ca="1" si="17"/>
        <v>1</v>
      </c>
      <c r="D555" s="234">
        <f t="shared" ca="1" si="18"/>
        <v>3</v>
      </c>
      <c r="E555" s="234">
        <f t="shared" ca="1" si="19"/>
        <v>2</v>
      </c>
    </row>
    <row r="556" spans="1:5" ht="13.5" customHeight="1" x14ac:dyDescent="0.2">
      <c r="A556" s="233">
        <f t="shared" ca="1" si="15"/>
        <v>0</v>
      </c>
      <c r="B556" s="233">
        <f t="shared" ca="1" si="16"/>
        <v>3</v>
      </c>
      <c r="C556" s="233">
        <f t="shared" ca="1" si="17"/>
        <v>1</v>
      </c>
      <c r="D556" s="234">
        <f t="shared" ca="1" si="18"/>
        <v>3</v>
      </c>
      <c r="E556" s="234">
        <f t="shared" ca="1" si="19"/>
        <v>2</v>
      </c>
    </row>
    <row r="557" spans="1:5" ht="13.5" customHeight="1" x14ac:dyDescent="0.2">
      <c r="A557" s="233">
        <f t="shared" ca="1" si="15"/>
        <v>0</v>
      </c>
      <c r="B557" s="233">
        <f t="shared" ca="1" si="16"/>
        <v>3</v>
      </c>
      <c r="C557" s="233">
        <f t="shared" ca="1" si="17"/>
        <v>1</v>
      </c>
      <c r="D557" s="234">
        <f t="shared" ca="1" si="18"/>
        <v>3</v>
      </c>
      <c r="E557" s="234">
        <f t="shared" ca="1" si="19"/>
        <v>2</v>
      </c>
    </row>
    <row r="558" spans="1:5" ht="13.5" customHeight="1" x14ac:dyDescent="0.2">
      <c r="A558" s="233">
        <f t="shared" ca="1" si="15"/>
        <v>0</v>
      </c>
      <c r="B558" s="233">
        <f t="shared" ca="1" si="16"/>
        <v>3</v>
      </c>
      <c r="C558" s="233">
        <f t="shared" ca="1" si="17"/>
        <v>1</v>
      </c>
      <c r="D558" s="234">
        <f t="shared" ca="1" si="18"/>
        <v>3</v>
      </c>
      <c r="E558" s="234">
        <f t="shared" ca="1" si="19"/>
        <v>2</v>
      </c>
    </row>
    <row r="559" spans="1:5" ht="13.5" customHeight="1" x14ac:dyDescent="0.2">
      <c r="A559" s="233">
        <f t="shared" ca="1" si="15"/>
        <v>0</v>
      </c>
      <c r="B559" s="233">
        <f t="shared" ca="1" si="16"/>
        <v>3</v>
      </c>
      <c r="C559" s="233">
        <f t="shared" ca="1" si="17"/>
        <v>1</v>
      </c>
      <c r="D559" s="234">
        <f t="shared" ca="1" si="18"/>
        <v>3</v>
      </c>
      <c r="E559" s="234">
        <f t="shared" ca="1" si="19"/>
        <v>2</v>
      </c>
    </row>
    <row r="560" spans="1:5" ht="13.5" customHeight="1" x14ac:dyDescent="0.2">
      <c r="A560" s="233">
        <f t="shared" ca="1" si="15"/>
        <v>0</v>
      </c>
      <c r="B560" s="233">
        <f t="shared" ca="1" si="16"/>
        <v>3</v>
      </c>
      <c r="C560" s="233">
        <f t="shared" ca="1" si="17"/>
        <v>1</v>
      </c>
      <c r="D560" s="234">
        <f t="shared" ca="1" si="18"/>
        <v>3</v>
      </c>
      <c r="E560" s="234">
        <f t="shared" ca="1" si="19"/>
        <v>2</v>
      </c>
    </row>
    <row r="561" spans="1:5" ht="13.5" customHeight="1" x14ac:dyDescent="0.2">
      <c r="A561" s="233">
        <f t="shared" ca="1" si="15"/>
        <v>0</v>
      </c>
      <c r="B561" s="233">
        <f t="shared" ca="1" si="16"/>
        <v>3</v>
      </c>
      <c r="C561" s="233">
        <f t="shared" ca="1" si="17"/>
        <v>1</v>
      </c>
      <c r="D561" s="234">
        <f t="shared" ca="1" si="18"/>
        <v>3</v>
      </c>
      <c r="E561" s="234">
        <f t="shared" ca="1" si="19"/>
        <v>2</v>
      </c>
    </row>
    <row r="562" spans="1:5" ht="13.5" customHeight="1" x14ac:dyDescent="0.2">
      <c r="A562" s="233">
        <f t="shared" ca="1" si="15"/>
        <v>0</v>
      </c>
      <c r="B562" s="233">
        <f t="shared" ca="1" si="16"/>
        <v>3</v>
      </c>
      <c r="C562" s="233">
        <f t="shared" ca="1" si="17"/>
        <v>1</v>
      </c>
      <c r="D562" s="234">
        <f t="shared" ca="1" si="18"/>
        <v>3</v>
      </c>
      <c r="E562" s="234">
        <f t="shared" ca="1" si="19"/>
        <v>2</v>
      </c>
    </row>
    <row r="563" spans="1:5" ht="13.5" customHeight="1" x14ac:dyDescent="0.2">
      <c r="A563" s="233">
        <f t="shared" ca="1" si="15"/>
        <v>0</v>
      </c>
      <c r="B563" s="233">
        <f t="shared" ca="1" si="16"/>
        <v>3</v>
      </c>
      <c r="C563" s="233">
        <f t="shared" ca="1" si="17"/>
        <v>1</v>
      </c>
      <c r="D563" s="234">
        <f t="shared" ca="1" si="18"/>
        <v>3</v>
      </c>
      <c r="E563" s="234">
        <f t="shared" ca="1" si="19"/>
        <v>2</v>
      </c>
    </row>
    <row r="564" spans="1:5" ht="13.5" customHeight="1" x14ac:dyDescent="0.2">
      <c r="A564" s="233">
        <f t="shared" ca="1" si="15"/>
        <v>0</v>
      </c>
      <c r="B564" s="233">
        <f t="shared" ca="1" si="16"/>
        <v>3</v>
      </c>
      <c r="C564" s="233">
        <f t="shared" ca="1" si="17"/>
        <v>1</v>
      </c>
      <c r="D564" s="234">
        <f t="shared" ca="1" si="18"/>
        <v>3</v>
      </c>
      <c r="E564" s="234">
        <f t="shared" ca="1" si="19"/>
        <v>2</v>
      </c>
    </row>
    <row r="565" spans="1:5" ht="13.5" customHeight="1" x14ac:dyDescent="0.2">
      <c r="A565" s="233">
        <f t="shared" ca="1" si="15"/>
        <v>0</v>
      </c>
      <c r="B565" s="233">
        <f t="shared" ca="1" si="16"/>
        <v>3</v>
      </c>
      <c r="C565" s="233">
        <f t="shared" ca="1" si="17"/>
        <v>1</v>
      </c>
      <c r="D565" s="234">
        <f t="shared" ca="1" si="18"/>
        <v>3</v>
      </c>
      <c r="E565" s="234">
        <f t="shared" ca="1" si="19"/>
        <v>2</v>
      </c>
    </row>
    <row r="566" spans="1:5" ht="13.5" customHeight="1" x14ac:dyDescent="0.2">
      <c r="A566" s="233">
        <f t="shared" ca="1" si="15"/>
        <v>0</v>
      </c>
      <c r="B566" s="233">
        <f t="shared" ca="1" si="16"/>
        <v>3</v>
      </c>
      <c r="C566" s="233">
        <f t="shared" ca="1" si="17"/>
        <v>1</v>
      </c>
      <c r="D566" s="234">
        <f t="shared" ca="1" si="18"/>
        <v>3</v>
      </c>
      <c r="E566" s="234">
        <f t="shared" ca="1" si="19"/>
        <v>2</v>
      </c>
    </row>
    <row r="567" spans="1:5" ht="13.5" customHeight="1" x14ac:dyDescent="0.2">
      <c r="A567" s="233">
        <f t="shared" ca="1" si="15"/>
        <v>0</v>
      </c>
      <c r="B567" s="233">
        <f t="shared" ca="1" si="16"/>
        <v>3</v>
      </c>
      <c r="C567" s="233">
        <f t="shared" ca="1" si="17"/>
        <v>1</v>
      </c>
      <c r="D567" s="234">
        <f t="shared" ca="1" si="18"/>
        <v>3</v>
      </c>
      <c r="E567" s="234">
        <f t="shared" ca="1" si="19"/>
        <v>2</v>
      </c>
    </row>
    <row r="568" spans="1:5" ht="13.5" customHeight="1" x14ac:dyDescent="0.2">
      <c r="A568" s="233">
        <f t="shared" ca="1" si="15"/>
        <v>0</v>
      </c>
      <c r="B568" s="233">
        <f t="shared" ca="1" si="16"/>
        <v>3</v>
      </c>
      <c r="C568" s="233">
        <f t="shared" ca="1" si="17"/>
        <v>1</v>
      </c>
      <c r="D568" s="234">
        <f t="shared" ca="1" si="18"/>
        <v>3</v>
      </c>
      <c r="E568" s="234">
        <f t="shared" ca="1" si="19"/>
        <v>2</v>
      </c>
    </row>
    <row r="569" spans="1:5" ht="13.5" customHeight="1" x14ac:dyDescent="0.2">
      <c r="A569" s="233">
        <f t="shared" ca="1" si="15"/>
        <v>0</v>
      </c>
      <c r="B569" s="233">
        <f t="shared" ca="1" si="16"/>
        <v>3</v>
      </c>
      <c r="C569" s="233">
        <f t="shared" ca="1" si="17"/>
        <v>1</v>
      </c>
      <c r="D569" s="234">
        <f t="shared" ca="1" si="18"/>
        <v>3</v>
      </c>
      <c r="E569" s="234">
        <f t="shared" ca="1" si="19"/>
        <v>2</v>
      </c>
    </row>
    <row r="570" spans="1:5" ht="13.5" customHeight="1" x14ac:dyDescent="0.2">
      <c r="A570" s="233">
        <f t="shared" ca="1" si="15"/>
        <v>0</v>
      </c>
      <c r="B570" s="233">
        <f t="shared" ca="1" si="16"/>
        <v>3</v>
      </c>
      <c r="C570" s="233">
        <f t="shared" ca="1" si="17"/>
        <v>1</v>
      </c>
      <c r="D570" s="234">
        <f t="shared" ca="1" si="18"/>
        <v>3</v>
      </c>
      <c r="E570" s="234">
        <f t="shared" ca="1" si="19"/>
        <v>2</v>
      </c>
    </row>
    <row r="571" spans="1:5" ht="13.5" customHeight="1" x14ac:dyDescent="0.2">
      <c r="A571" s="233">
        <f t="shared" ca="1" si="15"/>
        <v>0</v>
      </c>
      <c r="B571" s="233">
        <f t="shared" ca="1" si="16"/>
        <v>3</v>
      </c>
      <c r="C571" s="233">
        <f t="shared" ca="1" si="17"/>
        <v>1</v>
      </c>
      <c r="D571" s="234">
        <f t="shared" ca="1" si="18"/>
        <v>3</v>
      </c>
      <c r="E571" s="234">
        <f t="shared" ca="1" si="19"/>
        <v>2</v>
      </c>
    </row>
    <row r="572" spans="1:5" ht="13.5" customHeight="1" x14ac:dyDescent="0.2">
      <c r="A572" s="233">
        <f t="shared" ca="1" si="15"/>
        <v>0</v>
      </c>
      <c r="B572" s="233">
        <f t="shared" ca="1" si="16"/>
        <v>3</v>
      </c>
      <c r="C572" s="233">
        <f t="shared" ca="1" si="17"/>
        <v>1</v>
      </c>
      <c r="D572" s="234">
        <f t="shared" ca="1" si="18"/>
        <v>3</v>
      </c>
      <c r="E572" s="234">
        <f t="shared" ca="1" si="19"/>
        <v>2</v>
      </c>
    </row>
    <row r="573" spans="1:5" ht="13.5" customHeight="1" x14ac:dyDescent="0.2">
      <c r="A573" s="233">
        <f t="shared" ca="1" si="15"/>
        <v>0</v>
      </c>
      <c r="B573" s="233">
        <f t="shared" ca="1" si="16"/>
        <v>3</v>
      </c>
      <c r="C573" s="233">
        <f t="shared" ca="1" si="17"/>
        <v>1</v>
      </c>
      <c r="D573" s="234">
        <f t="shared" ca="1" si="18"/>
        <v>3</v>
      </c>
      <c r="E573" s="234">
        <f t="shared" ca="1" si="19"/>
        <v>2</v>
      </c>
    </row>
    <row r="574" spans="1:5" ht="13.5" customHeight="1" x14ac:dyDescent="0.2">
      <c r="A574" s="233">
        <f t="shared" ca="1" si="15"/>
        <v>0</v>
      </c>
      <c r="B574" s="233">
        <f t="shared" ca="1" si="16"/>
        <v>3</v>
      </c>
      <c r="C574" s="233">
        <f t="shared" ca="1" si="17"/>
        <v>1</v>
      </c>
      <c r="D574" s="234">
        <f t="shared" ca="1" si="18"/>
        <v>3</v>
      </c>
      <c r="E574" s="234">
        <f t="shared" ca="1" si="19"/>
        <v>2</v>
      </c>
    </row>
    <row r="575" spans="1:5" ht="13.5" customHeight="1" x14ac:dyDescent="0.2">
      <c r="A575" s="233">
        <f t="shared" ca="1" si="15"/>
        <v>0</v>
      </c>
      <c r="B575" s="233">
        <f t="shared" ca="1" si="16"/>
        <v>3</v>
      </c>
      <c r="C575" s="233">
        <f t="shared" ca="1" si="17"/>
        <v>1</v>
      </c>
      <c r="D575" s="234">
        <f t="shared" ca="1" si="18"/>
        <v>3</v>
      </c>
      <c r="E575" s="234">
        <f t="shared" ca="1" si="19"/>
        <v>2</v>
      </c>
    </row>
    <row r="576" spans="1:5" ht="13.5" customHeight="1" x14ac:dyDescent="0.2">
      <c r="A576" s="233">
        <f t="shared" ca="1" si="15"/>
        <v>0</v>
      </c>
      <c r="B576" s="233">
        <f t="shared" ca="1" si="16"/>
        <v>3</v>
      </c>
      <c r="C576" s="233">
        <f t="shared" ca="1" si="17"/>
        <v>1</v>
      </c>
      <c r="D576" s="234">
        <f t="shared" ca="1" si="18"/>
        <v>3</v>
      </c>
      <c r="E576" s="234">
        <f t="shared" ca="1" si="19"/>
        <v>2</v>
      </c>
    </row>
    <row r="577" spans="1:5" ht="13.5" customHeight="1" x14ac:dyDescent="0.2">
      <c r="A577" s="233">
        <f t="shared" ca="1" si="15"/>
        <v>0</v>
      </c>
      <c r="B577" s="233">
        <f t="shared" ca="1" si="16"/>
        <v>3</v>
      </c>
      <c r="C577" s="233">
        <f t="shared" ca="1" si="17"/>
        <v>1</v>
      </c>
      <c r="D577" s="234">
        <f t="shared" ca="1" si="18"/>
        <v>3</v>
      </c>
      <c r="E577" s="234">
        <f t="shared" ca="1" si="19"/>
        <v>2</v>
      </c>
    </row>
    <row r="578" spans="1:5" ht="13.5" customHeight="1" x14ac:dyDescent="0.2">
      <c r="A578" s="233">
        <f t="shared" ca="1" si="15"/>
        <v>0</v>
      </c>
      <c r="B578" s="233">
        <f t="shared" ca="1" si="16"/>
        <v>3</v>
      </c>
      <c r="C578" s="233">
        <f t="shared" ca="1" si="17"/>
        <v>1</v>
      </c>
      <c r="D578" s="234">
        <f t="shared" ca="1" si="18"/>
        <v>3</v>
      </c>
      <c r="E578" s="234">
        <f t="shared" ca="1" si="19"/>
        <v>2</v>
      </c>
    </row>
    <row r="579" spans="1:5" ht="13.5" customHeight="1" x14ac:dyDescent="0.2">
      <c r="A579" s="233">
        <f t="shared" ca="1" si="15"/>
        <v>0</v>
      </c>
      <c r="B579" s="233">
        <f t="shared" ca="1" si="16"/>
        <v>3</v>
      </c>
      <c r="C579" s="233">
        <f t="shared" ca="1" si="17"/>
        <v>1</v>
      </c>
      <c r="D579" s="234">
        <f t="shared" ca="1" si="18"/>
        <v>3</v>
      </c>
      <c r="E579" s="234">
        <f t="shared" ca="1" si="19"/>
        <v>2</v>
      </c>
    </row>
    <row r="580" spans="1:5" ht="13.5" customHeight="1" x14ac:dyDescent="0.2">
      <c r="A580" s="233">
        <f t="shared" ca="1" si="15"/>
        <v>0</v>
      </c>
      <c r="B580" s="233">
        <f t="shared" ca="1" si="16"/>
        <v>3</v>
      </c>
      <c r="C580" s="233">
        <f t="shared" ca="1" si="17"/>
        <v>1</v>
      </c>
      <c r="D580" s="234">
        <f t="shared" ca="1" si="18"/>
        <v>3</v>
      </c>
      <c r="E580" s="234">
        <f t="shared" ca="1" si="19"/>
        <v>2</v>
      </c>
    </row>
    <row r="581" spans="1:5" ht="13.5" customHeight="1" x14ac:dyDescent="0.2">
      <c r="A581" s="233">
        <f t="shared" ca="1" si="15"/>
        <v>0</v>
      </c>
      <c r="B581" s="233">
        <f t="shared" ca="1" si="16"/>
        <v>3</v>
      </c>
      <c r="C581" s="233">
        <f t="shared" ca="1" si="17"/>
        <v>1</v>
      </c>
      <c r="D581" s="234">
        <f t="shared" ca="1" si="18"/>
        <v>3</v>
      </c>
      <c r="E581" s="234">
        <f t="shared" ca="1" si="19"/>
        <v>2</v>
      </c>
    </row>
    <row r="582" spans="1:5" ht="13.5" customHeight="1" x14ac:dyDescent="0.2">
      <c r="A582" s="233">
        <f t="shared" ca="1" si="15"/>
        <v>0</v>
      </c>
      <c r="B582" s="233">
        <f t="shared" ca="1" si="16"/>
        <v>3</v>
      </c>
      <c r="C582" s="233">
        <f t="shared" ca="1" si="17"/>
        <v>1</v>
      </c>
      <c r="D582" s="234">
        <f t="shared" ca="1" si="18"/>
        <v>3</v>
      </c>
      <c r="E582" s="234">
        <f t="shared" ca="1" si="19"/>
        <v>2</v>
      </c>
    </row>
    <row r="583" spans="1:5" ht="13.5" customHeight="1" x14ac:dyDescent="0.2">
      <c r="A583" s="233">
        <f t="shared" ca="1" si="15"/>
        <v>0</v>
      </c>
      <c r="B583" s="233">
        <f t="shared" ca="1" si="16"/>
        <v>3</v>
      </c>
      <c r="C583" s="233">
        <f t="shared" ca="1" si="17"/>
        <v>1</v>
      </c>
      <c r="D583" s="234">
        <f t="shared" ca="1" si="18"/>
        <v>3</v>
      </c>
      <c r="E583" s="234">
        <f t="shared" ca="1" si="19"/>
        <v>2</v>
      </c>
    </row>
    <row r="584" spans="1:5" ht="13.5" customHeight="1" x14ac:dyDescent="0.2">
      <c r="A584" s="233">
        <f t="shared" ca="1" si="15"/>
        <v>0</v>
      </c>
      <c r="B584" s="233">
        <f t="shared" ca="1" si="16"/>
        <v>3</v>
      </c>
      <c r="C584" s="233">
        <f t="shared" ca="1" si="17"/>
        <v>1</v>
      </c>
      <c r="D584" s="234">
        <f t="shared" ca="1" si="18"/>
        <v>3</v>
      </c>
      <c r="E584" s="234">
        <f t="shared" ca="1" si="19"/>
        <v>2</v>
      </c>
    </row>
    <row r="585" spans="1:5" ht="13.5" customHeight="1" x14ac:dyDescent="0.2">
      <c r="A585" s="233">
        <f t="shared" ca="1" si="15"/>
        <v>0</v>
      </c>
      <c r="B585" s="233">
        <f t="shared" ca="1" si="16"/>
        <v>3</v>
      </c>
      <c r="C585" s="233">
        <f t="shared" ca="1" si="17"/>
        <v>1</v>
      </c>
      <c r="D585" s="234">
        <f t="shared" ca="1" si="18"/>
        <v>3</v>
      </c>
      <c r="E585" s="234">
        <f t="shared" ca="1" si="19"/>
        <v>2</v>
      </c>
    </row>
    <row r="586" spans="1:5" ht="13.5" customHeight="1" x14ac:dyDescent="0.2">
      <c r="A586" s="233">
        <f t="shared" ca="1" si="15"/>
        <v>0</v>
      </c>
      <c r="B586" s="233">
        <f t="shared" ca="1" si="16"/>
        <v>3</v>
      </c>
      <c r="C586" s="233">
        <f t="shared" ca="1" si="17"/>
        <v>1</v>
      </c>
      <c r="D586" s="234">
        <f t="shared" ca="1" si="18"/>
        <v>3</v>
      </c>
      <c r="E586" s="234">
        <f t="shared" ca="1" si="19"/>
        <v>2</v>
      </c>
    </row>
    <row r="587" spans="1:5" ht="13.5" customHeight="1" x14ac:dyDescent="0.2">
      <c r="A587" s="233">
        <f t="shared" ca="1" si="15"/>
        <v>0</v>
      </c>
      <c r="B587" s="233">
        <f t="shared" ca="1" si="16"/>
        <v>3</v>
      </c>
      <c r="C587" s="233">
        <f t="shared" ca="1" si="17"/>
        <v>1</v>
      </c>
      <c r="D587" s="234">
        <f t="shared" ca="1" si="18"/>
        <v>3</v>
      </c>
      <c r="E587" s="234">
        <f t="shared" ca="1" si="19"/>
        <v>2</v>
      </c>
    </row>
    <row r="588" spans="1:5" ht="13.5" customHeight="1" x14ac:dyDescent="0.2">
      <c r="A588" s="233">
        <f t="shared" ca="1" si="15"/>
        <v>0</v>
      </c>
      <c r="B588" s="233">
        <f t="shared" ca="1" si="16"/>
        <v>3</v>
      </c>
      <c r="C588" s="233">
        <f t="shared" ca="1" si="17"/>
        <v>1</v>
      </c>
      <c r="D588" s="234">
        <f t="shared" ca="1" si="18"/>
        <v>3</v>
      </c>
      <c r="E588" s="234">
        <f t="shared" ca="1" si="19"/>
        <v>2</v>
      </c>
    </row>
    <row r="589" spans="1:5" ht="13.5" customHeight="1" x14ac:dyDescent="0.2">
      <c r="A589" s="233">
        <f t="shared" ca="1" si="15"/>
        <v>0</v>
      </c>
      <c r="B589" s="233">
        <f t="shared" ca="1" si="16"/>
        <v>3</v>
      </c>
      <c r="C589" s="233">
        <f t="shared" ca="1" si="17"/>
        <v>1</v>
      </c>
      <c r="D589" s="234">
        <f t="shared" ca="1" si="18"/>
        <v>3</v>
      </c>
      <c r="E589" s="234">
        <f t="shared" ca="1" si="19"/>
        <v>2</v>
      </c>
    </row>
    <row r="590" spans="1:5" ht="13.5" customHeight="1" x14ac:dyDescent="0.2">
      <c r="A590" s="233">
        <f t="shared" ca="1" si="15"/>
        <v>0</v>
      </c>
      <c r="B590" s="233">
        <f t="shared" ca="1" si="16"/>
        <v>3</v>
      </c>
      <c r="C590" s="233">
        <f t="shared" ca="1" si="17"/>
        <v>1</v>
      </c>
      <c r="D590" s="234">
        <f t="shared" ca="1" si="18"/>
        <v>3</v>
      </c>
      <c r="E590" s="234">
        <f t="shared" ca="1" si="19"/>
        <v>2</v>
      </c>
    </row>
    <row r="591" spans="1:5" ht="13.5" customHeight="1" x14ac:dyDescent="0.2">
      <c r="A591" s="233">
        <f t="shared" ca="1" si="15"/>
        <v>0</v>
      </c>
      <c r="B591" s="233">
        <f t="shared" ca="1" si="16"/>
        <v>3</v>
      </c>
      <c r="C591" s="233">
        <f t="shared" ca="1" si="17"/>
        <v>1</v>
      </c>
      <c r="D591" s="234">
        <f t="shared" ca="1" si="18"/>
        <v>3</v>
      </c>
      <c r="E591" s="234">
        <f t="shared" ca="1" si="19"/>
        <v>2</v>
      </c>
    </row>
    <row r="592" spans="1:5" ht="13.5" customHeight="1" x14ac:dyDescent="0.2">
      <c r="A592" s="233">
        <f t="shared" ca="1" si="15"/>
        <v>0</v>
      </c>
      <c r="B592" s="233">
        <f t="shared" ca="1" si="16"/>
        <v>3</v>
      </c>
      <c r="C592" s="233">
        <f t="shared" ca="1" si="17"/>
        <v>1</v>
      </c>
      <c r="D592" s="234">
        <f t="shared" ca="1" si="18"/>
        <v>3</v>
      </c>
      <c r="E592" s="234">
        <f t="shared" ca="1" si="19"/>
        <v>2</v>
      </c>
    </row>
    <row r="593" spans="1:5" ht="13.5" customHeight="1" x14ac:dyDescent="0.2">
      <c r="A593" s="233">
        <f t="shared" ca="1" si="15"/>
        <v>0</v>
      </c>
      <c r="B593" s="233">
        <f t="shared" ca="1" si="16"/>
        <v>3</v>
      </c>
      <c r="C593" s="233">
        <f t="shared" ca="1" si="17"/>
        <v>1</v>
      </c>
      <c r="D593" s="234">
        <f t="shared" ca="1" si="18"/>
        <v>3</v>
      </c>
      <c r="E593" s="234">
        <f t="shared" ca="1" si="19"/>
        <v>2</v>
      </c>
    </row>
    <row r="594" spans="1:5" ht="13.5" customHeight="1" x14ac:dyDescent="0.2">
      <c r="A594" s="233">
        <f t="shared" ca="1" si="15"/>
        <v>0</v>
      </c>
      <c r="B594" s="233">
        <f t="shared" ca="1" si="16"/>
        <v>3</v>
      </c>
      <c r="C594" s="233">
        <f t="shared" ca="1" si="17"/>
        <v>1</v>
      </c>
      <c r="D594" s="234">
        <f t="shared" ca="1" si="18"/>
        <v>3</v>
      </c>
      <c r="E594" s="234">
        <f t="shared" ca="1" si="19"/>
        <v>2</v>
      </c>
    </row>
    <row r="595" spans="1:5" ht="13.5" customHeight="1" x14ac:dyDescent="0.2">
      <c r="A595" s="233">
        <f t="shared" ca="1" si="15"/>
        <v>0</v>
      </c>
      <c r="B595" s="233">
        <f t="shared" ca="1" si="16"/>
        <v>3</v>
      </c>
      <c r="C595" s="233">
        <f t="shared" ca="1" si="17"/>
        <v>1</v>
      </c>
      <c r="D595" s="234">
        <f t="shared" ca="1" si="18"/>
        <v>3</v>
      </c>
      <c r="E595" s="234">
        <f t="shared" ca="1" si="19"/>
        <v>2</v>
      </c>
    </row>
    <row r="596" spans="1:5" ht="13.5" customHeight="1" x14ac:dyDescent="0.2">
      <c r="A596" s="233">
        <f t="shared" ca="1" si="15"/>
        <v>0</v>
      </c>
      <c r="B596" s="233">
        <f t="shared" ca="1" si="16"/>
        <v>3</v>
      </c>
      <c r="C596" s="233">
        <f t="shared" ca="1" si="17"/>
        <v>1</v>
      </c>
      <c r="D596" s="234">
        <f t="shared" ca="1" si="18"/>
        <v>3</v>
      </c>
      <c r="E596" s="234">
        <f t="shared" ca="1" si="19"/>
        <v>2</v>
      </c>
    </row>
    <row r="597" spans="1:5" ht="13.5" customHeight="1" x14ac:dyDescent="0.2">
      <c r="A597" s="233">
        <f t="shared" ca="1" si="15"/>
        <v>0</v>
      </c>
      <c r="B597" s="233">
        <f t="shared" ca="1" si="16"/>
        <v>3</v>
      </c>
      <c r="C597" s="233">
        <f t="shared" ca="1" si="17"/>
        <v>1</v>
      </c>
      <c r="D597" s="234">
        <f t="shared" ca="1" si="18"/>
        <v>3</v>
      </c>
      <c r="E597" s="234">
        <f t="shared" ca="1" si="19"/>
        <v>2</v>
      </c>
    </row>
    <row r="598" spans="1:5" ht="13.5" customHeight="1" x14ac:dyDescent="0.2">
      <c r="A598" s="233">
        <f t="shared" ca="1" si="15"/>
        <v>0</v>
      </c>
      <c r="B598" s="233">
        <f t="shared" ca="1" si="16"/>
        <v>3</v>
      </c>
      <c r="C598" s="233">
        <f t="shared" ca="1" si="17"/>
        <v>1</v>
      </c>
      <c r="D598" s="234">
        <f t="shared" ca="1" si="18"/>
        <v>3</v>
      </c>
      <c r="E598" s="234">
        <f t="shared" ca="1" si="19"/>
        <v>2</v>
      </c>
    </row>
    <row r="599" spans="1:5" ht="13.5" customHeight="1" x14ac:dyDescent="0.2">
      <c r="A599" s="233">
        <f t="shared" ca="1" si="15"/>
        <v>0</v>
      </c>
      <c r="B599" s="233">
        <f t="shared" ca="1" si="16"/>
        <v>3</v>
      </c>
      <c r="C599" s="233">
        <f t="shared" ca="1" si="17"/>
        <v>1</v>
      </c>
      <c r="D599" s="234">
        <f t="shared" ca="1" si="18"/>
        <v>3</v>
      </c>
      <c r="E599" s="234">
        <f t="shared" ca="1" si="19"/>
        <v>2</v>
      </c>
    </row>
    <row r="600" spans="1:5" ht="13.5" customHeight="1" x14ac:dyDescent="0.2">
      <c r="A600" s="233">
        <f t="shared" ca="1" si="15"/>
        <v>0</v>
      </c>
      <c r="B600" s="233">
        <f t="shared" ca="1" si="16"/>
        <v>3</v>
      </c>
      <c r="C600" s="233">
        <f t="shared" ca="1" si="17"/>
        <v>1</v>
      </c>
      <c r="D600" s="234">
        <f t="shared" ca="1" si="18"/>
        <v>3</v>
      </c>
      <c r="E600" s="234">
        <f t="shared" ca="1" si="19"/>
        <v>2</v>
      </c>
    </row>
    <row r="601" spans="1:5" ht="13.5" customHeight="1" x14ac:dyDescent="0.2">
      <c r="A601" s="233">
        <f t="shared" ca="1" si="15"/>
        <v>0</v>
      </c>
      <c r="B601" s="233">
        <f t="shared" ca="1" si="16"/>
        <v>3</v>
      </c>
      <c r="C601" s="233">
        <f t="shared" ca="1" si="17"/>
        <v>1</v>
      </c>
      <c r="D601" s="234">
        <f t="shared" ca="1" si="18"/>
        <v>3</v>
      </c>
      <c r="E601" s="234">
        <f t="shared" ca="1" si="19"/>
        <v>2</v>
      </c>
    </row>
    <row r="602" spans="1:5" ht="13.5" customHeight="1" x14ac:dyDescent="0.2">
      <c r="A602" s="233">
        <f t="shared" ca="1" si="15"/>
        <v>0</v>
      </c>
      <c r="B602" s="233">
        <f t="shared" ca="1" si="16"/>
        <v>3</v>
      </c>
      <c r="C602" s="233">
        <f t="shared" ca="1" si="17"/>
        <v>1</v>
      </c>
      <c r="D602" s="234">
        <f t="shared" ca="1" si="18"/>
        <v>3</v>
      </c>
      <c r="E602" s="234">
        <f t="shared" ca="1" si="19"/>
        <v>2</v>
      </c>
    </row>
    <row r="603" spans="1:5" ht="13.5" customHeight="1" x14ac:dyDescent="0.2">
      <c r="A603" s="233">
        <f t="shared" ca="1" si="15"/>
        <v>0</v>
      </c>
      <c r="B603" s="233">
        <f t="shared" ca="1" si="16"/>
        <v>3</v>
      </c>
      <c r="C603" s="233">
        <f t="shared" ca="1" si="17"/>
        <v>1</v>
      </c>
      <c r="D603" s="234">
        <f t="shared" ca="1" si="18"/>
        <v>3</v>
      </c>
      <c r="E603" s="234">
        <f t="shared" ca="1" si="19"/>
        <v>2</v>
      </c>
    </row>
    <row r="604" spans="1:5" ht="13.5" customHeight="1" x14ac:dyDescent="0.2">
      <c r="A604" s="233">
        <f t="shared" ca="1" si="15"/>
        <v>0</v>
      </c>
      <c r="B604" s="233">
        <f t="shared" ca="1" si="16"/>
        <v>3</v>
      </c>
      <c r="C604" s="233">
        <f t="shared" ca="1" si="17"/>
        <v>1</v>
      </c>
      <c r="D604" s="234">
        <f t="shared" ca="1" si="18"/>
        <v>3</v>
      </c>
      <c r="E604" s="234">
        <f t="shared" ca="1" si="19"/>
        <v>2</v>
      </c>
    </row>
    <row r="605" spans="1:5" ht="13.5" customHeight="1" x14ac:dyDescent="0.2">
      <c r="A605" s="233">
        <f t="shared" ca="1" si="15"/>
        <v>0</v>
      </c>
      <c r="B605" s="233">
        <f t="shared" ca="1" si="16"/>
        <v>3</v>
      </c>
      <c r="C605" s="233">
        <f t="shared" ca="1" si="17"/>
        <v>1</v>
      </c>
      <c r="D605" s="234">
        <f t="shared" ca="1" si="18"/>
        <v>3</v>
      </c>
      <c r="E605" s="234">
        <f t="shared" ca="1" si="19"/>
        <v>2</v>
      </c>
    </row>
    <row r="606" spans="1:5" ht="13.5" customHeight="1" x14ac:dyDescent="0.2">
      <c r="A606" s="233">
        <f t="shared" ca="1" si="15"/>
        <v>0</v>
      </c>
      <c r="B606" s="233">
        <f t="shared" ca="1" si="16"/>
        <v>3</v>
      </c>
      <c r="C606" s="233">
        <f t="shared" ca="1" si="17"/>
        <v>1</v>
      </c>
      <c r="D606" s="234">
        <f t="shared" ca="1" si="18"/>
        <v>3</v>
      </c>
      <c r="E606" s="234">
        <f t="shared" ca="1" si="19"/>
        <v>2</v>
      </c>
    </row>
    <row r="607" spans="1:5" ht="13.5" customHeight="1" x14ac:dyDescent="0.2">
      <c r="A607" s="233">
        <f t="shared" ca="1" si="15"/>
        <v>0</v>
      </c>
      <c r="B607" s="233">
        <f t="shared" ca="1" si="16"/>
        <v>3</v>
      </c>
      <c r="C607" s="233">
        <f t="shared" ca="1" si="17"/>
        <v>1</v>
      </c>
      <c r="D607" s="234">
        <f t="shared" ca="1" si="18"/>
        <v>3</v>
      </c>
      <c r="E607" s="234">
        <f t="shared" ca="1" si="19"/>
        <v>2</v>
      </c>
    </row>
    <row r="608" spans="1:5" ht="13.5" customHeight="1" x14ac:dyDescent="0.2">
      <c r="A608" s="233">
        <f t="shared" ca="1" si="15"/>
        <v>0</v>
      </c>
      <c r="B608" s="233">
        <f t="shared" ca="1" si="16"/>
        <v>3</v>
      </c>
      <c r="C608" s="233">
        <f t="shared" ca="1" si="17"/>
        <v>1</v>
      </c>
      <c r="D608" s="234">
        <f t="shared" ca="1" si="18"/>
        <v>3</v>
      </c>
      <c r="E608" s="234">
        <f t="shared" ca="1" si="19"/>
        <v>2</v>
      </c>
    </row>
    <row r="609" spans="1:5" ht="13.5" customHeight="1" x14ac:dyDescent="0.2">
      <c r="A609" s="233">
        <f t="shared" ca="1" si="15"/>
        <v>0</v>
      </c>
      <c r="B609" s="233">
        <f t="shared" ca="1" si="16"/>
        <v>3</v>
      </c>
      <c r="C609" s="233">
        <f t="shared" ca="1" si="17"/>
        <v>1</v>
      </c>
      <c r="D609" s="234">
        <f t="shared" ca="1" si="18"/>
        <v>3</v>
      </c>
      <c r="E609" s="234">
        <f t="shared" ca="1" si="19"/>
        <v>2</v>
      </c>
    </row>
    <row r="610" spans="1:5" ht="13.5" customHeight="1" x14ac:dyDescent="0.2">
      <c r="A610" s="233">
        <f t="shared" ca="1" si="15"/>
        <v>0</v>
      </c>
      <c r="B610" s="233">
        <f t="shared" ca="1" si="16"/>
        <v>3</v>
      </c>
      <c r="C610" s="233">
        <f t="shared" ca="1" si="17"/>
        <v>1</v>
      </c>
      <c r="D610" s="234">
        <f t="shared" ca="1" si="18"/>
        <v>3</v>
      </c>
      <c r="E610" s="234">
        <f t="shared" ca="1" si="19"/>
        <v>2</v>
      </c>
    </row>
    <row r="611" spans="1:5" ht="13.5" customHeight="1" x14ac:dyDescent="0.2">
      <c r="A611" s="233">
        <f t="shared" ca="1" si="15"/>
        <v>0</v>
      </c>
      <c r="B611" s="233">
        <f t="shared" ca="1" si="16"/>
        <v>3</v>
      </c>
      <c r="C611" s="233">
        <f t="shared" ca="1" si="17"/>
        <v>1</v>
      </c>
      <c r="D611" s="234">
        <f t="shared" ca="1" si="18"/>
        <v>3</v>
      </c>
      <c r="E611" s="234">
        <f t="shared" ca="1" si="19"/>
        <v>2</v>
      </c>
    </row>
    <row r="612" spans="1:5" ht="13.5" customHeight="1" x14ac:dyDescent="0.2">
      <c r="A612" s="233">
        <f t="shared" ca="1" si="15"/>
        <v>0</v>
      </c>
      <c r="B612" s="233">
        <f t="shared" ca="1" si="16"/>
        <v>3</v>
      </c>
      <c r="C612" s="233">
        <f t="shared" ca="1" si="17"/>
        <v>1</v>
      </c>
      <c r="D612" s="234">
        <f t="shared" ca="1" si="18"/>
        <v>3</v>
      </c>
      <c r="E612" s="234">
        <f t="shared" ca="1" si="19"/>
        <v>2</v>
      </c>
    </row>
    <row r="613" spans="1:5" ht="13.5" customHeight="1" x14ac:dyDescent="0.2">
      <c r="A613" s="233">
        <f t="shared" ca="1" si="15"/>
        <v>0</v>
      </c>
      <c r="B613" s="233">
        <f t="shared" ca="1" si="16"/>
        <v>3</v>
      </c>
      <c r="C613" s="233">
        <f t="shared" ca="1" si="17"/>
        <v>1</v>
      </c>
      <c r="D613" s="234">
        <f t="shared" ca="1" si="18"/>
        <v>3</v>
      </c>
      <c r="E613" s="234">
        <f t="shared" ca="1" si="19"/>
        <v>2</v>
      </c>
    </row>
    <row r="614" spans="1:5" ht="13.5" customHeight="1" x14ac:dyDescent="0.2">
      <c r="A614" s="233">
        <f t="shared" ca="1" si="15"/>
        <v>0</v>
      </c>
      <c r="B614" s="233">
        <f t="shared" ca="1" si="16"/>
        <v>3</v>
      </c>
      <c r="C614" s="233">
        <f t="shared" ca="1" si="17"/>
        <v>1</v>
      </c>
      <c r="D614" s="234">
        <f t="shared" ca="1" si="18"/>
        <v>3</v>
      </c>
      <c r="E614" s="234">
        <f t="shared" ca="1" si="19"/>
        <v>2</v>
      </c>
    </row>
    <row r="615" spans="1:5" ht="13.5" customHeight="1" x14ac:dyDescent="0.2">
      <c r="A615" s="233">
        <f t="shared" ca="1" si="15"/>
        <v>0</v>
      </c>
      <c r="B615" s="233">
        <f t="shared" ca="1" si="16"/>
        <v>3</v>
      </c>
      <c r="C615" s="233">
        <f t="shared" ca="1" si="17"/>
        <v>1</v>
      </c>
      <c r="D615" s="234">
        <f t="shared" ca="1" si="18"/>
        <v>3</v>
      </c>
      <c r="E615" s="234">
        <f t="shared" ca="1" si="19"/>
        <v>2</v>
      </c>
    </row>
    <row r="616" spans="1:5" ht="13.5" customHeight="1" x14ac:dyDescent="0.2">
      <c r="A616" s="233">
        <f t="shared" ca="1" si="15"/>
        <v>0</v>
      </c>
      <c r="B616" s="233">
        <f t="shared" ca="1" si="16"/>
        <v>3</v>
      </c>
      <c r="C616" s="233">
        <f t="shared" ca="1" si="17"/>
        <v>1</v>
      </c>
      <c r="D616" s="234">
        <f t="shared" ca="1" si="18"/>
        <v>3</v>
      </c>
      <c r="E616" s="234">
        <f t="shared" ca="1" si="19"/>
        <v>2</v>
      </c>
    </row>
    <row r="617" spans="1:5" ht="13.5" customHeight="1" x14ac:dyDescent="0.2">
      <c r="A617" s="233">
        <f t="shared" ca="1" si="15"/>
        <v>0</v>
      </c>
      <c r="B617" s="233">
        <f t="shared" ca="1" si="16"/>
        <v>3</v>
      </c>
      <c r="C617" s="233">
        <f t="shared" ca="1" si="17"/>
        <v>1</v>
      </c>
      <c r="D617" s="234">
        <f t="shared" ca="1" si="18"/>
        <v>3</v>
      </c>
      <c r="E617" s="234">
        <f t="shared" ca="1" si="19"/>
        <v>2</v>
      </c>
    </row>
    <row r="618" spans="1:5" ht="13.5" customHeight="1" x14ac:dyDescent="0.2">
      <c r="A618" s="233">
        <f t="shared" ca="1" si="15"/>
        <v>0</v>
      </c>
      <c r="B618" s="233">
        <f t="shared" ca="1" si="16"/>
        <v>3</v>
      </c>
      <c r="C618" s="233">
        <f t="shared" ca="1" si="17"/>
        <v>1</v>
      </c>
      <c r="D618" s="234">
        <f t="shared" ca="1" si="18"/>
        <v>3</v>
      </c>
      <c r="E618" s="234">
        <f t="shared" ca="1" si="19"/>
        <v>2</v>
      </c>
    </row>
    <row r="619" spans="1:5" ht="13.5" customHeight="1" x14ac:dyDescent="0.2">
      <c r="A619" s="233">
        <f t="shared" ca="1" si="15"/>
        <v>0</v>
      </c>
      <c r="B619" s="233">
        <f t="shared" ca="1" si="16"/>
        <v>3</v>
      </c>
      <c r="C619" s="233">
        <f t="shared" ca="1" si="17"/>
        <v>1</v>
      </c>
      <c r="D619" s="234">
        <f t="shared" ca="1" si="18"/>
        <v>3</v>
      </c>
      <c r="E619" s="234">
        <f t="shared" ca="1" si="19"/>
        <v>2</v>
      </c>
    </row>
    <row r="620" spans="1:5" ht="13.5" customHeight="1" x14ac:dyDescent="0.2">
      <c r="A620" s="233">
        <f t="shared" ca="1" si="15"/>
        <v>0</v>
      </c>
      <c r="B620" s="233">
        <f t="shared" ca="1" si="16"/>
        <v>3</v>
      </c>
      <c r="C620" s="233">
        <f t="shared" ca="1" si="17"/>
        <v>1</v>
      </c>
      <c r="D620" s="234">
        <f t="shared" ca="1" si="18"/>
        <v>3</v>
      </c>
      <c r="E620" s="234">
        <f t="shared" ca="1" si="19"/>
        <v>2</v>
      </c>
    </row>
    <row r="621" spans="1:5" ht="13.5" customHeight="1" x14ac:dyDescent="0.2">
      <c r="A621" s="233">
        <f t="shared" ca="1" si="15"/>
        <v>0</v>
      </c>
      <c r="B621" s="233">
        <f t="shared" ca="1" si="16"/>
        <v>3</v>
      </c>
      <c r="C621" s="233">
        <f t="shared" ca="1" si="17"/>
        <v>1</v>
      </c>
      <c r="D621" s="234">
        <f t="shared" ca="1" si="18"/>
        <v>3</v>
      </c>
      <c r="E621" s="234">
        <f t="shared" ca="1" si="19"/>
        <v>2</v>
      </c>
    </row>
    <row r="622" spans="1:5" ht="13.5" customHeight="1" x14ac:dyDescent="0.2">
      <c r="A622" s="233">
        <f t="shared" ca="1" si="15"/>
        <v>0</v>
      </c>
      <c r="B622" s="233">
        <f t="shared" ca="1" si="16"/>
        <v>3</v>
      </c>
      <c r="C622" s="233">
        <f t="shared" ca="1" si="17"/>
        <v>1</v>
      </c>
      <c r="D622" s="234">
        <f t="shared" ca="1" si="18"/>
        <v>3</v>
      </c>
      <c r="E622" s="234">
        <f t="shared" ca="1" si="19"/>
        <v>2</v>
      </c>
    </row>
    <row r="623" spans="1:5" ht="13.5" customHeight="1" x14ac:dyDescent="0.2">
      <c r="A623" s="233">
        <f t="shared" ca="1" si="15"/>
        <v>0</v>
      </c>
      <c r="B623" s="233">
        <f t="shared" ca="1" si="16"/>
        <v>3</v>
      </c>
      <c r="C623" s="233">
        <f t="shared" ca="1" si="17"/>
        <v>1</v>
      </c>
      <c r="D623" s="234">
        <f t="shared" ca="1" si="18"/>
        <v>3</v>
      </c>
      <c r="E623" s="234">
        <f t="shared" ca="1" si="19"/>
        <v>2</v>
      </c>
    </row>
    <row r="624" spans="1:5" ht="13.5" customHeight="1" x14ac:dyDescent="0.2">
      <c r="A624" s="233">
        <f t="shared" ca="1" si="15"/>
        <v>0</v>
      </c>
      <c r="B624" s="233">
        <f t="shared" ca="1" si="16"/>
        <v>3</v>
      </c>
      <c r="C624" s="233">
        <f t="shared" ca="1" si="17"/>
        <v>1</v>
      </c>
      <c r="D624" s="234">
        <f t="shared" ca="1" si="18"/>
        <v>3</v>
      </c>
      <c r="E624" s="234">
        <f t="shared" ca="1" si="19"/>
        <v>2</v>
      </c>
    </row>
    <row r="625" spans="1:5" ht="13.5" customHeight="1" x14ac:dyDescent="0.2">
      <c r="A625" s="233">
        <f t="shared" ca="1" si="15"/>
        <v>0</v>
      </c>
      <c r="B625" s="233">
        <f t="shared" ca="1" si="16"/>
        <v>3</v>
      </c>
      <c r="C625" s="233">
        <f t="shared" ca="1" si="17"/>
        <v>1</v>
      </c>
      <c r="D625" s="234">
        <f t="shared" ca="1" si="18"/>
        <v>3</v>
      </c>
      <c r="E625" s="234">
        <f t="shared" ca="1" si="19"/>
        <v>2</v>
      </c>
    </row>
    <row r="626" spans="1:5" ht="13.5" customHeight="1" x14ac:dyDescent="0.2">
      <c r="A626" s="233">
        <f t="shared" ca="1" si="15"/>
        <v>0</v>
      </c>
      <c r="B626" s="233">
        <f t="shared" ca="1" si="16"/>
        <v>3</v>
      </c>
      <c r="C626" s="233">
        <f t="shared" ca="1" si="17"/>
        <v>1</v>
      </c>
      <c r="D626" s="234">
        <f t="shared" ca="1" si="18"/>
        <v>3</v>
      </c>
      <c r="E626" s="234">
        <f t="shared" ca="1" si="19"/>
        <v>2</v>
      </c>
    </row>
    <row r="627" spans="1:5" ht="13.5" customHeight="1" x14ac:dyDescent="0.2">
      <c r="A627" s="233">
        <f t="shared" ca="1" si="15"/>
        <v>0</v>
      </c>
      <c r="B627" s="233">
        <f t="shared" ca="1" si="16"/>
        <v>3</v>
      </c>
      <c r="C627" s="233">
        <f t="shared" ca="1" si="17"/>
        <v>1</v>
      </c>
      <c r="D627" s="234">
        <f t="shared" ca="1" si="18"/>
        <v>3</v>
      </c>
      <c r="E627" s="234">
        <f t="shared" ca="1" si="19"/>
        <v>2</v>
      </c>
    </row>
    <row r="628" spans="1:5" ht="13.5" customHeight="1" x14ac:dyDescent="0.2">
      <c r="A628" s="233">
        <f t="shared" ca="1" si="15"/>
        <v>0</v>
      </c>
      <c r="B628" s="233">
        <f t="shared" ca="1" si="16"/>
        <v>3</v>
      </c>
      <c r="C628" s="233">
        <f t="shared" ca="1" si="17"/>
        <v>1</v>
      </c>
      <c r="D628" s="234">
        <f t="shared" ca="1" si="18"/>
        <v>3</v>
      </c>
      <c r="E628" s="234">
        <f t="shared" ca="1" si="19"/>
        <v>2</v>
      </c>
    </row>
    <row r="629" spans="1:5" ht="13.5" customHeight="1" x14ac:dyDescent="0.2">
      <c r="A629" s="233">
        <f t="shared" ca="1" si="15"/>
        <v>0</v>
      </c>
      <c r="B629" s="233">
        <f t="shared" ca="1" si="16"/>
        <v>3</v>
      </c>
      <c r="C629" s="233">
        <f t="shared" ca="1" si="17"/>
        <v>1</v>
      </c>
      <c r="D629" s="234">
        <f t="shared" ca="1" si="18"/>
        <v>3</v>
      </c>
      <c r="E629" s="234">
        <f t="shared" ca="1" si="19"/>
        <v>2</v>
      </c>
    </row>
    <row r="630" spans="1:5" ht="13.5" customHeight="1" x14ac:dyDescent="0.2">
      <c r="A630" s="233">
        <f t="shared" ca="1" si="15"/>
        <v>0</v>
      </c>
      <c r="B630" s="233">
        <f t="shared" ca="1" si="16"/>
        <v>3</v>
      </c>
      <c r="C630" s="233">
        <f t="shared" ca="1" si="17"/>
        <v>1</v>
      </c>
      <c r="D630" s="234">
        <f t="shared" ca="1" si="18"/>
        <v>3</v>
      </c>
      <c r="E630" s="234">
        <f t="shared" ca="1" si="19"/>
        <v>2</v>
      </c>
    </row>
    <row r="631" spans="1:5" ht="13.5" customHeight="1" x14ac:dyDescent="0.2">
      <c r="A631" s="233">
        <f t="shared" ca="1" si="15"/>
        <v>0</v>
      </c>
      <c r="B631" s="233">
        <f t="shared" ca="1" si="16"/>
        <v>3</v>
      </c>
      <c r="C631" s="233">
        <f t="shared" ca="1" si="17"/>
        <v>1</v>
      </c>
      <c r="D631" s="234">
        <f t="shared" ca="1" si="18"/>
        <v>3</v>
      </c>
      <c r="E631" s="234">
        <f t="shared" ca="1" si="19"/>
        <v>2</v>
      </c>
    </row>
    <row r="632" spans="1:5" ht="13.5" customHeight="1" x14ac:dyDescent="0.2">
      <c r="A632" s="233">
        <f t="shared" ca="1" si="15"/>
        <v>0</v>
      </c>
      <c r="B632" s="233">
        <f t="shared" ca="1" si="16"/>
        <v>3</v>
      </c>
      <c r="C632" s="233">
        <f t="shared" ca="1" si="17"/>
        <v>1</v>
      </c>
      <c r="D632" s="234">
        <f t="shared" ca="1" si="18"/>
        <v>3</v>
      </c>
      <c r="E632" s="234">
        <f t="shared" ca="1" si="19"/>
        <v>2</v>
      </c>
    </row>
    <row r="633" spans="1:5" ht="13.5" customHeight="1" x14ac:dyDescent="0.2">
      <c r="A633" s="233">
        <f t="shared" ca="1" si="15"/>
        <v>0</v>
      </c>
      <c r="B633" s="233">
        <f t="shared" ca="1" si="16"/>
        <v>3</v>
      </c>
      <c r="C633" s="233">
        <f t="shared" ca="1" si="17"/>
        <v>1</v>
      </c>
      <c r="D633" s="234">
        <f t="shared" ca="1" si="18"/>
        <v>3</v>
      </c>
      <c r="E633" s="234">
        <f t="shared" ca="1" si="19"/>
        <v>2</v>
      </c>
    </row>
    <row r="634" spans="1:5" ht="13.5" customHeight="1" x14ac:dyDescent="0.2">
      <c r="A634" s="233">
        <f t="shared" ca="1" si="15"/>
        <v>0</v>
      </c>
      <c r="B634" s="233">
        <f t="shared" ca="1" si="16"/>
        <v>3</v>
      </c>
      <c r="C634" s="233">
        <f t="shared" ca="1" si="17"/>
        <v>1</v>
      </c>
      <c r="D634" s="234">
        <f t="shared" ca="1" si="18"/>
        <v>3</v>
      </c>
      <c r="E634" s="234">
        <f t="shared" ca="1" si="19"/>
        <v>2</v>
      </c>
    </row>
    <row r="635" spans="1:5" ht="13.5" customHeight="1" x14ac:dyDescent="0.2">
      <c r="A635" s="233">
        <f t="shared" ca="1" si="15"/>
        <v>0</v>
      </c>
      <c r="B635" s="233">
        <f t="shared" ca="1" si="16"/>
        <v>3</v>
      </c>
      <c r="C635" s="233">
        <f t="shared" ca="1" si="17"/>
        <v>1</v>
      </c>
      <c r="D635" s="234">
        <f t="shared" ca="1" si="18"/>
        <v>3</v>
      </c>
      <c r="E635" s="234">
        <f t="shared" ca="1" si="19"/>
        <v>2</v>
      </c>
    </row>
    <row r="636" spans="1:5" ht="13.5" customHeight="1" x14ac:dyDescent="0.2">
      <c r="A636" s="233">
        <f t="shared" ca="1" si="15"/>
        <v>0</v>
      </c>
      <c r="B636" s="233">
        <f t="shared" ca="1" si="16"/>
        <v>3</v>
      </c>
      <c r="C636" s="233">
        <f t="shared" ca="1" si="17"/>
        <v>1</v>
      </c>
      <c r="D636" s="234">
        <f t="shared" ca="1" si="18"/>
        <v>3</v>
      </c>
      <c r="E636" s="234">
        <f t="shared" ca="1" si="19"/>
        <v>2</v>
      </c>
    </row>
    <row r="637" spans="1:5" ht="13.5" customHeight="1" x14ac:dyDescent="0.2">
      <c r="A637" s="233">
        <f t="shared" ca="1" si="15"/>
        <v>0</v>
      </c>
      <c r="B637" s="233">
        <f t="shared" ca="1" si="16"/>
        <v>3</v>
      </c>
      <c r="C637" s="233">
        <f t="shared" ca="1" si="17"/>
        <v>1</v>
      </c>
      <c r="D637" s="234">
        <f t="shared" ca="1" si="18"/>
        <v>3</v>
      </c>
      <c r="E637" s="234">
        <f t="shared" ca="1" si="19"/>
        <v>2</v>
      </c>
    </row>
    <row r="638" spans="1:5" ht="13.5" customHeight="1" x14ac:dyDescent="0.2">
      <c r="A638" s="233">
        <f t="shared" ca="1" si="15"/>
        <v>0</v>
      </c>
      <c r="B638" s="233">
        <f t="shared" ca="1" si="16"/>
        <v>3</v>
      </c>
      <c r="C638" s="233">
        <f t="shared" ca="1" si="17"/>
        <v>1</v>
      </c>
      <c r="D638" s="234">
        <f t="shared" ca="1" si="18"/>
        <v>3</v>
      </c>
      <c r="E638" s="234">
        <f t="shared" ca="1" si="19"/>
        <v>2</v>
      </c>
    </row>
    <row r="639" spans="1:5" ht="13.5" customHeight="1" x14ac:dyDescent="0.2">
      <c r="A639" s="233">
        <f t="shared" ca="1" si="15"/>
        <v>0</v>
      </c>
      <c r="B639" s="233">
        <f t="shared" ca="1" si="16"/>
        <v>3</v>
      </c>
      <c r="C639" s="233">
        <f t="shared" ca="1" si="17"/>
        <v>1</v>
      </c>
      <c r="D639" s="234">
        <f t="shared" ca="1" si="18"/>
        <v>3</v>
      </c>
      <c r="E639" s="234">
        <f t="shared" ca="1" si="19"/>
        <v>2</v>
      </c>
    </row>
    <row r="640" spans="1:5" ht="13.5" customHeight="1" x14ac:dyDescent="0.2">
      <c r="A640" s="233">
        <f t="shared" ca="1" si="15"/>
        <v>0</v>
      </c>
      <c r="B640" s="233">
        <f t="shared" ca="1" si="16"/>
        <v>3</v>
      </c>
      <c r="C640" s="233">
        <f t="shared" ca="1" si="17"/>
        <v>1</v>
      </c>
      <c r="D640" s="234">
        <f t="shared" ca="1" si="18"/>
        <v>3</v>
      </c>
      <c r="E640" s="234">
        <f t="shared" ca="1" si="19"/>
        <v>2</v>
      </c>
    </row>
    <row r="641" spans="1:5" ht="13.5" customHeight="1" x14ac:dyDescent="0.2">
      <c r="A641" s="233">
        <f t="shared" ca="1" si="15"/>
        <v>0</v>
      </c>
      <c r="B641" s="233">
        <f t="shared" ca="1" si="16"/>
        <v>3</v>
      </c>
      <c r="C641" s="233">
        <f t="shared" ca="1" si="17"/>
        <v>1</v>
      </c>
      <c r="D641" s="234">
        <f t="shared" ca="1" si="18"/>
        <v>3</v>
      </c>
      <c r="E641" s="234">
        <f t="shared" ca="1" si="19"/>
        <v>2</v>
      </c>
    </row>
    <row r="642" spans="1:5" ht="13.5" customHeight="1" x14ac:dyDescent="0.2">
      <c r="A642" s="233">
        <f t="shared" ca="1" si="15"/>
        <v>0</v>
      </c>
      <c r="B642" s="233">
        <f t="shared" ca="1" si="16"/>
        <v>3</v>
      </c>
      <c r="C642" s="233">
        <f t="shared" ca="1" si="17"/>
        <v>1</v>
      </c>
      <c r="D642" s="234">
        <f t="shared" ca="1" si="18"/>
        <v>3</v>
      </c>
      <c r="E642" s="234">
        <f t="shared" ca="1" si="19"/>
        <v>2</v>
      </c>
    </row>
    <row r="643" spans="1:5" ht="13.5" customHeight="1" x14ac:dyDescent="0.2">
      <c r="A643" s="233">
        <f t="shared" ca="1" si="15"/>
        <v>0</v>
      </c>
      <c r="B643" s="233">
        <f t="shared" ca="1" si="16"/>
        <v>3</v>
      </c>
      <c r="C643" s="233">
        <f t="shared" ca="1" si="17"/>
        <v>1</v>
      </c>
      <c r="D643" s="234">
        <f t="shared" ca="1" si="18"/>
        <v>3</v>
      </c>
      <c r="E643" s="234">
        <f t="shared" ca="1" si="19"/>
        <v>2</v>
      </c>
    </row>
    <row r="644" spans="1:5" ht="13.5" customHeight="1" x14ac:dyDescent="0.2">
      <c r="A644" s="233">
        <f t="shared" ca="1" si="15"/>
        <v>0</v>
      </c>
      <c r="B644" s="233">
        <f t="shared" ca="1" si="16"/>
        <v>3</v>
      </c>
      <c r="C644" s="233">
        <f t="shared" ca="1" si="17"/>
        <v>1</v>
      </c>
      <c r="D644" s="234">
        <f t="shared" ca="1" si="18"/>
        <v>3</v>
      </c>
      <c r="E644" s="234">
        <f t="shared" ca="1" si="19"/>
        <v>2</v>
      </c>
    </row>
    <row r="645" spans="1:5" ht="13.5" customHeight="1" x14ac:dyDescent="0.2">
      <c r="A645" s="233">
        <f t="shared" ca="1" si="15"/>
        <v>0</v>
      </c>
      <c r="B645" s="233">
        <f t="shared" ca="1" si="16"/>
        <v>3</v>
      </c>
      <c r="C645" s="233">
        <f t="shared" ca="1" si="17"/>
        <v>1</v>
      </c>
      <c r="D645" s="234">
        <f t="shared" ca="1" si="18"/>
        <v>3</v>
      </c>
      <c r="E645" s="234">
        <f t="shared" ca="1" si="19"/>
        <v>2</v>
      </c>
    </row>
    <row r="646" spans="1:5" ht="13.5" customHeight="1" x14ac:dyDescent="0.2">
      <c r="A646" s="233">
        <f t="shared" ca="1" si="15"/>
        <v>0</v>
      </c>
      <c r="B646" s="233">
        <f t="shared" ca="1" si="16"/>
        <v>3</v>
      </c>
      <c r="C646" s="233">
        <f t="shared" ca="1" si="17"/>
        <v>1</v>
      </c>
      <c r="D646" s="234">
        <f t="shared" ca="1" si="18"/>
        <v>3</v>
      </c>
      <c r="E646" s="234">
        <f t="shared" ca="1" si="19"/>
        <v>2</v>
      </c>
    </row>
    <row r="647" spans="1:5" ht="13.5" customHeight="1" x14ac:dyDescent="0.2">
      <c r="A647" s="233">
        <f t="shared" ca="1" si="15"/>
        <v>0</v>
      </c>
      <c r="B647" s="233">
        <f t="shared" ca="1" si="16"/>
        <v>3</v>
      </c>
      <c r="C647" s="233">
        <f t="shared" ca="1" si="17"/>
        <v>1</v>
      </c>
      <c r="D647" s="234">
        <f t="shared" ca="1" si="18"/>
        <v>3</v>
      </c>
      <c r="E647" s="234">
        <f t="shared" ca="1" si="19"/>
        <v>2</v>
      </c>
    </row>
    <row r="648" spans="1:5" ht="13.5" customHeight="1" x14ac:dyDescent="0.2">
      <c r="A648" s="233">
        <f t="shared" ca="1" si="15"/>
        <v>0</v>
      </c>
      <c r="B648" s="233">
        <f t="shared" ca="1" si="16"/>
        <v>3</v>
      </c>
      <c r="C648" s="233">
        <f t="shared" ca="1" si="17"/>
        <v>1</v>
      </c>
      <c r="D648" s="234">
        <f t="shared" ca="1" si="18"/>
        <v>3</v>
      </c>
      <c r="E648" s="234">
        <f t="shared" ca="1" si="19"/>
        <v>2</v>
      </c>
    </row>
    <row r="649" spans="1:5" ht="13.5" customHeight="1" x14ac:dyDescent="0.2">
      <c r="A649" s="233">
        <f t="shared" ca="1" si="15"/>
        <v>0</v>
      </c>
      <c r="B649" s="233">
        <f t="shared" ca="1" si="16"/>
        <v>3</v>
      </c>
      <c r="C649" s="233">
        <f t="shared" ca="1" si="17"/>
        <v>1</v>
      </c>
      <c r="D649" s="234">
        <f t="shared" ca="1" si="18"/>
        <v>3</v>
      </c>
      <c r="E649" s="234">
        <f t="shared" ca="1" si="19"/>
        <v>2</v>
      </c>
    </row>
    <row r="650" spans="1:5" ht="13.5" customHeight="1" x14ac:dyDescent="0.2">
      <c r="A650" s="233">
        <f t="shared" ca="1" si="15"/>
        <v>0</v>
      </c>
      <c r="B650" s="233">
        <f t="shared" ca="1" si="16"/>
        <v>3</v>
      </c>
      <c r="C650" s="233">
        <f t="shared" ca="1" si="17"/>
        <v>1</v>
      </c>
      <c r="D650" s="234">
        <f t="shared" ca="1" si="18"/>
        <v>3</v>
      </c>
      <c r="E650" s="234">
        <f t="shared" ca="1" si="19"/>
        <v>2</v>
      </c>
    </row>
    <row r="651" spans="1:5" ht="13.5" customHeight="1" x14ac:dyDescent="0.2">
      <c r="A651" s="233">
        <f t="shared" ca="1" si="15"/>
        <v>0</v>
      </c>
      <c r="B651" s="233">
        <f t="shared" ca="1" si="16"/>
        <v>3</v>
      </c>
      <c r="C651" s="233">
        <f t="shared" ca="1" si="17"/>
        <v>1</v>
      </c>
      <c r="D651" s="234">
        <f t="shared" ca="1" si="18"/>
        <v>3</v>
      </c>
      <c r="E651" s="234">
        <f t="shared" ca="1" si="19"/>
        <v>2</v>
      </c>
    </row>
    <row r="652" spans="1:5" ht="13.5" customHeight="1" x14ac:dyDescent="0.2">
      <c r="A652" s="233">
        <f t="shared" ca="1" si="15"/>
        <v>0</v>
      </c>
      <c r="B652" s="233">
        <f t="shared" ca="1" si="16"/>
        <v>3</v>
      </c>
      <c r="C652" s="233">
        <f t="shared" ca="1" si="17"/>
        <v>1</v>
      </c>
      <c r="D652" s="234">
        <f t="shared" ca="1" si="18"/>
        <v>3</v>
      </c>
      <c r="E652" s="234">
        <f t="shared" ca="1" si="19"/>
        <v>2</v>
      </c>
    </row>
    <row r="653" spans="1:5" ht="13.5" customHeight="1" x14ac:dyDescent="0.2">
      <c r="A653" s="233">
        <f t="shared" ca="1" si="15"/>
        <v>0</v>
      </c>
      <c r="B653" s="233">
        <f t="shared" ca="1" si="16"/>
        <v>3</v>
      </c>
      <c r="C653" s="233">
        <f t="shared" ca="1" si="17"/>
        <v>1</v>
      </c>
      <c r="D653" s="234">
        <f t="shared" ca="1" si="18"/>
        <v>3</v>
      </c>
      <c r="E653" s="234">
        <f t="shared" ca="1" si="19"/>
        <v>2</v>
      </c>
    </row>
    <row r="654" spans="1:5" ht="13.5" customHeight="1" x14ac:dyDescent="0.2">
      <c r="A654" s="233">
        <f t="shared" ca="1" si="15"/>
        <v>0</v>
      </c>
      <c r="B654" s="233">
        <f t="shared" ca="1" si="16"/>
        <v>3</v>
      </c>
      <c r="C654" s="233">
        <f t="shared" ca="1" si="17"/>
        <v>1</v>
      </c>
      <c r="D654" s="234">
        <f t="shared" ca="1" si="18"/>
        <v>3</v>
      </c>
      <c r="E654" s="234">
        <f t="shared" ca="1" si="19"/>
        <v>2</v>
      </c>
    </row>
    <row r="655" spans="1:5" ht="13.5" customHeight="1" x14ac:dyDescent="0.2">
      <c r="A655" s="233">
        <f t="shared" ca="1" si="15"/>
        <v>0</v>
      </c>
      <c r="B655" s="233">
        <f t="shared" ca="1" si="16"/>
        <v>3</v>
      </c>
      <c r="C655" s="233">
        <f t="shared" ca="1" si="17"/>
        <v>1</v>
      </c>
      <c r="D655" s="234">
        <f t="shared" ca="1" si="18"/>
        <v>3</v>
      </c>
      <c r="E655" s="234">
        <f t="shared" ca="1" si="19"/>
        <v>2</v>
      </c>
    </row>
    <row r="656" spans="1:5" ht="13.5" customHeight="1" x14ac:dyDescent="0.2">
      <c r="A656" s="233">
        <f t="shared" ca="1" si="15"/>
        <v>0</v>
      </c>
      <c r="B656" s="233">
        <f t="shared" ca="1" si="16"/>
        <v>3</v>
      </c>
      <c r="C656" s="233">
        <f t="shared" ca="1" si="17"/>
        <v>1</v>
      </c>
      <c r="D656" s="234">
        <f t="shared" ca="1" si="18"/>
        <v>3</v>
      </c>
      <c r="E656" s="234">
        <f t="shared" ca="1" si="19"/>
        <v>2</v>
      </c>
    </row>
    <row r="657" spans="1:5" ht="13.5" customHeight="1" x14ac:dyDescent="0.2">
      <c r="A657" s="233">
        <f t="shared" ca="1" si="15"/>
        <v>0</v>
      </c>
      <c r="B657" s="233">
        <f t="shared" ca="1" si="16"/>
        <v>3</v>
      </c>
      <c r="C657" s="233">
        <f t="shared" ca="1" si="17"/>
        <v>1</v>
      </c>
      <c r="D657" s="234">
        <f t="shared" ca="1" si="18"/>
        <v>3</v>
      </c>
      <c r="E657" s="234">
        <f t="shared" ca="1" si="19"/>
        <v>2</v>
      </c>
    </row>
    <row r="658" spans="1:5" ht="13.5" customHeight="1" x14ac:dyDescent="0.2">
      <c r="A658" s="233">
        <f t="shared" ca="1" si="15"/>
        <v>0</v>
      </c>
      <c r="B658" s="233">
        <f t="shared" ca="1" si="16"/>
        <v>3</v>
      </c>
      <c r="C658" s="233">
        <f t="shared" ca="1" si="17"/>
        <v>1</v>
      </c>
      <c r="D658" s="234">
        <f t="shared" ca="1" si="18"/>
        <v>3</v>
      </c>
      <c r="E658" s="234">
        <f t="shared" ca="1" si="19"/>
        <v>2</v>
      </c>
    </row>
    <row r="659" spans="1:5" ht="13.5" customHeight="1" x14ac:dyDescent="0.2">
      <c r="A659" s="233">
        <f t="shared" ca="1" si="15"/>
        <v>0</v>
      </c>
      <c r="B659" s="233">
        <f t="shared" ca="1" si="16"/>
        <v>3</v>
      </c>
      <c r="C659" s="233">
        <f t="shared" ca="1" si="17"/>
        <v>1</v>
      </c>
      <c r="D659" s="234">
        <f t="shared" ca="1" si="18"/>
        <v>3</v>
      </c>
      <c r="E659" s="234">
        <f t="shared" ca="1" si="19"/>
        <v>2</v>
      </c>
    </row>
    <row r="660" spans="1:5" ht="13.5" customHeight="1" x14ac:dyDescent="0.2">
      <c r="A660" s="233">
        <f t="shared" ca="1" si="15"/>
        <v>0</v>
      </c>
      <c r="B660" s="233">
        <f t="shared" ca="1" si="16"/>
        <v>3</v>
      </c>
      <c r="C660" s="233">
        <f t="shared" ca="1" si="17"/>
        <v>1</v>
      </c>
      <c r="D660" s="234">
        <f t="shared" ca="1" si="18"/>
        <v>3</v>
      </c>
      <c r="E660" s="234">
        <f t="shared" ca="1" si="19"/>
        <v>2</v>
      </c>
    </row>
    <row r="661" spans="1:5" ht="13.5" customHeight="1" x14ac:dyDescent="0.2">
      <c r="A661" s="233">
        <f t="shared" ca="1" si="15"/>
        <v>0</v>
      </c>
      <c r="B661" s="233">
        <f t="shared" ca="1" si="16"/>
        <v>3</v>
      </c>
      <c r="C661" s="233">
        <f t="shared" ca="1" si="17"/>
        <v>1</v>
      </c>
      <c r="D661" s="234">
        <f t="shared" ca="1" si="18"/>
        <v>3</v>
      </c>
      <c r="E661" s="234">
        <f t="shared" ca="1" si="19"/>
        <v>2</v>
      </c>
    </row>
    <row r="662" spans="1:5" ht="13.5" customHeight="1" x14ac:dyDescent="0.2">
      <c r="A662" s="233">
        <f t="shared" ca="1" si="15"/>
        <v>0</v>
      </c>
      <c r="B662" s="233">
        <f t="shared" ca="1" si="16"/>
        <v>3</v>
      </c>
      <c r="C662" s="233">
        <f t="shared" ca="1" si="17"/>
        <v>1</v>
      </c>
      <c r="D662" s="234">
        <f t="shared" ca="1" si="18"/>
        <v>3</v>
      </c>
      <c r="E662" s="234">
        <f t="shared" ca="1" si="19"/>
        <v>2</v>
      </c>
    </row>
    <row r="663" spans="1:5" ht="13.5" customHeight="1" x14ac:dyDescent="0.2">
      <c r="A663" s="233">
        <f t="shared" ca="1" si="15"/>
        <v>0</v>
      </c>
      <c r="B663" s="233">
        <f t="shared" ca="1" si="16"/>
        <v>3</v>
      </c>
      <c r="C663" s="233">
        <f t="shared" ca="1" si="17"/>
        <v>1</v>
      </c>
      <c r="D663" s="234">
        <f t="shared" ca="1" si="18"/>
        <v>3</v>
      </c>
      <c r="E663" s="234">
        <f t="shared" ca="1" si="19"/>
        <v>2</v>
      </c>
    </row>
    <row r="664" spans="1:5" ht="13.5" customHeight="1" x14ac:dyDescent="0.2">
      <c r="A664" s="233">
        <f t="shared" ca="1" si="15"/>
        <v>0</v>
      </c>
      <c r="B664" s="233">
        <f t="shared" ca="1" si="16"/>
        <v>3</v>
      </c>
      <c r="C664" s="233">
        <f t="shared" ca="1" si="17"/>
        <v>1</v>
      </c>
      <c r="D664" s="234">
        <f t="shared" ca="1" si="18"/>
        <v>3</v>
      </c>
      <c r="E664" s="234">
        <f t="shared" ca="1" si="19"/>
        <v>2</v>
      </c>
    </row>
    <row r="665" spans="1:5" ht="13.5" customHeight="1" x14ac:dyDescent="0.2">
      <c r="A665" s="233">
        <f t="shared" ca="1" si="15"/>
        <v>0</v>
      </c>
      <c r="B665" s="233">
        <f t="shared" ca="1" si="16"/>
        <v>3</v>
      </c>
      <c r="C665" s="233">
        <f t="shared" ca="1" si="17"/>
        <v>1</v>
      </c>
      <c r="D665" s="234">
        <f t="shared" ca="1" si="18"/>
        <v>3</v>
      </c>
      <c r="E665" s="234">
        <f t="shared" ca="1" si="19"/>
        <v>2</v>
      </c>
    </row>
    <row r="666" spans="1:5" ht="13.5" customHeight="1" x14ac:dyDescent="0.2">
      <c r="A666" s="233">
        <f t="shared" ca="1" si="15"/>
        <v>0</v>
      </c>
      <c r="B666" s="233">
        <f t="shared" ca="1" si="16"/>
        <v>3</v>
      </c>
      <c r="C666" s="233">
        <f t="shared" ca="1" si="17"/>
        <v>1</v>
      </c>
      <c r="D666" s="234">
        <f t="shared" ca="1" si="18"/>
        <v>3</v>
      </c>
      <c r="E666" s="234">
        <f t="shared" ca="1" si="19"/>
        <v>2</v>
      </c>
    </row>
    <row r="667" spans="1:5" ht="13.5" customHeight="1" x14ac:dyDescent="0.2">
      <c r="A667" s="233">
        <f t="shared" ca="1" si="15"/>
        <v>0</v>
      </c>
      <c r="B667" s="233">
        <f t="shared" ca="1" si="16"/>
        <v>3</v>
      </c>
      <c r="C667" s="233">
        <f t="shared" ca="1" si="17"/>
        <v>1</v>
      </c>
      <c r="D667" s="234">
        <f t="shared" ca="1" si="18"/>
        <v>3</v>
      </c>
      <c r="E667" s="234">
        <f t="shared" ca="1" si="19"/>
        <v>2</v>
      </c>
    </row>
    <row r="668" spans="1:5" ht="13.5" customHeight="1" x14ac:dyDescent="0.2">
      <c r="A668" s="233">
        <f t="shared" ca="1" si="15"/>
        <v>0</v>
      </c>
      <c r="B668" s="233">
        <f t="shared" ca="1" si="16"/>
        <v>3</v>
      </c>
      <c r="C668" s="233">
        <f t="shared" ca="1" si="17"/>
        <v>1</v>
      </c>
      <c r="D668" s="234">
        <f t="shared" ca="1" si="18"/>
        <v>3</v>
      </c>
      <c r="E668" s="234">
        <f t="shared" ca="1" si="19"/>
        <v>2</v>
      </c>
    </row>
    <row r="669" spans="1:5" ht="13.5" customHeight="1" x14ac:dyDescent="0.2">
      <c r="A669" s="233">
        <f t="shared" ca="1" si="15"/>
        <v>0</v>
      </c>
      <c r="B669" s="233">
        <f t="shared" ca="1" si="16"/>
        <v>3</v>
      </c>
      <c r="C669" s="233">
        <f t="shared" ca="1" si="17"/>
        <v>1</v>
      </c>
      <c r="D669" s="234">
        <f t="shared" ca="1" si="18"/>
        <v>3</v>
      </c>
      <c r="E669" s="234">
        <f t="shared" ca="1" si="19"/>
        <v>2</v>
      </c>
    </row>
    <row r="670" spans="1:5" ht="13.5" customHeight="1" x14ac:dyDescent="0.2">
      <c r="A670" s="233">
        <f t="shared" ca="1" si="15"/>
        <v>0</v>
      </c>
      <c r="B670" s="233">
        <f t="shared" ca="1" si="16"/>
        <v>3</v>
      </c>
      <c r="C670" s="233">
        <f t="shared" ca="1" si="17"/>
        <v>1</v>
      </c>
      <c r="D670" s="234">
        <f t="shared" ca="1" si="18"/>
        <v>3</v>
      </c>
      <c r="E670" s="234">
        <f t="shared" ca="1" si="19"/>
        <v>2</v>
      </c>
    </row>
    <row r="671" spans="1:5" ht="13.5" customHeight="1" x14ac:dyDescent="0.2">
      <c r="A671" s="233">
        <f t="shared" ca="1" si="15"/>
        <v>0</v>
      </c>
      <c r="B671" s="233">
        <f t="shared" ca="1" si="16"/>
        <v>3</v>
      </c>
      <c r="C671" s="233">
        <f t="shared" ca="1" si="17"/>
        <v>1</v>
      </c>
      <c r="D671" s="234">
        <f t="shared" ca="1" si="18"/>
        <v>3</v>
      </c>
      <c r="E671" s="234">
        <f t="shared" ca="1" si="19"/>
        <v>2</v>
      </c>
    </row>
    <row r="672" spans="1:5" ht="13.5" customHeight="1" x14ac:dyDescent="0.2">
      <c r="A672" s="233">
        <f t="shared" ca="1" si="15"/>
        <v>0</v>
      </c>
      <c r="B672" s="233">
        <f t="shared" ca="1" si="16"/>
        <v>3</v>
      </c>
      <c r="C672" s="233">
        <f t="shared" ca="1" si="17"/>
        <v>1</v>
      </c>
      <c r="D672" s="234">
        <f t="shared" ca="1" si="18"/>
        <v>3</v>
      </c>
      <c r="E672" s="234">
        <f t="shared" ca="1" si="19"/>
        <v>2</v>
      </c>
    </row>
    <row r="673" spans="1:5" ht="13.5" customHeight="1" x14ac:dyDescent="0.2">
      <c r="A673" s="233">
        <f t="shared" ca="1" si="15"/>
        <v>0</v>
      </c>
      <c r="B673" s="233">
        <f t="shared" ca="1" si="16"/>
        <v>3</v>
      </c>
      <c r="C673" s="233">
        <f t="shared" ca="1" si="17"/>
        <v>1</v>
      </c>
      <c r="D673" s="234">
        <f t="shared" ca="1" si="18"/>
        <v>3</v>
      </c>
      <c r="E673" s="234">
        <f t="shared" ca="1" si="19"/>
        <v>2</v>
      </c>
    </row>
    <row r="674" spans="1:5" ht="13.5" customHeight="1" x14ac:dyDescent="0.2">
      <c r="A674" s="233">
        <f t="shared" ca="1" si="15"/>
        <v>0</v>
      </c>
      <c r="B674" s="233">
        <f t="shared" ca="1" si="16"/>
        <v>3</v>
      </c>
      <c r="C674" s="233">
        <f t="shared" ca="1" si="17"/>
        <v>1</v>
      </c>
      <c r="D674" s="234">
        <f t="shared" ca="1" si="18"/>
        <v>3</v>
      </c>
      <c r="E674" s="234">
        <f t="shared" ca="1" si="19"/>
        <v>2</v>
      </c>
    </row>
    <row r="675" spans="1:5" ht="13.5" customHeight="1" x14ac:dyDescent="0.2">
      <c r="A675" s="233">
        <f t="shared" ca="1" si="15"/>
        <v>0</v>
      </c>
      <c r="B675" s="233">
        <f t="shared" ca="1" si="16"/>
        <v>3</v>
      </c>
      <c r="C675" s="233">
        <f t="shared" ca="1" si="17"/>
        <v>1</v>
      </c>
      <c r="D675" s="234">
        <f t="shared" ca="1" si="18"/>
        <v>3</v>
      </c>
      <c r="E675" s="234">
        <f t="shared" ca="1" si="19"/>
        <v>2</v>
      </c>
    </row>
    <row r="676" spans="1:5" ht="13.5" customHeight="1" x14ac:dyDescent="0.2">
      <c r="A676" s="233">
        <f t="shared" ca="1" si="15"/>
        <v>0</v>
      </c>
      <c r="B676" s="233">
        <f t="shared" ca="1" si="16"/>
        <v>3</v>
      </c>
      <c r="C676" s="233">
        <f t="shared" ca="1" si="17"/>
        <v>1</v>
      </c>
      <c r="D676" s="234">
        <f t="shared" ca="1" si="18"/>
        <v>3</v>
      </c>
      <c r="E676" s="234">
        <f t="shared" ca="1" si="19"/>
        <v>2</v>
      </c>
    </row>
    <row r="677" spans="1:5" ht="13.5" customHeight="1" x14ac:dyDescent="0.2">
      <c r="A677" s="233">
        <f t="shared" ca="1" si="15"/>
        <v>0</v>
      </c>
      <c r="B677" s="233">
        <f t="shared" ca="1" si="16"/>
        <v>3</v>
      </c>
      <c r="C677" s="233">
        <f t="shared" ca="1" si="17"/>
        <v>1</v>
      </c>
      <c r="D677" s="234">
        <f t="shared" ca="1" si="18"/>
        <v>3</v>
      </c>
      <c r="E677" s="234">
        <f t="shared" ca="1" si="19"/>
        <v>2</v>
      </c>
    </row>
    <row r="678" spans="1:5" ht="13.5" customHeight="1" x14ac:dyDescent="0.2">
      <c r="A678" s="233">
        <f t="shared" ca="1" si="15"/>
        <v>0</v>
      </c>
      <c r="B678" s="233">
        <f t="shared" ca="1" si="16"/>
        <v>3</v>
      </c>
      <c r="C678" s="233">
        <f t="shared" ca="1" si="17"/>
        <v>1</v>
      </c>
      <c r="D678" s="234">
        <f t="shared" ca="1" si="18"/>
        <v>3</v>
      </c>
      <c r="E678" s="234">
        <f t="shared" ca="1" si="19"/>
        <v>2</v>
      </c>
    </row>
    <row r="679" spans="1:5" ht="13.5" customHeight="1" x14ac:dyDescent="0.2">
      <c r="A679" s="233">
        <f t="shared" ca="1" si="15"/>
        <v>0</v>
      </c>
      <c r="B679" s="233">
        <f t="shared" ca="1" si="16"/>
        <v>3</v>
      </c>
      <c r="C679" s="233">
        <f t="shared" ca="1" si="17"/>
        <v>1</v>
      </c>
      <c r="D679" s="234">
        <f t="shared" ca="1" si="18"/>
        <v>3</v>
      </c>
      <c r="E679" s="234">
        <f t="shared" ca="1" si="19"/>
        <v>2</v>
      </c>
    </row>
    <row r="680" spans="1:5" ht="13.5" customHeight="1" x14ac:dyDescent="0.2">
      <c r="A680" s="233">
        <f t="shared" ca="1" si="15"/>
        <v>0</v>
      </c>
      <c r="B680" s="233">
        <f t="shared" ca="1" si="16"/>
        <v>3</v>
      </c>
      <c r="C680" s="233">
        <f t="shared" ca="1" si="17"/>
        <v>1</v>
      </c>
      <c r="D680" s="234">
        <f t="shared" ca="1" si="18"/>
        <v>3</v>
      </c>
      <c r="E680" s="234">
        <f t="shared" ca="1" si="19"/>
        <v>2</v>
      </c>
    </row>
    <row r="681" spans="1:5" ht="13.5" customHeight="1" x14ac:dyDescent="0.2">
      <c r="A681" s="233">
        <f t="shared" ca="1" si="15"/>
        <v>0</v>
      </c>
      <c r="B681" s="233">
        <f t="shared" ca="1" si="16"/>
        <v>3</v>
      </c>
      <c r="C681" s="233">
        <f t="shared" ca="1" si="17"/>
        <v>1</v>
      </c>
      <c r="D681" s="234">
        <f t="shared" ca="1" si="18"/>
        <v>3</v>
      </c>
      <c r="E681" s="234">
        <f t="shared" ca="1" si="19"/>
        <v>2</v>
      </c>
    </row>
    <row r="682" spans="1:5" ht="13.5" customHeight="1" x14ac:dyDescent="0.2">
      <c r="A682" s="233">
        <f t="shared" ca="1" si="15"/>
        <v>0</v>
      </c>
      <c r="B682" s="233">
        <f t="shared" ca="1" si="16"/>
        <v>3</v>
      </c>
      <c r="C682" s="233">
        <f t="shared" ca="1" si="17"/>
        <v>1</v>
      </c>
      <c r="D682" s="234">
        <f t="shared" ca="1" si="18"/>
        <v>3</v>
      </c>
      <c r="E682" s="234">
        <f t="shared" ca="1" si="19"/>
        <v>2</v>
      </c>
    </row>
    <row r="683" spans="1:5" ht="13.5" customHeight="1" x14ac:dyDescent="0.2">
      <c r="A683" s="233">
        <f t="shared" ca="1" si="15"/>
        <v>0</v>
      </c>
      <c r="B683" s="233">
        <f t="shared" ca="1" si="16"/>
        <v>3</v>
      </c>
      <c r="C683" s="233">
        <f t="shared" ca="1" si="17"/>
        <v>1</v>
      </c>
      <c r="D683" s="234">
        <f t="shared" ca="1" si="18"/>
        <v>3</v>
      </c>
      <c r="E683" s="234">
        <f t="shared" ca="1" si="19"/>
        <v>2</v>
      </c>
    </row>
    <row r="684" spans="1:5" ht="13.5" customHeight="1" x14ac:dyDescent="0.2">
      <c r="A684" s="233">
        <f t="shared" ca="1" si="15"/>
        <v>0</v>
      </c>
      <c r="B684" s="233">
        <f t="shared" ca="1" si="16"/>
        <v>3</v>
      </c>
      <c r="C684" s="233">
        <f t="shared" ca="1" si="17"/>
        <v>1</v>
      </c>
      <c r="D684" s="234">
        <f t="shared" ca="1" si="18"/>
        <v>3</v>
      </c>
      <c r="E684" s="234">
        <f t="shared" ca="1" si="19"/>
        <v>2</v>
      </c>
    </row>
    <row r="685" spans="1:5" ht="13.5" customHeight="1" x14ac:dyDescent="0.2">
      <c r="A685" s="233">
        <f t="shared" ca="1" si="15"/>
        <v>0</v>
      </c>
      <c r="B685" s="233">
        <f t="shared" ca="1" si="16"/>
        <v>3</v>
      </c>
      <c r="C685" s="233">
        <f t="shared" ca="1" si="17"/>
        <v>1</v>
      </c>
      <c r="D685" s="234">
        <f t="shared" ca="1" si="18"/>
        <v>3</v>
      </c>
      <c r="E685" s="234">
        <f t="shared" ca="1" si="19"/>
        <v>2</v>
      </c>
    </row>
    <row r="686" spans="1:5" ht="13.5" customHeight="1" x14ac:dyDescent="0.2">
      <c r="A686" s="233">
        <f t="shared" ca="1" si="15"/>
        <v>0</v>
      </c>
      <c r="B686" s="233">
        <f t="shared" ca="1" si="16"/>
        <v>3</v>
      </c>
      <c r="C686" s="233">
        <f t="shared" ca="1" si="17"/>
        <v>1</v>
      </c>
      <c r="D686" s="234">
        <f t="shared" ca="1" si="18"/>
        <v>3</v>
      </c>
      <c r="E686" s="234">
        <f t="shared" ca="1" si="19"/>
        <v>2</v>
      </c>
    </row>
    <row r="687" spans="1:5" ht="13.5" customHeight="1" x14ac:dyDescent="0.2">
      <c r="A687" s="233">
        <f t="shared" ca="1" si="15"/>
        <v>0</v>
      </c>
      <c r="B687" s="233">
        <f t="shared" ca="1" si="16"/>
        <v>3</v>
      </c>
      <c r="C687" s="233">
        <f t="shared" ca="1" si="17"/>
        <v>1</v>
      </c>
      <c r="D687" s="234">
        <f t="shared" ca="1" si="18"/>
        <v>3</v>
      </c>
      <c r="E687" s="234">
        <f t="shared" ca="1" si="19"/>
        <v>2</v>
      </c>
    </row>
    <row r="688" spans="1:5" ht="13.5" customHeight="1" x14ac:dyDescent="0.2">
      <c r="A688" s="233">
        <f t="shared" ca="1" si="15"/>
        <v>0</v>
      </c>
      <c r="B688" s="233">
        <f t="shared" ca="1" si="16"/>
        <v>3</v>
      </c>
      <c r="C688" s="233">
        <f t="shared" ca="1" si="17"/>
        <v>1</v>
      </c>
      <c r="D688" s="234">
        <f t="shared" ca="1" si="18"/>
        <v>3</v>
      </c>
      <c r="E688" s="234">
        <f t="shared" ca="1" si="19"/>
        <v>2</v>
      </c>
    </row>
    <row r="689" spans="1:5" ht="13.5" customHeight="1" x14ac:dyDescent="0.2">
      <c r="A689" s="233">
        <f t="shared" ca="1" si="15"/>
        <v>0</v>
      </c>
      <c r="B689" s="233">
        <f t="shared" ca="1" si="16"/>
        <v>3</v>
      </c>
      <c r="C689" s="233">
        <f t="shared" ca="1" si="17"/>
        <v>1</v>
      </c>
      <c r="D689" s="234">
        <f t="shared" ca="1" si="18"/>
        <v>3</v>
      </c>
      <c r="E689" s="234">
        <f t="shared" ca="1" si="19"/>
        <v>2</v>
      </c>
    </row>
    <row r="690" spans="1:5" ht="13.5" customHeight="1" x14ac:dyDescent="0.2">
      <c r="A690" s="233">
        <f t="shared" ca="1" si="15"/>
        <v>0</v>
      </c>
      <c r="B690" s="233">
        <f t="shared" ca="1" si="16"/>
        <v>3</v>
      </c>
      <c r="C690" s="233">
        <f t="shared" ca="1" si="17"/>
        <v>1</v>
      </c>
      <c r="D690" s="234">
        <f t="shared" ca="1" si="18"/>
        <v>3</v>
      </c>
      <c r="E690" s="234">
        <f t="shared" ca="1" si="19"/>
        <v>2</v>
      </c>
    </row>
    <row r="691" spans="1:5" ht="13.5" customHeight="1" x14ac:dyDescent="0.2">
      <c r="A691" s="233">
        <f t="shared" ca="1" si="15"/>
        <v>0</v>
      </c>
      <c r="B691" s="233">
        <f t="shared" ca="1" si="16"/>
        <v>3</v>
      </c>
      <c r="C691" s="233">
        <f t="shared" ca="1" si="17"/>
        <v>1</v>
      </c>
      <c r="D691" s="234">
        <f t="shared" ca="1" si="18"/>
        <v>3</v>
      </c>
      <c r="E691" s="234">
        <f t="shared" ca="1" si="19"/>
        <v>2</v>
      </c>
    </row>
    <row r="692" spans="1:5" ht="13.5" customHeight="1" x14ac:dyDescent="0.2">
      <c r="A692" s="233">
        <f t="shared" ca="1" si="15"/>
        <v>0</v>
      </c>
      <c r="B692" s="233">
        <f t="shared" ca="1" si="16"/>
        <v>3</v>
      </c>
      <c r="C692" s="233">
        <f t="shared" ca="1" si="17"/>
        <v>1</v>
      </c>
      <c r="D692" s="234">
        <f t="shared" ca="1" si="18"/>
        <v>3</v>
      </c>
      <c r="E692" s="234">
        <f t="shared" ca="1" si="19"/>
        <v>2</v>
      </c>
    </row>
    <row r="693" spans="1:5" ht="13.5" customHeight="1" x14ac:dyDescent="0.2">
      <c r="A693" s="233">
        <f t="shared" ca="1" si="15"/>
        <v>0</v>
      </c>
      <c r="B693" s="233">
        <f t="shared" ca="1" si="16"/>
        <v>3</v>
      </c>
      <c r="C693" s="233">
        <f t="shared" ca="1" si="17"/>
        <v>1</v>
      </c>
      <c r="D693" s="234">
        <f t="shared" ca="1" si="18"/>
        <v>3</v>
      </c>
      <c r="E693" s="234">
        <f t="shared" ca="1" si="19"/>
        <v>2</v>
      </c>
    </row>
    <row r="694" spans="1:5" ht="13.5" customHeight="1" x14ac:dyDescent="0.2">
      <c r="A694" s="233">
        <f t="shared" ca="1" si="15"/>
        <v>0</v>
      </c>
      <c r="B694" s="233">
        <f t="shared" ca="1" si="16"/>
        <v>3</v>
      </c>
      <c r="C694" s="233">
        <f t="shared" ca="1" si="17"/>
        <v>1</v>
      </c>
      <c r="D694" s="234">
        <f t="shared" ca="1" si="18"/>
        <v>3</v>
      </c>
      <c r="E694" s="234">
        <f t="shared" ca="1" si="19"/>
        <v>2</v>
      </c>
    </row>
    <row r="695" spans="1:5" ht="13.5" customHeight="1" x14ac:dyDescent="0.2">
      <c r="A695" s="233">
        <f t="shared" ca="1" si="15"/>
        <v>0</v>
      </c>
      <c r="B695" s="233">
        <f t="shared" ca="1" si="16"/>
        <v>3</v>
      </c>
      <c r="C695" s="233">
        <f t="shared" ca="1" si="17"/>
        <v>1</v>
      </c>
      <c r="D695" s="234">
        <f t="shared" ca="1" si="18"/>
        <v>3</v>
      </c>
      <c r="E695" s="234">
        <f t="shared" ca="1" si="19"/>
        <v>2</v>
      </c>
    </row>
    <row r="696" spans="1:5" ht="13.5" customHeight="1" x14ac:dyDescent="0.2">
      <c r="A696" s="233">
        <f t="shared" ca="1" si="15"/>
        <v>0</v>
      </c>
      <c r="B696" s="233">
        <f t="shared" ca="1" si="16"/>
        <v>3</v>
      </c>
      <c r="C696" s="233">
        <f t="shared" ca="1" si="17"/>
        <v>1</v>
      </c>
      <c r="D696" s="234">
        <f t="shared" ca="1" si="18"/>
        <v>3</v>
      </c>
      <c r="E696" s="234">
        <f t="shared" ca="1" si="19"/>
        <v>2</v>
      </c>
    </row>
    <row r="697" spans="1:5" ht="13.5" customHeight="1" x14ac:dyDescent="0.2">
      <c r="A697" s="233">
        <f t="shared" ca="1" si="15"/>
        <v>0</v>
      </c>
      <c r="B697" s="233">
        <f t="shared" ca="1" si="16"/>
        <v>3</v>
      </c>
      <c r="C697" s="233">
        <f t="shared" ca="1" si="17"/>
        <v>1</v>
      </c>
      <c r="D697" s="234">
        <f t="shared" ca="1" si="18"/>
        <v>3</v>
      </c>
      <c r="E697" s="234">
        <f t="shared" ca="1" si="19"/>
        <v>2</v>
      </c>
    </row>
    <row r="698" spans="1:5" ht="13.5" customHeight="1" x14ac:dyDescent="0.2">
      <c r="A698" s="233">
        <f t="shared" ca="1" si="15"/>
        <v>0</v>
      </c>
      <c r="B698" s="233">
        <f t="shared" ca="1" si="16"/>
        <v>3</v>
      </c>
      <c r="C698" s="233">
        <f t="shared" ca="1" si="17"/>
        <v>1</v>
      </c>
      <c r="D698" s="234">
        <f t="shared" ca="1" si="18"/>
        <v>3</v>
      </c>
      <c r="E698" s="234">
        <f t="shared" ca="1" si="19"/>
        <v>2</v>
      </c>
    </row>
    <row r="699" spans="1:5" ht="13.5" customHeight="1" x14ac:dyDescent="0.2">
      <c r="A699" s="233">
        <f t="shared" ca="1" si="15"/>
        <v>0</v>
      </c>
      <c r="B699" s="233">
        <f t="shared" ca="1" si="16"/>
        <v>3</v>
      </c>
      <c r="C699" s="233">
        <f t="shared" ca="1" si="17"/>
        <v>1</v>
      </c>
      <c r="D699" s="234">
        <f t="shared" ca="1" si="18"/>
        <v>3</v>
      </c>
      <c r="E699" s="234">
        <f t="shared" ca="1" si="19"/>
        <v>2</v>
      </c>
    </row>
    <row r="700" spans="1:5" ht="13.5" customHeight="1" x14ac:dyDescent="0.2">
      <c r="A700" s="233">
        <f t="shared" ca="1" si="15"/>
        <v>0</v>
      </c>
      <c r="B700" s="233">
        <f t="shared" ca="1" si="16"/>
        <v>3</v>
      </c>
      <c r="C700" s="233">
        <f t="shared" ca="1" si="17"/>
        <v>1</v>
      </c>
      <c r="D700" s="234">
        <f t="shared" ca="1" si="18"/>
        <v>3</v>
      </c>
      <c r="E700" s="234">
        <f t="shared" ca="1" si="19"/>
        <v>2</v>
      </c>
    </row>
    <row r="701" spans="1:5" ht="13.5" customHeight="1" x14ac:dyDescent="0.2">
      <c r="A701" s="233">
        <f t="shared" ca="1" si="15"/>
        <v>0</v>
      </c>
      <c r="B701" s="233">
        <f t="shared" ca="1" si="16"/>
        <v>3</v>
      </c>
      <c r="C701" s="233">
        <f t="shared" ca="1" si="17"/>
        <v>1</v>
      </c>
      <c r="D701" s="234">
        <f t="shared" ca="1" si="18"/>
        <v>3</v>
      </c>
      <c r="E701" s="234">
        <f t="shared" ca="1" si="19"/>
        <v>2</v>
      </c>
    </row>
    <row r="702" spans="1:5" ht="13.5" customHeight="1" x14ac:dyDescent="0.2">
      <c r="A702" s="233">
        <f t="shared" ca="1" si="15"/>
        <v>0</v>
      </c>
      <c r="B702" s="233">
        <f t="shared" ca="1" si="16"/>
        <v>3</v>
      </c>
      <c r="C702" s="233">
        <f t="shared" ca="1" si="17"/>
        <v>1</v>
      </c>
      <c r="D702" s="234">
        <f t="shared" ca="1" si="18"/>
        <v>3</v>
      </c>
      <c r="E702" s="234">
        <f t="shared" ca="1" si="19"/>
        <v>2</v>
      </c>
    </row>
    <row r="703" spans="1:5" ht="13.5" customHeight="1" x14ac:dyDescent="0.2">
      <c r="A703" s="233">
        <f t="shared" ca="1" si="15"/>
        <v>0</v>
      </c>
      <c r="B703" s="233">
        <f t="shared" ca="1" si="16"/>
        <v>3</v>
      </c>
      <c r="C703" s="233">
        <f t="shared" ca="1" si="17"/>
        <v>1</v>
      </c>
      <c r="D703" s="234">
        <f t="shared" ca="1" si="18"/>
        <v>3</v>
      </c>
      <c r="E703" s="234">
        <f t="shared" ca="1" si="19"/>
        <v>2</v>
      </c>
    </row>
    <row r="704" spans="1:5" ht="13.5" customHeight="1" x14ac:dyDescent="0.2">
      <c r="A704" s="233">
        <f t="shared" ca="1" si="15"/>
        <v>0</v>
      </c>
      <c r="B704" s="233">
        <f t="shared" ca="1" si="16"/>
        <v>3</v>
      </c>
      <c r="C704" s="233">
        <f t="shared" ca="1" si="17"/>
        <v>1</v>
      </c>
      <c r="D704" s="234">
        <f t="shared" ca="1" si="18"/>
        <v>3</v>
      </c>
      <c r="E704" s="234">
        <f t="shared" ca="1" si="19"/>
        <v>2</v>
      </c>
    </row>
    <row r="705" spans="1:5" ht="13.5" customHeight="1" x14ac:dyDescent="0.2">
      <c r="A705" s="233">
        <f t="shared" ca="1" si="15"/>
        <v>0</v>
      </c>
      <c r="B705" s="233">
        <f t="shared" ca="1" si="16"/>
        <v>3</v>
      </c>
      <c r="C705" s="233">
        <f t="shared" ca="1" si="17"/>
        <v>1</v>
      </c>
      <c r="D705" s="234">
        <f t="shared" ca="1" si="18"/>
        <v>3</v>
      </c>
      <c r="E705" s="234">
        <f t="shared" ca="1" si="19"/>
        <v>2</v>
      </c>
    </row>
    <row r="706" spans="1:5" ht="13.5" customHeight="1" x14ac:dyDescent="0.2">
      <c r="A706" s="233">
        <f t="shared" ca="1" si="15"/>
        <v>0</v>
      </c>
      <c r="B706" s="233">
        <f t="shared" ca="1" si="16"/>
        <v>3</v>
      </c>
      <c r="C706" s="233">
        <f t="shared" ca="1" si="17"/>
        <v>1</v>
      </c>
      <c r="D706" s="234">
        <f t="shared" ca="1" si="18"/>
        <v>3</v>
      </c>
      <c r="E706" s="234">
        <f t="shared" ca="1" si="19"/>
        <v>2</v>
      </c>
    </row>
    <row r="707" spans="1:5" ht="13.5" customHeight="1" x14ac:dyDescent="0.2">
      <c r="A707" s="233">
        <f t="shared" ca="1" si="15"/>
        <v>0</v>
      </c>
      <c r="B707" s="233">
        <f t="shared" ca="1" si="16"/>
        <v>3</v>
      </c>
      <c r="C707" s="233">
        <f t="shared" ca="1" si="17"/>
        <v>1</v>
      </c>
      <c r="D707" s="234">
        <f t="shared" ca="1" si="18"/>
        <v>3</v>
      </c>
      <c r="E707" s="234">
        <f t="shared" ca="1" si="19"/>
        <v>2</v>
      </c>
    </row>
    <row r="708" spans="1:5" ht="13.5" customHeight="1" x14ac:dyDescent="0.2">
      <c r="A708" s="233">
        <f t="shared" ca="1" si="15"/>
        <v>0</v>
      </c>
      <c r="B708" s="233">
        <f t="shared" ca="1" si="16"/>
        <v>3</v>
      </c>
      <c r="C708" s="233">
        <f t="shared" ca="1" si="17"/>
        <v>1</v>
      </c>
      <c r="D708" s="234">
        <f t="shared" ca="1" si="18"/>
        <v>3</v>
      </c>
      <c r="E708" s="234">
        <f t="shared" ca="1" si="19"/>
        <v>2</v>
      </c>
    </row>
    <row r="709" spans="1:5" ht="13.5" customHeight="1" x14ac:dyDescent="0.2">
      <c r="A709" s="233">
        <f t="shared" ca="1" si="15"/>
        <v>0</v>
      </c>
      <c r="B709" s="233">
        <f t="shared" ca="1" si="16"/>
        <v>3</v>
      </c>
      <c r="C709" s="233">
        <f t="shared" ca="1" si="17"/>
        <v>1</v>
      </c>
      <c r="D709" s="234">
        <f t="shared" ca="1" si="18"/>
        <v>3</v>
      </c>
      <c r="E709" s="234">
        <f t="shared" ca="1" si="19"/>
        <v>2</v>
      </c>
    </row>
    <row r="710" spans="1:5" ht="13.5" customHeight="1" x14ac:dyDescent="0.2">
      <c r="A710" s="233">
        <f t="shared" ca="1" si="15"/>
        <v>0</v>
      </c>
      <c r="B710" s="233">
        <f t="shared" ca="1" si="16"/>
        <v>3</v>
      </c>
      <c r="C710" s="233">
        <f t="shared" ca="1" si="17"/>
        <v>1</v>
      </c>
      <c r="D710" s="234">
        <f t="shared" ca="1" si="18"/>
        <v>3</v>
      </c>
      <c r="E710" s="234">
        <f t="shared" ca="1" si="19"/>
        <v>2</v>
      </c>
    </row>
    <row r="711" spans="1:5" ht="13.5" customHeight="1" x14ac:dyDescent="0.2">
      <c r="A711" s="233">
        <f t="shared" ca="1" si="15"/>
        <v>0</v>
      </c>
      <c r="B711" s="233">
        <f t="shared" ca="1" si="16"/>
        <v>3</v>
      </c>
      <c r="C711" s="233">
        <f t="shared" ca="1" si="17"/>
        <v>1</v>
      </c>
      <c r="D711" s="234">
        <f t="shared" ca="1" si="18"/>
        <v>3</v>
      </c>
      <c r="E711" s="234">
        <f t="shared" ca="1" si="19"/>
        <v>2</v>
      </c>
    </row>
    <row r="712" spans="1:5" ht="13.5" customHeight="1" x14ac:dyDescent="0.2">
      <c r="A712" s="233">
        <f t="shared" ca="1" si="15"/>
        <v>0</v>
      </c>
      <c r="B712" s="233">
        <f t="shared" ca="1" si="16"/>
        <v>3</v>
      </c>
      <c r="C712" s="233">
        <f t="shared" ca="1" si="17"/>
        <v>1</v>
      </c>
      <c r="D712" s="234">
        <f t="shared" ca="1" si="18"/>
        <v>3</v>
      </c>
      <c r="E712" s="234">
        <f t="shared" ca="1" si="19"/>
        <v>2</v>
      </c>
    </row>
    <row r="713" spans="1:5" ht="13.5" customHeight="1" x14ac:dyDescent="0.2">
      <c r="A713" s="233">
        <f t="shared" ca="1" si="15"/>
        <v>0</v>
      </c>
      <c r="B713" s="233">
        <f t="shared" ca="1" si="16"/>
        <v>3</v>
      </c>
      <c r="C713" s="233">
        <f t="shared" ca="1" si="17"/>
        <v>1</v>
      </c>
      <c r="D713" s="234">
        <f t="shared" ca="1" si="18"/>
        <v>3</v>
      </c>
      <c r="E713" s="234">
        <f t="shared" ca="1" si="19"/>
        <v>2</v>
      </c>
    </row>
    <row r="714" spans="1:5" ht="13.5" customHeight="1" x14ac:dyDescent="0.2">
      <c r="A714" s="233">
        <f t="shared" ca="1" si="15"/>
        <v>0</v>
      </c>
      <c r="B714" s="233">
        <f t="shared" ca="1" si="16"/>
        <v>3</v>
      </c>
      <c r="C714" s="233">
        <f t="shared" ca="1" si="17"/>
        <v>1</v>
      </c>
      <c r="D714" s="234">
        <f t="shared" ca="1" si="18"/>
        <v>3</v>
      </c>
      <c r="E714" s="234">
        <f t="shared" ca="1" si="19"/>
        <v>2</v>
      </c>
    </row>
    <row r="715" spans="1:5" ht="13.5" customHeight="1" x14ac:dyDescent="0.2">
      <c r="A715" s="233">
        <f t="shared" ca="1" si="15"/>
        <v>0</v>
      </c>
      <c r="B715" s="233">
        <f t="shared" ca="1" si="16"/>
        <v>3</v>
      </c>
      <c r="C715" s="233">
        <f t="shared" ca="1" si="17"/>
        <v>1</v>
      </c>
      <c r="D715" s="234">
        <f t="shared" ca="1" si="18"/>
        <v>3</v>
      </c>
      <c r="E715" s="234">
        <f t="shared" ca="1" si="19"/>
        <v>2</v>
      </c>
    </row>
    <row r="716" spans="1:5" ht="13.5" customHeight="1" x14ac:dyDescent="0.2">
      <c r="A716" s="233">
        <f t="shared" ca="1" si="15"/>
        <v>0</v>
      </c>
      <c r="B716" s="233">
        <f t="shared" ca="1" si="16"/>
        <v>3</v>
      </c>
      <c r="C716" s="233">
        <f t="shared" ca="1" si="17"/>
        <v>1</v>
      </c>
      <c r="D716" s="234">
        <f t="shared" ca="1" si="18"/>
        <v>3</v>
      </c>
      <c r="E716" s="234">
        <f t="shared" ca="1" si="19"/>
        <v>2</v>
      </c>
    </row>
    <row r="717" spans="1:5" ht="13.5" customHeight="1" x14ac:dyDescent="0.2">
      <c r="A717" s="233">
        <f t="shared" ca="1" si="15"/>
        <v>0</v>
      </c>
      <c r="B717" s="233">
        <f t="shared" ca="1" si="16"/>
        <v>3</v>
      </c>
      <c r="C717" s="233">
        <f t="shared" ca="1" si="17"/>
        <v>1</v>
      </c>
      <c r="D717" s="234">
        <f t="shared" ca="1" si="18"/>
        <v>3</v>
      </c>
      <c r="E717" s="234">
        <f t="shared" ca="1" si="19"/>
        <v>2</v>
      </c>
    </row>
    <row r="718" spans="1:5" ht="13.5" customHeight="1" x14ac:dyDescent="0.2">
      <c r="A718" s="233">
        <f t="shared" ca="1" si="15"/>
        <v>0</v>
      </c>
      <c r="B718" s="233">
        <f t="shared" ca="1" si="16"/>
        <v>3</v>
      </c>
      <c r="C718" s="233">
        <f t="shared" ca="1" si="17"/>
        <v>1</v>
      </c>
      <c r="D718" s="234">
        <f t="shared" ca="1" si="18"/>
        <v>3</v>
      </c>
      <c r="E718" s="234">
        <f t="shared" ca="1" si="19"/>
        <v>2</v>
      </c>
    </row>
    <row r="719" spans="1:5" ht="13.5" customHeight="1" x14ac:dyDescent="0.2">
      <c r="A719" s="233">
        <f t="shared" ca="1" si="15"/>
        <v>0</v>
      </c>
      <c r="B719" s="233">
        <f t="shared" ca="1" si="16"/>
        <v>3</v>
      </c>
      <c r="C719" s="233">
        <f t="shared" ca="1" si="17"/>
        <v>1</v>
      </c>
      <c r="D719" s="234">
        <f t="shared" ca="1" si="18"/>
        <v>3</v>
      </c>
      <c r="E719" s="234">
        <f t="shared" ca="1" si="19"/>
        <v>2</v>
      </c>
    </row>
    <row r="720" spans="1:5" ht="13.5" customHeight="1" x14ac:dyDescent="0.2">
      <c r="A720" s="233">
        <f t="shared" ca="1" si="15"/>
        <v>0</v>
      </c>
      <c r="B720" s="233">
        <f t="shared" ca="1" si="16"/>
        <v>3</v>
      </c>
      <c r="C720" s="233">
        <f t="shared" ca="1" si="17"/>
        <v>1</v>
      </c>
      <c r="D720" s="234">
        <f t="shared" ca="1" si="18"/>
        <v>3</v>
      </c>
      <c r="E720" s="234">
        <f t="shared" ca="1" si="19"/>
        <v>2</v>
      </c>
    </row>
    <row r="721" spans="1:5" ht="13.5" customHeight="1" x14ac:dyDescent="0.2">
      <c r="A721" s="233">
        <f t="shared" ca="1" si="15"/>
        <v>0</v>
      </c>
      <c r="B721" s="233">
        <f t="shared" ca="1" si="16"/>
        <v>3</v>
      </c>
      <c r="C721" s="233">
        <f t="shared" ca="1" si="17"/>
        <v>1</v>
      </c>
      <c r="D721" s="234">
        <f t="shared" ca="1" si="18"/>
        <v>3</v>
      </c>
      <c r="E721" s="234">
        <f t="shared" ca="1" si="19"/>
        <v>2</v>
      </c>
    </row>
    <row r="722" spans="1:5" ht="13.5" customHeight="1" x14ac:dyDescent="0.2">
      <c r="A722" s="233">
        <f t="shared" ca="1" si="15"/>
        <v>0</v>
      </c>
      <c r="B722" s="233">
        <f t="shared" ca="1" si="16"/>
        <v>3</v>
      </c>
      <c r="C722" s="233">
        <f t="shared" ca="1" si="17"/>
        <v>1</v>
      </c>
      <c r="D722" s="234">
        <f t="shared" ca="1" si="18"/>
        <v>3</v>
      </c>
      <c r="E722" s="234">
        <f t="shared" ca="1" si="19"/>
        <v>2</v>
      </c>
    </row>
    <row r="723" spans="1:5" ht="13.5" customHeight="1" x14ac:dyDescent="0.2">
      <c r="A723" s="233">
        <f t="shared" ca="1" si="15"/>
        <v>0</v>
      </c>
      <c r="B723" s="233">
        <f t="shared" ca="1" si="16"/>
        <v>3</v>
      </c>
      <c r="C723" s="233">
        <f t="shared" ca="1" si="17"/>
        <v>1</v>
      </c>
      <c r="D723" s="234">
        <f t="shared" ca="1" si="18"/>
        <v>3</v>
      </c>
      <c r="E723" s="234">
        <f t="shared" ca="1" si="19"/>
        <v>2</v>
      </c>
    </row>
    <row r="724" spans="1:5" ht="13.5" customHeight="1" x14ac:dyDescent="0.2">
      <c r="A724" s="233">
        <f t="shared" ca="1" si="15"/>
        <v>0</v>
      </c>
      <c r="B724" s="233">
        <f t="shared" ca="1" si="16"/>
        <v>3</v>
      </c>
      <c r="C724" s="233">
        <f t="shared" ca="1" si="17"/>
        <v>1</v>
      </c>
      <c r="D724" s="234">
        <f t="shared" ca="1" si="18"/>
        <v>3</v>
      </c>
      <c r="E724" s="234">
        <f t="shared" ca="1" si="19"/>
        <v>2</v>
      </c>
    </row>
    <row r="725" spans="1:5" ht="13.5" customHeight="1" x14ac:dyDescent="0.2">
      <c r="A725" s="233">
        <f t="shared" ca="1" si="15"/>
        <v>0</v>
      </c>
      <c r="B725" s="233">
        <f t="shared" ca="1" si="16"/>
        <v>3</v>
      </c>
      <c r="C725" s="233">
        <f t="shared" ca="1" si="17"/>
        <v>1</v>
      </c>
      <c r="D725" s="234">
        <f t="shared" ca="1" si="18"/>
        <v>3</v>
      </c>
      <c r="E725" s="234">
        <f t="shared" ca="1" si="19"/>
        <v>2</v>
      </c>
    </row>
    <row r="726" spans="1:5" ht="13.5" customHeight="1" x14ac:dyDescent="0.2">
      <c r="A726" s="233">
        <f t="shared" ca="1" si="15"/>
        <v>0</v>
      </c>
      <c r="B726" s="233">
        <f t="shared" ca="1" si="16"/>
        <v>3</v>
      </c>
      <c r="C726" s="233">
        <f t="shared" ca="1" si="17"/>
        <v>1</v>
      </c>
      <c r="D726" s="234">
        <f t="shared" ca="1" si="18"/>
        <v>3</v>
      </c>
      <c r="E726" s="234">
        <f t="shared" ca="1" si="19"/>
        <v>2</v>
      </c>
    </row>
    <row r="727" spans="1:5" ht="13.5" customHeight="1" x14ac:dyDescent="0.2">
      <c r="A727" s="233">
        <f t="shared" ca="1" si="15"/>
        <v>0</v>
      </c>
      <c r="B727" s="233">
        <f t="shared" ca="1" si="16"/>
        <v>3</v>
      </c>
      <c r="C727" s="233">
        <f t="shared" ca="1" si="17"/>
        <v>1</v>
      </c>
      <c r="D727" s="234">
        <f t="shared" ca="1" si="18"/>
        <v>3</v>
      </c>
      <c r="E727" s="234">
        <f t="shared" ca="1" si="19"/>
        <v>2</v>
      </c>
    </row>
    <row r="728" spans="1:5" ht="13.5" customHeight="1" x14ac:dyDescent="0.2">
      <c r="A728" s="233">
        <f t="shared" ca="1" si="15"/>
        <v>0</v>
      </c>
      <c r="B728" s="233">
        <f t="shared" ca="1" si="16"/>
        <v>3</v>
      </c>
      <c r="C728" s="233">
        <f t="shared" ca="1" si="17"/>
        <v>1</v>
      </c>
      <c r="D728" s="234">
        <f t="shared" ca="1" si="18"/>
        <v>3</v>
      </c>
      <c r="E728" s="234">
        <f t="shared" ca="1" si="19"/>
        <v>2</v>
      </c>
    </row>
    <row r="729" spans="1:5" ht="13.5" customHeight="1" x14ac:dyDescent="0.2">
      <c r="A729" s="233">
        <f t="shared" ca="1" si="15"/>
        <v>0</v>
      </c>
      <c r="B729" s="233">
        <f t="shared" ca="1" si="16"/>
        <v>3</v>
      </c>
      <c r="C729" s="233">
        <f t="shared" ca="1" si="17"/>
        <v>1</v>
      </c>
      <c r="D729" s="234">
        <f t="shared" ca="1" si="18"/>
        <v>3</v>
      </c>
      <c r="E729" s="234">
        <f t="shared" ca="1" si="19"/>
        <v>2</v>
      </c>
    </row>
    <row r="730" spans="1:5" ht="13.5" customHeight="1" x14ac:dyDescent="0.2">
      <c r="A730" s="233">
        <f t="shared" ca="1" si="15"/>
        <v>0</v>
      </c>
      <c r="B730" s="233">
        <f t="shared" ca="1" si="16"/>
        <v>3</v>
      </c>
      <c r="C730" s="233">
        <f t="shared" ca="1" si="17"/>
        <v>1</v>
      </c>
      <c r="D730" s="234">
        <f t="shared" ca="1" si="18"/>
        <v>3</v>
      </c>
      <c r="E730" s="234">
        <f t="shared" ca="1" si="19"/>
        <v>2</v>
      </c>
    </row>
    <row r="731" spans="1:5" ht="13.5" customHeight="1" x14ac:dyDescent="0.2">
      <c r="A731" s="233">
        <f t="shared" ca="1" si="15"/>
        <v>0</v>
      </c>
      <c r="B731" s="233">
        <f t="shared" ca="1" si="16"/>
        <v>3</v>
      </c>
      <c r="C731" s="233">
        <f t="shared" ca="1" si="17"/>
        <v>1</v>
      </c>
      <c r="D731" s="234">
        <f t="shared" ca="1" si="18"/>
        <v>3</v>
      </c>
      <c r="E731" s="234">
        <f t="shared" ca="1" si="19"/>
        <v>2</v>
      </c>
    </row>
    <row r="732" spans="1:5" ht="13.5" customHeight="1" x14ac:dyDescent="0.2">
      <c r="A732" s="233">
        <f t="shared" ca="1" si="15"/>
        <v>0</v>
      </c>
      <c r="B732" s="233">
        <f t="shared" ca="1" si="16"/>
        <v>3</v>
      </c>
      <c r="C732" s="233">
        <f t="shared" ca="1" si="17"/>
        <v>1</v>
      </c>
      <c r="D732" s="234">
        <f t="shared" ca="1" si="18"/>
        <v>3</v>
      </c>
      <c r="E732" s="234">
        <f t="shared" ca="1" si="19"/>
        <v>2</v>
      </c>
    </row>
    <row r="733" spans="1:5" ht="13.5" customHeight="1" x14ac:dyDescent="0.2">
      <c r="A733" s="233">
        <f t="shared" ca="1" si="15"/>
        <v>0</v>
      </c>
      <c r="B733" s="233">
        <f t="shared" ca="1" si="16"/>
        <v>3</v>
      </c>
      <c r="C733" s="233">
        <f t="shared" ca="1" si="17"/>
        <v>1</v>
      </c>
      <c r="D733" s="234">
        <f t="shared" ca="1" si="18"/>
        <v>3</v>
      </c>
      <c r="E733" s="234">
        <f t="shared" ca="1" si="19"/>
        <v>2</v>
      </c>
    </row>
    <row r="734" spans="1:5" ht="13.5" customHeight="1" x14ac:dyDescent="0.2">
      <c r="A734" s="233">
        <f t="shared" ca="1" si="15"/>
        <v>0</v>
      </c>
      <c r="B734" s="233">
        <f t="shared" ca="1" si="16"/>
        <v>3</v>
      </c>
      <c r="C734" s="233">
        <f t="shared" ca="1" si="17"/>
        <v>1</v>
      </c>
      <c r="D734" s="234">
        <f t="shared" ca="1" si="18"/>
        <v>3</v>
      </c>
      <c r="E734" s="234">
        <f t="shared" ca="1" si="19"/>
        <v>2</v>
      </c>
    </row>
    <row r="735" spans="1:5" ht="13.5" customHeight="1" x14ac:dyDescent="0.2">
      <c r="A735" s="233">
        <f t="shared" ca="1" si="15"/>
        <v>0</v>
      </c>
      <c r="B735" s="233">
        <f t="shared" ca="1" si="16"/>
        <v>3</v>
      </c>
      <c r="C735" s="233">
        <f t="shared" ca="1" si="17"/>
        <v>1</v>
      </c>
      <c r="D735" s="234">
        <f t="shared" ca="1" si="18"/>
        <v>3</v>
      </c>
      <c r="E735" s="234">
        <f t="shared" ca="1" si="19"/>
        <v>2</v>
      </c>
    </row>
    <row r="736" spans="1:5" ht="13.5" customHeight="1" x14ac:dyDescent="0.2">
      <c r="A736" s="233">
        <f t="shared" ca="1" si="15"/>
        <v>0</v>
      </c>
      <c r="B736" s="233">
        <f t="shared" ca="1" si="16"/>
        <v>3</v>
      </c>
      <c r="C736" s="233">
        <f t="shared" ca="1" si="17"/>
        <v>1</v>
      </c>
      <c r="D736" s="234">
        <f t="shared" ca="1" si="18"/>
        <v>3</v>
      </c>
      <c r="E736" s="234">
        <f t="shared" ca="1" si="19"/>
        <v>2</v>
      </c>
    </row>
    <row r="737" spans="1:5" ht="13.5" customHeight="1" x14ac:dyDescent="0.2">
      <c r="A737" s="233">
        <f t="shared" ca="1" si="15"/>
        <v>0</v>
      </c>
      <c r="B737" s="233">
        <f t="shared" ca="1" si="16"/>
        <v>3</v>
      </c>
      <c r="C737" s="233">
        <f t="shared" ca="1" si="17"/>
        <v>1</v>
      </c>
      <c r="D737" s="234">
        <f t="shared" ca="1" si="18"/>
        <v>3</v>
      </c>
      <c r="E737" s="234">
        <f t="shared" ca="1" si="19"/>
        <v>2</v>
      </c>
    </row>
    <row r="738" spans="1:5" ht="13.5" customHeight="1" x14ac:dyDescent="0.2">
      <c r="A738" s="233">
        <f t="shared" ca="1" si="15"/>
        <v>0</v>
      </c>
      <c r="B738" s="233">
        <f t="shared" ca="1" si="16"/>
        <v>3</v>
      </c>
      <c r="C738" s="233">
        <f t="shared" ca="1" si="17"/>
        <v>1</v>
      </c>
      <c r="D738" s="234">
        <f t="shared" ca="1" si="18"/>
        <v>3</v>
      </c>
      <c r="E738" s="234">
        <f t="shared" ca="1" si="19"/>
        <v>2</v>
      </c>
    </row>
    <row r="739" spans="1:5" ht="13.5" customHeight="1" x14ac:dyDescent="0.2">
      <c r="A739" s="233">
        <f t="shared" ca="1" si="15"/>
        <v>0</v>
      </c>
      <c r="B739" s="233">
        <f t="shared" ca="1" si="16"/>
        <v>3</v>
      </c>
      <c r="C739" s="233">
        <f t="shared" ca="1" si="17"/>
        <v>1</v>
      </c>
      <c r="D739" s="234">
        <f t="shared" ca="1" si="18"/>
        <v>3</v>
      </c>
      <c r="E739" s="234">
        <f t="shared" ca="1" si="19"/>
        <v>2</v>
      </c>
    </row>
    <row r="740" spans="1:5" ht="13.5" customHeight="1" x14ac:dyDescent="0.2">
      <c r="A740" s="233">
        <f t="shared" ca="1" si="15"/>
        <v>0</v>
      </c>
      <c r="B740" s="233">
        <f t="shared" ca="1" si="16"/>
        <v>3</v>
      </c>
      <c r="C740" s="233">
        <f t="shared" ca="1" si="17"/>
        <v>1</v>
      </c>
      <c r="D740" s="234">
        <f t="shared" ca="1" si="18"/>
        <v>3</v>
      </c>
      <c r="E740" s="234">
        <f t="shared" ca="1" si="19"/>
        <v>2</v>
      </c>
    </row>
    <row r="741" spans="1:5" ht="13.5" customHeight="1" x14ac:dyDescent="0.2">
      <c r="A741" s="233">
        <f t="shared" ca="1" si="15"/>
        <v>0</v>
      </c>
      <c r="B741" s="233">
        <f t="shared" ca="1" si="16"/>
        <v>3</v>
      </c>
      <c r="C741" s="233">
        <f t="shared" ca="1" si="17"/>
        <v>1</v>
      </c>
      <c r="D741" s="234">
        <f t="shared" ca="1" si="18"/>
        <v>3</v>
      </c>
      <c r="E741" s="234">
        <f t="shared" ca="1" si="19"/>
        <v>2</v>
      </c>
    </row>
    <row r="742" spans="1:5" ht="13.5" customHeight="1" x14ac:dyDescent="0.2">
      <c r="A742" s="233">
        <f t="shared" ca="1" si="15"/>
        <v>0</v>
      </c>
      <c r="B742" s="233">
        <f t="shared" ca="1" si="16"/>
        <v>3</v>
      </c>
      <c r="C742" s="233">
        <f t="shared" ca="1" si="17"/>
        <v>1</v>
      </c>
      <c r="D742" s="234">
        <f t="shared" ca="1" si="18"/>
        <v>3</v>
      </c>
      <c r="E742" s="234">
        <f t="shared" ca="1" si="19"/>
        <v>2</v>
      </c>
    </row>
    <row r="743" spans="1:5" ht="13.5" customHeight="1" x14ac:dyDescent="0.2">
      <c r="A743" s="233">
        <f t="shared" ca="1" si="15"/>
        <v>0</v>
      </c>
      <c r="B743" s="233">
        <f t="shared" ca="1" si="16"/>
        <v>3</v>
      </c>
      <c r="C743" s="233">
        <f t="shared" ca="1" si="17"/>
        <v>1</v>
      </c>
      <c r="D743" s="234">
        <f t="shared" ca="1" si="18"/>
        <v>3</v>
      </c>
      <c r="E743" s="234">
        <f t="shared" ca="1" si="19"/>
        <v>2</v>
      </c>
    </row>
    <row r="744" spans="1:5" ht="13.5" customHeight="1" x14ac:dyDescent="0.2">
      <c r="A744" s="233">
        <f t="shared" ca="1" si="15"/>
        <v>0</v>
      </c>
      <c r="B744" s="233">
        <f t="shared" ca="1" si="16"/>
        <v>3</v>
      </c>
      <c r="C744" s="233">
        <f t="shared" ca="1" si="17"/>
        <v>1</v>
      </c>
      <c r="D744" s="234">
        <f t="shared" ca="1" si="18"/>
        <v>3</v>
      </c>
      <c r="E744" s="234">
        <f t="shared" ca="1" si="19"/>
        <v>2</v>
      </c>
    </row>
    <row r="745" spans="1:5" ht="13.5" customHeight="1" x14ac:dyDescent="0.2">
      <c r="A745" s="233">
        <f t="shared" ca="1" si="15"/>
        <v>0</v>
      </c>
      <c r="B745" s="233">
        <f t="shared" ca="1" si="16"/>
        <v>3</v>
      </c>
      <c r="C745" s="233">
        <f t="shared" ca="1" si="17"/>
        <v>1</v>
      </c>
      <c r="D745" s="234">
        <f t="shared" ca="1" si="18"/>
        <v>3</v>
      </c>
      <c r="E745" s="234">
        <f t="shared" ca="1" si="19"/>
        <v>2</v>
      </c>
    </row>
    <row r="746" spans="1:5" ht="13.5" customHeight="1" x14ac:dyDescent="0.2">
      <c r="A746" s="233">
        <f t="shared" ca="1" si="15"/>
        <v>0</v>
      </c>
      <c r="B746" s="233">
        <f t="shared" ca="1" si="16"/>
        <v>3</v>
      </c>
      <c r="C746" s="233">
        <f t="shared" ca="1" si="17"/>
        <v>1</v>
      </c>
      <c r="D746" s="234">
        <f t="shared" ca="1" si="18"/>
        <v>3</v>
      </c>
      <c r="E746" s="234">
        <f t="shared" ca="1" si="19"/>
        <v>2</v>
      </c>
    </row>
    <row r="747" spans="1:5" ht="13.5" customHeight="1" x14ac:dyDescent="0.2">
      <c r="A747" s="233">
        <f t="shared" ca="1" si="15"/>
        <v>0</v>
      </c>
      <c r="B747" s="233">
        <f t="shared" ca="1" si="16"/>
        <v>3</v>
      </c>
      <c r="C747" s="233">
        <f t="shared" ca="1" si="17"/>
        <v>1</v>
      </c>
      <c r="D747" s="234">
        <f t="shared" ca="1" si="18"/>
        <v>3</v>
      </c>
      <c r="E747" s="234">
        <f t="shared" ca="1" si="19"/>
        <v>2</v>
      </c>
    </row>
    <row r="748" spans="1:5" ht="13.5" customHeight="1" x14ac:dyDescent="0.2">
      <c r="A748" s="233">
        <f t="shared" ca="1" si="15"/>
        <v>0</v>
      </c>
      <c r="B748" s="233">
        <f t="shared" ca="1" si="16"/>
        <v>3</v>
      </c>
      <c r="C748" s="233">
        <f t="shared" ca="1" si="17"/>
        <v>1</v>
      </c>
      <c r="D748" s="234">
        <f t="shared" ca="1" si="18"/>
        <v>3</v>
      </c>
      <c r="E748" s="234">
        <f t="shared" ca="1" si="19"/>
        <v>2</v>
      </c>
    </row>
    <row r="749" spans="1:5" ht="13.5" customHeight="1" x14ac:dyDescent="0.2">
      <c r="A749" s="233">
        <f t="shared" ca="1" si="15"/>
        <v>0</v>
      </c>
      <c r="B749" s="233">
        <f t="shared" ca="1" si="16"/>
        <v>3</v>
      </c>
      <c r="C749" s="233">
        <f t="shared" ca="1" si="17"/>
        <v>1</v>
      </c>
      <c r="D749" s="234">
        <f t="shared" ca="1" si="18"/>
        <v>3</v>
      </c>
      <c r="E749" s="234">
        <f t="shared" ca="1" si="19"/>
        <v>2</v>
      </c>
    </row>
    <row r="750" spans="1:5" ht="13.5" customHeight="1" x14ac:dyDescent="0.2">
      <c r="A750" s="233">
        <f t="shared" ca="1" si="15"/>
        <v>0</v>
      </c>
      <c r="B750" s="233">
        <f t="shared" ca="1" si="16"/>
        <v>3</v>
      </c>
      <c r="C750" s="233">
        <f t="shared" ca="1" si="17"/>
        <v>1</v>
      </c>
      <c r="D750" s="234">
        <f t="shared" ca="1" si="18"/>
        <v>3</v>
      </c>
      <c r="E750" s="234">
        <f t="shared" ca="1" si="19"/>
        <v>2</v>
      </c>
    </row>
    <row r="751" spans="1:5" ht="13.5" customHeight="1" x14ac:dyDescent="0.2">
      <c r="A751" s="233">
        <f t="shared" ca="1" si="15"/>
        <v>0</v>
      </c>
      <c r="B751" s="233">
        <f t="shared" ca="1" si="16"/>
        <v>3</v>
      </c>
      <c r="C751" s="233">
        <f t="shared" ca="1" si="17"/>
        <v>1</v>
      </c>
      <c r="D751" s="234">
        <f t="shared" ca="1" si="18"/>
        <v>3</v>
      </c>
      <c r="E751" s="234">
        <f t="shared" ca="1" si="19"/>
        <v>2</v>
      </c>
    </row>
    <row r="752" spans="1:5" ht="13.5" customHeight="1" x14ac:dyDescent="0.2">
      <c r="A752" s="233">
        <f t="shared" ca="1" si="15"/>
        <v>0</v>
      </c>
      <c r="B752" s="233">
        <f t="shared" ca="1" si="16"/>
        <v>3</v>
      </c>
      <c r="C752" s="233">
        <f t="shared" ca="1" si="17"/>
        <v>1</v>
      </c>
      <c r="D752" s="234">
        <f t="shared" ca="1" si="18"/>
        <v>3</v>
      </c>
      <c r="E752" s="234">
        <f t="shared" ca="1" si="19"/>
        <v>2</v>
      </c>
    </row>
    <row r="753" spans="1:5" ht="13.5" customHeight="1" x14ac:dyDescent="0.2">
      <c r="A753" s="233">
        <f t="shared" ca="1" si="15"/>
        <v>0</v>
      </c>
      <c r="B753" s="233">
        <f t="shared" ca="1" si="16"/>
        <v>3</v>
      </c>
      <c r="C753" s="233">
        <f t="shared" ca="1" si="17"/>
        <v>1</v>
      </c>
      <c r="D753" s="234">
        <f t="shared" ca="1" si="18"/>
        <v>3</v>
      </c>
      <c r="E753" s="234">
        <f t="shared" ca="1" si="19"/>
        <v>2</v>
      </c>
    </row>
    <row r="754" spans="1:5" ht="13.5" customHeight="1" x14ac:dyDescent="0.2">
      <c r="A754" s="233">
        <f t="shared" ca="1" si="15"/>
        <v>0</v>
      </c>
      <c r="B754" s="233">
        <f t="shared" ca="1" si="16"/>
        <v>3</v>
      </c>
      <c r="C754" s="233">
        <f t="shared" ca="1" si="17"/>
        <v>1</v>
      </c>
      <c r="D754" s="234">
        <f t="shared" ca="1" si="18"/>
        <v>3</v>
      </c>
      <c r="E754" s="234">
        <f t="shared" ca="1" si="19"/>
        <v>2</v>
      </c>
    </row>
    <row r="755" spans="1:5" ht="13.5" customHeight="1" x14ac:dyDescent="0.2">
      <c r="A755" s="233">
        <f t="shared" ca="1" si="15"/>
        <v>0</v>
      </c>
      <c r="B755" s="233">
        <f t="shared" ca="1" si="16"/>
        <v>3</v>
      </c>
      <c r="C755" s="233">
        <f t="shared" ca="1" si="17"/>
        <v>1</v>
      </c>
      <c r="D755" s="234">
        <f t="shared" ca="1" si="18"/>
        <v>3</v>
      </c>
      <c r="E755" s="234">
        <f t="shared" ca="1" si="19"/>
        <v>2</v>
      </c>
    </row>
    <row r="756" spans="1:5" ht="13.5" customHeight="1" x14ac:dyDescent="0.2">
      <c r="A756" s="233">
        <f t="shared" ca="1" si="15"/>
        <v>0</v>
      </c>
      <c r="B756" s="233">
        <f t="shared" ca="1" si="16"/>
        <v>3</v>
      </c>
      <c r="C756" s="233">
        <f t="shared" ca="1" si="17"/>
        <v>1</v>
      </c>
      <c r="D756" s="234">
        <f t="shared" ca="1" si="18"/>
        <v>3</v>
      </c>
      <c r="E756" s="234">
        <f t="shared" ca="1" si="19"/>
        <v>2</v>
      </c>
    </row>
    <row r="757" spans="1:5" ht="13.5" customHeight="1" x14ac:dyDescent="0.2">
      <c r="A757" s="233">
        <f t="shared" ca="1" si="15"/>
        <v>0</v>
      </c>
      <c r="B757" s="233">
        <f t="shared" ca="1" si="16"/>
        <v>3</v>
      </c>
      <c r="C757" s="233">
        <f t="shared" ca="1" si="17"/>
        <v>1</v>
      </c>
      <c r="D757" s="234">
        <f t="shared" ca="1" si="18"/>
        <v>3</v>
      </c>
      <c r="E757" s="234">
        <f t="shared" ca="1" si="19"/>
        <v>2</v>
      </c>
    </row>
    <row r="758" spans="1:5" ht="13.5" customHeight="1" x14ac:dyDescent="0.2">
      <c r="A758" s="233">
        <f t="shared" ca="1" si="15"/>
        <v>0</v>
      </c>
      <c r="B758" s="233">
        <f t="shared" ca="1" si="16"/>
        <v>3</v>
      </c>
      <c r="C758" s="233">
        <f t="shared" ca="1" si="17"/>
        <v>1</v>
      </c>
      <c r="D758" s="234">
        <f t="shared" ca="1" si="18"/>
        <v>3</v>
      </c>
      <c r="E758" s="234">
        <f t="shared" ca="1" si="19"/>
        <v>2</v>
      </c>
    </row>
  </sheetData>
  <autoFilter ref="G7:P127" xr:uid="{00000000-0009-0000-0000-000004000000}"/>
  <mergeCells count="1">
    <mergeCell ref="G6:P6"/>
  </mergeCells>
  <conditionalFormatting sqref="G17:H78 J17:M78 I17:I88 N58:N72 G80:H80 J80:N80 G101:M101 N77:N78 P77:P78 P80 G82:H94 N83:N94 P83:P94 N96:N97">
    <cfRule type="expression" dxfId="4976" priority="2">
      <formula>$H17="CÉLULA CONSTRUTIVA"</formula>
    </cfRule>
  </conditionalFormatting>
  <conditionalFormatting sqref="G17:H78 J17:M78 I17:I88 O56:O57 N58:N71 G80:H80 J80:M80 G101:M101">
    <cfRule type="expression" dxfId="4975" priority="1">
      <formula>$H17="ETAPA"</formula>
    </cfRule>
  </conditionalFormatting>
  <conditionalFormatting sqref="G79:H79 J79:M79 I79:I80 G82:M82 O82">
    <cfRule type="expression" dxfId="4974" priority="15">
      <formula>$H79="CÉLULA CONSTRUTIVA"</formula>
    </cfRule>
  </conditionalFormatting>
  <conditionalFormatting sqref="G99:H100">
    <cfRule type="expression" dxfId="4973" priority="3">
      <formula>$H99="CÉLULA CONSTRUTIVA"</formula>
    </cfRule>
    <cfRule type="expression" dxfId="4972" priority="4">
      <formula>$H99="ETAPA"</formula>
    </cfRule>
  </conditionalFormatting>
  <conditionalFormatting sqref="G99:H120 J8:M80 G17:H80 I17:I88 N56:N72 I101:P120 O56:P57 O71:O72">
    <cfRule type="expression" dxfId="4971" priority="5">
      <formula>$H8="SUBETAPA"</formula>
    </cfRule>
  </conditionalFormatting>
  <conditionalFormatting sqref="G8:M16 N8:N120 G53:M53 G80:M80 G101:M102">
    <cfRule type="expression" dxfId="4970" priority="6">
      <formula>$H8="CÉLULA CONSTRUTIVA"</formula>
    </cfRule>
  </conditionalFormatting>
  <conditionalFormatting sqref="G95:M95 O95">
    <cfRule type="expression" dxfId="4969" priority="7">
      <formula>$H95="SUBETAPA"</formula>
    </cfRule>
    <cfRule type="expression" dxfId="4968" priority="8">
      <formula>$H95="CÉLULA CONSTRUTIVA"</formula>
    </cfRule>
  </conditionalFormatting>
  <conditionalFormatting sqref="G98:M98 O98">
    <cfRule type="expression" dxfId="4967" priority="9">
      <formula>$H98="CÉLULA CONSTRUTIVA"</formula>
    </cfRule>
  </conditionalFormatting>
  <conditionalFormatting sqref="G98:M98 O98:P98">
    <cfRule type="expression" dxfId="4966" priority="10">
      <formula>$H98="SUBETAPA"</formula>
    </cfRule>
  </conditionalFormatting>
  <conditionalFormatting sqref="G104:P104">
    <cfRule type="expression" dxfId="4965" priority="11">
      <formula>$H104="CÉLULA CONSTRUTIVA"</formula>
    </cfRule>
  </conditionalFormatting>
  <conditionalFormatting sqref="H99:M100">
    <cfRule type="expression" dxfId="4964" priority="12">
      <formula>$H99="SUBETAPA"</formula>
    </cfRule>
  </conditionalFormatting>
  <conditionalFormatting sqref="H99:N100">
    <cfRule type="expression" dxfId="4963" priority="13">
      <formula>$H99="CÉLULA CONSTRUTIVA"</formula>
    </cfRule>
    <cfRule type="expression" dxfId="4962" priority="14">
      <formula>$H99="ETAPA"</formula>
    </cfRule>
  </conditionalFormatting>
  <conditionalFormatting sqref="I79:I80 G82:M82 O82 N79:N80 O79:P79">
    <cfRule type="expression" dxfId="4961" priority="16">
      <formula>$H79="SUBETAPA"</formula>
    </cfRule>
  </conditionalFormatting>
  <conditionalFormatting sqref="I95">
    <cfRule type="expression" dxfId="4960" priority="17">
      <formula>$H95="SUBETAPA"</formula>
    </cfRule>
    <cfRule type="expression" dxfId="4959" priority="18">
      <formula>$H95="ETAPA"</formula>
    </cfRule>
  </conditionalFormatting>
  <conditionalFormatting sqref="I80:M95">
    <cfRule type="expression" dxfId="4958" priority="19">
      <formula>$H80="CÉLULA CONSTRUTIVA"</formula>
    </cfRule>
  </conditionalFormatting>
  <conditionalFormatting sqref="I98:M98">
    <cfRule type="expression" dxfId="4957" priority="20">
      <formula>$H98="ETAPA"</formula>
    </cfRule>
  </conditionalFormatting>
  <conditionalFormatting sqref="M126">
    <cfRule type="expression" dxfId="4956" priority="21">
      <formula>$H123="SUBETAPA"</formula>
    </cfRule>
    <cfRule type="expression" dxfId="4955" priority="22">
      <formula>$H123="CÉLULA CONSTRUTIVA"</formula>
    </cfRule>
    <cfRule type="expression" dxfId="4954" priority="23">
      <formula>$H123="ETAPA"</formula>
    </cfRule>
  </conditionalFormatting>
  <conditionalFormatting sqref="M122:N126">
    <cfRule type="expression" dxfId="4953" priority="24">
      <formula>$H122="SUBETAPA"</formula>
    </cfRule>
    <cfRule type="expression" dxfId="4952" priority="25">
      <formula>$H122="CÉLULA CONSTRUTIVA"</formula>
    </cfRule>
    <cfRule type="expression" dxfId="4951" priority="26">
      <formula>$H122="ETAPA"</formula>
    </cfRule>
  </conditionalFormatting>
  <conditionalFormatting sqref="M71:O72">
    <cfRule type="expression" dxfId="4950" priority="27">
      <formula>$H71="ETAPA"</formula>
    </cfRule>
  </conditionalFormatting>
  <conditionalFormatting sqref="N8:N120 G80:M80 G8:I16 G53:M53 G101:M102">
    <cfRule type="expression" dxfId="4949" priority="28">
      <formula>$H8="SUBETAPA"</formula>
    </cfRule>
  </conditionalFormatting>
  <conditionalFormatting sqref="N8:N120 O104:P114 G104:M120">
    <cfRule type="expression" dxfId="4948" priority="29">
      <formula>$H8="ETAPA"</formula>
    </cfRule>
  </conditionalFormatting>
  <conditionalFormatting sqref="N23:O23 P23:P35 P37 P49 P55">
    <cfRule type="expression" dxfId="4947" priority="32">
      <formula>$H23="SUBETAPA"</formula>
    </cfRule>
  </conditionalFormatting>
  <conditionalFormatting sqref="N28:P37 O49:P49 O8:P13 O75:P75">
    <cfRule type="expression" dxfId="4946" priority="33">
      <formula>$H8="ETAPA"</formula>
    </cfRule>
  </conditionalFormatting>
  <conditionalFormatting sqref="N38:P48">
    <cfRule type="expression" dxfId="4945" priority="35">
      <formula>$H38="SUBETAPA"</formula>
    </cfRule>
  </conditionalFormatting>
  <conditionalFormatting sqref="N50:P52">
    <cfRule type="expression" dxfId="4944" priority="36">
      <formula>$H50="SUBETAPA"</formula>
    </cfRule>
  </conditionalFormatting>
  <conditionalFormatting sqref="N73:P77">
    <cfRule type="expression" dxfId="4943" priority="37">
      <formula>$H73="SUBETAPA"</formula>
    </cfRule>
  </conditionalFormatting>
  <conditionalFormatting sqref="N96:P96">
    <cfRule type="expression" dxfId="4942" priority="38">
      <formula>$H96="SUBETAPA"</formula>
    </cfRule>
  </conditionalFormatting>
  <conditionalFormatting sqref="N99:P100">
    <cfRule type="expression" dxfId="4941" priority="39">
      <formula>$H99="SUBETAPA"</formula>
    </cfRule>
  </conditionalFormatting>
  <conditionalFormatting sqref="N115:P120">
    <cfRule type="expression" dxfId="4940" priority="40">
      <formula>$H115="ETAPA"</formula>
    </cfRule>
  </conditionalFormatting>
  <conditionalFormatting sqref="O10 O13 O24 O28 O37 N49:P49 O53:P54 P55 N53:N56 N101:P101 P71:P72">
    <cfRule type="expression" dxfId="4939" priority="41">
      <formula>#REF!="SUBETAPA"</formula>
    </cfRule>
  </conditionalFormatting>
  <conditionalFormatting sqref="O10 O13 O24 O28 O37 O49 O58:O70 P58:P97">
    <cfRule type="expression" dxfId="4938" priority="43">
      <formula>$H10="SUBETAPA"</formula>
    </cfRule>
  </conditionalFormatting>
  <conditionalFormatting sqref="O10 O13 O24 O28 O37 O49 O58:P58">
    <cfRule type="expression" dxfId="4937" priority="42">
      <formula>$H10="CÉLULA CONSTRUTIVA"</formula>
    </cfRule>
  </conditionalFormatting>
  <conditionalFormatting sqref="O10 O13:O24 O28 O37 N49:P49 P71:P73 N75:P76 N82:P82 N95:P95 O53:P54 N53:N56 P55 N101:P101 N73:O73 N24:N35 P24 N98:P98 O80">
    <cfRule type="expression" dxfId="4936" priority="44">
      <formula>#REF!="CÉLULA CONSTRUTIVA"</formula>
    </cfRule>
  </conditionalFormatting>
  <conditionalFormatting sqref="O14:O24 O80 O96:O97 O77:O78 G8:M16 G53:M53 G80:H81 I80:M95 G101:M102 G84:H84 O83:O94">
    <cfRule type="expression" dxfId="4935" priority="45">
      <formula>$H8="ETAPA"</formula>
    </cfRule>
  </conditionalFormatting>
  <conditionalFormatting sqref="O37:O52">
    <cfRule type="expression" dxfId="4934" priority="46">
      <formula>$H37="CÉLULA CONSTRUTIVA"</formula>
    </cfRule>
    <cfRule type="expression" dxfId="4933" priority="47">
      <formula>$H37="ETAPA"</formula>
    </cfRule>
  </conditionalFormatting>
  <conditionalFormatting sqref="O54:O57">
    <cfRule type="expression" dxfId="4932" priority="48">
      <formula>$H54="CÉLULA CONSTRUTIVA"</formula>
    </cfRule>
  </conditionalFormatting>
  <conditionalFormatting sqref="O55">
    <cfRule type="expression" dxfId="4931" priority="49">
      <formula>$H55="SUBETAPA"</formula>
    </cfRule>
  </conditionalFormatting>
  <conditionalFormatting sqref="O59:O68">
    <cfRule type="expression" dxfId="4930" priority="51">
      <formula>$H59="CÉLULA CONSTRUTIVA"</formula>
    </cfRule>
  </conditionalFormatting>
  <conditionalFormatting sqref="O68">
    <cfRule type="expression" dxfId="4929" priority="50">
      <formula>$H68="ETAPA"</formula>
    </cfRule>
  </conditionalFormatting>
  <conditionalFormatting sqref="O99:O100">
    <cfRule type="expression" dxfId="4928" priority="52">
      <formula>$H99="ETAPA"</formula>
    </cfRule>
    <cfRule type="expression" dxfId="4927" priority="53">
      <formula>$H99="CÉLULA CONSTRUTIVA"</formula>
    </cfRule>
  </conditionalFormatting>
  <conditionalFormatting sqref="O8:P13 N28:P37 O49:P49 O75:P75 P54:P55 O24">
    <cfRule type="expression" dxfId="4926" priority="34">
      <formula>$H8="CÉLULA CONSTRUTIVA"</formula>
    </cfRule>
  </conditionalFormatting>
  <conditionalFormatting sqref="O10:P10 O13:P13 O28 O16:P16 O24 N79:P80 O53:P53 O101:P102 N74:O74">
    <cfRule type="expression" dxfId="4925" priority="55">
      <formula>$H10="CÉLULA CONSTRUTIVA"</formula>
    </cfRule>
  </conditionalFormatting>
  <conditionalFormatting sqref="O10:P10 O13:P13 O28 O58:P58">
    <cfRule type="expression" dxfId="4924" priority="54">
      <formula>$H10="ETAPA"</formula>
    </cfRule>
  </conditionalFormatting>
  <conditionalFormatting sqref="O16:P16 O74 O80:P80 O101:P102">
    <cfRule type="expression" dxfId="4923" priority="59">
      <formula>$H16="ETAPA"</formula>
    </cfRule>
  </conditionalFormatting>
  <conditionalFormatting sqref="O53:P55">
    <cfRule type="expression" dxfId="4922" priority="56">
      <formula>$H53="ETAPA"</formula>
    </cfRule>
  </conditionalFormatting>
  <conditionalFormatting sqref="O69:P70">
    <cfRule type="expression" dxfId="4921" priority="57">
      <formula>$H69="CÉLULA CONSTRUTIVA"</formula>
    </cfRule>
    <cfRule type="expression" dxfId="4920" priority="58">
      <formula>$H69="ETAPA"</formula>
    </cfRule>
  </conditionalFormatting>
  <conditionalFormatting sqref="P7">
    <cfRule type="containsText" dxfId="4919" priority="61" operator="containsText" text="Finalizado">
      <formula>NOT(ISERROR(SEARCH(("Finalizado"),(P7))))</formula>
    </cfRule>
    <cfRule type="containsText" dxfId="4918" priority="62" operator="containsText" text="Lançado">
      <formula>NOT(ISERROR(SEARCH(("Lançado"),(P7))))</formula>
    </cfRule>
    <cfRule type="containsText" dxfId="4917" priority="63" operator="containsText" text="N/A">
      <formula>NOT(ISERROR(SEARCH(("N/A"),(P7))))</formula>
    </cfRule>
  </conditionalFormatting>
  <conditionalFormatting sqref="P7:P10">
    <cfRule type="containsText" dxfId="4916" priority="64" operator="containsText" text="Pendente">
      <formula>NOT(ISERROR(SEARCH(("Pendente"),(P7))))</formula>
    </cfRule>
  </conditionalFormatting>
  <conditionalFormatting sqref="P8:P10">
    <cfRule type="containsText" dxfId="4915" priority="67" operator="containsText" text="Lançado">
      <formula>NOT(ISERROR(SEARCH(("Lançado"),(P8))))</formula>
    </cfRule>
    <cfRule type="containsText" dxfId="4914" priority="68" operator="containsText" text="N/A">
      <formula>NOT(ISERROR(SEARCH(("N/A"),(P8))))</formula>
    </cfRule>
  </conditionalFormatting>
  <conditionalFormatting sqref="P8:P12">
    <cfRule type="containsText" dxfId="4913" priority="69" operator="containsText" text="Finalizado">
      <formula>NOT(ISERROR(SEARCH(("Finalizado"),(P8))))</formula>
    </cfRule>
  </conditionalFormatting>
  <conditionalFormatting sqref="P10">
    <cfRule type="expression" dxfId="4912" priority="66">
      <formula>$H10="SUBETAPA"</formula>
    </cfRule>
  </conditionalFormatting>
  <conditionalFormatting sqref="P10:P12">
    <cfRule type="containsText" dxfId="4911" priority="70" operator="containsText" text="em andamento">
      <formula>NOT(ISERROR(SEARCH(("em andamento"),(P10))))</formula>
    </cfRule>
  </conditionalFormatting>
  <conditionalFormatting sqref="P11:P12 P16 P80">
    <cfRule type="containsText" dxfId="4910" priority="71" operator="containsText" text="Pendente">
      <formula>NOT(ISERROR(SEARCH(("Pendente"),(P11))))</formula>
    </cfRule>
    <cfRule type="containsText" dxfId="4909" priority="72" operator="containsText" text="Finalizado">
      <formula>NOT(ISERROR(SEARCH(("Finalizado"),(P11))))</formula>
    </cfRule>
    <cfRule type="containsText" dxfId="4908" priority="73" operator="containsText" text="em andamento">
      <formula>NOT(ISERROR(SEARCH(("em andamento"),(P11))))</formula>
    </cfRule>
  </conditionalFormatting>
  <conditionalFormatting sqref="P11:P51 P59:P97">
    <cfRule type="containsText" dxfId="4907" priority="74" operator="containsText" text="Pendente">
      <formula>NOT(ISERROR(SEARCH(("Pendente"),(P11))))</formula>
    </cfRule>
    <cfRule type="containsText" dxfId="4906" priority="76" operator="containsText" text="Lançado">
      <formula>NOT(ISERROR(SEARCH(("Lançado"),(P11))))</formula>
    </cfRule>
    <cfRule type="containsText" dxfId="4905" priority="77" operator="containsText" text="N/A">
      <formula>NOT(ISERROR(SEARCH(("N/A"),(P11))))</formula>
    </cfRule>
  </conditionalFormatting>
  <conditionalFormatting sqref="P13">
    <cfRule type="expression" dxfId="4904" priority="75">
      <formula>$H13="SUBETAPA"</formula>
    </cfRule>
  </conditionalFormatting>
  <conditionalFormatting sqref="P13:P51 P59:P97">
    <cfRule type="containsText" dxfId="4903" priority="78" operator="containsText" text="Finalizado">
      <formula>NOT(ISERROR(SEARCH(("Finalizado"),(P13))))</formula>
    </cfRule>
    <cfRule type="containsText" dxfId="4902" priority="79" operator="containsText" text="em andamento">
      <formula>NOT(ISERROR(SEARCH(("em andamento"),(P13))))</formula>
    </cfRule>
  </conditionalFormatting>
  <conditionalFormatting sqref="P14:P22 P80 N17:N22">
    <cfRule type="expression" dxfId="4901" priority="80">
      <formula>$H11="ETAPA"</formula>
    </cfRule>
  </conditionalFormatting>
  <conditionalFormatting sqref="P16 P80">
    <cfRule type="containsText" dxfId="4900" priority="81" operator="containsText" text="Lançado">
      <formula>NOT(ISERROR(SEARCH(("Lançado"),(P16))))</formula>
    </cfRule>
    <cfRule type="containsText" dxfId="4899" priority="82" operator="containsText" text="N/A">
      <formula>NOT(ISERROR(SEARCH(("N/A"),(P16))))</formula>
    </cfRule>
    <cfRule type="containsText" dxfId="4898" priority="83" operator="containsText" text="em andamento">
      <formula>NOT(ISERROR(SEARCH(("em andamento"),(P16))))</formula>
    </cfRule>
    <cfRule type="containsText" dxfId="4897" priority="84" operator="containsText" text="Pendente">
      <formula>NOT(ISERROR(SEARCH(("Pendente"),(P16))))</formula>
    </cfRule>
  </conditionalFormatting>
  <conditionalFormatting sqref="P16">
    <cfRule type="containsText" dxfId="4896" priority="85" operator="containsText" text="Lançado">
      <formula>NOT(ISERROR(SEARCH(("Lançado"),(P16))))</formula>
    </cfRule>
    <cfRule type="containsText" dxfId="4895" priority="86" operator="containsText" text="N/A">
      <formula>NOT(ISERROR(SEARCH(("N/A"),(P16))))</formula>
    </cfRule>
  </conditionalFormatting>
  <conditionalFormatting sqref="P23:P35 P37:P52 P74 P55:P57 N56:N57 N50:N52 N38:N48 N23 O71:O72">
    <cfRule type="expression" dxfId="4894" priority="87">
      <formula>$H23="CÉLULA CONSTRUTIVA"</formula>
    </cfRule>
  </conditionalFormatting>
  <conditionalFormatting sqref="P38:P39">
    <cfRule type="expression" dxfId="4893" priority="30">
      <formula>$H38="ETAPA"</formula>
    </cfRule>
  </conditionalFormatting>
  <conditionalFormatting sqref="P51">
    <cfRule type="expression" dxfId="4892" priority="31">
      <formula>$H51="ETAPA"</formula>
    </cfRule>
  </conditionalFormatting>
  <conditionalFormatting sqref="P52:P62">
    <cfRule type="containsText" dxfId="4891" priority="88" operator="containsText" text="Pendente">
      <formula>NOT(ISERROR(SEARCH(("Pendente"),(P52))))</formula>
    </cfRule>
    <cfRule type="containsText" dxfId="4890" priority="93" operator="containsText" text="Lançado">
      <formula>NOT(ISERROR(SEARCH(("Lançado"),(P52))))</formula>
    </cfRule>
    <cfRule type="containsText" dxfId="4889" priority="94" operator="containsText" text="N/A">
      <formula>NOT(ISERROR(SEARCH(("N/A"),(P52))))</formula>
    </cfRule>
    <cfRule type="containsText" dxfId="4888" priority="95" operator="containsText" text="Finalizado">
      <formula>NOT(ISERROR(SEARCH(("Finalizado"),(P52))))</formula>
    </cfRule>
  </conditionalFormatting>
  <conditionalFormatting sqref="P54:P55">
    <cfRule type="containsText" dxfId="4887" priority="89" operator="containsText" text="em andamento">
      <formula>NOT(ISERROR(SEARCH(("em andamento"),(P54))))</formula>
    </cfRule>
  </conditionalFormatting>
  <conditionalFormatting sqref="P55:P57 P52 P23:P35 P37 P40:P50 P74 O59:O68">
    <cfRule type="expression" dxfId="4886" priority="90">
      <formula>$H23="ETAPA"</formula>
    </cfRule>
  </conditionalFormatting>
  <conditionalFormatting sqref="P59:P62">
    <cfRule type="expression" dxfId="4885" priority="91">
      <formula>$H59="CÉLULA CONSTRUTIVA"</formula>
    </cfRule>
    <cfRule type="expression" dxfId="4884" priority="92">
      <formula>$H59="ETAPA"</formula>
    </cfRule>
    <cfRule type="containsText" dxfId="4883" priority="96" operator="containsText" text="em andamento">
      <formula>NOT(ISERROR(SEARCH(("em andamento"),(P59))))</formula>
    </cfRule>
  </conditionalFormatting>
  <conditionalFormatting sqref="P59:P97 G96:M97">
    <cfRule type="expression" dxfId="4882" priority="97">
      <formula>$H22="SUBETAPA"</formula>
    </cfRule>
    <cfRule type="expression" dxfId="4881" priority="98">
      <formula>$H22="CÉLULA CONSTRUTIVA"</formula>
    </cfRule>
    <cfRule type="expression" dxfId="4880" priority="99">
      <formula>$H22="ETAPA"</formula>
    </cfRule>
  </conditionalFormatting>
  <conditionalFormatting sqref="P63:P97">
    <cfRule type="expression" dxfId="4879" priority="100">
      <formula>$H63="CÉLULA CONSTRUTIVA"</formula>
    </cfRule>
    <cfRule type="expression" dxfId="4878" priority="101">
      <formula>$H63="ETAPA"</formula>
    </cfRule>
    <cfRule type="containsText" dxfId="4877" priority="102" operator="containsText" text="Lançado">
      <formula>NOT(ISERROR(SEARCH(("Lançado"),(P63))))</formula>
    </cfRule>
    <cfRule type="containsText" dxfId="4876" priority="103" operator="containsText" text="N/A">
      <formula>NOT(ISERROR(SEARCH(("N/A"),(P63))))</formula>
    </cfRule>
    <cfRule type="containsText" dxfId="4875" priority="104" operator="containsText" text="Pendente">
      <formula>NOT(ISERROR(SEARCH(("Pendente"),(P63))))</formula>
    </cfRule>
    <cfRule type="containsText" dxfId="4874" priority="105" operator="containsText" text="Finalizado">
      <formula>NOT(ISERROR(SEARCH(("Finalizado"),(P63))))</formula>
    </cfRule>
    <cfRule type="containsText" dxfId="4873" priority="106" operator="containsText" text="em andamento">
      <formula>NOT(ISERROR(SEARCH(("em andamento"),(P63))))</formula>
    </cfRule>
  </conditionalFormatting>
  <conditionalFormatting sqref="P65:P67 G101:P103">
    <cfRule type="expression" dxfId="4872" priority="107">
      <formula>$H65="CÉLULA CONSTRUTIVA"</formula>
    </cfRule>
    <cfRule type="expression" dxfId="4871" priority="108">
      <formula>$H65="ETAPA"</formula>
    </cfRule>
  </conditionalFormatting>
  <conditionalFormatting sqref="P69:P120 P1:P5">
    <cfRule type="containsText" dxfId="4870" priority="110" operator="containsText" text="Lançado">
      <formula>NOT(ISERROR(SEARCH(("Lançado"),(P1))))</formula>
    </cfRule>
    <cfRule type="containsText" dxfId="4869" priority="111" operator="containsText" text="N/A">
      <formula>NOT(ISERROR(SEARCH(("N/A"),(P1))))</formula>
    </cfRule>
  </conditionalFormatting>
  <conditionalFormatting sqref="P69:P120">
    <cfRule type="containsText" dxfId="4868" priority="117" operator="containsText" text="Pendente">
      <formula>NOT(ISERROR(SEARCH(("Pendente"),(P69))))</formula>
    </cfRule>
  </conditionalFormatting>
  <conditionalFormatting sqref="P79:P120">
    <cfRule type="containsText" dxfId="4867" priority="118" operator="containsText" text="Finalizado">
      <formula>NOT(ISERROR(SEARCH(("Finalizado"),(P79))))</formula>
    </cfRule>
    <cfRule type="containsText" dxfId="4866" priority="119" operator="containsText" text="em andamento">
      <formula>NOT(ISERROR(SEARCH(("em andamento"),(P79))))</formula>
    </cfRule>
  </conditionalFormatting>
  <conditionalFormatting sqref="P80 P1:P5">
    <cfRule type="containsText" dxfId="4865" priority="154" operator="containsText" text="Pendente">
      <formula>NOT(ISERROR(SEARCH(("Pendente"),(P1))))</formula>
    </cfRule>
  </conditionalFormatting>
  <conditionalFormatting sqref="P80 P16">
    <cfRule type="containsText" dxfId="4864" priority="120" operator="containsText" text="Finalizado">
      <formula>NOT(ISERROR(SEARCH(("Finalizado"),(P16))))</formula>
    </cfRule>
  </conditionalFormatting>
  <conditionalFormatting sqref="P80 P101:P102 P69:P78 P52:P58 P7:P9 P1:P5">
    <cfRule type="containsText" dxfId="4863" priority="60" operator="containsText" text="em andamento">
      <formula>NOT(ISERROR(SEARCH(("em andamento"),(P1))))</formula>
    </cfRule>
  </conditionalFormatting>
  <conditionalFormatting sqref="P96:P100">
    <cfRule type="expression" dxfId="4862" priority="121">
      <formula>$H96="CÉLULA CONSTRUTIVA"</formula>
    </cfRule>
  </conditionalFormatting>
  <conditionalFormatting sqref="P98">
    <cfRule type="containsText" dxfId="4861" priority="122" operator="containsText" text="Lançado">
      <formula>NOT(ISERROR(SEARCH(("Lançado"),(P98))))</formula>
    </cfRule>
    <cfRule type="containsText" dxfId="4860" priority="123" operator="containsText" text="N/A">
      <formula>NOT(ISERROR(SEARCH(("N/A"),(P98))))</formula>
    </cfRule>
    <cfRule type="containsText" dxfId="4859" priority="124" operator="containsText" text="Pendente">
      <formula>NOT(ISERROR(SEARCH(("Pendente"),(P98))))</formula>
    </cfRule>
    <cfRule type="containsText" dxfId="4858" priority="125" operator="containsText" text="Finalizado">
      <formula>NOT(ISERROR(SEARCH(("Finalizado"),(P98))))</formula>
    </cfRule>
    <cfRule type="containsText" dxfId="4857" priority="126" operator="containsText" text="em andamento">
      <formula>NOT(ISERROR(SEARCH(("em andamento"),(P98))))</formula>
    </cfRule>
    <cfRule type="expression" dxfId="4856" priority="127">
      <formula>$H61="SUBETAPA"</formula>
    </cfRule>
    <cfRule type="expression" dxfId="4855" priority="128">
      <formula>$H61="CÉLULA CONSTRUTIVA"</formula>
    </cfRule>
    <cfRule type="expression" dxfId="4854" priority="129">
      <formula>$H61="ETAPA"</formula>
    </cfRule>
    <cfRule type="expression" dxfId="4853" priority="130">
      <formula>$H98="ETAPA"</formula>
    </cfRule>
    <cfRule type="containsText" dxfId="4852" priority="131" operator="containsText" text="Lançado">
      <formula>NOT(ISERROR(SEARCH(("Lançado"),(P98))))</formula>
    </cfRule>
    <cfRule type="containsText" dxfId="4851" priority="132" operator="containsText" text="N/A">
      <formula>NOT(ISERROR(SEARCH(("N/A"),(P98))))</formula>
    </cfRule>
    <cfRule type="containsText" dxfId="4850" priority="133" operator="containsText" text="Pendente">
      <formula>NOT(ISERROR(SEARCH(("Pendente"),(P98))))</formula>
    </cfRule>
    <cfRule type="containsText" dxfId="4849" priority="134" operator="containsText" text="Finalizado">
      <formula>NOT(ISERROR(SEARCH(("Finalizado"),(P98))))</formula>
    </cfRule>
    <cfRule type="containsText" dxfId="4848" priority="135" operator="containsText" text="em andamento">
      <formula>NOT(ISERROR(SEARCH(("em andamento"),(P98))))</formula>
    </cfRule>
  </conditionalFormatting>
  <conditionalFormatting sqref="P99:P100">
    <cfRule type="expression" dxfId="4847" priority="136">
      <formula>$H99="SUBETAPA"</formula>
    </cfRule>
    <cfRule type="containsText" dxfId="4846" priority="137" operator="containsText" text="Lançado">
      <formula>NOT(ISERROR(SEARCH(("Lançado"),(P99))))</formula>
    </cfRule>
    <cfRule type="containsText" dxfId="4845" priority="138" operator="containsText" text="N/A">
      <formula>NOT(ISERROR(SEARCH(("N/A"),(P99))))</formula>
    </cfRule>
    <cfRule type="containsText" dxfId="4844" priority="139" operator="containsText" text="Pendente">
      <formula>NOT(ISERROR(SEARCH(("Pendente"),(P99))))</formula>
    </cfRule>
    <cfRule type="containsText" dxfId="4843" priority="140" operator="containsText" text="Finalizado">
      <formula>NOT(ISERROR(SEARCH(("Finalizado"),(P99))))</formula>
    </cfRule>
    <cfRule type="containsText" dxfId="4842" priority="141" operator="containsText" text="em andamento">
      <formula>NOT(ISERROR(SEARCH(("em andamento"),(P99))))</formula>
    </cfRule>
    <cfRule type="expression" dxfId="4841" priority="142">
      <formula>$H62="SUBETAPA"</formula>
    </cfRule>
    <cfRule type="expression" dxfId="4840" priority="143">
      <formula>$H62="CÉLULA CONSTRUTIVA"</formula>
    </cfRule>
    <cfRule type="expression" dxfId="4839" priority="144">
      <formula>$H62="ETAPA"</formula>
    </cfRule>
    <cfRule type="expression" dxfId="4838" priority="145">
      <formula>$H99="CÉLULA CONSTRUTIVA"</formula>
    </cfRule>
    <cfRule type="expression" dxfId="4837" priority="146">
      <formula>$H99="ETAPA"</formula>
    </cfRule>
    <cfRule type="containsText" dxfId="4836" priority="147" operator="containsText" text="Lançado">
      <formula>NOT(ISERROR(SEARCH(("Lançado"),(P99))))</formula>
    </cfRule>
    <cfRule type="containsText" dxfId="4835" priority="148" operator="containsText" text="N/A">
      <formula>NOT(ISERROR(SEARCH(("N/A"),(P99))))</formula>
    </cfRule>
    <cfRule type="containsText" dxfId="4834" priority="150" operator="containsText" text="Finalizado">
      <formula>NOT(ISERROR(SEARCH(("Finalizado"),(P99))))</formula>
    </cfRule>
    <cfRule type="containsText" dxfId="4833" priority="151" operator="containsText" text="em andamento">
      <formula>NOT(ISERROR(SEARCH(("em andamento"),(P99))))</formula>
    </cfRule>
    <cfRule type="expression" dxfId="4832" priority="152">
      <formula>$H99="CÉLULA CONSTRUTIVA"</formula>
    </cfRule>
    <cfRule type="expression" dxfId="4831" priority="153">
      <formula>$H99="ETAPA"</formula>
    </cfRule>
  </conditionalFormatting>
  <conditionalFormatting sqref="P99:P102">
    <cfRule type="containsText" dxfId="4830" priority="149" operator="containsText" text="Pendente">
      <formula>NOT(ISERROR(SEARCH(("Pendente"),(P99))))</formula>
    </cfRule>
  </conditionalFormatting>
  <conditionalFormatting sqref="P101:P102 P69:P78 P80 P1:P5">
    <cfRule type="containsText" dxfId="4829" priority="109" operator="containsText" text="Finalizado">
      <formula>NOT(ISERROR(SEARCH(("Finalizado"),(P1))))</formula>
    </cfRule>
  </conditionalFormatting>
  <dataValidations count="3">
    <dataValidation type="list" allowBlank="1" showErrorMessage="1" sqref="P10:P35 P38:P48 P50:P100 P104:P114 P116:P117 P119:P120" xr:uid="{00000000-0002-0000-0400-000000000000}">
      <formula1>"Finalizado,Em Andamento,Pendente,N/A,Lançado ERP"</formula1>
    </dataValidation>
    <dataValidation type="list" allowBlank="1" showErrorMessage="1" sqref="P37 P49" xr:uid="{00000000-0002-0000-0400-000001000000}">
      <formula1>#REF!</formula1>
    </dataValidation>
    <dataValidation type="list" allowBlank="1" showErrorMessage="1" sqref="H8:H120" xr:uid="{00000000-0002-0000-0400-000002000000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  <outlinePr summaryBelow="0"/>
    <pageSetUpPr fitToPage="1"/>
  </sheetPr>
  <dimension ref="A1:S985"/>
  <sheetViews>
    <sheetView showGridLines="0" topLeftCell="F1" workbookViewId="0">
      <pane ySplit="7" topLeftCell="A8" activePane="bottomLeft" state="frozen"/>
      <selection pane="bottomLeft" activeCell="J184" sqref="J184"/>
    </sheetView>
  </sheetViews>
  <sheetFormatPr defaultColWidth="12.5703125" defaultRowHeight="15" customHeight="1" outlineLevelRow="2" outlineLevelCol="1" x14ac:dyDescent="0.2"/>
  <cols>
    <col min="1" max="5" width="4" hidden="1" customWidth="1" outlineLevel="1"/>
    <col min="6" max="6" width="3.140625" customWidth="1" collapsed="1"/>
    <col min="7" max="7" width="7.28515625" customWidth="1"/>
    <col min="8" max="8" width="8.7109375" customWidth="1" outlineLevel="1"/>
    <col min="9" max="9" width="14" customWidth="1"/>
    <col min="10" max="10" width="81.7109375" customWidth="1"/>
    <col min="11" max="11" width="6.85546875" customWidth="1"/>
    <col min="12" max="12" width="11.28515625" customWidth="1"/>
    <col min="13" max="13" width="17.28515625" customWidth="1"/>
    <col min="14" max="14" width="13.85546875" customWidth="1"/>
    <col min="15" max="15" width="54.85546875" customWidth="1" outlineLevel="1"/>
    <col min="16" max="16" width="17.7109375" customWidth="1"/>
    <col min="17" max="20" width="10" customWidth="1"/>
    <col min="21" max="21" width="9.140625" customWidth="1"/>
  </cols>
  <sheetData>
    <row r="1" spans="1:17" ht="15" customHeight="1" x14ac:dyDescent="0.2">
      <c r="G1" s="207"/>
      <c r="H1" s="208"/>
      <c r="I1" s="208"/>
      <c r="J1" s="208"/>
      <c r="K1" s="208"/>
      <c r="L1" s="208"/>
      <c r="M1" s="208"/>
      <c r="N1" s="208"/>
      <c r="O1" s="208"/>
      <c r="P1" s="209"/>
    </row>
    <row r="2" spans="1:17" ht="15" customHeight="1" x14ac:dyDescent="0.2">
      <c r="G2" s="210"/>
      <c r="H2" s="211"/>
      <c r="I2" s="211"/>
      <c r="J2" s="211"/>
      <c r="K2" s="211"/>
      <c r="L2" s="211"/>
      <c r="M2" s="211"/>
      <c r="N2" s="211"/>
      <c r="O2" s="211"/>
      <c r="P2" s="212"/>
    </row>
    <row r="3" spans="1:17" ht="15" customHeight="1" x14ac:dyDescent="0.2">
      <c r="G3" s="213"/>
      <c r="H3" s="214"/>
      <c r="I3" s="214"/>
      <c r="J3" s="214"/>
      <c r="K3" s="214"/>
      <c r="L3" s="214"/>
      <c r="M3" s="214"/>
      <c r="N3" s="214"/>
      <c r="O3" s="214"/>
      <c r="P3" s="215"/>
    </row>
    <row r="4" spans="1:17" ht="15" customHeight="1" x14ac:dyDescent="0.2">
      <c r="A4" s="216"/>
      <c r="B4" s="216"/>
      <c r="C4" s="216"/>
      <c r="D4" s="216"/>
      <c r="E4" s="216"/>
      <c r="F4" s="216"/>
      <c r="G4" s="279" t="s">
        <v>224</v>
      </c>
      <c r="H4" s="280"/>
      <c r="I4" s="224" t="str">
        <f>'Ger_Tec e Adm'!I4</f>
        <v>Mosaico</v>
      </c>
      <c r="J4" s="281"/>
      <c r="K4" s="216"/>
      <c r="L4" s="216"/>
      <c r="M4" s="216"/>
      <c r="N4" s="282"/>
      <c r="O4" s="280" t="s">
        <v>225</v>
      </c>
      <c r="P4" s="283" t="s">
        <v>226</v>
      </c>
      <c r="Q4" s="284"/>
    </row>
    <row r="5" spans="1:17" ht="15" customHeight="1" x14ac:dyDescent="0.2">
      <c r="A5" s="224"/>
      <c r="B5" s="224"/>
      <c r="C5" s="224"/>
      <c r="D5" s="224"/>
      <c r="E5" s="224"/>
      <c r="F5" s="224"/>
      <c r="G5" s="285" t="s">
        <v>227</v>
      </c>
      <c r="H5" s="286"/>
      <c r="I5" s="287" t="str">
        <f>'Ger_Tec e Adm'!I5</f>
        <v>Grupo DUO</v>
      </c>
      <c r="J5" s="287"/>
      <c r="K5" s="224"/>
      <c r="L5" s="224"/>
      <c r="M5" s="224"/>
      <c r="N5" s="288"/>
      <c r="O5" s="289" t="s">
        <v>5</v>
      </c>
      <c r="P5" s="290"/>
      <c r="Q5" s="284"/>
    </row>
    <row r="6" spans="1:17" ht="18" customHeight="1" x14ac:dyDescent="0.2">
      <c r="A6" s="232" t="s">
        <v>228</v>
      </c>
      <c r="B6" s="232" t="s">
        <v>229</v>
      </c>
      <c r="C6" s="232" t="s">
        <v>230</v>
      </c>
      <c r="D6" s="232" t="s">
        <v>231</v>
      </c>
      <c r="E6" s="232" t="s">
        <v>232</v>
      </c>
      <c r="F6" s="224"/>
      <c r="G6" s="1080" t="s">
        <v>233</v>
      </c>
      <c r="H6" s="1063"/>
      <c r="I6" s="1063"/>
      <c r="J6" s="1063"/>
      <c r="K6" s="1063"/>
      <c r="L6" s="1063"/>
      <c r="M6" s="1063"/>
      <c r="N6" s="1063"/>
      <c r="O6" s="1063"/>
      <c r="P6" s="1064"/>
      <c r="Q6" s="291"/>
    </row>
    <row r="7" spans="1:17" ht="24" customHeight="1" x14ac:dyDescent="0.2">
      <c r="A7" s="233">
        <v>0</v>
      </c>
      <c r="B7" s="233">
        <v>0</v>
      </c>
      <c r="C7" s="233">
        <v>0</v>
      </c>
      <c r="D7" s="234">
        <v>0</v>
      </c>
      <c r="E7" s="234">
        <v>0</v>
      </c>
      <c r="F7" s="235"/>
      <c r="G7" s="236" t="s">
        <v>234</v>
      </c>
      <c r="H7" s="237" t="s">
        <v>235</v>
      </c>
      <c r="I7" s="238" t="s">
        <v>166</v>
      </c>
      <c r="J7" s="239" t="s">
        <v>7</v>
      </c>
      <c r="K7" s="240" t="s">
        <v>8</v>
      </c>
      <c r="L7" s="241" t="s">
        <v>236</v>
      </c>
      <c r="M7" s="241" t="s">
        <v>237</v>
      </c>
      <c r="N7" s="241" t="s">
        <v>238</v>
      </c>
      <c r="O7" s="242" t="s">
        <v>239</v>
      </c>
      <c r="P7" s="243" t="s">
        <v>240</v>
      </c>
      <c r="Q7" s="292"/>
    </row>
    <row r="8" spans="1:17" ht="13.5" customHeight="1" collapsed="1" x14ac:dyDescent="0.2">
      <c r="A8" s="233">
        <f t="shared" ref="A8:A71" ca="1" si="0">IF($H8="UNIDADE CONSTRUTIVA",OFFSET(A8,-1,0)+1,LARGE(A$3:A7,1))</f>
        <v>0</v>
      </c>
      <c r="B8" s="233">
        <f t="shared" ref="B8" ca="1" si="1">IF(H8="UNIDADE CONSTRUTIVA",0,IF(H8="CÉLULA CONSTRUTIVA",OFFSET(B8,-1,0)+1,OFFSET(B8,-1,0)))</f>
        <v>1</v>
      </c>
      <c r="C8" s="233">
        <f t="shared" ref="C8" ca="1" si="2">IF(H8="CÉLULA CONSTRUTIVA",0,IF(H8="ETAPA",OFFSET(C8,-1,0)+1,OFFSET(C8,-1,0)))</f>
        <v>0</v>
      </c>
      <c r="D8" s="234">
        <f t="shared" ref="D8" ca="1" si="3">IF(H8="ETAPA",0,IF(H8="SUBETAPA",OFFSET(D8,-1,0)+1,OFFSET(D8,-1,0)))</f>
        <v>0</v>
      </c>
      <c r="E8" s="234">
        <f t="shared" ref="E8:E272" ca="1" si="4">IF(H8="Subetapa",0,IF(H8="serviço",OFFSET(E8,-1,0)+1,OFFSET(E8,-1,0)))</f>
        <v>0</v>
      </c>
      <c r="F8" s="1012"/>
      <c r="G8" s="245"/>
      <c r="H8" s="246" t="s">
        <v>241</v>
      </c>
      <c r="I8" s="247" t="str">
        <f t="shared" ref="I8:I272" ca="1" si="5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248" t="s">
        <v>42</v>
      </c>
      <c r="K8" s="249"/>
      <c r="L8" s="250"/>
      <c r="M8" s="250"/>
      <c r="N8" s="251">
        <f ca="1">IF(H8="Serviço",M8*L8,IF(H8="CÉLULA CONSTRUTIVA",SUMIFS($N$8:$N$352,$B$8:$B$352,B8,$H$8:$H$352,"Serviço"),IF(H8="ETAPA",SUMIFS($N$8:$N$352,$B$8:$B$352,B8,$C$8:$C$352,C8,$H$8:$H$352,"Serviço"),IF(H8="SUBETAPA",SUMIFS($N$8:$N$352,$B$8:$B$352,B8,$C$8:$C$352,C8,$D$8:$D$352,D8,$H$8:$H$352,"Serviço"),0))))</f>
        <v>96602.729632252085</v>
      </c>
      <c r="O8" s="252"/>
      <c r="P8" s="253"/>
      <c r="Q8" s="293">
        <f ca="1">N8/'Obra '!$C$53</f>
        <v>3.1225272068257665E-3</v>
      </c>
    </row>
    <row r="9" spans="1:17" ht="13.5" hidden="1" customHeight="1" outlineLevel="1" x14ac:dyDescent="0.2">
      <c r="A9" s="233">
        <f t="shared" ca="1" si="0"/>
        <v>0</v>
      </c>
      <c r="B9" s="233">
        <f t="shared" ref="B9:B72" ca="1" si="6">IF(H9="UNIDADE CONSTRUTIVA",0,IF(H9="CÉLULA CONSTRUTIVA",OFFSET(B9,-1,0)+1,OFFSET(B9,-1,0)))</f>
        <v>1</v>
      </c>
      <c r="C9" s="233">
        <f t="shared" ref="C9:C72" ca="1" si="7">IF(H9="CÉLULA CONSTRUTIVA",0,IF(H9="ETAPA",OFFSET(C9,-1,0)+1,OFFSET(C9,-1,0)))</f>
        <v>1</v>
      </c>
      <c r="D9" s="234">
        <f t="shared" ref="D9:D70" ca="1" si="8">IF(H9="ETAPA",0,IF(H9="SUBETAPA",OFFSET(D9,-1,0)+1,OFFSET(D9,-1,0)))</f>
        <v>0</v>
      </c>
      <c r="E9" s="234">
        <f t="shared" ca="1" si="4"/>
        <v>0</v>
      </c>
      <c r="F9" s="244"/>
      <c r="G9" s="245"/>
      <c r="H9" s="246" t="s">
        <v>37</v>
      </c>
      <c r="I9" s="247" t="str">
        <f t="shared" ca="1" si="5"/>
        <v>01.001</v>
      </c>
      <c r="J9" s="248" t="s">
        <v>362</v>
      </c>
      <c r="K9" s="249"/>
      <c r="L9" s="250"/>
      <c r="M9" s="250"/>
      <c r="N9" s="251">
        <f ca="1">IF(H9="Serviço",M9*L9,IF(H9="CÉLULA CONSTRUTIVA",SUMIFS($N$8:$N$352,$B$8:$B$352,B9,$H$8:$H$352,"Serviço"),IF(H9="ETAPA",SUMIFS($N$8:$N$352,$B$8:$B$352,B9,$C$8:$C$352,C9,$H$8:$H$352,"Serviço"),IF(H9="SUBETAPA",SUMIFS($N$8:$N$352,$B$8:$B$352,B9,$C$8:$C$352,C9,$D$8:$D$352,D9,$H$8:$H$352,"Serviço"),0))))</f>
        <v>96602.729632252085</v>
      </c>
      <c r="O9" s="252"/>
      <c r="P9" s="253"/>
      <c r="Q9" s="291"/>
    </row>
    <row r="10" spans="1:17" ht="13.5" hidden="1" customHeight="1" outlineLevel="1" x14ac:dyDescent="0.2">
      <c r="A10" s="233">
        <f t="shared" ca="1" si="0"/>
        <v>0</v>
      </c>
      <c r="B10" s="233">
        <f t="shared" ca="1" si="6"/>
        <v>1</v>
      </c>
      <c r="C10" s="233">
        <f t="shared" ca="1" si="7"/>
        <v>1</v>
      </c>
      <c r="D10" s="234">
        <f t="shared" ca="1" si="8"/>
        <v>1</v>
      </c>
      <c r="E10" s="234">
        <f t="shared" ca="1" si="4"/>
        <v>0</v>
      </c>
      <c r="F10" s="244"/>
      <c r="G10" s="245"/>
      <c r="H10" s="246" t="s">
        <v>244</v>
      </c>
      <c r="I10" s="247" t="str">
        <f t="shared" ca="1" si="5"/>
        <v>01.001.001</v>
      </c>
      <c r="J10" s="248" t="s">
        <v>363</v>
      </c>
      <c r="K10" s="249"/>
      <c r="L10" s="259"/>
      <c r="M10" s="259"/>
      <c r="N10" s="251">
        <f ca="1">IF(H10="Serviço",M10*L10,IF(H10="CÉLULA CONSTRUTIVA",SUMIFS($N$8:$N$352,$B$8:$B$352,B10,$H$8:$H$352,"Serviço"),IF(H10="ETAPA",SUMIFS($N$8:$N$352,$B$8:$B$352,B10,$C$8:$C$352,C10,$H$8:$H$352,"Serviço"),IF(H10="SUBETAPA",SUMIFS($N$8:$N$352,$B$8:$B$352,B10,$C$8:$C$352,C10,$D$8:$D$352,D10,$H$8:$H$352,"Serviço"),0))))</f>
        <v>52651.439116829999</v>
      </c>
      <c r="O10" s="252"/>
      <c r="P10" s="253"/>
      <c r="Q10" s="291"/>
    </row>
    <row r="11" spans="1:17" ht="13.5" hidden="1" customHeight="1" outlineLevel="2" x14ac:dyDescent="0.2">
      <c r="A11" s="233">
        <f t="shared" ca="1" si="0"/>
        <v>0</v>
      </c>
      <c r="B11" s="233">
        <f t="shared" ca="1" si="6"/>
        <v>1</v>
      </c>
      <c r="C11" s="233">
        <f t="shared" ca="1" si="7"/>
        <v>1</v>
      </c>
      <c r="D11" s="234">
        <f t="shared" ca="1" si="8"/>
        <v>1</v>
      </c>
      <c r="E11" s="234">
        <f t="shared" ca="1" si="4"/>
        <v>1</v>
      </c>
      <c r="F11" s="244"/>
      <c r="G11" s="245"/>
      <c r="H11" s="246" t="s">
        <v>246</v>
      </c>
      <c r="I11" s="247" t="str">
        <f t="shared" ca="1" si="5"/>
        <v>01.001.001.001</v>
      </c>
      <c r="J11" s="248" t="s">
        <v>364</v>
      </c>
      <c r="K11" s="249" t="s">
        <v>365</v>
      </c>
      <c r="L11" s="250">
        <f>'Fundação Rasa'!G7+'Fundação Rasa'!G8</f>
        <v>1165.053028</v>
      </c>
      <c r="M11" s="250">
        <f>IFERROR(VLOOKUP(J11,CPU!$D$2:$H$327,5,FALSE),0)</f>
        <v>36.36</v>
      </c>
      <c r="N11" s="251">
        <f>IF(H11="Serviço",M11*L11,IF(H11="CÉLULA CONSTRUTIVA",SUMIFS($N$8:$N$352,$B$8:$B$352,B11,$H$8:$H$352,"Serviço"),IF(H11="ETAPA",SUMIFS($N$8:$N$352,$B$8:$B$352,B11,$C$8:$C$352,C11,$H$8:$H$352,"Serviço"),IF(H11="SUBETAPA",SUMIFS($N$8:$N$352,$B$8:$B$352,B11,$C$8:$C$352,C11,$D$8:$D$352,D11,$H$8:$H$352,"Serviço"),0))))</f>
        <v>42361.328098079997</v>
      </c>
      <c r="O11" s="252"/>
      <c r="P11" s="253" t="s">
        <v>366</v>
      </c>
      <c r="Q11" s="291"/>
    </row>
    <row r="12" spans="1:17" ht="13.5" hidden="1" customHeight="1" outlineLevel="2" x14ac:dyDescent="0.2">
      <c r="A12" s="233">
        <f t="shared" ca="1" si="0"/>
        <v>0</v>
      </c>
      <c r="B12" s="233">
        <f t="shared" ca="1" si="6"/>
        <v>1</v>
      </c>
      <c r="C12" s="233">
        <f t="shared" ca="1" si="7"/>
        <v>1</v>
      </c>
      <c r="D12" s="234">
        <f t="shared" ca="1" si="8"/>
        <v>1</v>
      </c>
      <c r="E12" s="234">
        <f t="shared" ca="1" si="4"/>
        <v>2</v>
      </c>
      <c r="F12" s="244"/>
      <c r="G12" s="245"/>
      <c r="H12" s="246" t="s">
        <v>246</v>
      </c>
      <c r="I12" s="247" t="str">
        <f t="shared" ca="1" si="5"/>
        <v>01.001.001.002</v>
      </c>
      <c r="J12" s="248" t="s">
        <v>367</v>
      </c>
      <c r="K12" s="249" t="s">
        <v>365</v>
      </c>
      <c r="L12" s="250">
        <f>'Fundação Rasa'!I7</f>
        <v>707.22412500000007</v>
      </c>
      <c r="M12" s="250">
        <f>IFERROR(VLOOKUP(J12,CPU!$D$2:$H$327,5,FALSE),0)</f>
        <v>14.55</v>
      </c>
      <c r="N12" s="251">
        <f>IF(H12="Serviço",M12*L12,IF(H12="CÉLULA CONSTRUTIVA",SUMIFS($N$8:$N$352,$B$8:$B$352,B12,$H$8:$H$352,"Serviço"),IF(H12="ETAPA",SUMIFS($N$8:$N$352,$B$8:$B$352,B12,$C$8:$C$352,C12,$H$8:$H$352,"Serviço"),IF(H12="SUBETAPA",SUMIFS($N$8:$N$352,$B$8:$B$352,B12,$C$8:$C$352,C12,$D$8:$D$352,D12,$H$8:$H$352,"Serviço"),0))))</f>
        <v>10290.111018750002</v>
      </c>
      <c r="O12" s="252"/>
      <c r="P12" s="253" t="s">
        <v>366</v>
      </c>
      <c r="Q12" s="291"/>
    </row>
    <row r="13" spans="1:17" ht="13.5" hidden="1" customHeight="1" outlineLevel="1" x14ac:dyDescent="0.2">
      <c r="A13" s="233">
        <f t="shared" ca="1" si="0"/>
        <v>0</v>
      </c>
      <c r="B13" s="233">
        <f t="shared" ca="1" si="6"/>
        <v>1</v>
      </c>
      <c r="C13" s="233">
        <f t="shared" ca="1" si="7"/>
        <v>1</v>
      </c>
      <c r="D13" s="234">
        <f t="shared" ca="1" si="8"/>
        <v>2</v>
      </c>
      <c r="E13" s="234">
        <f t="shared" ca="1" si="4"/>
        <v>0</v>
      </c>
      <c r="F13" s="244"/>
      <c r="G13" s="245"/>
      <c r="H13" s="246" t="s">
        <v>244</v>
      </c>
      <c r="I13" s="247" t="str">
        <f t="shared" ca="1" si="5"/>
        <v>01.001.002</v>
      </c>
      <c r="J13" s="248" t="s">
        <v>368</v>
      </c>
      <c r="K13" s="249"/>
      <c r="L13" s="259"/>
      <c r="M13" s="259"/>
      <c r="N13" s="251">
        <f ca="1">IF(H13="Serviço",M13*L13,IF(H13="CÉLULA CONSTRUTIVA",SUMIFS($N$8:$N$352,$B$8:$B$352,B13,$H$8:$H$352,"Serviço"),IF(H13="ETAPA",SUMIFS($N$8:$N$352,$B$8:$B$352,B13,$C$8:$C$352,C13,$H$8:$H$352,"Serviço"),IF(H13="SUBETAPA",SUMIFS($N$8:$N$352,$B$8:$B$352,B13,$C$8:$C$352,C13,$D$8:$D$352,D13,$H$8:$H$352,"Serviço"),0))))</f>
        <v>5890.2440518999992</v>
      </c>
      <c r="O13" s="252"/>
      <c r="P13" s="253"/>
      <c r="Q13" s="291"/>
    </row>
    <row r="14" spans="1:17" ht="13.5" hidden="1" customHeight="1" outlineLevel="2" x14ac:dyDescent="0.2">
      <c r="A14" s="233">
        <f t="shared" ca="1" si="0"/>
        <v>0</v>
      </c>
      <c r="B14" s="233">
        <f t="shared" ca="1" si="6"/>
        <v>1</v>
      </c>
      <c r="C14" s="233">
        <f t="shared" ca="1" si="7"/>
        <v>1</v>
      </c>
      <c r="D14" s="234">
        <f t="shared" ca="1" si="8"/>
        <v>2</v>
      </c>
      <c r="E14" s="234">
        <f t="shared" ca="1" si="4"/>
        <v>1</v>
      </c>
      <c r="F14" s="244"/>
      <c r="G14" s="245"/>
      <c r="H14" s="246" t="s">
        <v>246</v>
      </c>
      <c r="I14" s="247" t="str">
        <f t="shared" ca="1" si="5"/>
        <v>01.001.002.001</v>
      </c>
      <c r="J14" s="248" t="s">
        <v>369</v>
      </c>
      <c r="K14" s="249" t="s">
        <v>365</v>
      </c>
      <c r="L14" s="250">
        <f>'Fundação Rasa'!L7+'Fundação Rasa'!L8</f>
        <v>14.284227499999998</v>
      </c>
      <c r="M14" s="250">
        <f>IFERROR(VLOOKUP(J14,CPU!$D$2:$H$327,5,FALSE),0)</f>
        <v>412.36</v>
      </c>
      <c r="N14" s="251">
        <f>IF(H14="Serviço",M14*L14,IF(H14="CÉLULA CONSTRUTIVA",SUMIFS($N$8:$N$352,$B$8:$B$352,B14,$H$8:$H$352,"Serviço"),IF(H14="ETAPA",SUMIFS($N$8:$N$352,$B$8:$B$352,B14,$C$8:$C$352,C14,$H$8:$H$352,"Serviço"),IF(H14="SUBETAPA",SUMIFS($N$8:$N$352,$B$8:$B$352,B14,$C$8:$C$352,C14,$D$8:$D$352,D14,$H$8:$H$352,"Serviço"),0))))</f>
        <v>5890.2440518999992</v>
      </c>
      <c r="O14" s="252"/>
      <c r="P14" s="253" t="s">
        <v>366</v>
      </c>
      <c r="Q14" s="291"/>
    </row>
    <row r="15" spans="1:17" ht="13.5" hidden="1" customHeight="1" outlineLevel="1" x14ac:dyDescent="0.2">
      <c r="A15" s="233">
        <f t="shared" ca="1" si="0"/>
        <v>0</v>
      </c>
      <c r="B15" s="233">
        <f t="shared" ca="1" si="6"/>
        <v>1</v>
      </c>
      <c r="C15" s="233">
        <f t="shared" ca="1" si="7"/>
        <v>1</v>
      </c>
      <c r="D15" s="234">
        <f t="shared" ca="1" si="8"/>
        <v>3</v>
      </c>
      <c r="E15" s="234">
        <f t="shared" ca="1" si="4"/>
        <v>0</v>
      </c>
      <c r="F15" s="244"/>
      <c r="G15" s="245"/>
      <c r="H15" s="246" t="s">
        <v>244</v>
      </c>
      <c r="I15" s="247" t="str">
        <f t="shared" ca="1" si="5"/>
        <v>01.001.003</v>
      </c>
      <c r="J15" s="248" t="s">
        <v>370</v>
      </c>
      <c r="K15" s="249"/>
      <c r="L15" s="259"/>
      <c r="M15" s="259"/>
      <c r="N15" s="251">
        <f ca="1">IF(H15="Serviço",M15*L15,IF(H15="CÉLULA CONSTRUTIVA",SUMIFS($N$8:$N$352,$B$8:$B$352,B15,$H$8:$H$352,"Serviço"),IF(H15="ETAPA",SUMIFS($N$8:$N$352,$B$8:$B$352,B15,$C$8:$C$352,C15,$H$8:$H$352,"Serviço"),IF(H15="SUBETAPA",SUMIFS($N$8:$N$352,$B$8:$B$352,B15,$C$8:$C$352,C15,$D$8:$D$352,D15,$H$8:$H$352,"Serviço"),0))))</f>
        <v>38061.046463522078</v>
      </c>
      <c r="O15" s="252"/>
      <c r="P15" s="253"/>
      <c r="Q15" s="291"/>
    </row>
    <row r="16" spans="1:17" ht="13.5" hidden="1" customHeight="1" outlineLevel="2" x14ac:dyDescent="0.2">
      <c r="A16" s="233">
        <f t="shared" ca="1" si="0"/>
        <v>0</v>
      </c>
      <c r="B16" s="233">
        <f t="shared" ca="1" si="6"/>
        <v>1</v>
      </c>
      <c r="C16" s="233">
        <f t="shared" ca="1" si="7"/>
        <v>1</v>
      </c>
      <c r="D16" s="234">
        <f t="shared" ca="1" si="8"/>
        <v>3</v>
      </c>
      <c r="E16" s="234">
        <f t="shared" ca="1" si="4"/>
        <v>1</v>
      </c>
      <c r="F16" s="244"/>
      <c r="G16" s="245"/>
      <c r="H16" s="246" t="s">
        <v>246</v>
      </c>
      <c r="I16" s="247" t="str">
        <f t="shared" ca="1" si="5"/>
        <v>01.001.003.001</v>
      </c>
      <c r="J16" s="248" t="s">
        <v>371</v>
      </c>
      <c r="K16" s="249" t="s">
        <v>365</v>
      </c>
      <c r="L16" s="250">
        <f>'Fundação Rasa'!J7+'Fundação Rasa'!J8</f>
        <v>595.17757390000008</v>
      </c>
      <c r="M16" s="250">
        <f>IFERROR(VLOOKUP(J16,CPU!$D$2:$H$327,5,FALSE),0)</f>
        <v>45.45</v>
      </c>
      <c r="N16" s="251">
        <f>IF(H16="Serviço",M16*L16,IF(H16="CÉLULA CONSTRUTIVA",SUMIFS($N$8:$N$352,$B$8:$B$352,B16,$H$8:$H$352,"Serviço"),IF(H16="ETAPA",SUMIFS($N$8:$N$352,$B$8:$B$352,B16,$C$8:$C$352,C16,$H$8:$H$352,"Serviço"),IF(H16="SUBETAPA",SUMIFS($N$8:$N$352,$B$8:$B$352,B16,$C$8:$C$352,C16,$D$8:$D$352,D16,$H$8:$H$352,"Serviço"),0))))</f>
        <v>27050.820733755005</v>
      </c>
      <c r="O16" s="252" t="s">
        <v>372</v>
      </c>
      <c r="P16" s="253" t="s">
        <v>366</v>
      </c>
      <c r="Q16" s="291"/>
    </row>
    <row r="17" spans="1:17" ht="13.5" hidden="1" customHeight="1" outlineLevel="2" x14ac:dyDescent="0.2">
      <c r="A17" s="233">
        <f t="shared" ca="1" si="0"/>
        <v>0</v>
      </c>
      <c r="B17" s="233">
        <f t="shared" ca="1" si="6"/>
        <v>1</v>
      </c>
      <c r="C17" s="233">
        <f t="shared" ca="1" si="7"/>
        <v>1</v>
      </c>
      <c r="D17" s="234">
        <f t="shared" ca="1" si="8"/>
        <v>3</v>
      </c>
      <c r="E17" s="234">
        <f t="shared" ca="1" si="4"/>
        <v>2</v>
      </c>
      <c r="F17" s="244"/>
      <c r="G17" s="245"/>
      <c r="H17" s="246" t="s">
        <v>246</v>
      </c>
      <c r="I17" s="247" t="str">
        <f t="shared" ca="1" si="5"/>
        <v>01.001.003.002</v>
      </c>
      <c r="J17" s="248" t="s">
        <v>373</v>
      </c>
      <c r="K17" s="249" t="s">
        <v>365</v>
      </c>
      <c r="L17" s="250">
        <f>Estacas!J13</f>
        <v>161.48761703970476</v>
      </c>
      <c r="M17" s="250">
        <f>IFERROR(VLOOKUP(J17,CPU!$D$2:$H$327,5,FALSE),0)</f>
        <v>68.180000000000007</v>
      </c>
      <c r="N17" s="251">
        <f>IF(H17="Serviço",M17*L17,IF(H17="CÉLULA CONSTRUTIVA",SUMIFS($N$8:$N$352,$B$8:$B$352,B17,$H$8:$H$352,"Serviço"),IF(H17="ETAPA",SUMIFS($N$8:$N$352,$B$8:$B$352,B17,$C$8:$C$352,C17,$H$8:$H$352,"Serviço"),IF(H17="SUBETAPA",SUMIFS($N$8:$N$352,$B$8:$B$352,B17,$C$8:$C$352,C17,$D$8:$D$352,D17,$H$8:$H$352,"Serviço"),0))))</f>
        <v>11010.225729767071</v>
      </c>
      <c r="O17" s="252" t="s">
        <v>372</v>
      </c>
      <c r="P17" s="253" t="s">
        <v>366</v>
      </c>
      <c r="Q17" s="291"/>
    </row>
    <row r="18" spans="1:17" ht="13.5" customHeight="1" collapsed="1" x14ac:dyDescent="0.2">
      <c r="A18" s="233">
        <f t="shared" ca="1" si="0"/>
        <v>0</v>
      </c>
      <c r="B18" s="233">
        <f t="shared" ca="1" si="6"/>
        <v>2</v>
      </c>
      <c r="C18" s="233">
        <f t="shared" ca="1" si="7"/>
        <v>0</v>
      </c>
      <c r="D18" s="234">
        <f t="shared" ca="1" si="8"/>
        <v>3</v>
      </c>
      <c r="E18" s="234">
        <f t="shared" ca="1" si="4"/>
        <v>2</v>
      </c>
      <c r="F18" s="1012"/>
      <c r="G18" s="245"/>
      <c r="H18" s="246" t="s">
        <v>241</v>
      </c>
      <c r="I18" s="247" t="str">
        <f t="shared" ca="1" si="5"/>
        <v>02</v>
      </c>
      <c r="J18" s="248" t="s">
        <v>43</v>
      </c>
      <c r="K18" s="249"/>
      <c r="L18" s="250"/>
      <c r="M18" s="250"/>
      <c r="N18" s="251">
        <f ca="1">IF(H18="Serviço",M18*L18,IF(H18="CÉLULA CONSTRUTIVA",SUMIFS($N$8:$N$352,$B$8:$B$352,B18,$H$8:$H$352,"Serviço"),IF(H18="ETAPA",SUMIFS($N$8:$N$352,$B$8:$B$352,B18,$C$8:$C$352,C18,$H$8:$H$352,"Serviço"),IF(H18="SUBETAPA",SUMIFS($N$8:$N$352,$B$8:$B$352,B18,$C$8:$C$352,C18,$D$8:$D$352,D18,$H$8:$H$352,"Serviço"),0))))</f>
        <v>1590820.7865090645</v>
      </c>
      <c r="O18" s="252"/>
      <c r="P18" s="253"/>
      <c r="Q18" s="293"/>
    </row>
    <row r="19" spans="1:17" ht="13.5" hidden="1" customHeight="1" outlineLevel="1" x14ac:dyDescent="0.2">
      <c r="A19" s="233">
        <f t="shared" ca="1" si="0"/>
        <v>0</v>
      </c>
      <c r="B19" s="233">
        <f t="shared" ca="1" si="6"/>
        <v>2</v>
      </c>
      <c r="C19" s="233">
        <f t="shared" ca="1" si="7"/>
        <v>1</v>
      </c>
      <c r="D19" s="234">
        <f t="shared" ca="1" si="8"/>
        <v>0</v>
      </c>
      <c r="E19" s="234">
        <f t="shared" ca="1" si="4"/>
        <v>2</v>
      </c>
      <c r="F19" s="244"/>
      <c r="G19" s="245"/>
      <c r="H19" s="246" t="s">
        <v>37</v>
      </c>
      <c r="I19" s="247" t="str">
        <f t="shared" ca="1" si="5"/>
        <v>02.001</v>
      </c>
      <c r="J19" s="248" t="s">
        <v>374</v>
      </c>
      <c r="K19" s="249"/>
      <c r="L19" s="250"/>
      <c r="M19" s="250"/>
      <c r="N19" s="251">
        <f ca="1">IF(H19="Serviço",M19*L19,IF(H19="CÉLULA CONSTRUTIVA",SUMIFS($N$8:$N$352,$B$8:$B$352,B19,$H$8:$H$352,"Serviço"),IF(H19="ETAPA",SUMIFS($N$8:$N$352,$B$8:$B$352,B19,$C$8:$C$352,C19,$H$8:$H$352,"Serviço"),IF(H19="SUBETAPA",SUMIFS($N$8:$N$352,$B$8:$B$352,B19,$C$8:$C$352,C19,$D$8:$D$352,D19,$H$8:$H$352,"Serviço"),0))))</f>
        <v>761346.7070575644</v>
      </c>
      <c r="O19" s="252"/>
      <c r="P19" s="253"/>
      <c r="Q19" s="291"/>
    </row>
    <row r="20" spans="1:17" ht="13.5" hidden="1" customHeight="1" outlineLevel="1" x14ac:dyDescent="0.2">
      <c r="A20" s="233">
        <f t="shared" ca="1" si="0"/>
        <v>0</v>
      </c>
      <c r="B20" s="233">
        <f t="shared" ca="1" si="6"/>
        <v>2</v>
      </c>
      <c r="C20" s="233">
        <f t="shared" ca="1" si="7"/>
        <v>1</v>
      </c>
      <c r="D20" s="234">
        <f t="shared" ca="1" si="8"/>
        <v>1</v>
      </c>
      <c r="E20" s="234">
        <f t="shared" ca="1" si="4"/>
        <v>0</v>
      </c>
      <c r="F20" s="244"/>
      <c r="G20" s="245"/>
      <c r="H20" s="246" t="s">
        <v>244</v>
      </c>
      <c r="I20" s="247" t="str">
        <f t="shared" ca="1" si="5"/>
        <v>02.001.001</v>
      </c>
      <c r="J20" s="248" t="s">
        <v>375</v>
      </c>
      <c r="K20" s="249"/>
      <c r="L20" s="259"/>
      <c r="M20" s="259"/>
      <c r="N20" s="251">
        <f ca="1">IF(H20="Serviço",M20*L20,IF(H20="CÉLULA CONSTRUTIVA",SUMIFS($N$8:$N$352,$B$8:$B$352,B20,$H$8:$H$352,"Serviço"),IF(H20="ETAPA",SUMIFS($N$8:$N$352,$B$8:$B$352,B20,$C$8:$C$352,C20,$H$8:$H$352,"Serviço"),IF(H20="SUBETAPA",SUMIFS($N$8:$N$352,$B$8:$B$352,B20,$C$8:$C$352,C20,$D$8:$D$352,D20,$H$8:$H$352,"Serviço"),0))))</f>
        <v>475369</v>
      </c>
      <c r="O20" s="252"/>
      <c r="P20" s="253"/>
      <c r="Q20" s="291"/>
    </row>
    <row r="21" spans="1:17" ht="13.5" hidden="1" customHeight="1" outlineLevel="2" x14ac:dyDescent="0.2">
      <c r="A21" s="233">
        <f t="shared" ca="1" si="0"/>
        <v>0</v>
      </c>
      <c r="B21" s="233">
        <f t="shared" ca="1" si="6"/>
        <v>2</v>
      </c>
      <c r="C21" s="233">
        <f t="shared" ca="1" si="7"/>
        <v>1</v>
      </c>
      <c r="D21" s="234">
        <f t="shared" ca="1" si="8"/>
        <v>1</v>
      </c>
      <c r="E21" s="234">
        <f t="shared" ca="1" si="4"/>
        <v>1</v>
      </c>
      <c r="F21" s="244"/>
      <c r="G21" s="245"/>
      <c r="H21" s="246" t="s">
        <v>246</v>
      </c>
      <c r="I21" s="247" t="str">
        <f t="shared" ca="1" si="5"/>
        <v>02.001.001.001</v>
      </c>
      <c r="J21" s="255" t="s">
        <v>376</v>
      </c>
      <c r="K21" s="249" t="s">
        <v>79</v>
      </c>
      <c r="L21" s="250">
        <f>Estacas!H12</f>
        <v>75</v>
      </c>
      <c r="M21" s="250">
        <f>IFERROR(VLOOKUP(J21,CPU!$D$2:$H$327,5,FALSE),0)</f>
        <v>145</v>
      </c>
      <c r="N21" s="251">
        <f>IF(H21="Serviço",M21*L21,IF(H21="CÉLULA CONSTRUTIVA",SUMIFS($N$8:$N$352,$B$8:$B$352,B21,$H$8:$H$352,"Serviço"),IF(H21="ETAPA",SUMIFS($N$8:$N$352,$B$8:$B$352,B21,$C$8:$C$352,C21,$H$8:$H$352,"Serviço"),IF(H21="SUBETAPA",SUMIFS($N$8:$N$352,$B$8:$B$352,B21,$C$8:$C$352,C21,$D$8:$D$352,D21,$H$8:$H$352,"Serviço"),0))))</f>
        <v>10875</v>
      </c>
      <c r="O21" s="252" t="s">
        <v>377</v>
      </c>
      <c r="P21" s="253" t="s">
        <v>366</v>
      </c>
      <c r="Q21" s="291"/>
    </row>
    <row r="22" spans="1:17" ht="13.5" hidden="1" customHeight="1" outlineLevel="2" x14ac:dyDescent="0.2">
      <c r="A22" s="233">
        <f t="shared" ca="1" si="0"/>
        <v>0</v>
      </c>
      <c r="B22" s="233">
        <f t="shared" ca="1" si="6"/>
        <v>2</v>
      </c>
      <c r="C22" s="233">
        <f t="shared" ca="1" si="7"/>
        <v>1</v>
      </c>
      <c r="D22" s="234">
        <f t="shared" ca="1" si="8"/>
        <v>1</v>
      </c>
      <c r="E22" s="234">
        <f t="shared" ca="1" si="4"/>
        <v>2</v>
      </c>
      <c r="F22" s="244"/>
      <c r="G22" s="245"/>
      <c r="H22" s="246" t="s">
        <v>246</v>
      </c>
      <c r="I22" s="247" t="str">
        <f t="shared" ca="1" si="5"/>
        <v>02.001.001.002</v>
      </c>
      <c r="J22" s="255" t="s">
        <v>378</v>
      </c>
      <c r="K22" s="249" t="s">
        <v>79</v>
      </c>
      <c r="L22" s="250">
        <f>Estacas!H11</f>
        <v>445.5</v>
      </c>
      <c r="M22" s="250">
        <f>IFERROR(VLOOKUP(J22,CPU!$D$2:$H$327,5,FALSE),0)</f>
        <v>180</v>
      </c>
      <c r="N22" s="251">
        <f>IF(H22="Serviço",M22*L22,IF(H22="CÉLULA CONSTRUTIVA",SUMIFS($N$8:$N$352,$B$8:$B$352,B22,$H$8:$H$352,"Serviço"),IF(H22="ETAPA",SUMIFS($N$8:$N$352,$B$8:$B$352,B22,$C$8:$C$352,C22,$H$8:$H$352,"Serviço"),IF(H22="SUBETAPA",SUMIFS($N$8:$N$352,$B$8:$B$352,B22,$C$8:$C$352,C22,$D$8:$D$352,D22,$H$8:$H$352,"Serviço"),0))))</f>
        <v>80190</v>
      </c>
      <c r="O22" s="252" t="s">
        <v>377</v>
      </c>
      <c r="P22" s="253" t="s">
        <v>366</v>
      </c>
      <c r="Q22" s="291"/>
    </row>
    <row r="23" spans="1:17" ht="13.5" hidden="1" customHeight="1" outlineLevel="2" x14ac:dyDescent="0.2">
      <c r="A23" s="233">
        <f t="shared" ca="1" si="0"/>
        <v>0</v>
      </c>
      <c r="B23" s="233">
        <f t="shared" ca="1" si="6"/>
        <v>2</v>
      </c>
      <c r="C23" s="233">
        <f t="shared" ca="1" si="7"/>
        <v>1</v>
      </c>
      <c r="D23" s="234">
        <f t="shared" ca="1" si="8"/>
        <v>1</v>
      </c>
      <c r="E23" s="234">
        <f t="shared" ca="1" si="4"/>
        <v>3</v>
      </c>
      <c r="F23" s="244"/>
      <c r="G23" s="245"/>
      <c r="H23" s="246" t="s">
        <v>246</v>
      </c>
      <c r="I23" s="247" t="str">
        <f t="shared" ca="1" si="5"/>
        <v>02.001.001.003</v>
      </c>
      <c r="J23" s="255" t="s">
        <v>379</v>
      </c>
      <c r="K23" s="249" t="s">
        <v>79</v>
      </c>
      <c r="L23" s="250">
        <f>Estacas!H10</f>
        <v>745</v>
      </c>
      <c r="M23" s="250">
        <f>IFERROR(VLOOKUP(J23,CPU!$D$2:$H$327,5,FALSE),0)</f>
        <v>220</v>
      </c>
      <c r="N23" s="251">
        <f>IF(H23="Serviço",M23*L23,IF(H23="CÉLULA CONSTRUTIVA",SUMIFS($N$8:$N$352,$B$8:$B$352,B23,$H$8:$H$352,"Serviço"),IF(H23="ETAPA",SUMIFS($N$8:$N$352,$B$8:$B$352,B23,$C$8:$C$352,C23,$H$8:$H$352,"Serviço"),IF(H23="SUBETAPA",SUMIFS($N$8:$N$352,$B$8:$B$352,B23,$C$8:$C$352,C23,$D$8:$D$352,D23,$H$8:$H$352,"Serviço"),0))))</f>
        <v>163900</v>
      </c>
      <c r="O23" s="252" t="s">
        <v>377</v>
      </c>
      <c r="P23" s="253" t="s">
        <v>366</v>
      </c>
      <c r="Q23" s="291"/>
    </row>
    <row r="24" spans="1:17" ht="13.5" hidden="1" customHeight="1" outlineLevel="2" x14ac:dyDescent="0.2">
      <c r="A24" s="233">
        <f t="shared" ca="1" si="0"/>
        <v>0</v>
      </c>
      <c r="B24" s="233">
        <f t="shared" ca="1" si="6"/>
        <v>2</v>
      </c>
      <c r="C24" s="233">
        <f t="shared" ca="1" si="7"/>
        <v>1</v>
      </c>
      <c r="D24" s="234">
        <f t="shared" ca="1" si="8"/>
        <v>1</v>
      </c>
      <c r="E24" s="234">
        <f t="shared" ca="1" si="4"/>
        <v>4</v>
      </c>
      <c r="F24" s="244"/>
      <c r="G24" s="245"/>
      <c r="H24" s="246" t="s">
        <v>246</v>
      </c>
      <c r="I24" s="247" t="str">
        <f t="shared" ca="1" si="5"/>
        <v>02.001.001.004</v>
      </c>
      <c r="J24" s="255" t="s">
        <v>380</v>
      </c>
      <c r="K24" s="249" t="s">
        <v>79</v>
      </c>
      <c r="L24" s="250">
        <f>Estacas!H9</f>
        <v>331.5</v>
      </c>
      <c r="M24" s="250">
        <f>IFERROR(VLOOKUP(J24,CPU!$D$2:$H$327,5,FALSE),0)</f>
        <v>356</v>
      </c>
      <c r="N24" s="251">
        <f>IF(H24="Serviço",M24*L24,IF(H24="CÉLULA CONSTRUTIVA",SUMIFS($N$8:$N$352,$B$8:$B$352,B24,$H$8:$H$352,"Serviço"),IF(H24="ETAPA",SUMIFS($N$8:$N$352,$B$8:$B$352,B24,$C$8:$C$352,C24,$H$8:$H$352,"Serviço"),IF(H24="SUBETAPA",SUMIFS($N$8:$N$352,$B$8:$B$352,B24,$C$8:$C$352,C24,$D$8:$D$352,D24,$H$8:$H$352,"Serviço"),0))))</f>
        <v>118014</v>
      </c>
      <c r="O24" s="252" t="s">
        <v>377</v>
      </c>
      <c r="P24" s="253" t="s">
        <v>366</v>
      </c>
      <c r="Q24" s="291"/>
    </row>
    <row r="25" spans="1:17" ht="13.5" hidden="1" customHeight="1" outlineLevel="2" x14ac:dyDescent="0.2">
      <c r="A25" s="233">
        <f t="shared" ca="1" si="0"/>
        <v>0</v>
      </c>
      <c r="B25" s="233">
        <f t="shared" ca="1" si="6"/>
        <v>2</v>
      </c>
      <c r="C25" s="233">
        <f t="shared" ca="1" si="7"/>
        <v>1</v>
      </c>
      <c r="D25" s="234">
        <f t="shared" ca="1" si="8"/>
        <v>1</v>
      </c>
      <c r="E25" s="234">
        <f t="shared" ca="1" si="4"/>
        <v>5</v>
      </c>
      <c r="F25" s="244"/>
      <c r="G25" s="245"/>
      <c r="H25" s="246" t="s">
        <v>246</v>
      </c>
      <c r="I25" s="247" t="str">
        <f t="shared" ca="1" si="5"/>
        <v>02.001.001.005</v>
      </c>
      <c r="J25" s="255" t="s">
        <v>381</v>
      </c>
      <c r="K25" s="249" t="s">
        <v>175</v>
      </c>
      <c r="L25" s="250">
        <v>1</v>
      </c>
      <c r="M25" s="250">
        <v>15600</v>
      </c>
      <c r="N25" s="251">
        <f>IF(H25="Serviço",M25*L25,IF(H25="CÉLULA CONSTRUTIVA",SUMIFS($N$8:$N$352,$B$8:$B$352,B25,$H$8:$H$352,"Serviço"),IF(H25="ETAPA",SUMIFS($N$8:$N$352,$B$8:$B$352,B25,$C$8:$C$352,C25,$H$8:$H$352,"Serviço"),IF(H25="SUBETAPA",SUMIFS($N$8:$N$352,$B$8:$B$352,B25,$C$8:$C$352,C25,$D$8:$D$352,D25,$H$8:$H$352,"Serviço"),0))))</f>
        <v>15600</v>
      </c>
      <c r="O25" s="252"/>
      <c r="P25" s="253" t="s">
        <v>366</v>
      </c>
      <c r="Q25" s="291"/>
    </row>
    <row r="26" spans="1:17" ht="13.5" hidden="1" customHeight="1" outlineLevel="2" x14ac:dyDescent="0.2">
      <c r="A26" s="233">
        <f t="shared" ca="1" si="0"/>
        <v>0</v>
      </c>
      <c r="B26" s="233">
        <f t="shared" ca="1" si="6"/>
        <v>2</v>
      </c>
      <c r="C26" s="233">
        <f t="shared" ca="1" si="7"/>
        <v>1</v>
      </c>
      <c r="D26" s="234">
        <f t="shared" ca="1" si="8"/>
        <v>1</v>
      </c>
      <c r="E26" s="234">
        <f t="shared" ca="1" si="4"/>
        <v>6</v>
      </c>
      <c r="F26" s="244"/>
      <c r="G26" s="245"/>
      <c r="H26" s="246" t="s">
        <v>246</v>
      </c>
      <c r="I26" s="247" t="str">
        <f t="shared" ca="1" si="5"/>
        <v>02.001.001.006</v>
      </c>
      <c r="J26" s="255" t="s">
        <v>382</v>
      </c>
      <c r="K26" s="249" t="s">
        <v>88</v>
      </c>
      <c r="L26" s="250">
        <f>Estacas!C13</f>
        <v>263</v>
      </c>
      <c r="M26" s="250">
        <v>330</v>
      </c>
      <c r="N26" s="251">
        <f>IF(H26="Serviço",M26*L26,IF(H26="CÉLULA CONSTRUTIVA",SUMIFS($N$8:$N$352,$B$8:$B$352,B26,$H$8:$H$352,"Serviço"),IF(H26="ETAPA",SUMIFS($N$8:$N$352,$B$8:$B$352,B26,$C$8:$C$352,C26,$H$8:$H$352,"Serviço"),IF(H26="SUBETAPA",SUMIFS($N$8:$N$352,$B$8:$B$352,B26,$C$8:$C$352,C26,$D$8:$D$352,D26,$H$8:$H$352,"Serviço"),0))))</f>
        <v>86790</v>
      </c>
      <c r="O26" s="252" t="s">
        <v>377</v>
      </c>
      <c r="P26" s="253" t="s">
        <v>366</v>
      </c>
      <c r="Q26" s="291"/>
    </row>
    <row r="27" spans="1:17" ht="13.5" hidden="1" customHeight="1" outlineLevel="1" x14ac:dyDescent="0.2">
      <c r="A27" s="233">
        <f t="shared" ca="1" si="0"/>
        <v>0</v>
      </c>
      <c r="B27" s="233">
        <f t="shared" ca="1" si="6"/>
        <v>2</v>
      </c>
      <c r="C27" s="233">
        <f t="shared" ca="1" si="7"/>
        <v>1</v>
      </c>
      <c r="D27" s="234">
        <f t="shared" ca="1" si="8"/>
        <v>2</v>
      </c>
      <c r="E27" s="234">
        <f t="shared" ca="1" si="4"/>
        <v>0</v>
      </c>
      <c r="F27" s="244"/>
      <c r="G27" s="245"/>
      <c r="H27" s="246" t="s">
        <v>244</v>
      </c>
      <c r="I27" s="247" t="str">
        <f t="shared" ca="1" si="5"/>
        <v>02.001.002</v>
      </c>
      <c r="J27" s="248" t="s">
        <v>383</v>
      </c>
      <c r="K27" s="249"/>
      <c r="L27" s="259"/>
      <c r="M27" s="259"/>
      <c r="N27" s="251">
        <f ca="1">IF(H27="Serviço",M27*L27,IF(H27="CÉLULA CONSTRUTIVA",SUMIFS($N$8:$N$352,$B$8:$B$352,B27,$H$8:$H$352,"Serviço"),IF(H27="ETAPA",SUMIFS($N$8:$N$352,$B$8:$B$352,B27,$C$8:$C$352,C27,$H$8:$H$352,"Serviço"),IF(H27="SUBETAPA",SUMIFS($N$8:$N$352,$B$8:$B$352,B27,$C$8:$C$352,C27,$D$8:$D$352,D27,$H$8:$H$352,"Serviço"),0))))</f>
        <v>156629.9518230723</v>
      </c>
      <c r="O27" s="252"/>
      <c r="P27" s="253"/>
      <c r="Q27" s="291"/>
    </row>
    <row r="28" spans="1:17" ht="13.5" hidden="1" customHeight="1" outlineLevel="2" x14ac:dyDescent="0.2">
      <c r="A28" s="233">
        <f t="shared" ca="1" si="0"/>
        <v>0</v>
      </c>
      <c r="B28" s="233">
        <f t="shared" ca="1" si="6"/>
        <v>2</v>
      </c>
      <c r="C28" s="233">
        <f t="shared" ca="1" si="7"/>
        <v>1</v>
      </c>
      <c r="D28" s="234">
        <f t="shared" ca="1" si="8"/>
        <v>2</v>
      </c>
      <c r="E28" s="234">
        <f t="shared" ca="1" si="4"/>
        <v>1</v>
      </c>
      <c r="F28" s="244"/>
      <c r="G28" s="245"/>
      <c r="H28" s="246" t="s">
        <v>246</v>
      </c>
      <c r="I28" s="247" t="str">
        <f t="shared" ca="1" si="5"/>
        <v>02.001.002.001</v>
      </c>
      <c r="J28" s="255" t="s">
        <v>384</v>
      </c>
      <c r="K28" s="249" t="s">
        <v>385</v>
      </c>
      <c r="L28" s="250">
        <f>Estacas!M13</f>
        <v>295</v>
      </c>
      <c r="M28" s="250">
        <f>IFERROR(VLOOKUP(J28,CPU!$D$2:$H$327,5,FALSE),0)</f>
        <v>7.3284518711000004</v>
      </c>
      <c r="N28" s="251">
        <f>IF(H28="Serviço",M28*L28,IF(H28="CÉLULA CONSTRUTIVA",SUMIFS($N$8:$N$352,$B$8:$B$352,B28,$H$8:$H$352,"Serviço"),IF(H28="ETAPA",SUMIFS($N$8:$N$352,$B$8:$B$352,B28,$C$8:$C$352,C28,$H$8:$H$352,"Serviço"),IF(H28="SUBETAPA",SUMIFS($N$8:$N$352,$B$8:$B$352,B28,$C$8:$C$352,C28,$D$8:$D$352,D28,$H$8:$H$352,"Serviço"),0))))</f>
        <v>2161.8933019745</v>
      </c>
      <c r="O28" s="252" t="s">
        <v>386</v>
      </c>
      <c r="P28" s="253" t="s">
        <v>366</v>
      </c>
      <c r="Q28" s="291"/>
    </row>
    <row r="29" spans="1:17" ht="13.5" hidden="1" customHeight="1" outlineLevel="2" x14ac:dyDescent="0.2">
      <c r="A29" s="233">
        <f t="shared" ca="1" si="0"/>
        <v>0</v>
      </c>
      <c r="B29" s="233">
        <f t="shared" ca="1" si="6"/>
        <v>2</v>
      </c>
      <c r="C29" s="233">
        <f t="shared" ca="1" si="7"/>
        <v>1</v>
      </c>
      <c r="D29" s="234">
        <f t="shared" ca="1" si="8"/>
        <v>2</v>
      </c>
      <c r="E29" s="234">
        <f t="shared" ca="1" si="4"/>
        <v>2</v>
      </c>
      <c r="F29" s="244"/>
      <c r="G29" s="245"/>
      <c r="H29" s="246" t="s">
        <v>246</v>
      </c>
      <c r="I29" s="247" t="str">
        <f t="shared" ca="1" si="5"/>
        <v>02.001.002.002</v>
      </c>
      <c r="J29" s="255" t="s">
        <v>387</v>
      </c>
      <c r="K29" s="249" t="s">
        <v>385</v>
      </c>
      <c r="L29" s="250">
        <f>Estacas!N13</f>
        <v>1453</v>
      </c>
      <c r="M29" s="250">
        <f>IFERROR(VLOOKUP(J29,CPU!$D$2:$H$327,5,FALSE),0)</f>
        <v>7.0652749999999997</v>
      </c>
      <c r="N29" s="251">
        <f>IF(H29="Serviço",M29*L29,IF(H29="CÉLULA CONSTRUTIVA",SUMIFS($N$8:$N$352,$B$8:$B$352,B29,$H$8:$H$352,"Serviço"),IF(H29="ETAPA",SUMIFS($N$8:$N$352,$B$8:$B$352,B29,$C$8:$C$352,C29,$H$8:$H$352,"Serviço"),IF(H29="SUBETAPA",SUMIFS($N$8:$N$352,$B$8:$B$352,B29,$C$8:$C$352,C29,$D$8:$D$352,D29,$H$8:$H$352,"Serviço"),0))))</f>
        <v>10265.844574999999</v>
      </c>
      <c r="O29" s="252" t="s">
        <v>386</v>
      </c>
      <c r="P29" s="253" t="s">
        <v>366</v>
      </c>
      <c r="Q29" s="291"/>
    </row>
    <row r="30" spans="1:17" ht="13.5" hidden="1" customHeight="1" outlineLevel="2" x14ac:dyDescent="0.2">
      <c r="A30" s="233">
        <f t="shared" ca="1" si="0"/>
        <v>0</v>
      </c>
      <c r="B30" s="233">
        <f t="shared" ca="1" si="6"/>
        <v>2</v>
      </c>
      <c r="C30" s="233">
        <f t="shared" ca="1" si="7"/>
        <v>1</v>
      </c>
      <c r="D30" s="234">
        <f t="shared" ca="1" si="8"/>
        <v>2</v>
      </c>
      <c r="E30" s="234">
        <f t="shared" ca="1" si="4"/>
        <v>3</v>
      </c>
      <c r="F30" s="244"/>
      <c r="G30" s="245"/>
      <c r="H30" s="246" t="s">
        <v>246</v>
      </c>
      <c r="I30" s="247" t="str">
        <f t="shared" ca="1" si="5"/>
        <v>02.001.002.003</v>
      </c>
      <c r="J30" s="255" t="s">
        <v>388</v>
      </c>
      <c r="K30" s="249" t="s">
        <v>385</v>
      </c>
      <c r="L30" s="250">
        <f>Estacas!O13</f>
        <v>4810</v>
      </c>
      <c r="M30" s="250">
        <f>IFERROR(VLOOKUP(J30,CPU!$D$2:$H$327,5,FALSE),0)</f>
        <v>6.6893451753999997</v>
      </c>
      <c r="N30" s="251">
        <f>IF(H30="Serviço",M30*L30,IF(H30="CÉLULA CONSTRUTIVA",SUMIFS($N$8:$N$352,$B$8:$B$352,B30,$H$8:$H$352,"Serviço"),IF(H30="ETAPA",SUMIFS($N$8:$N$352,$B$8:$B$352,B30,$C$8:$C$352,C30,$H$8:$H$352,"Serviço"),IF(H30="SUBETAPA",SUMIFS($N$8:$N$352,$B$8:$B$352,B30,$C$8:$C$352,C30,$D$8:$D$352,D30,$H$8:$H$352,"Serviço"),0))))</f>
        <v>32175.750293673998</v>
      </c>
      <c r="O30" s="252" t="s">
        <v>386</v>
      </c>
      <c r="P30" s="253" t="s">
        <v>366</v>
      </c>
      <c r="Q30" s="291"/>
    </row>
    <row r="31" spans="1:17" ht="13.5" hidden="1" customHeight="1" outlineLevel="2" x14ac:dyDescent="0.2">
      <c r="A31" s="233">
        <f t="shared" ca="1" si="0"/>
        <v>0</v>
      </c>
      <c r="B31" s="233">
        <f t="shared" ca="1" si="6"/>
        <v>2</v>
      </c>
      <c r="C31" s="233">
        <f t="shared" ca="1" si="7"/>
        <v>1</v>
      </c>
      <c r="D31" s="234">
        <f t="shared" ca="1" si="8"/>
        <v>2</v>
      </c>
      <c r="E31" s="234">
        <f t="shared" ca="1" si="4"/>
        <v>4</v>
      </c>
      <c r="F31" s="244"/>
      <c r="G31" s="245"/>
      <c r="H31" s="246" t="s">
        <v>246</v>
      </c>
      <c r="I31" s="247" t="str">
        <f t="shared" ca="1" si="5"/>
        <v>02.001.002.004</v>
      </c>
      <c r="J31" s="255" t="s">
        <v>389</v>
      </c>
      <c r="K31" s="249" t="s">
        <v>385</v>
      </c>
      <c r="L31" s="250">
        <f>Estacas!P13</f>
        <v>16747</v>
      </c>
      <c r="M31" s="250">
        <f>IFERROR(VLOOKUP(J31,CPU!$D$2:$H$327,5,FALSE),0)</f>
        <v>6.6893451753999997</v>
      </c>
      <c r="N31" s="251">
        <f>IF(H31="Serviço",M31*L31,IF(H31="CÉLULA CONSTRUTIVA",SUMIFS($N$8:$N$352,$B$8:$B$352,B31,$H$8:$H$352,"Serviço"),IF(H31="ETAPA",SUMIFS($N$8:$N$352,$B$8:$B$352,B31,$C$8:$C$352,C31,$H$8:$H$352,"Serviço"),IF(H31="SUBETAPA",SUMIFS($N$8:$N$352,$B$8:$B$352,B31,$C$8:$C$352,C31,$D$8:$D$352,D31,$H$8:$H$352,"Serviço"),0))))</f>
        <v>112026.4636524238</v>
      </c>
      <c r="O31" s="252" t="s">
        <v>386</v>
      </c>
      <c r="P31" s="253" t="s">
        <v>366</v>
      </c>
      <c r="Q31" s="291"/>
    </row>
    <row r="32" spans="1:17" ht="13.5" hidden="1" customHeight="1" outlineLevel="1" x14ac:dyDescent="0.2">
      <c r="A32" s="233">
        <f t="shared" ca="1" si="0"/>
        <v>0</v>
      </c>
      <c r="B32" s="233">
        <f t="shared" ca="1" si="6"/>
        <v>2</v>
      </c>
      <c r="C32" s="233">
        <f t="shared" ca="1" si="7"/>
        <v>1</v>
      </c>
      <c r="D32" s="234">
        <f t="shared" ca="1" si="8"/>
        <v>3</v>
      </c>
      <c r="E32" s="234">
        <f t="shared" ca="1" si="4"/>
        <v>0</v>
      </c>
      <c r="F32" s="244"/>
      <c r="G32" s="245"/>
      <c r="H32" s="246" t="s">
        <v>244</v>
      </c>
      <c r="I32" s="247" t="str">
        <f t="shared" ca="1" si="5"/>
        <v>02.001.003</v>
      </c>
      <c r="J32" s="248" t="s">
        <v>390</v>
      </c>
      <c r="K32" s="249"/>
      <c r="L32" s="259"/>
      <c r="M32" s="259"/>
      <c r="N32" s="251">
        <f ca="1">IF(H32="Serviço",M32*L32,IF(H32="CÉLULA CONSTRUTIVA",SUMIFS($N$8:$N$352,$B$8:$B$352,B32,$H$8:$H$352,"Serviço"),IF(H32="ETAPA",SUMIFS($N$8:$N$352,$B$8:$B$352,B32,$C$8:$C$352,C32,$H$8:$H$352,"Serviço"),IF(H32="SUBETAPA",SUMIFS($N$8:$N$352,$B$8:$B$352,B32,$C$8:$C$352,C32,$D$8:$D$352,D32,$H$8:$H$352,"Serviço"),0))))</f>
        <v>129347.75523449211</v>
      </c>
      <c r="O32" s="252"/>
      <c r="P32" s="253"/>
      <c r="Q32" s="291"/>
    </row>
    <row r="33" spans="1:17" ht="13.5" hidden="1" customHeight="1" outlineLevel="2" x14ac:dyDescent="0.2">
      <c r="A33" s="233">
        <f t="shared" ca="1" si="0"/>
        <v>0</v>
      </c>
      <c r="B33" s="233">
        <f t="shared" ca="1" si="6"/>
        <v>2</v>
      </c>
      <c r="C33" s="233">
        <f t="shared" ca="1" si="7"/>
        <v>1</v>
      </c>
      <c r="D33" s="234">
        <f t="shared" ca="1" si="8"/>
        <v>3</v>
      </c>
      <c r="E33" s="234">
        <f t="shared" ca="1" si="4"/>
        <v>1</v>
      </c>
      <c r="F33" s="244"/>
      <c r="G33" s="245"/>
      <c r="H33" s="246" t="s">
        <v>246</v>
      </c>
      <c r="I33" s="247" t="str">
        <f t="shared" ca="1" si="5"/>
        <v>02.001.003.001</v>
      </c>
      <c r="J33" s="248" t="s">
        <v>391</v>
      </c>
      <c r="K33" s="249" t="s">
        <v>365</v>
      </c>
      <c r="L33" s="250">
        <f>Estacas!K13</f>
        <v>124.22124387669598</v>
      </c>
      <c r="M33" s="250">
        <f>IFERROR(VLOOKUP(J33,CPU!$D$2:$H$327,5,FALSE),0)</f>
        <v>1041.2692</v>
      </c>
      <c r="N33" s="251">
        <f>IF(H33="Serviço",M33*L33,IF(H33="CÉLULA CONSTRUTIVA",SUMIFS($N$8:$N$352,$B$8:$B$352,B33,$H$8:$H$352,"Serviço"),IF(H33="ETAPA",SUMIFS($N$8:$N$352,$B$8:$B$352,B33,$C$8:$C$352,C33,$H$8:$H$352,"Serviço"),IF(H33="SUBETAPA",SUMIFS($N$8:$N$352,$B$8:$B$352,B33,$C$8:$C$352,C33,$D$8:$D$352,D33,$H$8:$H$352,"Serviço"),0))))</f>
        <v>129347.75523449211</v>
      </c>
      <c r="O33" s="252" t="s">
        <v>392</v>
      </c>
      <c r="P33" s="253" t="s">
        <v>366</v>
      </c>
      <c r="Q33" s="291"/>
    </row>
    <row r="34" spans="1:17" ht="13.5" hidden="1" customHeight="1" outlineLevel="1" x14ac:dyDescent="0.2">
      <c r="A34" s="233">
        <f t="shared" ca="1" si="0"/>
        <v>0</v>
      </c>
      <c r="B34" s="233">
        <f t="shared" ca="1" si="6"/>
        <v>2</v>
      </c>
      <c r="C34" s="233">
        <f t="shared" ca="1" si="7"/>
        <v>2</v>
      </c>
      <c r="D34" s="234">
        <f t="shared" ca="1" si="8"/>
        <v>0</v>
      </c>
      <c r="E34" s="234">
        <f t="shared" ca="1" si="4"/>
        <v>1</v>
      </c>
      <c r="F34" s="244"/>
      <c r="G34" s="245"/>
      <c r="H34" s="246" t="s">
        <v>37</v>
      </c>
      <c r="I34" s="247" t="str">
        <f t="shared" ca="1" si="5"/>
        <v>02.002</v>
      </c>
      <c r="J34" s="248" t="s">
        <v>393</v>
      </c>
      <c r="K34" s="249"/>
      <c r="L34" s="250"/>
      <c r="M34" s="250"/>
      <c r="N34" s="251">
        <f ca="1">IF(H34="Serviço",M34*L34,IF(H34="CÉLULA CONSTRUTIVA",SUMIFS($N$8:$N$352,$B$8:$B$352,B34,$H$8:$H$352,"Serviço"),IF(H34="ETAPA",SUMIFS($N$8:$N$352,$B$8:$B$352,B34,$C$8:$C$352,C34,$H$8:$H$352,"Serviço"),IF(H34="SUBETAPA",SUMIFS($N$8:$N$352,$B$8:$B$352,B34,$C$8:$C$352,C34,$D$8:$D$352,D34,$H$8:$H$352,"Serviço"),0))))</f>
        <v>829474.07945149997</v>
      </c>
      <c r="O34" s="252"/>
      <c r="P34" s="253"/>
      <c r="Q34" s="291"/>
    </row>
    <row r="35" spans="1:17" ht="13.5" hidden="1" customHeight="1" outlineLevel="1" x14ac:dyDescent="0.2">
      <c r="A35" s="233">
        <f t="shared" ca="1" si="0"/>
        <v>0</v>
      </c>
      <c r="B35" s="233">
        <f t="shared" ca="1" si="6"/>
        <v>2</v>
      </c>
      <c r="C35" s="233">
        <f t="shared" ca="1" si="7"/>
        <v>2</v>
      </c>
      <c r="D35" s="234">
        <f t="shared" ca="1" si="8"/>
        <v>1</v>
      </c>
      <c r="E35" s="234">
        <f t="shared" ca="1" si="4"/>
        <v>0</v>
      </c>
      <c r="F35" s="244"/>
      <c r="G35" s="245"/>
      <c r="H35" s="246" t="s">
        <v>244</v>
      </c>
      <c r="I35" s="247" t="str">
        <f t="shared" ca="1" si="5"/>
        <v>02.002.001</v>
      </c>
      <c r="J35" s="248" t="s">
        <v>394</v>
      </c>
      <c r="K35" s="249"/>
      <c r="L35" s="259"/>
      <c r="M35" s="259"/>
      <c r="N35" s="251">
        <f ca="1">IF(H35="Serviço",M35*L35,IF(H35="CÉLULA CONSTRUTIVA",SUMIFS($N$8:$N$352,$B$8:$B$352,B35,$H$8:$H$352,"Serviço"),IF(H35="ETAPA",SUMIFS($N$8:$N$352,$B$8:$B$352,B35,$C$8:$C$352,C35,$H$8:$H$352,"Serviço"),IF(H35="SUBETAPA",SUMIFS($N$8:$N$352,$B$8:$B$352,B35,$C$8:$C$352,C35,$D$8:$D$352,D35,$H$8:$H$352,"Serviço"),0))))</f>
        <v>79725.399966799989</v>
      </c>
      <c r="O35" s="252" t="s">
        <v>395</v>
      </c>
      <c r="P35" s="253"/>
      <c r="Q35" s="291"/>
    </row>
    <row r="36" spans="1:17" ht="13.5" hidden="1" customHeight="1" outlineLevel="2" x14ac:dyDescent="0.2">
      <c r="A36" s="233">
        <f t="shared" ca="1" si="0"/>
        <v>0</v>
      </c>
      <c r="B36" s="233">
        <f t="shared" ca="1" si="6"/>
        <v>2</v>
      </c>
      <c r="C36" s="233">
        <f t="shared" ca="1" si="7"/>
        <v>2</v>
      </c>
      <c r="D36" s="234">
        <f t="shared" ca="1" si="8"/>
        <v>1</v>
      </c>
      <c r="E36" s="234">
        <f t="shared" ca="1" si="4"/>
        <v>1</v>
      </c>
      <c r="F36" s="244"/>
      <c r="G36" s="245"/>
      <c r="H36" s="246" t="s">
        <v>246</v>
      </c>
      <c r="I36" s="247" t="str">
        <f t="shared" ca="1" si="5"/>
        <v>02.002.001.001</v>
      </c>
      <c r="J36" s="248" t="s">
        <v>5046</v>
      </c>
      <c r="K36" s="249" t="s">
        <v>92</v>
      </c>
      <c r="L36" s="250">
        <f>Aço_Infraestrutura!O23</f>
        <v>2134.5099999999998</v>
      </c>
      <c r="M36" s="250">
        <f>IFERROR(VLOOKUP(J36,CPU!$D$2:$H$327,5,FALSE),0)</f>
        <v>37.350679999999997</v>
      </c>
      <c r="N36" s="251">
        <f>IF(H36="Serviço",M36*L36,IF(H36="CÉLULA CONSTRUTIVA",SUMIFS($N$8:$N$352,$B$8:$B$352,B36,$H$8:$H$352,"Serviço"),IF(H36="ETAPA",SUMIFS($N$8:$N$352,$B$8:$B$352,B36,$C$8:$C$352,C36,$H$8:$H$352,"Serviço"),IF(H36="SUBETAPA",SUMIFS($N$8:$N$352,$B$8:$B$352,B36,$C$8:$C$352,C36,$D$8:$D$352,D36,$H$8:$H$352,"Serviço"),0))))</f>
        <v>79725.399966799989</v>
      </c>
      <c r="O36" s="252"/>
      <c r="P36" s="253" t="s">
        <v>366</v>
      </c>
      <c r="Q36" s="291"/>
    </row>
    <row r="37" spans="1:17" ht="13.5" hidden="1" customHeight="1" outlineLevel="1" x14ac:dyDescent="0.2">
      <c r="A37" s="233">
        <f t="shared" ca="1" si="0"/>
        <v>0</v>
      </c>
      <c r="B37" s="233">
        <f t="shared" ca="1" si="6"/>
        <v>2</v>
      </c>
      <c r="C37" s="233">
        <f t="shared" ca="1" si="7"/>
        <v>2</v>
      </c>
      <c r="D37" s="234">
        <f t="shared" ca="1" si="8"/>
        <v>2</v>
      </c>
      <c r="E37" s="234">
        <f t="shared" ca="1" si="4"/>
        <v>0</v>
      </c>
      <c r="F37" s="244"/>
      <c r="G37" s="245"/>
      <c r="H37" s="246" t="s">
        <v>244</v>
      </c>
      <c r="I37" s="247" t="str">
        <f t="shared" ca="1" si="5"/>
        <v>02.002.002</v>
      </c>
      <c r="J37" s="248" t="s">
        <v>383</v>
      </c>
      <c r="K37" s="249"/>
      <c r="L37" s="259"/>
      <c r="M37" s="259"/>
      <c r="N37" s="251">
        <f ca="1">IF(H37="Serviço",M37*L37,IF(H37="CÉLULA CONSTRUTIVA",SUMIFS($N$8:$N$352,$B$8:$B$352,B37,$H$8:$H$352,"Serviço"),IF(H37="ETAPA",SUMIFS($N$8:$N$352,$B$8:$B$352,B37,$C$8:$C$352,C37,$H$8:$H$352,"Serviço"),IF(H37="SUBETAPA",SUMIFS($N$8:$N$352,$B$8:$B$352,B37,$C$8:$C$352,C37,$D$8:$D$352,D37,$H$8:$H$352,"Serviço"),0))))</f>
        <v>181024.64437249998</v>
      </c>
      <c r="O37" s="252"/>
      <c r="P37" s="253"/>
      <c r="Q37" s="291"/>
    </row>
    <row r="38" spans="1:17" ht="13.5" hidden="1" customHeight="1" outlineLevel="2" x14ac:dyDescent="0.2">
      <c r="A38" s="233">
        <f t="shared" ca="1" si="0"/>
        <v>0</v>
      </c>
      <c r="B38" s="233">
        <f t="shared" ca="1" si="6"/>
        <v>2</v>
      </c>
      <c r="C38" s="233">
        <f t="shared" ca="1" si="7"/>
        <v>2</v>
      </c>
      <c r="D38" s="234">
        <f t="shared" ca="1" si="8"/>
        <v>2</v>
      </c>
      <c r="E38" s="234">
        <f t="shared" ca="1" si="4"/>
        <v>1</v>
      </c>
      <c r="F38" s="244"/>
      <c r="G38" s="245"/>
      <c r="H38" s="246" t="s">
        <v>246</v>
      </c>
      <c r="I38" s="247" t="str">
        <f t="shared" ca="1" si="5"/>
        <v>02.002.002.001</v>
      </c>
      <c r="J38" s="248" t="s">
        <v>5047</v>
      </c>
      <c r="K38" s="249" t="s">
        <v>385</v>
      </c>
      <c r="L38" s="250">
        <f>Aço_Infraestrutura!D23</f>
        <v>4784.5</v>
      </c>
      <c r="M38" s="250">
        <f>IFERROR(VLOOKUP(J38,CPU!$D$2:$H$327,5,FALSE),0)</f>
        <v>7.4562749999999998</v>
      </c>
      <c r="N38" s="251">
        <f>IF(H38="Serviço",M38*L38,IF(H38="CÉLULA CONSTRUTIVA",SUMIFS($N$8:$N$352,$B$8:$B$352,B38,$H$8:$H$352,"Serviço"),IF(H38="ETAPA",SUMIFS($N$8:$N$352,$B$8:$B$352,B38,$C$8:$C$352,C38,$H$8:$H$352,"Serviço"),IF(H38="SUBETAPA",SUMIFS($N$8:$N$352,$B$8:$B$352,B38,$C$8:$C$352,C38,$D$8:$D$352,D38,$H$8:$H$352,"Serviço"),0))))</f>
        <v>35674.547737499997</v>
      </c>
      <c r="O38" s="252"/>
      <c r="P38" s="253" t="s">
        <v>366</v>
      </c>
      <c r="Q38" s="291"/>
    </row>
    <row r="39" spans="1:17" ht="13.5" hidden="1" customHeight="1" outlineLevel="2" x14ac:dyDescent="0.2">
      <c r="A39" s="233">
        <f t="shared" ca="1" si="0"/>
        <v>0</v>
      </c>
      <c r="B39" s="233">
        <f t="shared" ca="1" si="6"/>
        <v>2</v>
      </c>
      <c r="C39" s="233">
        <f t="shared" ca="1" si="7"/>
        <v>2</v>
      </c>
      <c r="D39" s="234">
        <f t="shared" ca="1" si="8"/>
        <v>2</v>
      </c>
      <c r="E39" s="234">
        <f t="shared" ca="1" si="4"/>
        <v>2</v>
      </c>
      <c r="F39" s="244"/>
      <c r="G39" s="245"/>
      <c r="H39" s="246" t="s">
        <v>246</v>
      </c>
      <c r="I39" s="247" t="str">
        <f t="shared" ca="1" si="5"/>
        <v>02.002.002.002</v>
      </c>
      <c r="J39" s="248" t="s">
        <v>5048</v>
      </c>
      <c r="K39" s="249" t="s">
        <v>385</v>
      </c>
      <c r="L39" s="250">
        <f>Aço_Infraestrutura!E23</f>
        <v>3069.6000000000004</v>
      </c>
      <c r="M39" s="250">
        <f>IFERROR(VLOOKUP(J39,CPU!$D$2:$H$327,5,FALSE),0)</f>
        <v>7.4562749999999998</v>
      </c>
      <c r="N39" s="251">
        <f>IF(H39="Serviço",M39*L39,IF(H39="CÉLULA CONSTRUTIVA",SUMIFS($N$8:$N$352,$B$8:$B$352,B39,$H$8:$H$352,"Serviço"),IF(H39="ETAPA",SUMIFS($N$8:$N$352,$B$8:$B$352,B39,$C$8:$C$352,C39,$H$8:$H$352,"Serviço"),IF(H39="SUBETAPA",SUMIFS($N$8:$N$352,$B$8:$B$352,B39,$C$8:$C$352,C39,$D$8:$D$352,D39,$H$8:$H$352,"Serviço"),0))))</f>
        <v>22887.781740000002</v>
      </c>
      <c r="O39" s="252"/>
      <c r="P39" s="253" t="s">
        <v>366</v>
      </c>
      <c r="Q39" s="291"/>
    </row>
    <row r="40" spans="1:17" ht="13.5" hidden="1" customHeight="1" outlineLevel="2" x14ac:dyDescent="0.2">
      <c r="A40" s="233">
        <f t="shared" ca="1" si="0"/>
        <v>0</v>
      </c>
      <c r="B40" s="233">
        <f t="shared" ca="1" si="6"/>
        <v>2</v>
      </c>
      <c r="C40" s="233">
        <f t="shared" ca="1" si="7"/>
        <v>2</v>
      </c>
      <c r="D40" s="234">
        <f t="shared" ca="1" si="8"/>
        <v>2</v>
      </c>
      <c r="E40" s="234">
        <f t="shared" ca="1" si="4"/>
        <v>3</v>
      </c>
      <c r="F40" s="244"/>
      <c r="G40" s="245"/>
      <c r="H40" s="246" t="s">
        <v>246</v>
      </c>
      <c r="I40" s="247" t="str">
        <f t="shared" ca="1" si="5"/>
        <v>02.002.002.003</v>
      </c>
      <c r="J40" s="248" t="s">
        <v>5049</v>
      </c>
      <c r="K40" s="249" t="s">
        <v>385</v>
      </c>
      <c r="L40" s="250">
        <f>Aço_Infraestrutura!F23</f>
        <v>5992.3</v>
      </c>
      <c r="M40" s="250">
        <f>IFERROR(VLOOKUP(J40,CPU!$D$2:$H$327,5,FALSE),0)</f>
        <v>7.1662749999999997</v>
      </c>
      <c r="N40" s="251">
        <f>IF(H40="Serviço",M40*L40,IF(H40="CÉLULA CONSTRUTIVA",SUMIFS($N$8:$N$352,$B$8:$B$352,B40,$H$8:$H$352,"Serviço"),IF(H40="ETAPA",SUMIFS($N$8:$N$352,$B$8:$B$352,B40,$C$8:$C$352,C40,$H$8:$H$352,"Serviço"),IF(H40="SUBETAPA",SUMIFS($N$8:$N$352,$B$8:$B$352,B40,$C$8:$C$352,C40,$D$8:$D$352,D40,$H$8:$H$352,"Serviço"),0))))</f>
        <v>42942.469682499999</v>
      </c>
      <c r="O40" s="252"/>
      <c r="P40" s="253" t="s">
        <v>366</v>
      </c>
      <c r="Q40" s="291"/>
    </row>
    <row r="41" spans="1:17" ht="13.5" hidden="1" customHeight="1" outlineLevel="2" x14ac:dyDescent="0.2">
      <c r="A41" s="233">
        <f t="shared" ca="1" si="0"/>
        <v>0</v>
      </c>
      <c r="B41" s="233">
        <f t="shared" ca="1" si="6"/>
        <v>2</v>
      </c>
      <c r="C41" s="233">
        <f t="shared" ca="1" si="7"/>
        <v>2</v>
      </c>
      <c r="D41" s="234">
        <f t="shared" ca="1" si="8"/>
        <v>2</v>
      </c>
      <c r="E41" s="234">
        <f t="shared" ca="1" si="4"/>
        <v>4</v>
      </c>
      <c r="F41" s="244"/>
      <c r="G41" s="245"/>
      <c r="H41" s="246" t="s">
        <v>246</v>
      </c>
      <c r="I41" s="247" t="str">
        <f t="shared" ca="1" si="5"/>
        <v>02.002.002.004</v>
      </c>
      <c r="J41" s="248" t="s">
        <v>5050</v>
      </c>
      <c r="K41" s="249" t="s">
        <v>385</v>
      </c>
      <c r="L41" s="250">
        <f>Aço_Infraestrutura!G23</f>
        <v>3487.6</v>
      </c>
      <c r="M41" s="250">
        <f>IFERROR(VLOOKUP(J41,CPU!$D$2:$H$327,5,FALSE),0)</f>
        <v>6.9962749999999998</v>
      </c>
      <c r="N41" s="251">
        <f>IF(H41="Serviço",M41*L41,IF(H41="CÉLULA CONSTRUTIVA",SUMIFS($N$8:$N$352,$B$8:$B$352,B41,$H$8:$H$352,"Serviço"),IF(H41="ETAPA",SUMIFS($N$8:$N$352,$B$8:$B$352,B41,$C$8:$C$352,C41,$H$8:$H$352,"Serviço"),IF(H41="SUBETAPA",SUMIFS($N$8:$N$352,$B$8:$B$352,B41,$C$8:$C$352,C41,$D$8:$D$352,D41,$H$8:$H$352,"Serviço"),0))))</f>
        <v>24400.208689999999</v>
      </c>
      <c r="O41" s="252"/>
      <c r="P41" s="253" t="s">
        <v>366</v>
      </c>
      <c r="Q41" s="291"/>
    </row>
    <row r="42" spans="1:17" ht="13.5" hidden="1" customHeight="1" outlineLevel="2" x14ac:dyDescent="0.2">
      <c r="A42" s="233">
        <f t="shared" ca="1" si="0"/>
        <v>0</v>
      </c>
      <c r="B42" s="233">
        <f t="shared" ca="1" si="6"/>
        <v>2</v>
      </c>
      <c r="C42" s="233">
        <f t="shared" ca="1" si="7"/>
        <v>2</v>
      </c>
      <c r="D42" s="234">
        <f t="shared" ca="1" si="8"/>
        <v>2</v>
      </c>
      <c r="E42" s="234">
        <f t="shared" ca="1" si="4"/>
        <v>5</v>
      </c>
      <c r="F42" s="244"/>
      <c r="G42" s="245"/>
      <c r="H42" s="246" t="s">
        <v>246</v>
      </c>
      <c r="I42" s="247" t="str">
        <f t="shared" ca="1" si="5"/>
        <v>02.002.002.005</v>
      </c>
      <c r="J42" s="248" t="s">
        <v>5051</v>
      </c>
      <c r="K42" s="249" t="s">
        <v>385</v>
      </c>
      <c r="L42" s="250">
        <f>Aço_Infraestrutura!H23</f>
        <v>2557.8999999999996</v>
      </c>
      <c r="M42" s="250">
        <f>IFERROR(VLOOKUP(J42,CPU!$D$2:$H$327,5,FALSE),0)</f>
        <v>7.3167749999999998</v>
      </c>
      <c r="N42" s="251">
        <f>IF(H42="Serviço",M42*L42,IF(H42="CÉLULA CONSTRUTIVA",SUMIFS($N$8:$N$352,$B$8:$B$352,B42,$H$8:$H$352,"Serviço"),IF(H42="ETAPA",SUMIFS($N$8:$N$352,$B$8:$B$352,B42,$C$8:$C$352,C42,$H$8:$H$352,"Serviço"),IF(H42="SUBETAPA",SUMIFS($N$8:$N$352,$B$8:$B$352,B42,$C$8:$C$352,C42,$D$8:$D$352,D42,$H$8:$H$352,"Serviço"),0))))</f>
        <v>18715.578772499997</v>
      </c>
      <c r="O42" s="252"/>
      <c r="P42" s="253" t="s">
        <v>366</v>
      </c>
      <c r="Q42" s="291"/>
    </row>
    <row r="43" spans="1:17" ht="13.5" hidden="1" customHeight="1" outlineLevel="2" x14ac:dyDescent="0.2">
      <c r="A43" s="233">
        <f t="shared" ca="1" si="0"/>
        <v>0</v>
      </c>
      <c r="B43" s="233">
        <f t="shared" ca="1" si="6"/>
        <v>2</v>
      </c>
      <c r="C43" s="233">
        <f t="shared" ca="1" si="7"/>
        <v>2</v>
      </c>
      <c r="D43" s="234">
        <f t="shared" ca="1" si="8"/>
        <v>2</v>
      </c>
      <c r="E43" s="234">
        <f t="shared" ca="1" si="4"/>
        <v>6</v>
      </c>
      <c r="F43" s="244"/>
      <c r="G43" s="245"/>
      <c r="H43" s="246" t="s">
        <v>246</v>
      </c>
      <c r="I43" s="247" t="str">
        <f t="shared" ca="1" si="5"/>
        <v>02.002.002.006</v>
      </c>
      <c r="J43" s="248" t="s">
        <v>5052</v>
      </c>
      <c r="K43" s="249" t="s">
        <v>385</v>
      </c>
      <c r="L43" s="250">
        <f>Aço_Infraestrutura!I23</f>
        <v>3999</v>
      </c>
      <c r="M43" s="250">
        <f>IFERROR(VLOOKUP(J43,CPU!$D$2:$H$327,5,FALSE),0)</f>
        <v>7.3167749999999998</v>
      </c>
      <c r="N43" s="251">
        <f>IF(H43="Serviço",M43*L43,IF(H43="CÉLULA CONSTRUTIVA",SUMIFS($N$8:$N$352,$B$8:$B$352,B43,$H$8:$H$352,"Serviço"),IF(H43="ETAPA",SUMIFS($N$8:$N$352,$B$8:$B$352,B43,$C$8:$C$352,C43,$H$8:$H$352,"Serviço"),IF(H43="SUBETAPA",SUMIFS($N$8:$N$352,$B$8:$B$352,B43,$C$8:$C$352,C43,$D$8:$D$352,D43,$H$8:$H$352,"Serviço"),0))))</f>
        <v>29259.783224999999</v>
      </c>
      <c r="O43" s="252"/>
      <c r="P43" s="253" t="s">
        <v>366</v>
      </c>
      <c r="Q43" s="291"/>
    </row>
    <row r="44" spans="1:17" ht="13.5" hidden="1" customHeight="1" outlineLevel="2" x14ac:dyDescent="0.2">
      <c r="A44" s="233">
        <f t="shared" ca="1" si="0"/>
        <v>0</v>
      </c>
      <c r="B44" s="233">
        <f t="shared" ca="1" si="6"/>
        <v>2</v>
      </c>
      <c r="C44" s="233">
        <f t="shared" ca="1" si="7"/>
        <v>2</v>
      </c>
      <c r="D44" s="234">
        <f t="shared" ca="1" si="8"/>
        <v>2</v>
      </c>
      <c r="E44" s="234">
        <f t="shared" ca="1" si="4"/>
        <v>7</v>
      </c>
      <c r="F44" s="244"/>
      <c r="G44" s="245"/>
      <c r="H44" s="246" t="s">
        <v>246</v>
      </c>
      <c r="I44" s="247" t="str">
        <f t="shared" ca="1" si="5"/>
        <v>02.002.002.007</v>
      </c>
      <c r="J44" s="248" t="s">
        <v>5053</v>
      </c>
      <c r="K44" s="249" t="s">
        <v>385</v>
      </c>
      <c r="L44" s="250">
        <f>Aço_Infraestrutura!J23</f>
        <v>382</v>
      </c>
      <c r="M44" s="250">
        <f>IFERROR(VLOOKUP(J44,CPU!$D$2:$H$327,5,FALSE),0)</f>
        <v>7.3167749999999998</v>
      </c>
      <c r="N44" s="251">
        <f>IF(H44="Serviço",M44*L44,IF(H44="CÉLULA CONSTRUTIVA",SUMIFS($N$8:$N$352,$B$8:$B$352,B44,$H$8:$H$352,"Serviço"),IF(H44="ETAPA",SUMIFS($N$8:$N$352,$B$8:$B$352,B44,$C$8:$C$352,C44,$H$8:$H$352,"Serviço"),IF(H44="SUBETAPA",SUMIFS($N$8:$N$352,$B$8:$B$352,B44,$C$8:$C$352,C44,$D$8:$D$352,D44,$H$8:$H$352,"Serviço"),0))))</f>
        <v>2795.0080499999999</v>
      </c>
      <c r="O44" s="252"/>
      <c r="P44" s="253" t="s">
        <v>366</v>
      </c>
      <c r="Q44" s="291"/>
    </row>
    <row r="45" spans="1:17" ht="13.5" hidden="1" customHeight="1" outlineLevel="2" x14ac:dyDescent="0.2">
      <c r="A45" s="233">
        <f t="shared" ca="1" si="0"/>
        <v>0</v>
      </c>
      <c r="B45" s="233">
        <f t="shared" ca="1" si="6"/>
        <v>2</v>
      </c>
      <c r="C45" s="233">
        <f t="shared" ca="1" si="7"/>
        <v>2</v>
      </c>
      <c r="D45" s="234">
        <f t="shared" ca="1" si="8"/>
        <v>2</v>
      </c>
      <c r="E45" s="234">
        <f t="shared" ca="1" si="4"/>
        <v>8</v>
      </c>
      <c r="F45" s="244"/>
      <c r="G45" s="245"/>
      <c r="H45" s="246" t="s">
        <v>246</v>
      </c>
      <c r="I45" s="247" t="str">
        <f t="shared" ca="1" si="5"/>
        <v>02.002.002.008</v>
      </c>
      <c r="J45" s="248" t="s">
        <v>5056</v>
      </c>
      <c r="K45" s="249" t="s">
        <v>385</v>
      </c>
      <c r="L45" s="250">
        <f>Aço_Infraestrutura!K23</f>
        <v>611.30000000000007</v>
      </c>
      <c r="M45" s="250">
        <v>7</v>
      </c>
      <c r="N45" s="251">
        <f>IF(H45="Serviço",M45*L45,IF(H45="CÉLULA CONSTRUTIVA",SUMIFS($N$8:$N$352,$B$8:$B$352,B45,$H$8:$H$352,"Serviço"),IF(H45="ETAPA",SUMIFS($N$8:$N$352,$B$8:$B$352,B45,$C$8:$C$352,C45,$H$8:$H$352,"Serviço"),IF(H45="SUBETAPA",SUMIFS($N$8:$N$352,$B$8:$B$352,B45,$C$8:$C$352,C45,$D$8:$D$352,D45,$H$8:$H$352,"Serviço"),0))))</f>
        <v>4279.1000000000004</v>
      </c>
      <c r="O45" s="252"/>
      <c r="P45" s="253" t="s">
        <v>366</v>
      </c>
      <c r="Q45" s="291"/>
    </row>
    <row r="46" spans="1:17" ht="13.5" hidden="1" customHeight="1" outlineLevel="2" x14ac:dyDescent="0.2">
      <c r="A46" s="233">
        <f t="shared" ca="1" si="0"/>
        <v>0</v>
      </c>
      <c r="B46" s="233">
        <f t="shared" ca="1" si="6"/>
        <v>2</v>
      </c>
      <c r="C46" s="233">
        <f t="shared" ca="1" si="7"/>
        <v>2</v>
      </c>
      <c r="D46" s="234">
        <f t="shared" ca="1" si="8"/>
        <v>2</v>
      </c>
      <c r="E46" s="234">
        <f t="shared" ca="1" si="4"/>
        <v>9</v>
      </c>
      <c r="F46" s="244"/>
      <c r="G46" s="245"/>
      <c r="H46" s="246" t="s">
        <v>246</v>
      </c>
      <c r="I46" s="247" t="str">
        <f t="shared" ca="1" si="5"/>
        <v>02.002.002.009</v>
      </c>
      <c r="J46" s="248" t="s">
        <v>5054</v>
      </c>
      <c r="K46" s="249" t="s">
        <v>385</v>
      </c>
      <c r="L46" s="250">
        <f>Aço_Infraestrutura!L23</f>
        <v>9</v>
      </c>
      <c r="M46" s="250">
        <f>IFERROR(VLOOKUP(J46,CPU!$D$2:$H$327,5,FALSE),0)</f>
        <v>7.7962749999999996</v>
      </c>
      <c r="N46" s="251">
        <f>IF(H46="Serviço",M46*L46,IF(H46="CÉLULA CONSTRUTIVA",SUMIFS($N$8:$N$352,$B$8:$B$352,B46,$H$8:$H$352,"Serviço"),IF(H46="ETAPA",SUMIFS($N$8:$N$352,$B$8:$B$352,B46,$C$8:$C$352,C46,$H$8:$H$352,"Serviço"),IF(H46="SUBETAPA",SUMIFS($N$8:$N$352,$B$8:$B$352,B46,$C$8:$C$352,C46,$D$8:$D$352,D46,$H$8:$H$352,"Serviço"),0))))</f>
        <v>70.166474999999991</v>
      </c>
      <c r="O46" s="252"/>
      <c r="P46" s="253" t="s">
        <v>366</v>
      </c>
      <c r="Q46" s="291"/>
    </row>
    <row r="47" spans="1:17" ht="13.5" hidden="1" customHeight="1" outlineLevel="1" x14ac:dyDescent="0.2">
      <c r="A47" s="233">
        <f t="shared" ca="1" si="0"/>
        <v>0</v>
      </c>
      <c r="B47" s="233">
        <f t="shared" ca="1" si="6"/>
        <v>2</v>
      </c>
      <c r="C47" s="233">
        <f t="shared" ca="1" si="7"/>
        <v>2</v>
      </c>
      <c r="D47" s="234">
        <f t="shared" ca="1" si="8"/>
        <v>3</v>
      </c>
      <c r="E47" s="234">
        <f t="shared" ca="1" si="4"/>
        <v>0</v>
      </c>
      <c r="F47" s="244"/>
      <c r="G47" s="245"/>
      <c r="H47" s="246" t="s">
        <v>244</v>
      </c>
      <c r="I47" s="247" t="str">
        <f t="shared" ca="1" si="5"/>
        <v>02.002.003</v>
      </c>
      <c r="J47" s="248" t="s">
        <v>397</v>
      </c>
      <c r="K47" s="249"/>
      <c r="L47" s="259"/>
      <c r="M47" s="259"/>
      <c r="N47" s="251">
        <f ca="1">IF(H47="Serviço",M47*L47,IF(H47="CÉLULA CONSTRUTIVA",SUMIFS($N$8:$N$352,$B$8:$B$352,B47,$H$8:$H$352,"Serviço"),IF(H47="ETAPA",SUMIFS($N$8:$N$352,$B$8:$B$352,B47,$C$8:$C$352,C47,$H$8:$H$352,"Serviço"),IF(H47="SUBETAPA",SUMIFS($N$8:$N$352,$B$8:$B$352,B47,$C$8:$C$352,C47,$D$8:$D$352,D47,$H$8:$H$352,"Serviço"),0))))</f>
        <v>226244.18511219998</v>
      </c>
      <c r="O47" s="252"/>
      <c r="P47" s="253"/>
      <c r="Q47" s="291"/>
    </row>
    <row r="48" spans="1:17" ht="13.5" hidden="1" customHeight="1" outlineLevel="2" x14ac:dyDescent="0.2">
      <c r="A48" s="233">
        <f t="shared" ca="1" si="0"/>
        <v>0</v>
      </c>
      <c r="B48" s="233">
        <f t="shared" ca="1" si="6"/>
        <v>2</v>
      </c>
      <c r="C48" s="233">
        <f t="shared" ca="1" si="7"/>
        <v>2</v>
      </c>
      <c r="D48" s="234">
        <f t="shared" ca="1" si="8"/>
        <v>3</v>
      </c>
      <c r="E48" s="234">
        <f t="shared" ca="1" si="4"/>
        <v>1</v>
      </c>
      <c r="F48" s="244"/>
      <c r="G48" s="245"/>
      <c r="H48" s="246" t="s">
        <v>246</v>
      </c>
      <c r="I48" s="247" t="str">
        <f t="shared" ca="1" si="5"/>
        <v>02.002.003.001</v>
      </c>
      <c r="J48" s="248" t="s">
        <v>398</v>
      </c>
      <c r="K48" s="249" t="s">
        <v>365</v>
      </c>
      <c r="L48" s="250">
        <f>Aço_Infraestrutura!P23</f>
        <v>370.7285</v>
      </c>
      <c r="M48" s="250">
        <f>IFERROR(VLOOKUP(J48,CPU!$D$2:$H$327,5,FALSE),0)</f>
        <v>610.26919999999996</v>
      </c>
      <c r="N48" s="251">
        <f>IF(H48="Serviço",M48*L48,IF(H48="CÉLULA CONSTRUTIVA",SUMIFS($N$8:$N$352,$B$8:$B$352,B48,$H$8:$H$352,"Serviço"),IF(H48="ETAPA",SUMIFS($N$8:$N$352,$B$8:$B$352,B48,$C$8:$C$352,C48,$H$8:$H$352,"Serviço"),IF(H48="SUBETAPA",SUMIFS($N$8:$N$352,$B$8:$B$352,B48,$C$8:$C$352,C48,$D$8:$D$352,D48,$H$8:$H$352,"Serviço"),0))))</f>
        <v>226244.18511219998</v>
      </c>
      <c r="O48" s="252"/>
      <c r="P48" s="253" t="s">
        <v>366</v>
      </c>
      <c r="Q48" s="291"/>
    </row>
    <row r="49" spans="1:17" ht="13.5" hidden="1" customHeight="1" outlineLevel="1" x14ac:dyDescent="0.2">
      <c r="A49" s="233">
        <f t="shared" ca="1" si="0"/>
        <v>0</v>
      </c>
      <c r="B49" s="233">
        <f t="shared" ca="1" si="6"/>
        <v>2</v>
      </c>
      <c r="C49" s="233">
        <f t="shared" ca="1" si="7"/>
        <v>2</v>
      </c>
      <c r="D49" s="234">
        <f t="shared" ca="1" si="8"/>
        <v>4</v>
      </c>
      <c r="E49" s="234">
        <f t="shared" ca="1" si="4"/>
        <v>0</v>
      </c>
      <c r="F49" s="244"/>
      <c r="G49" s="245"/>
      <c r="H49" s="246" t="s">
        <v>244</v>
      </c>
      <c r="I49" s="247" t="str">
        <f t="shared" ca="1" si="5"/>
        <v>02.002.004</v>
      </c>
      <c r="J49" s="248" t="s">
        <v>399</v>
      </c>
      <c r="K49" s="249"/>
      <c r="L49" s="259"/>
      <c r="M49" s="259"/>
      <c r="N49" s="251">
        <f ca="1">IF(H49="Serviço",M49*L49,IF(H49="CÉLULA CONSTRUTIVA",SUMIFS($N$8:$N$352,$B$8:$B$352,B49,$H$8:$H$352,"Serviço"),IF(H49="ETAPA",SUMIFS($N$8:$N$352,$B$8:$B$352,B49,$C$8:$C$352,C49,$H$8:$H$352,"Serviço"),IF(H49="SUBETAPA",SUMIFS($N$8:$N$352,$B$8:$B$352,B49,$C$8:$C$352,C49,$D$8:$D$352,D49,$H$8:$H$352,"Serviço"),0))))</f>
        <v>342479.85</v>
      </c>
      <c r="O49" s="252"/>
      <c r="P49" s="253"/>
      <c r="Q49" s="291"/>
    </row>
    <row r="50" spans="1:17" ht="13.5" hidden="1" customHeight="1" outlineLevel="2" x14ac:dyDescent="0.2">
      <c r="A50" s="233">
        <f t="shared" ca="1" si="0"/>
        <v>0</v>
      </c>
      <c r="B50" s="233">
        <f t="shared" ca="1" si="6"/>
        <v>2</v>
      </c>
      <c r="C50" s="233">
        <f t="shared" ca="1" si="7"/>
        <v>2</v>
      </c>
      <c r="D50" s="234">
        <f t="shared" ca="1" si="8"/>
        <v>4</v>
      </c>
      <c r="E50" s="234">
        <f t="shared" ca="1" si="4"/>
        <v>1</v>
      </c>
      <c r="F50" s="244"/>
      <c r="G50" s="245"/>
      <c r="H50" s="246" t="s">
        <v>246</v>
      </c>
      <c r="I50" s="247" t="str">
        <f t="shared" ca="1" si="5"/>
        <v>02.002.004.001</v>
      </c>
      <c r="J50" s="248" t="s">
        <v>400</v>
      </c>
      <c r="K50" s="249" t="s">
        <v>92</v>
      </c>
      <c r="L50" s="250">
        <f>'Obra '!E15</f>
        <v>787.31</v>
      </c>
      <c r="M50" s="250">
        <f>M75*1.5</f>
        <v>435</v>
      </c>
      <c r="N50" s="251">
        <f>IF(H50="Serviço",M50*L50,IF(H50="CÉLULA CONSTRUTIVA",SUMIFS($N$8:$N$352,$B$8:$B$352,B50,$H$8:$H$352,"Serviço"),IF(H50="ETAPA",SUMIFS($N$8:$N$352,$B$8:$B$352,B50,$C$8:$C$352,C50,$H$8:$H$352,"Serviço"),IF(H50="SUBETAPA",SUMIFS($N$8:$N$352,$B$8:$B$352,B50,$C$8:$C$352,C50,$D$8:$D$352,D50,$H$8:$H$352,"Serviço"),0))))</f>
        <v>342479.85</v>
      </c>
      <c r="O50" s="252"/>
      <c r="P50" s="253" t="s">
        <v>366</v>
      </c>
      <c r="Q50" s="291"/>
    </row>
    <row r="51" spans="1:17" ht="13.5" customHeight="1" collapsed="1" x14ac:dyDescent="0.2">
      <c r="A51" s="233">
        <f t="shared" ca="1" si="0"/>
        <v>0</v>
      </c>
      <c r="B51" s="233">
        <f t="shared" ca="1" si="6"/>
        <v>3</v>
      </c>
      <c r="C51" s="233">
        <f t="shared" ca="1" si="7"/>
        <v>0</v>
      </c>
      <c r="D51" s="234">
        <f t="shared" ca="1" si="8"/>
        <v>4</v>
      </c>
      <c r="E51" s="234">
        <f t="shared" ca="1" si="4"/>
        <v>1</v>
      </c>
      <c r="F51" s="1012"/>
      <c r="G51" s="245"/>
      <c r="H51" s="246" t="s">
        <v>241</v>
      </c>
      <c r="I51" s="247" t="str">
        <f t="shared" ca="1" si="5"/>
        <v>03</v>
      </c>
      <c r="J51" s="248" t="s">
        <v>44</v>
      </c>
      <c r="K51" s="249"/>
      <c r="L51" s="250"/>
      <c r="M51" s="250"/>
      <c r="N51" s="251">
        <f ca="1">IF(H51="Serviço",M51*L51,IF(H51="CÉLULA CONSTRUTIVA",SUMIFS($N$8:$N$352,$B$8:$B$352,B51,$H$8:$H$352,"Serviço"),IF(H51="ETAPA",SUMIFS($N$8:$N$352,$B$8:$B$352,B51,$C$8:$C$352,C51,$H$8:$H$352,"Serviço"),IF(H51="SUBETAPA",SUMIFS($N$8:$N$352,$B$8:$B$352,B51,$C$8:$C$352,C51,$D$8:$D$352,D51,$H$8:$H$352,"Serviço"),0))))</f>
        <v>5123650.0413926393</v>
      </c>
      <c r="O51" s="252"/>
      <c r="P51" s="253"/>
      <c r="Q51" s="293"/>
    </row>
    <row r="52" spans="1:17" ht="13.5" hidden="1" customHeight="1" outlineLevel="1" x14ac:dyDescent="0.2">
      <c r="A52" s="233">
        <f t="shared" ca="1" si="0"/>
        <v>0</v>
      </c>
      <c r="B52" s="233">
        <f t="shared" ca="1" si="6"/>
        <v>3</v>
      </c>
      <c r="C52" s="233">
        <f t="shared" ca="1" si="7"/>
        <v>1</v>
      </c>
      <c r="D52" s="234">
        <f t="shared" ca="1" si="8"/>
        <v>0</v>
      </c>
      <c r="E52" s="234">
        <f t="shared" ca="1" si="4"/>
        <v>1</v>
      </c>
      <c r="F52" s="244"/>
      <c r="G52" s="245"/>
      <c r="H52" s="246" t="s">
        <v>37</v>
      </c>
      <c r="I52" s="247" t="str">
        <f t="shared" ca="1" si="5"/>
        <v>03.001</v>
      </c>
      <c r="J52" s="248" t="s">
        <v>44</v>
      </c>
      <c r="K52" s="249"/>
      <c r="L52" s="250"/>
      <c r="M52" s="250"/>
      <c r="N52" s="251">
        <f ca="1">IF(H52="Serviço",M52*L52,IF(H52="CÉLULA CONSTRUTIVA",SUMIFS($N$8:$N$352,$B$8:$B$352,B52,$H$8:$H$352,"Serviço"),IF(H52="ETAPA",SUMIFS($N$8:$N$352,$B$8:$B$352,B52,$C$8:$C$352,C52,$H$8:$H$352,"Serviço"),IF(H52="SUBETAPA",SUMIFS($N$8:$N$352,$B$8:$B$352,B52,$C$8:$C$352,C52,$D$8:$D$352,D52,$H$8:$H$352,"Serviço"),0))))</f>
        <v>5123650.0413926393</v>
      </c>
      <c r="O52" s="252"/>
      <c r="P52" s="253"/>
      <c r="Q52" s="291"/>
    </row>
    <row r="53" spans="1:17" ht="13.5" hidden="1" customHeight="1" outlineLevel="1" x14ac:dyDescent="0.2">
      <c r="A53" s="233">
        <f t="shared" ca="1" si="0"/>
        <v>0</v>
      </c>
      <c r="B53" s="233">
        <f t="shared" ca="1" si="6"/>
        <v>3</v>
      </c>
      <c r="C53" s="233">
        <f t="shared" ca="1" si="7"/>
        <v>1</v>
      </c>
      <c r="D53" s="234">
        <f t="shared" ca="1" si="8"/>
        <v>1</v>
      </c>
      <c r="E53" s="234">
        <f t="shared" ca="1" si="4"/>
        <v>0</v>
      </c>
      <c r="F53" s="244"/>
      <c r="G53" s="245"/>
      <c r="H53" s="246" t="s">
        <v>244</v>
      </c>
      <c r="I53" s="247" t="str">
        <f t="shared" ca="1" si="5"/>
        <v>03.001.001</v>
      </c>
      <c r="J53" s="248" t="s">
        <v>394</v>
      </c>
      <c r="K53" s="249"/>
      <c r="L53" s="259"/>
      <c r="M53" s="259"/>
      <c r="N53" s="251">
        <f ca="1">IF(H53="Serviço",M53*L53,IF(H53="CÉLULA CONSTRUTIVA",SUMIFS($N$8:$N$352,$B$8:$B$352,B53,$H$8:$H$352,"Serviço"),IF(H53="ETAPA",SUMIFS($N$8:$N$352,$B$8:$B$352,B53,$C$8:$C$352,C53,$H$8:$H$352,"Serviço"),IF(H53="SUBETAPA",SUMIFS($N$8:$N$352,$B$8:$B$352,B53,$C$8:$C$352,C53,$D$8:$D$352,D53,$H$8:$H$352,"Serviço"),0))))</f>
        <v>351912.78076783929</v>
      </c>
      <c r="O53" s="252"/>
      <c r="P53" s="253"/>
      <c r="Q53" s="291"/>
    </row>
    <row r="54" spans="1:17" ht="13.5" hidden="1" customHeight="1" outlineLevel="2" x14ac:dyDescent="0.2">
      <c r="A54" s="233">
        <f t="shared" ca="1" si="0"/>
        <v>0</v>
      </c>
      <c r="B54" s="233">
        <f t="shared" ca="1" si="6"/>
        <v>3</v>
      </c>
      <c r="C54" s="233">
        <f t="shared" ca="1" si="7"/>
        <v>1</v>
      </c>
      <c r="D54" s="234">
        <f t="shared" ca="1" si="8"/>
        <v>1</v>
      </c>
      <c r="E54" s="234">
        <f t="shared" ca="1" si="4"/>
        <v>1</v>
      </c>
      <c r="F54" s="244"/>
      <c r="G54" s="245"/>
      <c r="H54" s="246" t="s">
        <v>246</v>
      </c>
      <c r="I54" s="247" t="str">
        <f t="shared" ca="1" si="5"/>
        <v>03.001.001.001</v>
      </c>
      <c r="J54" s="255" t="s">
        <v>5057</v>
      </c>
      <c r="K54" s="249" t="s">
        <v>92</v>
      </c>
      <c r="L54" s="250">
        <f>Supraestrutura!Q25*2</f>
        <v>509.72</v>
      </c>
      <c r="M54" s="250">
        <f>IFERROR(VLOOKUP(J54,CPU!$D$2:$H$327,5,FALSE),0)</f>
        <v>110.04637403033144</v>
      </c>
      <c r="N54" s="251">
        <f>IF(H54="Serviço",M54*L54,IF(H54="CÉLULA CONSTRUTIVA",SUMIFS($N$8:$N$352,$B$8:$B$352,B54,$H$8:$H$352,"Serviço"),IF(H54="ETAPA",SUMIFS($N$8:$N$352,$B$8:$B$352,B54,$C$8:$C$352,C54,$H$8:$H$352,"Serviço"),IF(H54="SUBETAPA",SUMIFS($N$8:$N$352,$B$8:$B$352,B54,$C$8:$C$352,C54,$D$8:$D$352,D54,$H$8:$H$352,"Serviço"),0))))</f>
        <v>56092.837770740545</v>
      </c>
      <c r="O54" s="960" t="s">
        <v>5067</v>
      </c>
      <c r="P54" s="253" t="s">
        <v>366</v>
      </c>
      <c r="Q54" s="293"/>
    </row>
    <row r="55" spans="1:17" ht="13.5" hidden="1" customHeight="1" outlineLevel="2" x14ac:dyDescent="0.2">
      <c r="A55" s="233">
        <f t="shared" ca="1" si="0"/>
        <v>0</v>
      </c>
      <c r="B55" s="233">
        <f t="shared" ca="1" si="6"/>
        <v>3</v>
      </c>
      <c r="C55" s="233">
        <f t="shared" ca="1" si="7"/>
        <v>1</v>
      </c>
      <c r="D55" s="234">
        <f t="shared" ca="1" si="8"/>
        <v>1</v>
      </c>
      <c r="E55" s="234">
        <f t="shared" ca="1" si="4"/>
        <v>2</v>
      </c>
      <c r="F55" s="244"/>
      <c r="G55" s="245"/>
      <c r="H55" s="246" t="s">
        <v>246</v>
      </c>
      <c r="I55" s="247" t="str">
        <f t="shared" ca="1" si="5"/>
        <v>03.001.001.002</v>
      </c>
      <c r="J55" s="255" t="s">
        <v>5059</v>
      </c>
      <c r="K55" s="249" t="s">
        <v>92</v>
      </c>
      <c r="L55" s="250">
        <f>Supraestrutura!Q26*2</f>
        <v>1367.92</v>
      </c>
      <c r="M55" s="250">
        <f>IFERROR(VLOOKUP(J55,CPU!$D$2:$H$327,5,FALSE),0)</f>
        <v>91.288727485883811</v>
      </c>
      <c r="N55" s="251">
        <f>IF(H55="Serviço",M55*L55,IF(H55="CÉLULA CONSTRUTIVA",SUMIFS($N$8:$N$352,$B$8:$B$352,B55,$H$8:$H$352,"Serviço"),IF(H55="ETAPA",SUMIFS($N$8:$N$352,$B$8:$B$352,B55,$C$8:$C$352,C55,$H$8:$H$352,"Serviço"),IF(H55="SUBETAPA",SUMIFS($N$8:$N$352,$B$8:$B$352,B55,$C$8:$C$352,C55,$D$8:$D$352,D55,$H$8:$H$352,"Serviço"),0))))</f>
        <v>124875.67610249019</v>
      </c>
      <c r="O55" s="960" t="s">
        <v>5067</v>
      </c>
      <c r="P55" s="253" t="s">
        <v>366</v>
      </c>
      <c r="Q55" s="293"/>
    </row>
    <row r="56" spans="1:17" ht="13.5" hidden="1" customHeight="1" outlineLevel="2" x14ac:dyDescent="0.2">
      <c r="A56" s="233">
        <f t="shared" ca="1" si="0"/>
        <v>0</v>
      </c>
      <c r="B56" s="233">
        <f t="shared" ca="1" si="6"/>
        <v>3</v>
      </c>
      <c r="C56" s="233">
        <f t="shared" ca="1" si="7"/>
        <v>1</v>
      </c>
      <c r="D56" s="234">
        <f t="shared" ca="1" si="8"/>
        <v>1</v>
      </c>
      <c r="E56" s="234">
        <f t="shared" ca="1" si="4"/>
        <v>3</v>
      </c>
      <c r="F56" s="244"/>
      <c r="G56" s="245"/>
      <c r="H56" s="246" t="s">
        <v>246</v>
      </c>
      <c r="I56" s="247" t="str">
        <f t="shared" ca="1" si="5"/>
        <v>03.001.001.003</v>
      </c>
      <c r="J56" s="255" t="s">
        <v>5060</v>
      </c>
      <c r="K56" s="249" t="s">
        <v>92</v>
      </c>
      <c r="L56" s="250">
        <f>(Supraestrutura!Q27+Supraestrutura!Q28)*2</f>
        <v>1578.26</v>
      </c>
      <c r="M56" s="250">
        <f>IFERROR(VLOOKUP(J56,CPU!$D$2:$H$327,5,FALSE),0)</f>
        <v>70.96482867636</v>
      </c>
      <c r="N56" s="251">
        <f>IF(H56="Serviço",M56*L56,IF(H56="CÉLULA CONSTRUTIVA",SUMIFS($N$8:$N$352,$B$8:$B$352,B56,$H$8:$H$352,"Serviço"),IF(H56="ETAPA",SUMIFS($N$8:$N$352,$B$8:$B$352,B56,$C$8:$C$352,C56,$H$8:$H$352,"Serviço"),IF(H56="SUBETAPA",SUMIFS($N$8:$N$352,$B$8:$B$352,B56,$C$8:$C$352,C56,$D$8:$D$352,D56,$H$8:$H$352,"Serviço"),0))))</f>
        <v>112000.95050675193</v>
      </c>
      <c r="O56" s="960" t="s">
        <v>5067</v>
      </c>
      <c r="P56" s="253" t="s">
        <v>366</v>
      </c>
      <c r="Q56" s="293"/>
    </row>
    <row r="57" spans="1:17" ht="13.5" hidden="1" customHeight="1" outlineLevel="2" x14ac:dyDescent="0.2">
      <c r="A57" s="233">
        <f t="shared" ca="1" si="0"/>
        <v>0</v>
      </c>
      <c r="B57" s="233">
        <f t="shared" ca="1" si="6"/>
        <v>3</v>
      </c>
      <c r="C57" s="233">
        <f t="shared" ca="1" si="7"/>
        <v>1</v>
      </c>
      <c r="D57" s="234">
        <f t="shared" ca="1" si="8"/>
        <v>1</v>
      </c>
      <c r="E57" s="234">
        <f t="shared" ca="1" si="4"/>
        <v>4</v>
      </c>
      <c r="F57" s="244"/>
      <c r="G57" s="245"/>
      <c r="H57" s="246" t="s">
        <v>246</v>
      </c>
      <c r="I57" s="247" t="str">
        <f t="shared" ca="1" si="5"/>
        <v>03.001.001.004</v>
      </c>
      <c r="J57" s="255" t="s">
        <v>5061</v>
      </c>
      <c r="K57" s="249" t="s">
        <v>92</v>
      </c>
      <c r="L57" s="250">
        <f>Supraestrutura!Q100</f>
        <v>2693.4300000000003</v>
      </c>
      <c r="M57" s="250">
        <f>IFERROR(VLOOKUP(J57,CPU!$D$2:$H$327,5,FALSE),0)</f>
        <v>4.51</v>
      </c>
      <c r="N57" s="251">
        <f>IF(H57="Serviço",M57*L57,IF(H57="CÉLULA CONSTRUTIVA",SUMIFS($N$8:$N$352,$B$8:$B$352,B57,$H$8:$H$352,"Serviço"),IF(H57="ETAPA",SUMIFS($N$8:$N$352,$B$8:$B$352,B57,$C$8:$C$352,C57,$H$8:$H$352,"Serviço"),IF(H57="SUBETAPA",SUMIFS($N$8:$N$352,$B$8:$B$352,B57,$C$8:$C$352,C57,$D$8:$D$352,D57,$H$8:$H$352,"Serviço"),0))))</f>
        <v>12147.3693</v>
      </c>
      <c r="O57" s="960" t="s">
        <v>401</v>
      </c>
      <c r="P57" s="253" t="s">
        <v>366</v>
      </c>
      <c r="Q57" s="293"/>
    </row>
    <row r="58" spans="1:17" ht="13.5" hidden="1" customHeight="1" outlineLevel="2" x14ac:dyDescent="0.2">
      <c r="A58" s="233">
        <f t="shared" ca="1" si="0"/>
        <v>0</v>
      </c>
      <c r="B58" s="233">
        <f t="shared" ca="1" si="6"/>
        <v>3</v>
      </c>
      <c r="C58" s="233">
        <f t="shared" ca="1" si="7"/>
        <v>1</v>
      </c>
      <c r="D58" s="234">
        <f t="shared" ca="1" si="8"/>
        <v>1</v>
      </c>
      <c r="E58" s="234">
        <f t="shared" ca="1" si="4"/>
        <v>5</v>
      </c>
      <c r="F58" s="244"/>
      <c r="G58" s="245"/>
      <c r="H58" s="246" t="s">
        <v>246</v>
      </c>
      <c r="I58" s="247" t="str">
        <f t="shared" ca="1" si="5"/>
        <v>03.001.001.005</v>
      </c>
      <c r="J58" s="255" t="s">
        <v>5062</v>
      </c>
      <c r="K58" s="249" t="s">
        <v>92</v>
      </c>
      <c r="L58" s="250">
        <f>Supraestrutura!Q101+Supraestrutura!Q104</f>
        <v>3634.81</v>
      </c>
      <c r="M58" s="250">
        <f>IFERROR(VLOOKUP(J58,CPU!$D$2:$H$327,5,FALSE),0)</f>
        <v>4.5050759428571432</v>
      </c>
      <c r="N58" s="251">
        <f>IF(H58="Serviço",M58*L58,IF(H58="CÉLULA CONSTRUTIVA",SUMIFS($N$8:$N$352,$B$8:$B$352,B58,$H$8:$H$352,"Serviço"),IF(H58="ETAPA",SUMIFS($N$8:$N$352,$B$8:$B$352,B58,$C$8:$C$352,C58,$H$8:$H$352,"Serviço"),IF(H58="SUBETAPA",SUMIFS($N$8:$N$352,$B$8:$B$352,B58,$C$8:$C$352,C58,$D$8:$D$352,D58,$H$8:$H$352,"Serviço"),0))))</f>
        <v>16375.095087856573</v>
      </c>
      <c r="O58" s="960" t="s">
        <v>401</v>
      </c>
      <c r="P58" s="253" t="s">
        <v>366</v>
      </c>
      <c r="Q58" s="293"/>
    </row>
    <row r="59" spans="1:17" ht="13.5" hidden="1" customHeight="1" outlineLevel="2" x14ac:dyDescent="0.2">
      <c r="A59" s="233">
        <f t="shared" ca="1" si="0"/>
        <v>0</v>
      </c>
      <c r="B59" s="233">
        <f t="shared" ca="1" si="6"/>
        <v>3</v>
      </c>
      <c r="C59" s="233">
        <f t="shared" ca="1" si="7"/>
        <v>1</v>
      </c>
      <c r="D59" s="234">
        <f t="shared" ca="1" si="8"/>
        <v>1</v>
      </c>
      <c r="E59" s="234">
        <f t="shared" ca="1" si="4"/>
        <v>6</v>
      </c>
      <c r="F59" s="244"/>
      <c r="G59" s="245"/>
      <c r="H59" s="246" t="s">
        <v>246</v>
      </c>
      <c r="I59" s="247" t="str">
        <f t="shared" ca="1" si="5"/>
        <v>03.001.001.006</v>
      </c>
      <c r="J59" s="255" t="s">
        <v>5063</v>
      </c>
      <c r="K59" s="249" t="s">
        <v>92</v>
      </c>
      <c r="L59" s="250">
        <f>Supraestrutura!Q102+Supraestrutura!Q103</f>
        <v>6745.2000000000007</v>
      </c>
      <c r="M59" s="250">
        <f>IFERROR(VLOOKUP(J59,CPU!$D$2:$H$327,5,FALSE),0)</f>
        <v>4.51</v>
      </c>
      <c r="N59" s="251">
        <f>IF(H59="Serviço",M59*L59,IF(H59="CÉLULA CONSTRUTIVA",SUMIFS($N$8:$N$352,$B$8:$B$352,B59,$H$8:$H$352,"Serviço"),IF(H59="ETAPA",SUMIFS($N$8:$N$352,$B$8:$B$352,B59,$C$8:$C$352,C59,$H$8:$H$352,"Serviço"),IF(H59="SUBETAPA",SUMIFS($N$8:$N$352,$B$8:$B$352,B59,$C$8:$C$352,C59,$D$8:$D$352,D59,$H$8:$H$352,"Serviço"),0))))</f>
        <v>30420.852000000003</v>
      </c>
      <c r="O59" s="960" t="s">
        <v>401</v>
      </c>
      <c r="P59" s="253" t="s">
        <v>366</v>
      </c>
      <c r="Q59" s="293"/>
    </row>
    <row r="60" spans="1:17" ht="13.5" hidden="1" customHeight="1" outlineLevel="1" x14ac:dyDescent="0.2">
      <c r="A60" s="233">
        <f t="shared" ca="1" si="0"/>
        <v>0</v>
      </c>
      <c r="B60" s="233">
        <f t="shared" ca="1" si="6"/>
        <v>3</v>
      </c>
      <c r="C60" s="233">
        <f t="shared" ca="1" si="7"/>
        <v>1</v>
      </c>
      <c r="D60" s="234">
        <f t="shared" ca="1" si="8"/>
        <v>2</v>
      </c>
      <c r="E60" s="234">
        <f t="shared" ca="1" si="4"/>
        <v>0</v>
      </c>
      <c r="F60" s="244"/>
      <c r="G60" s="245"/>
      <c r="H60" s="246" t="s">
        <v>244</v>
      </c>
      <c r="I60" s="247" t="str">
        <f t="shared" ca="1" si="5"/>
        <v>03.001.002</v>
      </c>
      <c r="J60" s="248" t="s">
        <v>383</v>
      </c>
      <c r="K60" s="249"/>
      <c r="L60" s="259"/>
      <c r="M60" s="259"/>
      <c r="N60" s="251">
        <f ca="1">IF(H60="Serviço",M60*L60,IF(H60="CÉLULA CONSTRUTIVA",SUMIFS($N$8:$N$352,$B$8:$B$352,B60,$H$8:$H$352,"Serviço"),IF(H60="ETAPA",SUMIFS($N$8:$N$352,$B$8:$B$352,B60,$C$8:$C$352,C60,$H$8:$H$352,"Serviço"),IF(H60="SUBETAPA",SUMIFS($N$8:$N$352,$B$8:$B$352,B60,$C$8:$C$352,C60,$D$8:$D$352,D60,$H$8:$H$352,"Serviço"),0))))</f>
        <v>1153842.8580448001</v>
      </c>
      <c r="O60" s="252"/>
      <c r="P60" s="253"/>
      <c r="Q60" s="291"/>
    </row>
    <row r="61" spans="1:17" ht="13.5" hidden="1" customHeight="1" outlineLevel="2" x14ac:dyDescent="0.2">
      <c r="A61" s="233">
        <f t="shared" ca="1" si="0"/>
        <v>0</v>
      </c>
      <c r="B61" s="233">
        <f t="shared" ca="1" si="6"/>
        <v>3</v>
      </c>
      <c r="C61" s="233">
        <f t="shared" ca="1" si="7"/>
        <v>1</v>
      </c>
      <c r="D61" s="234">
        <f t="shared" ca="1" si="8"/>
        <v>2</v>
      </c>
      <c r="E61" s="234">
        <f t="shared" ca="1" si="4"/>
        <v>1</v>
      </c>
      <c r="F61" s="244"/>
      <c r="G61" s="245"/>
      <c r="H61" s="246" t="s">
        <v>246</v>
      </c>
      <c r="I61" s="247" t="str">
        <f t="shared" ca="1" si="5"/>
        <v>03.001.002.001</v>
      </c>
      <c r="J61" s="255" t="s">
        <v>5504</v>
      </c>
      <c r="K61" s="249" t="s">
        <v>385</v>
      </c>
      <c r="L61" s="250">
        <f>Supraestrutura!C98</f>
        <v>23273.0432</v>
      </c>
      <c r="M61" s="250">
        <f>IFERROR(VLOOKUP(J61,CPU!$D$2:$H$327,5,FALSE),0)</f>
        <v>7.4562749999999998</v>
      </c>
      <c r="N61" s="251">
        <f>IF(H61="Serviço",M61*L61,IF(H61="CÉLULA CONSTRUTIVA",SUMIFS($N$8:$N$352,$B$8:$B$352,B61,$H$8:$H$352,"Serviço"),IF(H61="ETAPA",SUMIFS($N$8:$N$352,$B$8:$B$352,B61,$C$8:$C$352,C61,$H$8:$H$352,"Serviço"),IF(H61="SUBETAPA",SUMIFS($N$8:$N$352,$B$8:$B$352,B61,$C$8:$C$352,C61,$D$8:$D$352,D61,$H$8:$H$352,"Serviço"),0))))</f>
        <v>173530.21018607999</v>
      </c>
      <c r="O61" s="960" t="s">
        <v>5066</v>
      </c>
      <c r="P61" s="253" t="s">
        <v>366</v>
      </c>
      <c r="Q61" s="293"/>
    </row>
    <row r="62" spans="1:17" ht="13.5" hidden="1" customHeight="1" outlineLevel="2" x14ac:dyDescent="0.2">
      <c r="A62" s="233">
        <f t="shared" ca="1" si="0"/>
        <v>0</v>
      </c>
      <c r="B62" s="233">
        <f t="shared" ca="1" si="6"/>
        <v>3</v>
      </c>
      <c r="C62" s="233">
        <f t="shared" ca="1" si="7"/>
        <v>1</v>
      </c>
      <c r="D62" s="234">
        <f t="shared" ca="1" si="8"/>
        <v>2</v>
      </c>
      <c r="E62" s="234">
        <f t="shared" ca="1" si="4"/>
        <v>2</v>
      </c>
      <c r="F62" s="244"/>
      <c r="G62" s="245"/>
      <c r="H62" s="246" t="s">
        <v>246</v>
      </c>
      <c r="I62" s="247" t="str">
        <f t="shared" ca="1" si="5"/>
        <v>03.001.002.002</v>
      </c>
      <c r="J62" s="255" t="s">
        <v>5505</v>
      </c>
      <c r="K62" s="249" t="s">
        <v>385</v>
      </c>
      <c r="L62" s="250">
        <f>Supraestrutura!D98</f>
        <v>22828.537600000003</v>
      </c>
      <c r="M62" s="250">
        <f>IFERROR(VLOOKUP(J62,CPU!$D$2:$H$327,5,FALSE),0)</f>
        <v>7.4562749999999998</v>
      </c>
      <c r="N62" s="251">
        <f>IF(H62="Serviço",M62*L62,IF(H62="CÉLULA CONSTRUTIVA",SUMIFS($N$8:$N$352,$B$8:$B$352,B62,$H$8:$H$352,"Serviço"),IF(H62="ETAPA",SUMIFS($N$8:$N$352,$B$8:$B$352,B62,$C$8:$C$352,C62,$H$8:$H$352,"Serviço"),IF(H62="SUBETAPA",SUMIFS($N$8:$N$352,$B$8:$B$352,B62,$C$8:$C$352,C62,$D$8:$D$352,D62,$H$8:$H$352,"Serviço"),0))))</f>
        <v>170215.85419344003</v>
      </c>
      <c r="O62" s="960" t="s">
        <v>5066</v>
      </c>
      <c r="P62" s="253" t="s">
        <v>366</v>
      </c>
      <c r="Q62" s="293"/>
    </row>
    <row r="63" spans="1:17" ht="13.5" hidden="1" customHeight="1" outlineLevel="2" x14ac:dyDescent="0.2">
      <c r="A63" s="233">
        <f t="shared" ca="1" si="0"/>
        <v>0</v>
      </c>
      <c r="B63" s="233">
        <f t="shared" ca="1" si="6"/>
        <v>3</v>
      </c>
      <c r="C63" s="233">
        <f t="shared" ca="1" si="7"/>
        <v>1</v>
      </c>
      <c r="D63" s="234">
        <f t="shared" ca="1" si="8"/>
        <v>2</v>
      </c>
      <c r="E63" s="234">
        <f t="shared" ca="1" si="4"/>
        <v>3</v>
      </c>
      <c r="F63" s="244"/>
      <c r="G63" s="245"/>
      <c r="H63" s="246" t="s">
        <v>246</v>
      </c>
      <c r="I63" s="247" t="str">
        <f t="shared" ca="1" si="5"/>
        <v>03.001.002.003</v>
      </c>
      <c r="J63" s="255" t="s">
        <v>5506</v>
      </c>
      <c r="K63" s="249" t="s">
        <v>385</v>
      </c>
      <c r="L63" s="250">
        <f>Supraestrutura!E98</f>
        <v>41862.902399999999</v>
      </c>
      <c r="M63" s="250">
        <f>IFERROR(VLOOKUP(J63,CPU!$D$2:$H$327,5,FALSE),0)</f>
        <v>7.1662749999999997</v>
      </c>
      <c r="N63" s="251">
        <f>IF(H63="Serviço",M63*L63,IF(H63="CÉLULA CONSTRUTIVA",SUMIFS($N$8:$N$352,$B$8:$B$352,B63,$H$8:$H$352,"Serviço"),IF(H63="ETAPA",SUMIFS($N$8:$N$352,$B$8:$B$352,B63,$C$8:$C$352,C63,$H$8:$H$352,"Serviço"),IF(H63="SUBETAPA",SUMIFS($N$8:$N$352,$B$8:$B$352,B63,$C$8:$C$352,C63,$D$8:$D$352,D63,$H$8:$H$352,"Serviço"),0))))</f>
        <v>300001.07089655998</v>
      </c>
      <c r="O63" s="960" t="s">
        <v>5066</v>
      </c>
      <c r="P63" s="253" t="s">
        <v>366</v>
      </c>
      <c r="Q63" s="293"/>
    </row>
    <row r="64" spans="1:17" ht="13.5" hidden="1" customHeight="1" outlineLevel="2" x14ac:dyDescent="0.2">
      <c r="A64" s="233">
        <f t="shared" ca="1" si="0"/>
        <v>0</v>
      </c>
      <c r="B64" s="233">
        <f t="shared" ca="1" si="6"/>
        <v>3</v>
      </c>
      <c r="C64" s="233">
        <f t="shared" ca="1" si="7"/>
        <v>1</v>
      </c>
      <c r="D64" s="234">
        <f t="shared" ca="1" si="8"/>
        <v>2</v>
      </c>
      <c r="E64" s="234">
        <f t="shared" ca="1" si="4"/>
        <v>4</v>
      </c>
      <c r="F64" s="244"/>
      <c r="G64" s="245"/>
      <c r="H64" s="246" t="s">
        <v>246</v>
      </c>
      <c r="I64" s="247" t="str">
        <f t="shared" ca="1" si="5"/>
        <v>03.001.002.004</v>
      </c>
      <c r="J64" s="255" t="s">
        <v>5507</v>
      </c>
      <c r="K64" s="249" t="s">
        <v>385</v>
      </c>
      <c r="L64" s="250">
        <f>Supraestrutura!F98</f>
        <v>24463.683200000003</v>
      </c>
      <c r="M64" s="250">
        <f>IFERROR(VLOOKUP(J64,CPU!$D$2:$H$327,5,FALSE),0)</f>
        <v>6.9962749999999998</v>
      </c>
      <c r="N64" s="251">
        <f>IF(H64="Serviço",M64*L64,IF(H64="CÉLULA CONSTRUTIVA",SUMIFS($N$8:$N$352,$B$8:$B$352,B64,$H$8:$H$352,"Serviço"),IF(H64="ETAPA",SUMIFS($N$8:$N$352,$B$8:$B$352,B64,$C$8:$C$352,C64,$H$8:$H$352,"Serviço"),IF(H64="SUBETAPA",SUMIFS($N$8:$N$352,$B$8:$B$352,B64,$C$8:$C$352,C64,$D$8:$D$352,D64,$H$8:$H$352,"Serviço"),0))))</f>
        <v>171154.65518008001</v>
      </c>
      <c r="O64" s="960" t="s">
        <v>5066</v>
      </c>
      <c r="P64" s="253" t="s">
        <v>366</v>
      </c>
      <c r="Q64" s="293"/>
    </row>
    <row r="65" spans="1:19" ht="13.5" hidden="1" customHeight="1" outlineLevel="2" x14ac:dyDescent="0.2">
      <c r="A65" s="233">
        <f t="shared" ca="1" si="0"/>
        <v>0</v>
      </c>
      <c r="B65" s="233">
        <f t="shared" ca="1" si="6"/>
        <v>3</v>
      </c>
      <c r="C65" s="233">
        <f t="shared" ca="1" si="7"/>
        <v>1</v>
      </c>
      <c r="D65" s="234">
        <f t="shared" ca="1" si="8"/>
        <v>2</v>
      </c>
      <c r="E65" s="234">
        <f t="shared" ca="1" si="4"/>
        <v>5</v>
      </c>
      <c r="F65" s="244"/>
      <c r="G65" s="245"/>
      <c r="H65" s="246" t="s">
        <v>246</v>
      </c>
      <c r="I65" s="247" t="str">
        <f t="shared" ca="1" si="5"/>
        <v>03.001.002.005</v>
      </c>
      <c r="J65" s="255" t="s">
        <v>5508</v>
      </c>
      <c r="K65" s="249" t="s">
        <v>385</v>
      </c>
      <c r="L65" s="250">
        <f>Supraestrutura!G98</f>
        <v>23146.0416</v>
      </c>
      <c r="M65" s="250">
        <f>IFERROR(VLOOKUP(J65,CPU!$D$2:$H$327,5,FALSE),0)</f>
        <v>7.3167749999999998</v>
      </c>
      <c r="N65" s="251">
        <f>IF(H65="Serviço",M65*L65,IF(H65="CÉLULA CONSTRUTIVA",SUMIFS($N$8:$N$352,$B$8:$B$352,B65,$H$8:$H$352,"Serviço"),IF(H65="ETAPA",SUMIFS($N$8:$N$352,$B$8:$B$352,B65,$C$8:$C$352,C65,$H$8:$H$352,"Serviço"),IF(H65="SUBETAPA",SUMIFS($N$8:$N$352,$B$8:$B$352,B65,$C$8:$C$352,C65,$D$8:$D$352,D65,$H$8:$H$352,"Serviço"),0))))</f>
        <v>169354.37852783999</v>
      </c>
      <c r="O65" s="960" t="s">
        <v>5066</v>
      </c>
      <c r="P65" s="253" t="s">
        <v>366</v>
      </c>
      <c r="Q65" s="293"/>
    </row>
    <row r="66" spans="1:19" ht="13.5" hidden="1" customHeight="1" outlineLevel="2" x14ac:dyDescent="0.2">
      <c r="A66" s="233">
        <f t="shared" ca="1" si="0"/>
        <v>0</v>
      </c>
      <c r="B66" s="233">
        <f t="shared" ca="1" si="6"/>
        <v>3</v>
      </c>
      <c r="C66" s="233">
        <f t="shared" ca="1" si="7"/>
        <v>1</v>
      </c>
      <c r="D66" s="234">
        <f t="shared" ca="1" si="8"/>
        <v>2</v>
      </c>
      <c r="E66" s="234">
        <f t="shared" ca="1" si="4"/>
        <v>6</v>
      </c>
      <c r="F66" s="244"/>
      <c r="G66" s="245"/>
      <c r="H66" s="246" t="s">
        <v>246</v>
      </c>
      <c r="I66" s="247" t="str">
        <f t="shared" ca="1" si="5"/>
        <v>03.001.002.006</v>
      </c>
      <c r="J66" s="255" t="s">
        <v>5509</v>
      </c>
      <c r="K66" s="249" t="s">
        <v>385</v>
      </c>
      <c r="L66" s="250">
        <f>Supraestrutura!H98</f>
        <v>19161.366399999999</v>
      </c>
      <c r="M66" s="250">
        <f>IFERROR(VLOOKUP(J66,CPU!$D$2:$H$327,5,FALSE),0)</f>
        <v>7.3167749999999998</v>
      </c>
      <c r="N66" s="251">
        <f>IF(H66="Serviço",M66*L66,IF(H66="CÉLULA CONSTRUTIVA",SUMIFS($N$8:$N$352,$B$8:$B$352,B66,$H$8:$H$352,"Serviço"),IF(H66="ETAPA",SUMIFS($N$8:$N$352,$B$8:$B$352,B66,$C$8:$C$352,C66,$H$8:$H$352,"Serviço"),IF(H66="SUBETAPA",SUMIFS($N$8:$N$352,$B$8:$B$352,B66,$C$8:$C$352,C66,$D$8:$D$352,D66,$H$8:$H$352,"Serviço"),0))))</f>
        <v>140199.40664135999</v>
      </c>
      <c r="O66" s="960" t="s">
        <v>5066</v>
      </c>
      <c r="P66" s="253" t="s">
        <v>366</v>
      </c>
      <c r="Q66" s="293"/>
    </row>
    <row r="67" spans="1:19" ht="13.5" hidden="1" customHeight="1" outlineLevel="2" x14ac:dyDescent="0.2">
      <c r="A67" s="233">
        <f t="shared" ca="1" si="0"/>
        <v>0</v>
      </c>
      <c r="B67" s="233">
        <f t="shared" ca="1" si="6"/>
        <v>3</v>
      </c>
      <c r="C67" s="233">
        <f t="shared" ca="1" si="7"/>
        <v>1</v>
      </c>
      <c r="D67" s="234">
        <f t="shared" ca="1" si="8"/>
        <v>2</v>
      </c>
      <c r="E67" s="234">
        <f t="shared" ca="1" si="4"/>
        <v>7</v>
      </c>
      <c r="F67" s="244"/>
      <c r="G67" s="245"/>
      <c r="H67" s="246" t="s">
        <v>246</v>
      </c>
      <c r="I67" s="247" t="str">
        <f t="shared" ca="1" si="5"/>
        <v>03.001.002.007</v>
      </c>
      <c r="J67" s="294" t="s">
        <v>5510</v>
      </c>
      <c r="K67" s="249" t="s">
        <v>385</v>
      </c>
      <c r="L67" s="250">
        <f>Supraestrutura!I98</f>
        <v>4016.4256</v>
      </c>
      <c r="M67" s="250">
        <f>IFERROR(VLOOKUP(J67,CPU!$D$2:$H$327,5,FALSE),0)</f>
        <v>7.3167749999999998</v>
      </c>
      <c r="N67" s="251">
        <f>IF(H67="Serviço",M67*L67,IF(H67="CÉLULA CONSTRUTIVA",SUMIFS($N$8:$N$352,$B$8:$B$352,B67,$H$8:$H$352,"Serviço"),IF(H67="ETAPA",SUMIFS($N$8:$N$352,$B$8:$B$352,B67,$C$8:$C$352,C67,$H$8:$H$352,"Serviço"),IF(H67="SUBETAPA",SUMIFS($N$8:$N$352,$B$8:$B$352,B67,$C$8:$C$352,C67,$D$8:$D$352,D67,$H$8:$H$352,"Serviço"),0))))</f>
        <v>29387.282419439998</v>
      </c>
      <c r="O67" s="960" t="s">
        <v>5066</v>
      </c>
      <c r="P67" s="253" t="s">
        <v>366</v>
      </c>
      <c r="Q67" s="293"/>
    </row>
    <row r="68" spans="1:19" ht="13.5" hidden="1" customHeight="1" outlineLevel="1" x14ac:dyDescent="0.2">
      <c r="A68" s="233">
        <f t="shared" ca="1" si="0"/>
        <v>0</v>
      </c>
      <c r="B68" s="233">
        <f t="shared" ca="1" si="6"/>
        <v>3</v>
      </c>
      <c r="C68" s="233">
        <f t="shared" ca="1" si="7"/>
        <v>1</v>
      </c>
      <c r="D68" s="234">
        <f t="shared" ca="1" si="8"/>
        <v>3</v>
      </c>
      <c r="E68" s="234">
        <f t="shared" ca="1" si="4"/>
        <v>0</v>
      </c>
      <c r="F68" s="244"/>
      <c r="G68" s="245"/>
      <c r="H68" s="246" t="s">
        <v>244</v>
      </c>
      <c r="I68" s="247" t="str">
        <f t="shared" ca="1" si="5"/>
        <v>03.001.003</v>
      </c>
      <c r="J68" s="248" t="s">
        <v>402</v>
      </c>
      <c r="K68" s="249"/>
      <c r="L68" s="259"/>
      <c r="M68" s="259"/>
      <c r="N68" s="251">
        <f ca="1">IF(H68="Serviço",M68*L68,IF(H68="CÉLULA CONSTRUTIVA",SUMIFS($N$8:$N$352,$B$8:$B$352,B68,$H$8:$H$352,"Serviço"),IF(H68="ETAPA",SUMIFS($N$8:$N$352,$B$8:$B$352,B68,$C$8:$C$352,C68,$H$8:$H$352,"Serviço"),IF(H68="SUBETAPA",SUMIFS($N$8:$N$352,$B$8:$B$352,B68,$C$8:$C$352,C68,$D$8:$D$352,D68,$H$8:$H$352,"Serviço"),0))))</f>
        <v>1050904.8964799999</v>
      </c>
      <c r="O68" s="252"/>
      <c r="P68" s="253"/>
      <c r="Q68" s="291"/>
    </row>
    <row r="69" spans="1:19" ht="12.75" hidden="1" customHeight="1" outlineLevel="2" x14ac:dyDescent="0.2">
      <c r="A69" s="233">
        <f t="shared" ca="1" si="0"/>
        <v>0</v>
      </c>
      <c r="B69" s="233">
        <f t="shared" ca="1" si="6"/>
        <v>3</v>
      </c>
      <c r="C69" s="233">
        <f t="shared" ca="1" si="7"/>
        <v>1</v>
      </c>
      <c r="D69" s="234">
        <f t="shared" ca="1" si="8"/>
        <v>3</v>
      </c>
      <c r="E69" s="234">
        <f t="shared" ca="1" si="4"/>
        <v>1</v>
      </c>
      <c r="F69" s="244"/>
      <c r="G69" s="245"/>
      <c r="H69" s="246" t="s">
        <v>246</v>
      </c>
      <c r="I69" s="247" t="str">
        <f t="shared" ca="1" si="5"/>
        <v>03.001.003.001</v>
      </c>
      <c r="J69" s="255" t="s">
        <v>403</v>
      </c>
      <c r="K69" s="249" t="s">
        <v>365</v>
      </c>
      <c r="L69" s="250">
        <f>Supraestrutura!P97</f>
        <v>1723.4729999999997</v>
      </c>
      <c r="M69" s="250">
        <f>IFERROR(VLOOKUP(J69,CPU!$D$2:$H$327,5,FALSE),0)</f>
        <v>609.76</v>
      </c>
      <c r="N69" s="251">
        <f>IF(H69="Serviço",M69*L69,IF(H69="CÉLULA CONSTRUTIVA",SUMIFS($N$8:$N$352,$B$8:$B$352,B69,$H$8:$H$352,"Serviço"),IF(H69="ETAPA",SUMIFS($N$8:$N$352,$B$8:$B$352,B69,$C$8:$C$352,C69,$H$8:$H$352,"Serviço"),IF(H69="SUBETAPA",SUMIFS($N$8:$N$352,$B$8:$B$352,B69,$C$8:$C$352,C69,$D$8:$D$352,D69,$H$8:$H$352,"Serviço"),0))))</f>
        <v>1050904.8964799999</v>
      </c>
      <c r="O69" s="252" t="s">
        <v>401</v>
      </c>
      <c r="P69" s="253" t="s">
        <v>366</v>
      </c>
      <c r="Q69" s="293"/>
    </row>
    <row r="70" spans="1:19" ht="13.5" hidden="1" customHeight="1" outlineLevel="1" x14ac:dyDescent="0.2">
      <c r="A70" s="233">
        <f t="shared" ca="1" si="0"/>
        <v>0</v>
      </c>
      <c r="B70" s="233">
        <f t="shared" ca="1" si="6"/>
        <v>3</v>
      </c>
      <c r="C70" s="233">
        <f t="shared" ca="1" si="7"/>
        <v>1</v>
      </c>
      <c r="D70" s="234">
        <f t="shared" ca="1" si="8"/>
        <v>4</v>
      </c>
      <c r="E70" s="234">
        <f t="shared" ca="1" si="4"/>
        <v>0</v>
      </c>
      <c r="F70" s="244"/>
      <c r="G70" s="245"/>
      <c r="H70" s="246" t="s">
        <v>244</v>
      </c>
      <c r="I70" s="247" t="str">
        <f t="shared" ca="1" si="5"/>
        <v>03.001.004</v>
      </c>
      <c r="J70" s="248" t="s">
        <v>404</v>
      </c>
      <c r="K70" s="249"/>
      <c r="L70" s="259"/>
      <c r="M70" s="259"/>
      <c r="N70" s="251">
        <f ca="1">IF(H70="Serviço",M70*L70,IF(H70="CÉLULA CONSTRUTIVA",SUMIFS($N$8:$N$352,$B$8:$B$352,B70,$H$8:$H$352,"Serviço"),IF(H70="ETAPA",SUMIFS($N$8:$N$352,$B$8:$B$352,B70,$C$8:$C$352,C70,$H$8:$H$352,"Serviço"),IF(H70="SUBETAPA",SUMIFS($N$8:$N$352,$B$8:$B$352,B70,$C$8:$C$352,C70,$D$8:$D$352,D70,$H$8:$H$352,"Serviço"),0))))</f>
        <v>342295.10609999998</v>
      </c>
      <c r="O70" s="252"/>
      <c r="P70" s="253"/>
      <c r="Q70" s="291"/>
    </row>
    <row r="71" spans="1:19" ht="13.5" hidden="1" customHeight="1" outlineLevel="2" x14ac:dyDescent="0.2">
      <c r="A71" s="233">
        <f t="shared" ca="1" si="0"/>
        <v>0</v>
      </c>
      <c r="B71" s="233">
        <f t="shared" ca="1" si="6"/>
        <v>3</v>
      </c>
      <c r="C71" s="233">
        <f t="shared" ca="1" si="7"/>
        <v>1</v>
      </c>
      <c r="D71" s="234">
        <f t="shared" ref="D71:D129" ca="1" si="9">IF(H71="ETAPA",0,IF(H71="SUBETAPA",OFFSET(D71,-1,0)+1,OFFSET(D71,-1,0)))</f>
        <v>4</v>
      </c>
      <c r="E71" s="234">
        <f t="shared" ca="1" si="4"/>
        <v>1</v>
      </c>
      <c r="F71" s="244"/>
      <c r="G71" s="245"/>
      <c r="H71" s="246" t="s">
        <v>246</v>
      </c>
      <c r="I71" s="247" t="str">
        <f t="shared" ca="1" si="5"/>
        <v>03.001.004.001</v>
      </c>
      <c r="J71" s="965" t="s">
        <v>5069</v>
      </c>
      <c r="K71" s="249" t="s">
        <v>88</v>
      </c>
      <c r="L71" s="250">
        <f>Supraestrutura!S22+Supraestrutura!T22+Supraestrutura!S28+Supraestrutura!T28</f>
        <v>2732</v>
      </c>
      <c r="M71" s="250">
        <f>M72</f>
        <v>12.65</v>
      </c>
      <c r="N71" s="251">
        <f>IF(H71="Serviço",M71*L71,IF(H71="CÉLULA CONSTRUTIVA",SUMIFS($N$8:$N$352,$B$8:$B$352,B71,$H$8:$H$352,"Serviço"),IF(H71="ETAPA",SUMIFS($N$8:$N$352,$B$8:$B$352,B71,$C$8:$C$352,C71,$H$8:$H$352,"Serviço"),IF(H71="SUBETAPA",SUMIFS($N$8:$N$352,$B$8:$B$352,B71,$C$8:$C$352,C71,$D$8:$D$352,D71,$H$8:$H$352,"Serviço"),0))))</f>
        <v>34559.800000000003</v>
      </c>
      <c r="O71" s="252"/>
      <c r="P71" s="253" t="s">
        <v>366</v>
      </c>
      <c r="Q71" s="293"/>
    </row>
    <row r="72" spans="1:19" ht="13.5" hidden="1" customHeight="1" outlineLevel="2" x14ac:dyDescent="0.2">
      <c r="A72" s="233">
        <f t="shared" ref="A72:A128" ca="1" si="10">IF($H72="UNIDADE CONSTRUTIVA",OFFSET(A72,-1,0)+1,LARGE(A$3:A71,1))</f>
        <v>0</v>
      </c>
      <c r="B72" s="233">
        <f t="shared" ca="1" si="6"/>
        <v>3</v>
      </c>
      <c r="C72" s="233">
        <f t="shared" ca="1" si="7"/>
        <v>1</v>
      </c>
      <c r="D72" s="234">
        <f t="shared" ref="D72" ca="1" si="11">IF(H72="ETAPA",0,IF(H72="SUBETAPA",OFFSET(D72,-1,0)+1,OFFSET(D72,-1,0)))</f>
        <v>4</v>
      </c>
      <c r="E72" s="234">
        <f t="shared" ref="E72" ca="1" si="12">IF(H72="Subetapa",0,IF(H72="serviço",OFFSET(E72,-1,0)+1,OFFSET(E72,-1,0)))</f>
        <v>2</v>
      </c>
      <c r="F72" s="244"/>
      <c r="G72" s="245"/>
      <c r="H72" s="246" t="s">
        <v>246</v>
      </c>
      <c r="I72" s="247" t="str">
        <f t="shared" ref="I72" ca="1" si="13">IF(H72="Unidade Construtiva",TEXT(A72,"00"),IF(H72="Célula Construtiva",TEXT(B72,"00"),IF(H72="Etapa",CONCATENATE(TEXT(B72,"00"),".",TEXT(C72,"000")),IF(H72="Subetapa",CONCATENATE(TEXT(B72,"00"),".",TEXT(C72,"000"),".",TEXT(D72,"000")),IF(H72="Serviço",CONCATENATE(TEXT(B72,"00"),".",TEXT(C72,"000"),".",TEXT(D72,"000"),".",TEXT(E72,"000")),"")))))</f>
        <v>03.001.004.002</v>
      </c>
      <c r="J72" s="965" t="s">
        <v>5070</v>
      </c>
      <c r="K72" s="249" t="s">
        <v>88</v>
      </c>
      <c r="L72" s="250">
        <f>Supraestrutura!S97+Supraestrutura!T97-L71</f>
        <v>9322</v>
      </c>
      <c r="M72" s="250">
        <f>12.65</f>
        <v>12.65</v>
      </c>
      <c r="N72" s="251">
        <f>IF(H72="Serviço",M72*L72,IF(H72="CÉLULA CONSTRUTIVA",SUMIFS($N$8:$N$352,$B$8:$B$352,B72,$H$8:$H$352,"Serviço"),IF(H72="ETAPA",SUMIFS($N$8:$N$352,$B$8:$B$352,B72,$C$8:$C$352,C72,$H$8:$H$352,"Serviço"),IF(H72="SUBETAPA",SUMIFS($N$8:$N$352,$B$8:$B$352,B72,$C$8:$C$352,C72,$D$8:$D$352,D72,$H$8:$H$352,"Serviço"),0))))</f>
        <v>117923.3</v>
      </c>
      <c r="O72" s="252"/>
      <c r="P72" s="253" t="s">
        <v>366</v>
      </c>
      <c r="Q72" s="293"/>
    </row>
    <row r="73" spans="1:19" ht="13.5" hidden="1" customHeight="1" outlineLevel="2" x14ac:dyDescent="0.2">
      <c r="A73" s="233">
        <f t="shared" ca="1" si="10"/>
        <v>0</v>
      </c>
      <c r="B73" s="233">
        <f t="shared" ref="B73:B129" ca="1" si="14">IF(H73="UNIDADE CONSTRUTIVA",0,IF(H73="CÉLULA CONSTRUTIVA",OFFSET(B73,-1,0)+1,OFFSET(B73,-1,0)))</f>
        <v>3</v>
      </c>
      <c r="C73" s="233">
        <f t="shared" ref="C73:C129" ca="1" si="15">IF(H73="CÉLULA CONSTRUTIVA",0,IF(H73="ETAPA",OFFSET(C73,-1,0)+1,OFFSET(C73,-1,0)))</f>
        <v>1</v>
      </c>
      <c r="D73" s="234">
        <f t="shared" ca="1" si="9"/>
        <v>4</v>
      </c>
      <c r="E73" s="234">
        <f t="shared" ca="1" si="4"/>
        <v>3</v>
      </c>
      <c r="F73" s="244"/>
      <c r="G73" s="245"/>
      <c r="H73" s="246" t="s">
        <v>246</v>
      </c>
      <c r="I73" s="247" t="str">
        <f t="shared" ca="1" si="5"/>
        <v>03.001.004.003</v>
      </c>
      <c r="J73" s="965" t="s">
        <v>5071</v>
      </c>
      <c r="K73" s="249" t="s">
        <v>92</v>
      </c>
      <c r="L73" s="250">
        <f>'Obra '!E9-'Obra '!E15</f>
        <v>6884.73</v>
      </c>
      <c r="M73" s="250">
        <v>27.57</v>
      </c>
      <c r="N73" s="251">
        <f>IF(H73="Serviço",M73*L73,IF(H73="CÉLULA CONSTRUTIVA",SUMIFS($N$8:$N$352,$B$8:$B$352,B73,$H$8:$H$352,"Serviço"),IF(H73="ETAPA",SUMIFS($N$8:$N$352,$B$8:$B$352,B73,$C$8:$C$352,C73,$H$8:$H$352,"Serviço"),IF(H73="SUBETAPA",SUMIFS($N$8:$N$352,$B$8:$B$352,B73,$C$8:$C$352,C73,$D$8:$D$352,D73,$H$8:$H$352,"Serviço"),0))))</f>
        <v>189812.0061</v>
      </c>
      <c r="O73" s="252"/>
      <c r="P73" s="253" t="s">
        <v>366</v>
      </c>
      <c r="Q73" s="293"/>
    </row>
    <row r="74" spans="1:19" ht="13.5" hidden="1" customHeight="1" outlineLevel="1" x14ac:dyDescent="0.2">
      <c r="A74" s="233">
        <f t="shared" ca="1" si="10"/>
        <v>0</v>
      </c>
      <c r="B74" s="233">
        <f t="shared" ca="1" si="14"/>
        <v>3</v>
      </c>
      <c r="C74" s="233">
        <f t="shared" ca="1" si="15"/>
        <v>1</v>
      </c>
      <c r="D74" s="234">
        <f t="shared" ca="1" si="9"/>
        <v>5</v>
      </c>
      <c r="E74" s="234">
        <f t="shared" ca="1" si="4"/>
        <v>0</v>
      </c>
      <c r="F74" s="244"/>
      <c r="G74" s="245"/>
      <c r="H74" s="246" t="s">
        <v>244</v>
      </c>
      <c r="I74" s="247" t="str">
        <f t="shared" ca="1" si="5"/>
        <v>03.001.005</v>
      </c>
      <c r="J74" s="248" t="s">
        <v>405</v>
      </c>
      <c r="K74" s="249"/>
      <c r="L74" s="259"/>
      <c r="M74" s="259"/>
      <c r="N74" s="251">
        <f ca="1">IF(H74="Serviço",M74*L74,IF(H74="CÉLULA CONSTRUTIVA",SUMIFS($N$8:$N$352,$B$8:$B$352,B74,$H$8:$H$352,"Serviço"),IF(H74="ETAPA",SUMIFS($N$8:$N$352,$B$8:$B$352,B74,$C$8:$C$352,C74,$H$8:$H$352,"Serviço"),IF(H74="SUBETAPA",SUMIFS($N$8:$N$352,$B$8:$B$352,B74,$C$8:$C$352,C74,$D$8:$D$352,D74,$H$8:$H$352,"Serviço"),0))))</f>
        <v>2224694.4000000004</v>
      </c>
      <c r="O74" s="252"/>
      <c r="P74" s="253"/>
      <c r="Q74" s="291"/>
    </row>
    <row r="75" spans="1:19" ht="13.5" hidden="1" customHeight="1" outlineLevel="2" x14ac:dyDescent="0.2">
      <c r="A75" s="233">
        <f t="shared" ca="1" si="10"/>
        <v>0</v>
      </c>
      <c r="B75" s="233">
        <f t="shared" ca="1" si="14"/>
        <v>3</v>
      </c>
      <c r="C75" s="233">
        <f t="shared" ca="1" si="15"/>
        <v>1</v>
      </c>
      <c r="D75" s="234">
        <f t="shared" ca="1" si="9"/>
        <v>5</v>
      </c>
      <c r="E75" s="234">
        <f t="shared" ca="1" si="4"/>
        <v>1</v>
      </c>
      <c r="F75" s="244"/>
      <c r="G75" s="245"/>
      <c r="H75" s="246" t="s">
        <v>246</v>
      </c>
      <c r="I75" s="247" t="str">
        <f t="shared" ca="1" si="5"/>
        <v>03.001.005.001</v>
      </c>
      <c r="J75" s="248" t="s">
        <v>406</v>
      </c>
      <c r="K75" s="249" t="s">
        <v>92</v>
      </c>
      <c r="L75" s="250">
        <f>SUM('Obra '!E15:E30)</f>
        <v>7671.3600000000015</v>
      </c>
      <c r="M75" s="250">
        <v>290</v>
      </c>
      <c r="N75" s="251">
        <f>IF(H75="Serviço",M75*L75,IF(H75="CÉLULA CONSTRUTIVA",SUMIFS($N$8:$N$352,$B$8:$B$352,B75,$H$8:$H$352,"Serviço"),IF(H75="ETAPA",SUMIFS($N$8:$N$352,$B$8:$B$352,B75,$C$8:$C$352,C75,$H$8:$H$352,"Serviço"),IF(H75="SUBETAPA",SUMIFS($N$8:$N$352,$B$8:$B$352,B75,$C$8:$C$352,C75,$D$8:$D$352,D75,$H$8:$H$352,"Serviço"),0))))</f>
        <v>2224694.4000000004</v>
      </c>
      <c r="O75" s="252"/>
      <c r="P75" s="253" t="s">
        <v>366</v>
      </c>
      <c r="Q75" s="293"/>
    </row>
    <row r="76" spans="1:19" ht="13.5" customHeight="1" collapsed="1" x14ac:dyDescent="0.2">
      <c r="A76" s="233">
        <f t="shared" ca="1" si="10"/>
        <v>0</v>
      </c>
      <c r="B76" s="233">
        <f t="shared" ca="1" si="14"/>
        <v>4</v>
      </c>
      <c r="C76" s="233">
        <f t="shared" ca="1" si="15"/>
        <v>0</v>
      </c>
      <c r="D76" s="234">
        <f t="shared" ca="1" si="9"/>
        <v>5</v>
      </c>
      <c r="E76" s="234">
        <f t="shared" ca="1" si="4"/>
        <v>1</v>
      </c>
      <c r="F76" s="1012"/>
      <c r="G76" s="245"/>
      <c r="H76" s="246" t="s">
        <v>241</v>
      </c>
      <c r="I76" s="247" t="str">
        <f t="shared" ca="1" si="5"/>
        <v>04</v>
      </c>
      <c r="J76" s="248" t="s">
        <v>61</v>
      </c>
      <c r="K76" s="249"/>
      <c r="L76" s="250"/>
      <c r="M76" s="250"/>
      <c r="N76" s="251">
        <f ca="1">IF(H76="Serviço",M76*L76,IF(H76="CÉLULA CONSTRUTIVA",SUMIFS($N$8:$N$352,$B$8:$B$352,B76,$H$8:$H$352,"Serviço"),IF(H76="ETAPA",SUMIFS($N$8:$N$352,$B$8:$B$352,B76,$C$8:$C$352,C76,$H$8:$H$352,"Serviço"),IF(H76="SUBETAPA",SUMIFS($N$8:$N$352,$B$8:$B$352,B76,$C$8:$C$352,C76,$D$8:$D$352,D76,$H$8:$H$352,"Serviço"),0))))</f>
        <v>1312845.5529415323</v>
      </c>
      <c r="O76" s="252"/>
      <c r="P76" s="253"/>
      <c r="Q76" s="293"/>
    </row>
    <row r="77" spans="1:19" ht="13.5" hidden="1" customHeight="1" outlineLevel="1" x14ac:dyDescent="0.2">
      <c r="A77" s="233">
        <f t="shared" ca="1" si="10"/>
        <v>0</v>
      </c>
      <c r="B77" s="233">
        <f t="shared" ca="1" si="14"/>
        <v>4</v>
      </c>
      <c r="C77" s="233">
        <f t="shared" ca="1" si="15"/>
        <v>1</v>
      </c>
      <c r="D77" s="234">
        <f t="shared" ca="1" si="9"/>
        <v>0</v>
      </c>
      <c r="E77" s="234">
        <f t="shared" ca="1" si="4"/>
        <v>1</v>
      </c>
      <c r="F77" s="244"/>
      <c r="G77" s="245"/>
      <c r="H77" s="246" t="s">
        <v>37</v>
      </c>
      <c r="I77" s="247" t="str">
        <f t="shared" ca="1" si="5"/>
        <v>04.001</v>
      </c>
      <c r="J77" s="248" t="s">
        <v>407</v>
      </c>
      <c r="K77" s="249"/>
      <c r="L77" s="250"/>
      <c r="M77" s="250"/>
      <c r="N77" s="251">
        <f ca="1">IF(H77="Serviço",M77*L77,IF(H77="CÉLULA CONSTRUTIVA",SUMIFS($N$8:$N$352,$B$8:$B$352,B77,$H$8:$H$352,"Serviço"),IF(H77="ETAPA",SUMIFS($N$8:$N$352,$B$8:$B$352,B77,$C$8:$C$352,C77,$H$8:$H$352,"Serviço"),IF(H77="SUBETAPA",SUMIFS($N$8:$N$352,$B$8:$B$352,B77,$C$8:$C$352,C77,$D$8:$D$352,D77,$H$8:$H$352,"Serviço"),0))))</f>
        <v>1312845.5529415323</v>
      </c>
      <c r="O77" s="252"/>
      <c r="P77" s="253"/>
      <c r="Q77" s="291"/>
      <c r="R77" s="291"/>
      <c r="S77" s="291" t="e">
        <f>SUM(L91,#REF!,#REF!,#REF!,#REF!)</f>
        <v>#REF!</v>
      </c>
    </row>
    <row r="78" spans="1:19" ht="13.5" hidden="1" customHeight="1" outlineLevel="1" x14ac:dyDescent="0.2">
      <c r="A78" s="233">
        <f t="shared" ca="1" si="10"/>
        <v>0</v>
      </c>
      <c r="B78" s="233">
        <f t="shared" ca="1" si="14"/>
        <v>4</v>
      </c>
      <c r="C78" s="233">
        <f t="shared" ca="1" si="15"/>
        <v>1</v>
      </c>
      <c r="D78" s="234">
        <f t="shared" ca="1" si="9"/>
        <v>1</v>
      </c>
      <c r="E78" s="234">
        <f t="shared" ca="1" si="4"/>
        <v>0</v>
      </c>
      <c r="F78" s="244"/>
      <c r="G78" s="245"/>
      <c r="H78" s="246" t="s">
        <v>244</v>
      </c>
      <c r="I78" s="247" t="str">
        <f t="shared" ca="1" si="5"/>
        <v>04.001.001</v>
      </c>
      <c r="J78" s="248" t="s">
        <v>408</v>
      </c>
      <c r="K78" s="249"/>
      <c r="L78" s="259"/>
      <c r="M78" s="259"/>
      <c r="N78" s="251">
        <f ca="1">IF(H78="Serviço",M78*L78,IF(H78="CÉLULA CONSTRUTIVA",SUMIFS($N$8:$N$352,$B$8:$B$352,B78,$H$8:$H$352,"Serviço"),IF(H78="ETAPA",SUMIFS($N$8:$N$352,$B$8:$B$352,B78,$C$8:$C$352,C78,$H$8:$H$352,"Serviço"),IF(H78="SUBETAPA",SUMIFS($N$8:$N$352,$B$8:$B$352,B78,$C$8:$C$352,C78,$D$8:$D$352,D78,$H$8:$H$352,"Serviço"),0))))</f>
        <v>740451.34440000006</v>
      </c>
      <c r="O78" s="252"/>
      <c r="P78" s="253"/>
      <c r="Q78" s="291"/>
    </row>
    <row r="79" spans="1:19" ht="13.5" hidden="1" customHeight="1" outlineLevel="2" x14ac:dyDescent="0.2">
      <c r="A79" s="233">
        <f t="shared" ca="1" si="10"/>
        <v>0</v>
      </c>
      <c r="B79" s="233">
        <f t="shared" ca="1" si="14"/>
        <v>4</v>
      </c>
      <c r="C79" s="233">
        <f t="shared" ca="1" si="15"/>
        <v>1</v>
      </c>
      <c r="D79" s="234">
        <f t="shared" ca="1" si="9"/>
        <v>1</v>
      </c>
      <c r="E79" s="234">
        <f t="shared" ca="1" si="4"/>
        <v>1</v>
      </c>
      <c r="F79" s="244"/>
      <c r="G79" s="245"/>
      <c r="H79" s="246" t="s">
        <v>246</v>
      </c>
      <c r="I79" s="247" t="str">
        <f t="shared" ca="1" si="5"/>
        <v>04.001.001.001</v>
      </c>
      <c r="J79" s="295" t="s">
        <v>409</v>
      </c>
      <c r="K79" s="249" t="s">
        <v>92</v>
      </c>
      <c r="L79" s="250">
        <f>Arquitetura!I17</f>
        <v>478.34999999999997</v>
      </c>
      <c r="M79" s="250">
        <f>IFERROR(VLOOKUP(J79,CPU!$D$2:$H$327,5,FALSE),0)</f>
        <v>37.92</v>
      </c>
      <c r="N79" s="251">
        <f>IF(H79="Serviço",M79*L79,IF(H79="CÉLULA CONSTRUTIVA",SUMIFS($N$8:$N$352,$B$8:$B$352,B79,$H$8:$H$352,"Serviço"),IF(H79="ETAPA",SUMIFS($N$8:$N$352,$B$8:$B$352,B79,$C$8:$C$352,C79,$H$8:$H$352,"Serviço"),IF(H79="SUBETAPA",SUMIFS($N$8:$N$352,$B$8:$B$352,B79,$C$8:$C$352,C79,$D$8:$D$352,D79,$H$8:$H$352,"Serviço"),0))))</f>
        <v>18139.031999999999</v>
      </c>
      <c r="O79" s="252"/>
      <c r="P79" s="253" t="s">
        <v>366</v>
      </c>
      <c r="Q79" s="293"/>
      <c r="R79" s="291"/>
      <c r="S79" s="296"/>
    </row>
    <row r="80" spans="1:19" ht="13.5" hidden="1" customHeight="1" outlineLevel="2" x14ac:dyDescent="0.2">
      <c r="A80" s="233">
        <f t="shared" ca="1" si="10"/>
        <v>0</v>
      </c>
      <c r="B80" s="233">
        <f t="shared" ca="1" si="14"/>
        <v>4</v>
      </c>
      <c r="C80" s="233">
        <f t="shared" ca="1" si="15"/>
        <v>1</v>
      </c>
      <c r="D80" s="234">
        <f t="shared" ca="1" si="9"/>
        <v>1</v>
      </c>
      <c r="E80" s="234">
        <f t="shared" ca="1" si="4"/>
        <v>2</v>
      </c>
      <c r="F80" s="244"/>
      <c r="G80" s="245"/>
      <c r="H80" s="246" t="s">
        <v>246</v>
      </c>
      <c r="I80" s="247" t="str">
        <f t="shared" ca="1" si="5"/>
        <v>04.001.001.002</v>
      </c>
      <c r="J80" s="969" t="s">
        <v>5074</v>
      </c>
      <c r="K80" s="249" t="s">
        <v>92</v>
      </c>
      <c r="L80" s="250">
        <f>Arquitetura!I18</f>
        <v>3295.15</v>
      </c>
      <c r="M80" s="250">
        <f>IFERROR(VLOOKUP(J80,CPU!$D$2:$H$327,5,FALSE),0)</f>
        <v>83</v>
      </c>
      <c r="N80" s="251">
        <f>IF(H80="Serviço",M80*L80,IF(H80="CÉLULA CONSTRUTIVA",SUMIFS($N$8:$N$352,$B$8:$B$352,B80,$H$8:$H$352,"Serviço"),IF(H80="ETAPA",SUMIFS($N$8:$N$352,$B$8:$B$352,B80,$C$8:$C$352,C80,$H$8:$H$352,"Serviço"),IF(H80="SUBETAPA",SUMIFS($N$8:$N$352,$B$8:$B$352,B80,$C$8:$C$352,C80,$D$8:$D$352,D80,$H$8:$H$352,"Serviço"),0))))</f>
        <v>273497.45</v>
      </c>
      <c r="O80" s="252"/>
      <c r="P80" s="253" t="s">
        <v>366</v>
      </c>
      <c r="Q80" s="293"/>
      <c r="R80" s="291"/>
      <c r="S80" s="291"/>
    </row>
    <row r="81" spans="1:19" ht="13.5" hidden="1" customHeight="1" outlineLevel="2" x14ac:dyDescent="0.2">
      <c r="A81" s="233">
        <f t="shared" ca="1" si="10"/>
        <v>0</v>
      </c>
      <c r="B81" s="233">
        <f t="shared" ca="1" si="14"/>
        <v>4</v>
      </c>
      <c r="C81" s="233">
        <f t="shared" ca="1" si="15"/>
        <v>1</v>
      </c>
      <c r="D81" s="234">
        <f t="shared" ca="1" si="9"/>
        <v>1</v>
      </c>
      <c r="E81" s="234">
        <f t="shared" ca="1" si="4"/>
        <v>3</v>
      </c>
      <c r="F81" s="244"/>
      <c r="G81" s="245"/>
      <c r="H81" s="246" t="s">
        <v>246</v>
      </c>
      <c r="I81" s="247" t="str">
        <f t="shared" ca="1" si="5"/>
        <v>04.001.001.003</v>
      </c>
      <c r="J81" s="969" t="s">
        <v>5079</v>
      </c>
      <c r="K81" s="249" t="s">
        <v>92</v>
      </c>
      <c r="L81" s="250">
        <f>Arquitetura!I19</f>
        <v>2134.9900000000007</v>
      </c>
      <c r="M81" s="250">
        <f>IFERROR(VLOOKUP(J81,CPU!$D$2:$H$327,5,FALSE),0)</f>
        <v>105.68</v>
      </c>
      <c r="N81" s="251">
        <f>IF(H81="Serviço",M81*L81,IF(H81="CÉLULA CONSTRUTIVA",SUMIFS($N$8:$N$352,$B$8:$B$352,B81,$H$8:$H$352,"Serviço"),IF(H81="ETAPA",SUMIFS($N$8:$N$352,$B$8:$B$352,B81,$C$8:$C$352,C81,$H$8:$H$352,"Serviço"),IF(H81="SUBETAPA",SUMIFS($N$8:$N$352,$B$8:$B$352,B81,$C$8:$C$352,C81,$D$8:$D$352,D81,$H$8:$H$352,"Serviço"),0))))</f>
        <v>225625.74320000008</v>
      </c>
      <c r="O81" s="297"/>
      <c r="P81" s="253" t="s">
        <v>366</v>
      </c>
      <c r="Q81" s="293"/>
      <c r="R81" s="291"/>
      <c r="S81" s="291"/>
    </row>
    <row r="82" spans="1:19" ht="13.5" hidden="1" customHeight="1" outlineLevel="2" x14ac:dyDescent="0.2">
      <c r="A82" s="233">
        <f t="shared" ca="1" si="10"/>
        <v>0</v>
      </c>
      <c r="B82" s="233">
        <f t="shared" ca="1" si="14"/>
        <v>4</v>
      </c>
      <c r="C82" s="233">
        <f t="shared" ca="1" si="15"/>
        <v>1</v>
      </c>
      <c r="D82" s="234">
        <f t="shared" ca="1" si="9"/>
        <v>1</v>
      </c>
      <c r="E82" s="234">
        <f t="shared" ca="1" si="4"/>
        <v>4</v>
      </c>
      <c r="F82" s="244"/>
      <c r="G82" s="245"/>
      <c r="H82" s="246" t="s">
        <v>246</v>
      </c>
      <c r="I82" s="247" t="str">
        <f t="shared" ca="1" si="5"/>
        <v>04.001.001.004</v>
      </c>
      <c r="J82" s="969" t="s">
        <v>5080</v>
      </c>
      <c r="K82" s="249" t="s">
        <v>92</v>
      </c>
      <c r="L82" s="250">
        <f>Arquitetura!I20</f>
        <v>2789.75</v>
      </c>
      <c r="M82" s="250">
        <f>IFERROR(VLOOKUP(J82,CPU!$D$2:$H$327,5,FALSE),0)</f>
        <v>44.92</v>
      </c>
      <c r="N82" s="251">
        <f>IF(H82="Serviço",M82*L82,IF(H82="CÉLULA CONSTRUTIVA",SUMIFS($N$8:$N$352,$B$8:$B$352,B82,$H$8:$H$352,"Serviço"),IF(H82="ETAPA",SUMIFS($N$8:$N$352,$B$8:$B$352,B82,$C$8:$C$352,C82,$H$8:$H$352,"Serviço"),IF(H82="SUBETAPA",SUMIFS($N$8:$N$352,$B$8:$B$352,B82,$C$8:$C$352,C82,$D$8:$D$352,D82,$H$8:$H$352,"Serviço"),0))))</f>
        <v>125315.57</v>
      </c>
      <c r="O82" s="252"/>
      <c r="P82" s="253" t="s">
        <v>366</v>
      </c>
      <c r="Q82" s="293"/>
      <c r="R82" s="291"/>
      <c r="S82" s="291"/>
    </row>
    <row r="83" spans="1:19" ht="13.5" hidden="1" customHeight="1" outlineLevel="2" x14ac:dyDescent="0.2">
      <c r="A83" s="233">
        <f t="shared" ca="1" si="10"/>
        <v>0</v>
      </c>
      <c r="B83" s="233">
        <f t="shared" ca="1" si="14"/>
        <v>4</v>
      </c>
      <c r="C83" s="233">
        <f t="shared" ca="1" si="15"/>
        <v>1</v>
      </c>
      <c r="D83" s="234">
        <f t="shared" ca="1" si="9"/>
        <v>1</v>
      </c>
      <c r="E83" s="234">
        <f t="shared" ca="1" si="4"/>
        <v>5</v>
      </c>
      <c r="F83" s="244"/>
      <c r="G83" s="245"/>
      <c r="H83" s="246" t="s">
        <v>246</v>
      </c>
      <c r="I83" s="247" t="str">
        <f t="shared" ca="1" si="5"/>
        <v>04.001.001.005</v>
      </c>
      <c r="J83" s="294" t="s">
        <v>410</v>
      </c>
      <c r="K83" s="249" t="s">
        <v>92</v>
      </c>
      <c r="L83" s="250">
        <f>Arquitetura!I21</f>
        <v>300.05</v>
      </c>
      <c r="M83" s="250">
        <f>IFERROR(VLOOKUP(J83,CPU!$D$2:$H$327,5,FALSE),0)</f>
        <v>117.66000000000001</v>
      </c>
      <c r="N83" s="251">
        <f>IF(H83="Serviço",M83*L83,IF(H83="CÉLULA CONSTRUTIVA",SUMIFS($N$8:$N$352,$B$8:$B$352,B83,$H$8:$H$352,"Serviço"),IF(H83="ETAPA",SUMIFS($N$8:$N$352,$B$8:$B$352,B83,$C$8:$C$352,C83,$H$8:$H$352,"Serviço"),IF(H83="SUBETAPA",SUMIFS($N$8:$N$352,$B$8:$B$352,B83,$C$8:$C$352,C83,$D$8:$D$352,D83,$H$8:$H$352,"Serviço"),0))))</f>
        <v>35303.883000000002</v>
      </c>
      <c r="O83" s="252"/>
      <c r="P83" s="253" t="s">
        <v>366</v>
      </c>
      <c r="Q83" s="293"/>
      <c r="R83" s="291"/>
      <c r="S83" s="291"/>
    </row>
    <row r="84" spans="1:19" ht="13.5" hidden="1" customHeight="1" outlineLevel="2" x14ac:dyDescent="0.2">
      <c r="A84" s="233">
        <f t="shared" ca="1" si="10"/>
        <v>0</v>
      </c>
      <c r="B84" s="233">
        <f t="shared" ca="1" si="14"/>
        <v>4</v>
      </c>
      <c r="C84" s="233">
        <f t="shared" ca="1" si="15"/>
        <v>1</v>
      </c>
      <c r="D84" s="234">
        <f t="shared" ca="1" si="9"/>
        <v>1</v>
      </c>
      <c r="E84" s="234">
        <f t="shared" ca="1" si="4"/>
        <v>6</v>
      </c>
      <c r="F84" s="244"/>
      <c r="G84" s="245"/>
      <c r="H84" s="246" t="s">
        <v>246</v>
      </c>
      <c r="I84" s="247" t="str">
        <f t="shared" ca="1" si="5"/>
        <v>04.001.001.006</v>
      </c>
      <c r="J84" s="969" t="s">
        <v>5077</v>
      </c>
      <c r="K84" s="249" t="s">
        <v>92</v>
      </c>
      <c r="L84" s="250">
        <f>Arquitetura!I22</f>
        <v>739.07</v>
      </c>
      <c r="M84" s="250">
        <f>IFERROR(VLOOKUP(J84,CPU!$D$2:$H$327,5,FALSE),0)</f>
        <v>84.660000000000011</v>
      </c>
      <c r="N84" s="251">
        <f>IF(H84="Serviço",M84*L84,IF(H84="CÉLULA CONSTRUTIVA",SUMIFS($N$8:$N$352,$B$8:$B$352,B84,$H$8:$H$352,"Serviço"),IF(H84="ETAPA",SUMIFS($N$8:$N$352,$B$8:$B$352,B84,$C$8:$C$352,C84,$H$8:$H$352,"Serviço"),IF(H84="SUBETAPA",SUMIFS($N$8:$N$352,$B$8:$B$352,B84,$C$8:$C$352,C84,$D$8:$D$352,D84,$H$8:$H$352,"Serviço"),0))))</f>
        <v>62569.666200000014</v>
      </c>
      <c r="O84" s="252"/>
      <c r="P84" s="253" t="s">
        <v>366</v>
      </c>
      <c r="Q84" s="293"/>
      <c r="R84" s="291"/>
      <c r="S84" s="291"/>
    </row>
    <row r="85" spans="1:19" ht="13.5" hidden="1" customHeight="1" outlineLevel="1" x14ac:dyDescent="0.2">
      <c r="A85" s="233">
        <f t="shared" ca="1" si="10"/>
        <v>0</v>
      </c>
      <c r="B85" s="233">
        <f t="shared" ca="1" si="14"/>
        <v>4</v>
      </c>
      <c r="C85" s="233">
        <f t="shared" ca="1" si="15"/>
        <v>1</v>
      </c>
      <c r="D85" s="234">
        <f t="shared" ca="1" si="9"/>
        <v>2</v>
      </c>
      <c r="E85" s="234">
        <f t="shared" ca="1" si="4"/>
        <v>0</v>
      </c>
      <c r="F85" s="244"/>
      <c r="G85" s="245"/>
      <c r="H85" s="246" t="s">
        <v>244</v>
      </c>
      <c r="I85" s="247" t="str">
        <f t="shared" ca="1" si="5"/>
        <v>04.001.002</v>
      </c>
      <c r="J85" s="248" t="s">
        <v>411</v>
      </c>
      <c r="K85" s="249"/>
      <c r="L85" s="259"/>
      <c r="M85" s="259"/>
      <c r="N85" s="251">
        <f ca="1">IF(H85="Serviço",M85*L85,IF(H85="CÉLULA CONSTRUTIVA",SUMIFS($N$8:$N$352,$B$8:$B$352,B85,$H$8:$H$352,"Serviço"),IF(H85="ETAPA",SUMIFS($N$8:$N$352,$B$8:$B$352,B85,$C$8:$C$352,C85,$H$8:$H$352,"Serviço"),IF(H85="SUBETAPA",SUMIFS($N$8:$N$352,$B$8:$B$352,B85,$C$8:$C$352,C85,$D$8:$D$352,D85,$H$8:$H$352,"Serviço"),0))))</f>
        <v>184611.00854153241</v>
      </c>
      <c r="O85" s="252"/>
      <c r="P85" s="253"/>
      <c r="Q85" s="291"/>
    </row>
    <row r="86" spans="1:19" ht="13.5" hidden="1" customHeight="1" outlineLevel="2" x14ac:dyDescent="0.2">
      <c r="A86" s="233">
        <f t="shared" ca="1" si="10"/>
        <v>0</v>
      </c>
      <c r="B86" s="233">
        <f t="shared" ca="1" si="14"/>
        <v>4</v>
      </c>
      <c r="C86" s="233">
        <f t="shared" ca="1" si="15"/>
        <v>1</v>
      </c>
      <c r="D86" s="234">
        <f t="shared" ca="1" si="9"/>
        <v>2</v>
      </c>
      <c r="E86" s="234">
        <f t="shared" ca="1" si="4"/>
        <v>1</v>
      </c>
      <c r="F86" s="244"/>
      <c r="G86" s="245"/>
      <c r="H86" s="246" t="s">
        <v>246</v>
      </c>
      <c r="I86" s="247" t="str">
        <f t="shared" ca="1" si="5"/>
        <v>04.001.002.001</v>
      </c>
      <c r="J86" s="248" t="s">
        <v>5089</v>
      </c>
      <c r="K86" s="249" t="s">
        <v>79</v>
      </c>
      <c r="L86" s="250">
        <f>Arquitetura!I28</f>
        <v>4125.7300000000005</v>
      </c>
      <c r="M86" s="250">
        <f>IFERROR(VLOOKUP(J86,CPU!$D$2:$H$327,5,FALSE),0)</f>
        <v>11.028999999999998</v>
      </c>
      <c r="N86" s="251">
        <f>IF(H86="Serviço",M86*L86,IF(H86="CÉLULA CONSTRUTIVA",SUMIFS($N$8:$N$352,$B$8:$B$352,B86,$H$8:$H$352,"Serviço"),IF(H86="ETAPA",SUMIFS($N$8:$N$352,$B$8:$B$352,B86,$C$8:$C$352,C86,$H$8:$H$352,"Serviço"),IF(H86="SUBETAPA",SUMIFS($N$8:$N$352,$B$8:$B$352,B86,$C$8:$C$352,C86,$D$8:$D$352,D86,$H$8:$H$352,"Serviço"),0))))</f>
        <v>45502.676169999999</v>
      </c>
      <c r="O86" s="252"/>
      <c r="P86" s="253" t="s">
        <v>366</v>
      </c>
      <c r="Q86" s="293"/>
      <c r="R86" s="291"/>
      <c r="S86" s="291"/>
    </row>
    <row r="87" spans="1:19" ht="13.5" hidden="1" customHeight="1" outlineLevel="2" x14ac:dyDescent="0.2">
      <c r="A87" s="233">
        <f t="shared" ca="1" si="10"/>
        <v>0</v>
      </c>
      <c r="B87" s="233">
        <f t="shared" ca="1" si="14"/>
        <v>4</v>
      </c>
      <c r="C87" s="233">
        <f t="shared" ca="1" si="15"/>
        <v>1</v>
      </c>
      <c r="D87" s="234">
        <f t="shared" ca="1" si="9"/>
        <v>2</v>
      </c>
      <c r="E87" s="234">
        <f t="shared" ca="1" si="4"/>
        <v>2</v>
      </c>
      <c r="F87" s="244"/>
      <c r="G87" s="245"/>
      <c r="H87" s="246" t="s">
        <v>246</v>
      </c>
      <c r="I87" s="247" t="str">
        <f t="shared" ca="1" si="5"/>
        <v>04.001.002.002</v>
      </c>
      <c r="J87" s="248" t="s">
        <v>412</v>
      </c>
      <c r="K87" s="249" t="s">
        <v>88</v>
      </c>
      <c r="L87" s="250">
        <f>Arquitetura!I29</f>
        <v>4868.7400000000007</v>
      </c>
      <c r="M87" s="250">
        <f>IFERROR(VLOOKUP(J87,CPU!$D$2:$H$327,5,FALSE),0)</f>
        <v>4.1071999999999997</v>
      </c>
      <c r="N87" s="251">
        <f>IF(H87="Serviço",M87*L87,IF(H87="CÉLULA CONSTRUTIVA",SUMIFS($N$8:$N$352,$B$8:$B$352,B87,$H$8:$H$352,"Serviço"),IF(H87="ETAPA",SUMIFS($N$8:$N$352,$B$8:$B$352,B87,$C$8:$C$352,C87,$H$8:$H$352,"Serviço"),IF(H87="SUBETAPA",SUMIFS($N$8:$N$352,$B$8:$B$352,B87,$C$8:$C$352,C87,$D$8:$D$352,D87,$H$8:$H$352,"Serviço"),0))))</f>
        <v>19996.888928</v>
      </c>
      <c r="O87" s="252"/>
      <c r="P87" s="253" t="s">
        <v>366</v>
      </c>
      <c r="Q87" s="293"/>
      <c r="R87" s="291"/>
      <c r="S87" s="291"/>
    </row>
    <row r="88" spans="1:19" ht="13.5" hidden="1" customHeight="1" outlineLevel="2" x14ac:dyDescent="0.2">
      <c r="A88" s="233">
        <f t="shared" ca="1" si="10"/>
        <v>0</v>
      </c>
      <c r="B88" s="233">
        <f t="shared" ca="1" si="14"/>
        <v>4</v>
      </c>
      <c r="C88" s="233">
        <f t="shared" ca="1" si="15"/>
        <v>1</v>
      </c>
      <c r="D88" s="234">
        <f t="shared" ca="1" si="9"/>
        <v>2</v>
      </c>
      <c r="E88" s="234">
        <f t="shared" ca="1" si="4"/>
        <v>3</v>
      </c>
      <c r="F88" s="244"/>
      <c r="G88" s="245"/>
      <c r="H88" s="246" t="s">
        <v>246</v>
      </c>
      <c r="I88" s="247" t="str">
        <f t="shared" ca="1" si="5"/>
        <v>04.001.002.003</v>
      </c>
      <c r="J88" s="248" t="s">
        <v>413</v>
      </c>
      <c r="K88" s="249" t="s">
        <v>79</v>
      </c>
      <c r="L88" s="250">
        <f>Arquitetura!I27+Arquitetura!I30+Arquitetura!I31</f>
        <v>1475.31</v>
      </c>
      <c r="M88" s="250">
        <f>IFERROR(VLOOKUP(J88,CPU!$D$2:$H$327,5,FALSE),0)</f>
        <v>79.637692040000005</v>
      </c>
      <c r="N88" s="251">
        <f>IF(H88="Serviço",M88*L88,IF(H88="CÉLULA CONSTRUTIVA",SUMIFS($N$8:$N$352,$B$8:$B$352,B88,$H$8:$H$352,"Serviço"),IF(H88="ETAPA",SUMIFS($N$8:$N$352,$B$8:$B$352,B88,$C$8:$C$352,C88,$H$8:$H$352,"Serviço"),IF(H88="SUBETAPA",SUMIFS($N$8:$N$352,$B$8:$B$352,B88,$C$8:$C$352,C88,$D$8:$D$352,D88,$H$8:$H$352,"Serviço"),0))))</f>
        <v>117490.2834435324</v>
      </c>
      <c r="O88" s="252"/>
      <c r="P88" s="253" t="s">
        <v>366</v>
      </c>
      <c r="Q88" s="293"/>
      <c r="R88" s="291"/>
      <c r="S88" s="291"/>
    </row>
    <row r="89" spans="1:19" ht="13.5" hidden="1" customHeight="1" outlineLevel="2" x14ac:dyDescent="0.2">
      <c r="A89" s="233">
        <f t="shared" ca="1" si="10"/>
        <v>0</v>
      </c>
      <c r="B89" s="233">
        <f t="shared" ca="1" si="14"/>
        <v>4</v>
      </c>
      <c r="C89" s="233">
        <f t="shared" ca="1" si="15"/>
        <v>1</v>
      </c>
      <c r="D89" s="234">
        <f t="shared" ref="D89" ca="1" si="16">IF(H89="ETAPA",0,IF(H89="SUBETAPA",OFFSET(D89,-1,0)+1,OFFSET(D89,-1,0)))</f>
        <v>2</v>
      </c>
      <c r="E89" s="234">
        <f t="shared" ref="E89" ca="1" si="17">IF(H89="Subetapa",0,IF(H89="serviço",OFFSET(E89,-1,0)+1,OFFSET(E89,-1,0)))</f>
        <v>4</v>
      </c>
      <c r="F89" s="244"/>
      <c r="G89" s="245"/>
      <c r="H89" s="246" t="s">
        <v>246</v>
      </c>
      <c r="I89" s="247" t="str">
        <f t="shared" ref="I89" ca="1" si="18">IF(H89="Unidade Construtiva",TEXT(A89,"00"),IF(H89="Célula Construtiva",TEXT(B89,"00"),IF(H89="Etapa",CONCATENATE(TEXT(B89,"00"),".",TEXT(C89,"000")),IF(H89="Subetapa",CONCATENATE(TEXT(B89,"00"),".",TEXT(C89,"000"),".",TEXT(D89,"000")),IF(H89="Serviço",CONCATENATE(TEXT(B89,"00"),".",TEXT(C89,"000"),".",TEXT(D89,"000"),".",TEXT(E89,"000")),"")))))</f>
        <v>04.001.002.004</v>
      </c>
      <c r="J89" s="965" t="s">
        <v>5091</v>
      </c>
      <c r="K89" s="973" t="s">
        <v>88</v>
      </c>
      <c r="L89" s="250">
        <v>2</v>
      </c>
      <c r="M89" s="250">
        <v>810.58</v>
      </c>
      <c r="N89" s="251">
        <f>IF(H89="Serviço",M89*L89,IF(H89="CÉLULA CONSTRUTIVA",SUMIFS($N$8:$N$352,$B$8:$B$352,B89,$H$8:$H$352,"Serviço"),IF(H89="ETAPA",SUMIFS($N$8:$N$352,$B$8:$B$352,B89,$C$8:$C$352,C89,$H$8:$H$352,"Serviço"),IF(H89="SUBETAPA",SUMIFS($N$8:$N$352,$B$8:$B$352,B89,$C$8:$C$352,C89,$D$8:$D$352,D89,$H$8:$H$352,"Serviço"),0))))</f>
        <v>1621.16</v>
      </c>
      <c r="O89" s="252"/>
      <c r="P89" s="253" t="s">
        <v>366</v>
      </c>
      <c r="Q89" s="293"/>
      <c r="R89" s="291"/>
      <c r="S89" s="291"/>
    </row>
    <row r="90" spans="1:19" ht="13.5" hidden="1" customHeight="1" outlineLevel="1" x14ac:dyDescent="0.2">
      <c r="A90" s="233">
        <f t="shared" ca="1" si="10"/>
        <v>0</v>
      </c>
      <c r="B90" s="233">
        <f t="shared" ca="1" si="14"/>
        <v>4</v>
      </c>
      <c r="C90" s="233">
        <f t="shared" ca="1" si="15"/>
        <v>1</v>
      </c>
      <c r="D90" s="234">
        <f t="shared" ca="1" si="9"/>
        <v>3</v>
      </c>
      <c r="E90" s="234">
        <f t="shared" ca="1" si="4"/>
        <v>0</v>
      </c>
      <c r="F90" s="244"/>
      <c r="G90" s="245"/>
      <c r="H90" s="246" t="s">
        <v>244</v>
      </c>
      <c r="I90" s="247" t="str">
        <f t="shared" ca="1" si="5"/>
        <v>04.001.003</v>
      </c>
      <c r="J90" s="248" t="s">
        <v>405</v>
      </c>
      <c r="K90" s="249"/>
      <c r="L90" s="259"/>
      <c r="M90" s="250"/>
      <c r="N90" s="251">
        <f ca="1">IF(H90="Serviço",M90*L90,IF(H90="CÉLULA CONSTRUTIVA",SUMIFS($N$8:$N$352,$B$8:$B$352,B90,$H$8:$H$352,"Serviço"),IF(H90="ETAPA",SUMIFS($N$8:$N$352,$B$8:$B$352,B90,$C$8:$C$352,C90,$H$8:$H$352,"Serviço"),IF(H90="SUBETAPA",SUMIFS($N$8:$N$352,$B$8:$B$352,B90,$C$8:$C$352,C90,$D$8:$D$352,D90,$H$8:$H$352,"Serviço"),0))))</f>
        <v>387783.19999999984</v>
      </c>
      <c r="O90" s="252"/>
      <c r="P90" s="253"/>
      <c r="Q90" s="293"/>
      <c r="R90" s="291"/>
      <c r="S90" s="291"/>
    </row>
    <row r="91" spans="1:19" ht="13.5" hidden="1" customHeight="1" outlineLevel="2" x14ac:dyDescent="0.2">
      <c r="A91" s="233">
        <f t="shared" ca="1" si="10"/>
        <v>0</v>
      </c>
      <c r="B91" s="233">
        <f t="shared" ca="1" si="14"/>
        <v>4</v>
      </c>
      <c r="C91" s="233">
        <f t="shared" ca="1" si="15"/>
        <v>1</v>
      </c>
      <c r="D91" s="234">
        <f t="shared" ca="1" si="9"/>
        <v>3</v>
      </c>
      <c r="E91" s="234">
        <f t="shared" ca="1" si="4"/>
        <v>1</v>
      </c>
      <c r="F91" s="244"/>
      <c r="G91" s="245"/>
      <c r="H91" s="246" t="s">
        <v>246</v>
      </c>
      <c r="I91" s="247" t="str">
        <f t="shared" ca="1" si="5"/>
        <v>04.001.003.001</v>
      </c>
      <c r="J91" s="255" t="s">
        <v>414</v>
      </c>
      <c r="K91" s="249" t="s">
        <v>92</v>
      </c>
      <c r="L91" s="250">
        <f>SUM(Arquitetura!D233:D281)</f>
        <v>11079.519999999995</v>
      </c>
      <c r="M91" s="250">
        <v>35</v>
      </c>
      <c r="N91" s="251">
        <f>IF(H91="Serviço",M91*L91,IF(H91="CÉLULA CONSTRUTIVA",SUMIFS($N$8:$N$352,$B$8:$B$352,B91,$H$8:$H$352,"Serviço"),IF(H91="ETAPA",SUMIFS($N$8:$N$352,$B$8:$B$352,B91,$C$8:$C$352,C91,$H$8:$H$352,"Serviço"),IF(H91="SUBETAPA",SUMIFS($N$8:$N$352,$B$8:$B$352,B91,$C$8:$C$352,C91,$D$8:$D$352,D91,$H$8:$H$352,"Serviço"),0))))</f>
        <v>387783.19999999984</v>
      </c>
      <c r="O91" s="960" t="s">
        <v>5092</v>
      </c>
      <c r="P91" s="253" t="s">
        <v>366</v>
      </c>
      <c r="Q91" s="293"/>
      <c r="R91" s="291"/>
      <c r="S91" s="291"/>
    </row>
    <row r="92" spans="1:19" ht="13.5" customHeight="1" collapsed="1" x14ac:dyDescent="0.2">
      <c r="A92" s="233">
        <f t="shared" ca="1" si="10"/>
        <v>0</v>
      </c>
      <c r="B92" s="233">
        <f t="shared" ca="1" si="14"/>
        <v>5</v>
      </c>
      <c r="C92" s="233">
        <f t="shared" ca="1" si="15"/>
        <v>0</v>
      </c>
      <c r="D92" s="234">
        <f t="shared" ca="1" si="9"/>
        <v>3</v>
      </c>
      <c r="E92" s="234">
        <f t="shared" ca="1" si="4"/>
        <v>1</v>
      </c>
      <c r="F92" s="1012"/>
      <c r="G92" s="245"/>
      <c r="H92" s="246" t="s">
        <v>241</v>
      </c>
      <c r="I92" s="247" t="str">
        <f t="shared" ca="1" si="5"/>
        <v>05</v>
      </c>
      <c r="J92" s="248" t="s">
        <v>46</v>
      </c>
      <c r="K92" s="249"/>
      <c r="L92" s="250"/>
      <c r="M92" s="250"/>
      <c r="N92" s="251">
        <f ca="1">IF(H92="Serviço",M92*L92,IF(H92="CÉLULA CONSTRUTIVA",SUMIFS($N$8:$N$352,$B$8:$B$352,B92,$H$8:$H$352,"Serviço"),IF(H92="ETAPA",SUMIFS($N$8:$N$352,$B$8:$B$352,B92,$C$8:$C$352,C92,$H$8:$H$352,"Serviço"),IF(H92="SUBETAPA",SUMIFS($N$8:$N$352,$B$8:$B$352,B92,$C$8:$C$352,C92,$D$8:$D$352,D92,$H$8:$H$352,"Serviço"),0))))</f>
        <v>674300.80370149983</v>
      </c>
      <c r="O92" s="252"/>
      <c r="P92" s="253"/>
      <c r="Q92" s="293"/>
    </row>
    <row r="93" spans="1:19" ht="13.5" hidden="1" customHeight="1" outlineLevel="1" x14ac:dyDescent="0.2">
      <c r="A93" s="233">
        <f t="shared" ca="1" si="10"/>
        <v>0</v>
      </c>
      <c r="B93" s="233">
        <f t="shared" ca="1" si="14"/>
        <v>5</v>
      </c>
      <c r="C93" s="233">
        <f t="shared" ca="1" si="15"/>
        <v>1</v>
      </c>
      <c r="D93" s="234">
        <f t="shared" ca="1" si="9"/>
        <v>0</v>
      </c>
      <c r="E93" s="234">
        <f t="shared" ca="1" si="4"/>
        <v>1</v>
      </c>
      <c r="F93" s="244"/>
      <c r="G93" s="245"/>
      <c r="H93" s="246" t="s">
        <v>37</v>
      </c>
      <c r="I93" s="247" t="str">
        <f t="shared" ca="1" si="5"/>
        <v>05.001</v>
      </c>
      <c r="J93" s="248" t="s">
        <v>415</v>
      </c>
      <c r="K93" s="249"/>
      <c r="L93" s="250"/>
      <c r="M93" s="250"/>
      <c r="N93" s="251">
        <f ca="1">IF(H93="Serviço",M93*L93,IF(H93="CÉLULA CONSTRUTIVA",SUMIFS($N$8:$N$352,$B$8:$B$352,B93,$H$8:$H$352,"Serviço"),IF(H93="ETAPA",SUMIFS($N$8:$N$352,$B$8:$B$352,B93,$C$8:$C$352,C93,$H$8:$H$352,"Serviço"),IF(H93="SUBETAPA",SUMIFS($N$8:$N$352,$B$8:$B$352,B93,$C$8:$C$352,C93,$D$8:$D$352,D93,$H$8:$H$352,"Serviço"),0))))</f>
        <v>674300.80370149983</v>
      </c>
      <c r="O93" s="252"/>
      <c r="P93" s="253"/>
      <c r="Q93" s="291"/>
      <c r="R93" s="291"/>
      <c r="S93" s="291"/>
    </row>
    <row r="94" spans="1:19" ht="13.5" hidden="1" customHeight="1" outlineLevel="1" x14ac:dyDescent="0.2">
      <c r="A94" s="233">
        <f t="shared" ca="1" si="10"/>
        <v>0</v>
      </c>
      <c r="B94" s="233">
        <f t="shared" ca="1" si="14"/>
        <v>5</v>
      </c>
      <c r="C94" s="233">
        <f t="shared" ca="1" si="15"/>
        <v>1</v>
      </c>
      <c r="D94" s="234">
        <f t="shared" ca="1" si="9"/>
        <v>1</v>
      </c>
      <c r="E94" s="234">
        <f t="shared" ca="1" si="4"/>
        <v>0</v>
      </c>
      <c r="F94" s="244"/>
      <c r="G94" s="245"/>
      <c r="H94" s="246" t="s">
        <v>244</v>
      </c>
      <c r="I94" s="247" t="str">
        <f t="shared" ca="1" si="5"/>
        <v>05.001.001</v>
      </c>
      <c r="J94" s="248" t="s">
        <v>416</v>
      </c>
      <c r="K94" s="249"/>
      <c r="L94" s="259"/>
      <c r="M94" s="259"/>
      <c r="N94" s="251">
        <f ca="1">IF(H94="Serviço",M94*L94,IF(H94="CÉLULA CONSTRUTIVA",SUMIFS($N$8:$N$352,$B$8:$B$352,B94,$H$8:$H$352,"Serviço"),IF(H94="ETAPA",SUMIFS($N$8:$N$352,$B$8:$B$352,B94,$C$8:$C$352,C94,$H$8:$H$352,"Serviço"),IF(H94="SUBETAPA",SUMIFS($N$8:$N$352,$B$8:$B$352,B94,$C$8:$C$352,C94,$D$8:$D$352,D94,$H$8:$H$352,"Serviço"),0))))</f>
        <v>72764.447354999997</v>
      </c>
      <c r="O94" s="252"/>
      <c r="P94" s="253"/>
      <c r="Q94" s="291"/>
    </row>
    <row r="95" spans="1:19" ht="13.5" hidden="1" customHeight="1" outlineLevel="2" x14ac:dyDescent="0.2">
      <c r="A95" s="233">
        <f t="shared" ca="1" si="10"/>
        <v>0</v>
      </c>
      <c r="B95" s="233">
        <f t="shared" ca="1" si="14"/>
        <v>5</v>
      </c>
      <c r="C95" s="233">
        <f t="shared" ca="1" si="15"/>
        <v>1</v>
      </c>
      <c r="D95" s="234">
        <f t="shared" ca="1" si="9"/>
        <v>1</v>
      </c>
      <c r="E95" s="234">
        <f t="shared" ca="1" si="4"/>
        <v>1</v>
      </c>
      <c r="F95" s="244"/>
      <c r="G95" s="245"/>
      <c r="H95" s="246" t="s">
        <v>246</v>
      </c>
      <c r="I95" s="247" t="str">
        <f t="shared" ca="1" si="5"/>
        <v>05.001.001.001</v>
      </c>
      <c r="J95" s="248" t="s">
        <v>417</v>
      </c>
      <c r="K95" s="249" t="s">
        <v>92</v>
      </c>
      <c r="L95" s="250">
        <f>Arquitetura!I571</f>
        <v>4065.9</v>
      </c>
      <c r="M95" s="250">
        <f>IFERROR(VLOOKUP(J95,CPU!$D$2:$H$327,5,FALSE),0)</f>
        <v>7.8879999999999999</v>
      </c>
      <c r="N95" s="251">
        <f>IF(H95="Serviço",M95*L95,IF(H95="CÉLULA CONSTRUTIVA",SUMIFS($N$8:$N$352,$B$8:$B$352,B95,$H$8:$H$352,"Serviço"),IF(H95="ETAPA",SUMIFS($N$8:$N$352,$B$8:$B$352,B95,$C$8:$C$352,C95,$H$8:$H$352,"Serviço"),IF(H95="SUBETAPA",SUMIFS($N$8:$N$352,$B$8:$B$352,B95,$C$8:$C$352,C95,$D$8:$D$352,D95,$H$8:$H$352,"Serviço"),0))))</f>
        <v>32071.819200000002</v>
      </c>
      <c r="O95" s="252"/>
      <c r="P95" s="253" t="s">
        <v>366</v>
      </c>
      <c r="Q95" s="293"/>
    </row>
    <row r="96" spans="1:19" ht="13.5" hidden="1" customHeight="1" outlineLevel="2" x14ac:dyDescent="0.2">
      <c r="A96" s="233">
        <f t="shared" ca="1" si="10"/>
        <v>0</v>
      </c>
      <c r="B96" s="233">
        <f t="shared" ca="1" si="14"/>
        <v>5</v>
      </c>
      <c r="C96" s="233">
        <f t="shared" ca="1" si="15"/>
        <v>1</v>
      </c>
      <c r="D96" s="234">
        <f t="shared" ca="1" si="9"/>
        <v>1</v>
      </c>
      <c r="E96" s="234">
        <f t="shared" ca="1" si="4"/>
        <v>2</v>
      </c>
      <c r="F96" s="244"/>
      <c r="G96" s="245"/>
      <c r="H96" s="246" t="s">
        <v>246</v>
      </c>
      <c r="I96" s="247" t="str">
        <f t="shared" ca="1" si="5"/>
        <v>05.001.001.002</v>
      </c>
      <c r="J96" s="248" t="s">
        <v>418</v>
      </c>
      <c r="K96" s="249" t="s">
        <v>92</v>
      </c>
      <c r="L96" s="250">
        <f>L98+L100</f>
        <v>824.43</v>
      </c>
      <c r="M96" s="250">
        <f>IFERROR(VLOOKUP(J96,CPU!$D$2:$H$327,5,FALSE),0)</f>
        <v>49.358499999999999</v>
      </c>
      <c r="N96" s="251">
        <f>IF(H96="Serviço",M96*L96,IF(H96="CÉLULA CONSTRUTIVA",SUMIFS($N$8:$N$352,$B$8:$B$352,B96,$H$8:$H$352,"Serviço"),IF(H96="ETAPA",SUMIFS($N$8:$N$352,$B$8:$B$352,B96,$C$8:$C$352,C96,$H$8:$H$352,"Serviço"),IF(H96="SUBETAPA",SUMIFS($N$8:$N$352,$B$8:$B$352,B96,$C$8:$C$352,C96,$D$8:$D$352,D96,$H$8:$H$352,"Serviço"),0))))</f>
        <v>40692.628154999999</v>
      </c>
      <c r="O96" s="252"/>
      <c r="P96" s="253" t="s">
        <v>366</v>
      </c>
      <c r="Q96" s="293"/>
    </row>
    <row r="97" spans="1:17" ht="13.5" hidden="1" customHeight="1" outlineLevel="1" x14ac:dyDescent="0.2">
      <c r="A97" s="233">
        <f t="shared" ca="1" si="10"/>
        <v>0</v>
      </c>
      <c r="B97" s="233">
        <f t="shared" ca="1" si="14"/>
        <v>5</v>
      </c>
      <c r="C97" s="233">
        <f t="shared" ca="1" si="15"/>
        <v>1</v>
      </c>
      <c r="D97" s="234">
        <f t="shared" ca="1" si="9"/>
        <v>2</v>
      </c>
      <c r="E97" s="234">
        <f t="shared" ca="1" si="4"/>
        <v>0</v>
      </c>
      <c r="F97" s="244"/>
      <c r="G97" s="245"/>
      <c r="H97" s="246" t="s">
        <v>244</v>
      </c>
      <c r="I97" s="247" t="str">
        <f t="shared" ca="1" si="5"/>
        <v>05.001.002</v>
      </c>
      <c r="J97" s="248" t="s">
        <v>5502</v>
      </c>
      <c r="K97" s="249"/>
      <c r="L97" s="250"/>
      <c r="M97" s="250"/>
      <c r="N97" s="251">
        <f ca="1">IF(H97="Serviço",M97*L97,IF(H97="CÉLULA CONSTRUTIVA",SUMIFS($N$8:$N$352,$B$8:$B$352,B97,$H$8:$H$352,"Serviço"),IF(H97="ETAPA",SUMIFS($N$8:$N$352,$B$8:$B$352,B97,$C$8:$C$352,C97,$H$8:$H$352,"Serviço"),IF(H97="SUBETAPA",SUMIFS($N$8:$N$352,$B$8:$B$352,B97,$C$8:$C$352,C97,$D$8:$D$352,D97,$H$8:$H$352,"Serviço"),0))))</f>
        <v>30420.633971999996</v>
      </c>
      <c r="O97" s="252"/>
      <c r="P97" s="253"/>
      <c r="Q97" s="293"/>
    </row>
    <row r="98" spans="1:17" ht="12.75" hidden="1" outlineLevel="2" x14ac:dyDescent="0.2">
      <c r="A98" s="233">
        <f t="shared" ca="1" si="10"/>
        <v>0</v>
      </c>
      <c r="B98" s="233">
        <f t="shared" ca="1" si="14"/>
        <v>5</v>
      </c>
      <c r="C98" s="233">
        <f t="shared" ca="1" si="15"/>
        <v>1</v>
      </c>
      <c r="D98" s="234">
        <f t="shared" ca="1" si="9"/>
        <v>2</v>
      </c>
      <c r="E98" s="234">
        <f t="shared" ca="1" si="4"/>
        <v>1</v>
      </c>
      <c r="F98" s="244"/>
      <c r="G98" s="245"/>
      <c r="H98" s="246" t="s">
        <v>246</v>
      </c>
      <c r="I98" s="247" t="str">
        <f t="shared" ca="1" si="5"/>
        <v>05.001.002.001</v>
      </c>
      <c r="J98" s="298" t="s">
        <v>419</v>
      </c>
      <c r="K98" s="249" t="s">
        <v>92</v>
      </c>
      <c r="L98" s="250">
        <f>Arquitetura!I558+Arquitetura!I560</f>
        <v>197.14</v>
      </c>
      <c r="M98" s="250">
        <f>IFERROR(VLOOKUP(J98,CPU!$D$2:$H$327,5,FALSE),0)</f>
        <v>154.3098</v>
      </c>
      <c r="N98" s="251">
        <f>IF(H98="Serviço",M98*L98,IF(H98="CÉLULA CONSTRUTIVA",SUMIFS($N$8:$N$352,$B$8:$B$352,B98,$H$8:$H$352,"Serviço"),IF(H98="ETAPA",SUMIFS($N$8:$N$352,$B$8:$B$352,B98,$C$8:$C$352,C98,$H$8:$H$352,"Serviço"),IF(H98="SUBETAPA",SUMIFS($N$8:$N$352,$B$8:$B$352,B98,$C$8:$C$352,C98,$D$8:$D$352,D98,$H$8:$H$352,"Serviço"),0))))</f>
        <v>30420.633971999996</v>
      </c>
      <c r="O98" s="252" t="s">
        <v>5499</v>
      </c>
      <c r="P98" s="253" t="s">
        <v>366</v>
      </c>
      <c r="Q98" s="293"/>
    </row>
    <row r="99" spans="1:17" ht="13.5" hidden="1" customHeight="1" outlineLevel="1" x14ac:dyDescent="0.2">
      <c r="A99" s="233">
        <f t="shared" ca="1" si="10"/>
        <v>0</v>
      </c>
      <c r="B99" s="233">
        <f t="shared" ca="1" si="14"/>
        <v>5</v>
      </c>
      <c r="C99" s="233">
        <f t="shared" ca="1" si="15"/>
        <v>1</v>
      </c>
      <c r="D99" s="234">
        <f t="shared" ca="1" si="9"/>
        <v>3</v>
      </c>
      <c r="E99" s="234">
        <f t="shared" ca="1" si="4"/>
        <v>0</v>
      </c>
      <c r="F99" s="244"/>
      <c r="G99" s="245"/>
      <c r="H99" s="246" t="s">
        <v>244</v>
      </c>
      <c r="I99" s="247" t="str">
        <f t="shared" ca="1" si="5"/>
        <v>05.001.003</v>
      </c>
      <c r="J99" s="248" t="s">
        <v>5500</v>
      </c>
      <c r="K99" s="249"/>
      <c r="L99" s="250"/>
      <c r="M99" s="250"/>
      <c r="N99" s="251">
        <f ca="1">IF(H99="Serviço",M99*L99,IF(H99="CÉLULA CONSTRUTIVA",SUMIFS($N$8:$N$352,$B$8:$B$352,B99,$H$8:$H$352,"Serviço"),IF(H99="ETAPA",SUMIFS($N$8:$N$352,$B$8:$B$352,B99,$C$8:$C$352,C99,$H$8:$H$352,"Serviço"),IF(H99="SUBETAPA",SUMIFS($N$8:$N$352,$B$8:$B$352,B99,$C$8:$C$352,C99,$D$8:$D$352,D99,$H$8:$H$352,"Serviço"),0))))</f>
        <v>96796.994441999996</v>
      </c>
      <c r="O99" s="252"/>
      <c r="P99" s="253"/>
      <c r="Q99" s="293"/>
    </row>
    <row r="100" spans="1:17" ht="13.5" hidden="1" customHeight="1" outlineLevel="2" x14ac:dyDescent="0.2">
      <c r="A100" s="233">
        <f t="shared" ca="1" si="10"/>
        <v>0</v>
      </c>
      <c r="B100" s="233">
        <f t="shared" ca="1" si="14"/>
        <v>5</v>
      </c>
      <c r="C100" s="233">
        <f t="shared" ca="1" si="15"/>
        <v>1</v>
      </c>
      <c r="D100" s="234">
        <f t="shared" ca="1" si="9"/>
        <v>3</v>
      </c>
      <c r="E100" s="234">
        <f t="shared" ca="1" si="4"/>
        <v>1</v>
      </c>
      <c r="F100" s="244"/>
      <c r="G100" s="245"/>
      <c r="H100" s="246" t="s">
        <v>246</v>
      </c>
      <c r="I100" s="247" t="str">
        <f t="shared" ca="1" si="5"/>
        <v>05.001.003.001</v>
      </c>
      <c r="J100" s="248" t="s">
        <v>419</v>
      </c>
      <c r="K100" s="249" t="s">
        <v>92</v>
      </c>
      <c r="L100" s="250">
        <f>Arquitetura!I552+Arquitetura!I564</f>
        <v>627.29</v>
      </c>
      <c r="M100" s="250">
        <f>IFERROR(VLOOKUP(J100,CPU!$D$2:$H$327,5,FALSE),0)</f>
        <v>154.3098</v>
      </c>
      <c r="N100" s="251">
        <f>IF(H100="Serviço",M100*L100,IF(H100="CÉLULA CONSTRUTIVA",SUMIFS($N$8:$N$352,$B$8:$B$352,B100,$H$8:$H$352,"Serviço"),IF(H100="ETAPA",SUMIFS($N$8:$N$352,$B$8:$B$352,B100,$C$8:$C$352,C100,$H$8:$H$352,"Serviço"),IF(H100="SUBETAPA",SUMIFS($N$8:$N$352,$B$8:$B$352,B100,$C$8:$C$352,C100,$D$8:$D$352,D100,$H$8:$H$352,"Serviço"),0))))</f>
        <v>96796.994441999996</v>
      </c>
      <c r="O100" s="252" t="s">
        <v>1098</v>
      </c>
      <c r="P100" s="253" t="s">
        <v>366</v>
      </c>
      <c r="Q100" s="293"/>
    </row>
    <row r="101" spans="1:17" ht="13.5" hidden="1" customHeight="1" outlineLevel="1" x14ac:dyDescent="0.2">
      <c r="A101" s="233">
        <f ca="1">IF($H101="UNIDADE CONSTRUTIVA",OFFSET(A101,-1,0)+1,LARGE(A$3:A100,1))</f>
        <v>0</v>
      </c>
      <c r="B101" s="233">
        <f t="shared" ca="1" si="14"/>
        <v>5</v>
      </c>
      <c r="C101" s="233">
        <f t="shared" ca="1" si="15"/>
        <v>1</v>
      </c>
      <c r="D101" s="234">
        <f t="shared" ca="1" si="9"/>
        <v>4</v>
      </c>
      <c r="E101" s="234">
        <f t="shared" ca="1" si="4"/>
        <v>0</v>
      </c>
      <c r="F101" s="244"/>
      <c r="G101" s="245"/>
      <c r="H101" s="246" t="s">
        <v>244</v>
      </c>
      <c r="I101" s="247" t="str">
        <f t="shared" ca="1" si="5"/>
        <v>05.001.004</v>
      </c>
      <c r="J101" s="248" t="s">
        <v>5503</v>
      </c>
      <c r="K101" s="249"/>
      <c r="L101" s="250"/>
      <c r="M101" s="250"/>
      <c r="N101" s="251">
        <f ca="1">IF(H101="Serviço",M101*L101,IF(H101="CÉLULA CONSTRUTIVA",SUMIFS($N$8:$N$352,$B$8:$B$352,B101,$H$8:$H$352,"Serviço"),IF(H101="ETAPA",SUMIFS($N$8:$N$352,$B$8:$B$352,B101,$C$8:$C$352,C101,$H$8:$H$352,"Serviço"),IF(H101="SUBETAPA",SUMIFS($N$8:$N$352,$B$8:$B$352,B101,$C$8:$C$352,C101,$D$8:$D$352,D101,$H$8:$H$352,"Serviço"),0))))</f>
        <v>72158.141440000007</v>
      </c>
      <c r="O101" s="252"/>
      <c r="P101" s="253"/>
      <c r="Q101" s="293"/>
    </row>
    <row r="102" spans="1:17" ht="12.75" hidden="1" outlineLevel="2" x14ac:dyDescent="0.2">
      <c r="A102" s="233">
        <f t="shared" ca="1" si="10"/>
        <v>0</v>
      </c>
      <c r="B102" s="233">
        <f t="shared" ca="1" si="14"/>
        <v>5</v>
      </c>
      <c r="C102" s="233">
        <f t="shared" ca="1" si="15"/>
        <v>1</v>
      </c>
      <c r="D102" s="234">
        <f t="shared" ca="1" si="9"/>
        <v>4</v>
      </c>
      <c r="E102" s="234">
        <f t="shared" ca="1" si="4"/>
        <v>1</v>
      </c>
      <c r="F102" s="244"/>
      <c r="G102" s="245"/>
      <c r="H102" s="246" t="s">
        <v>246</v>
      </c>
      <c r="I102" s="247" t="str">
        <f t="shared" ca="1" si="5"/>
        <v>05.001.004.001</v>
      </c>
      <c r="J102" s="298" t="s">
        <v>420</v>
      </c>
      <c r="K102" s="249" t="s">
        <v>92</v>
      </c>
      <c r="L102" s="250">
        <f>Arquitetura!I553+Arquitetura!I555+Arquitetura!I556+Arquitetura!I559+Arquitetura!I561+Arquitetura!I562+Arquitetura!I566+Arquitetura!I567</f>
        <v>1990.2400000000002</v>
      </c>
      <c r="M102" s="250">
        <f>IFERROR(VLOOKUP(J102,CPU!$D$2:$H$327,5,FALSE),0)</f>
        <v>36.256</v>
      </c>
      <c r="N102" s="251">
        <f>IF(H102="Serviço",M102*L102,IF(H102="CÉLULA CONSTRUTIVA",SUMIFS($N$8:$N$352,$B$8:$B$352,B102,$H$8:$H$352,"Serviço"),IF(H102="ETAPA",SUMIFS($N$8:$N$352,$B$8:$B$352,B102,$C$8:$C$352,C102,$H$8:$H$352,"Serviço"),IF(H102="SUBETAPA",SUMIFS($N$8:$N$352,$B$8:$B$352,B102,$C$8:$C$352,C102,$D$8:$D$352,D102,$H$8:$H$352,"Serviço"),0))))</f>
        <v>72158.141440000007</v>
      </c>
      <c r="O102" s="252"/>
      <c r="P102" s="253" t="s">
        <v>366</v>
      </c>
      <c r="Q102" s="293"/>
    </row>
    <row r="103" spans="1:17" ht="13.5" hidden="1" customHeight="1" outlineLevel="1" x14ac:dyDescent="0.2">
      <c r="A103" s="233">
        <f ca="1">IF($H103="UNIDADE CONSTRUTIVA",OFFSET(A103,-1,0)+1,LARGE(A$3:A102,1))</f>
        <v>0</v>
      </c>
      <c r="B103" s="233">
        <f t="shared" ca="1" si="14"/>
        <v>5</v>
      </c>
      <c r="C103" s="233">
        <f t="shared" ca="1" si="15"/>
        <v>1</v>
      </c>
      <c r="D103" s="234">
        <f t="shared" ca="1" si="9"/>
        <v>5</v>
      </c>
      <c r="E103" s="234">
        <f t="shared" ca="1" si="4"/>
        <v>0</v>
      </c>
      <c r="F103" s="244"/>
      <c r="G103" s="245"/>
      <c r="H103" s="246" t="s">
        <v>244</v>
      </c>
      <c r="I103" s="247" t="str">
        <f t="shared" ca="1" si="5"/>
        <v>05.001.005</v>
      </c>
      <c r="J103" s="248" t="s">
        <v>421</v>
      </c>
      <c r="K103" s="249"/>
      <c r="L103" s="250"/>
      <c r="M103" s="250"/>
      <c r="N103" s="251">
        <f ca="1">IF(H103="Serviço",M103*L103,IF(H103="CÉLULA CONSTRUTIVA",SUMIFS($N$8:$N$352,$B$8:$B$352,B103,$H$8:$H$352,"Serviço"),IF(H103="ETAPA",SUMIFS($N$8:$N$352,$B$8:$B$352,B103,$C$8:$C$352,C103,$H$8:$H$352,"Serviço"),IF(H103="SUBETAPA",SUMIFS($N$8:$N$352,$B$8:$B$352,B103,$C$8:$C$352,C103,$D$8:$D$352,D103,$H$8:$H$352,"Serviço"),0))))</f>
        <v>112001.44855200002</v>
      </c>
      <c r="O103" s="252"/>
      <c r="P103" s="253"/>
      <c r="Q103" s="293"/>
    </row>
    <row r="104" spans="1:17" ht="12.75" hidden="1" outlineLevel="2" x14ac:dyDescent="0.2">
      <c r="A104" s="233">
        <f t="shared" ca="1" si="10"/>
        <v>0</v>
      </c>
      <c r="B104" s="233">
        <f t="shared" ca="1" si="14"/>
        <v>5</v>
      </c>
      <c r="C104" s="233">
        <f t="shared" ca="1" si="15"/>
        <v>1</v>
      </c>
      <c r="D104" s="234">
        <f t="shared" ca="1" si="9"/>
        <v>5</v>
      </c>
      <c r="E104" s="234">
        <f t="shared" ca="1" si="4"/>
        <v>1</v>
      </c>
      <c r="F104" s="244"/>
      <c r="G104" s="245"/>
      <c r="H104" s="246" t="s">
        <v>246</v>
      </c>
      <c r="I104" s="247" t="str">
        <f t="shared" ca="1" si="5"/>
        <v>05.001.005.001</v>
      </c>
      <c r="J104" s="298" t="s">
        <v>420</v>
      </c>
      <c r="K104" s="249" t="s">
        <v>92</v>
      </c>
      <c r="L104" s="250">
        <f>Arquitetura!I554+Arquitetura!I557</f>
        <v>310.62</v>
      </c>
      <c r="M104" s="250">
        <f>IFERROR(VLOOKUP(J104,CPU!$D$2:$H$327,5,FALSE),0)</f>
        <v>36.256</v>
      </c>
      <c r="N104" s="251">
        <f>IF(H104="Serviço",M104*L104,IF(H104="CÉLULA CONSTRUTIVA",SUMIFS($N$8:$N$352,$B$8:$B$352,B104,$H$8:$H$352,"Serviço"),IF(H104="ETAPA",SUMIFS($N$8:$N$352,$B$8:$B$352,B104,$C$8:$C$352,C104,$H$8:$H$352,"Serviço"),IF(H104="SUBETAPA",SUMIFS($N$8:$N$352,$B$8:$B$352,B104,$C$8:$C$352,C104,$D$8:$D$352,D104,$H$8:$H$352,"Serviço"),0))))</f>
        <v>11261.83872</v>
      </c>
      <c r="O104" s="252" t="s">
        <v>1103</v>
      </c>
      <c r="P104" s="253" t="s">
        <v>366</v>
      </c>
      <c r="Q104" s="293"/>
    </row>
    <row r="105" spans="1:17" ht="12.75" hidden="1" outlineLevel="2" x14ac:dyDescent="0.2">
      <c r="A105" s="233">
        <f t="shared" ca="1" si="10"/>
        <v>0</v>
      </c>
      <c r="B105" s="233">
        <f t="shared" ca="1" si="14"/>
        <v>5</v>
      </c>
      <c r="C105" s="233">
        <f t="shared" ca="1" si="15"/>
        <v>1</v>
      </c>
      <c r="D105" s="234">
        <f t="shared" ca="1" si="9"/>
        <v>5</v>
      </c>
      <c r="E105" s="234">
        <f t="shared" ca="1" si="4"/>
        <v>2</v>
      </c>
      <c r="F105" s="244"/>
      <c r="G105" s="245"/>
      <c r="H105" s="246" t="s">
        <v>246</v>
      </c>
      <c r="I105" s="247" t="str">
        <f t="shared" ca="1" si="5"/>
        <v>05.001.005.002</v>
      </c>
      <c r="J105" s="298" t="s">
        <v>419</v>
      </c>
      <c r="K105" s="249" t="s">
        <v>92</v>
      </c>
      <c r="L105" s="250">
        <f>Arquitetura!I549+Arquitetura!I550</f>
        <v>652.84000000000015</v>
      </c>
      <c r="M105" s="250">
        <f>IFERROR(VLOOKUP(J105,CPU!$D$2:$H$327,5,FALSE),0)</f>
        <v>154.3098</v>
      </c>
      <c r="N105" s="251">
        <f>IF(H105="Serviço",M105*L105,IF(H105="CÉLULA CONSTRUTIVA",SUMIFS($N$8:$N$352,$B$8:$B$352,B105,$H$8:$H$352,"Serviço"),IF(H105="ETAPA",SUMIFS($N$8:$N$352,$B$8:$B$352,B105,$C$8:$C$352,C105,$H$8:$H$352,"Serviço"),IF(H105="SUBETAPA",SUMIFS($N$8:$N$352,$B$8:$B$352,B105,$C$8:$C$352,C105,$D$8:$D$352,D105,$H$8:$H$352,"Serviço"),0))))</f>
        <v>100739.60983200002</v>
      </c>
      <c r="O105" s="252" t="s">
        <v>5498</v>
      </c>
      <c r="P105" s="253" t="s">
        <v>366</v>
      </c>
      <c r="Q105" s="293"/>
    </row>
    <row r="106" spans="1:17" ht="13.5" hidden="1" customHeight="1" outlineLevel="1" x14ac:dyDescent="0.2">
      <c r="A106" s="233">
        <f t="shared" ca="1" si="10"/>
        <v>0</v>
      </c>
      <c r="B106" s="233">
        <f t="shared" ca="1" si="14"/>
        <v>5</v>
      </c>
      <c r="C106" s="233">
        <f t="shared" ca="1" si="15"/>
        <v>1</v>
      </c>
      <c r="D106" s="234">
        <f t="shared" ca="1" si="9"/>
        <v>6</v>
      </c>
      <c r="E106" s="234">
        <f t="shared" ca="1" si="4"/>
        <v>0</v>
      </c>
      <c r="F106" s="244"/>
      <c r="G106" s="245"/>
      <c r="H106" s="246" t="s">
        <v>244</v>
      </c>
      <c r="I106" s="247" t="str">
        <f t="shared" ca="1" si="5"/>
        <v>05.001.006</v>
      </c>
      <c r="J106" s="248" t="s">
        <v>5501</v>
      </c>
      <c r="K106" s="249"/>
      <c r="L106" s="250"/>
      <c r="M106" s="250"/>
      <c r="N106" s="251">
        <f ca="1">IF(H106="Serviço",M106*L106,IF(H106="CÉLULA CONSTRUTIVA",SUMIFS($N$8:$N$352,$B$8:$B$352,B106,$H$8:$H$352,"Serviço"),IF(H106="ETAPA",SUMIFS($N$8:$N$352,$B$8:$B$352,B106,$C$8:$C$352,C106,$H$8:$H$352,"Serviço"),IF(H106="SUBETAPA",SUMIFS($N$8:$N$352,$B$8:$B$352,B106,$C$8:$C$352,C106,$D$8:$D$352,D106,$H$8:$H$352,"Serviço"),0))))</f>
        <v>25968.987940499996</v>
      </c>
      <c r="O106" s="252"/>
      <c r="P106" s="253"/>
      <c r="Q106" s="293"/>
    </row>
    <row r="107" spans="1:17" ht="12.75" hidden="1" outlineLevel="2" x14ac:dyDescent="0.2">
      <c r="A107" s="233">
        <f t="shared" ca="1" si="10"/>
        <v>0</v>
      </c>
      <c r="B107" s="233">
        <f t="shared" ca="1" si="14"/>
        <v>5</v>
      </c>
      <c r="C107" s="233">
        <f t="shared" ca="1" si="15"/>
        <v>1</v>
      </c>
      <c r="D107" s="234">
        <f t="shared" ca="1" si="9"/>
        <v>6</v>
      </c>
      <c r="E107" s="234">
        <f t="shared" ca="1" si="4"/>
        <v>1</v>
      </c>
      <c r="F107" s="244"/>
      <c r="G107" s="245"/>
      <c r="H107" s="246" t="s">
        <v>246</v>
      </c>
      <c r="I107" s="247" t="str">
        <f t="shared" ca="1" si="5"/>
        <v>05.001.006.001</v>
      </c>
      <c r="J107" s="298" t="s">
        <v>422</v>
      </c>
      <c r="K107" s="249" t="s">
        <v>92</v>
      </c>
      <c r="L107" s="250">
        <f>Arquitetura!I548+Arquitetura!I551</f>
        <v>616.61999999999989</v>
      </c>
      <c r="M107" s="250">
        <f>IFERROR(VLOOKUP(J107,CPU!$D$2:$H$327,5,FALSE),0)</f>
        <v>24.900000000000002</v>
      </c>
      <c r="N107" s="251">
        <f>IF(H107="Serviço",M107*L107,IF(H107="CÉLULA CONSTRUTIVA",SUMIFS($N$8:$N$352,$B$8:$B$352,B107,$H$8:$H$352,"Serviço"),IF(H107="ETAPA",SUMIFS($N$8:$N$352,$B$8:$B$352,B107,$C$8:$C$352,C107,$H$8:$H$352,"Serviço"),IF(H107="SUBETAPA",SUMIFS($N$8:$N$352,$B$8:$B$352,B107,$C$8:$C$352,C107,$D$8:$D$352,D107,$H$8:$H$352,"Serviço"),0))))</f>
        <v>15353.837999999998</v>
      </c>
      <c r="O107" s="252" t="s">
        <v>424</v>
      </c>
      <c r="P107" s="253" t="s">
        <v>366</v>
      </c>
      <c r="Q107" s="293"/>
    </row>
    <row r="108" spans="1:17" ht="12.75" hidden="1" outlineLevel="2" x14ac:dyDescent="0.2">
      <c r="A108" s="233">
        <f t="shared" ca="1" si="10"/>
        <v>0</v>
      </c>
      <c r="B108" s="233">
        <f t="shared" ca="1" si="14"/>
        <v>5</v>
      </c>
      <c r="C108" s="233">
        <f t="shared" ca="1" si="15"/>
        <v>1</v>
      </c>
      <c r="D108" s="234">
        <f t="shared" ca="1" si="9"/>
        <v>6</v>
      </c>
      <c r="E108" s="234">
        <f t="shared" ca="1" si="4"/>
        <v>2</v>
      </c>
      <c r="F108" s="244"/>
      <c r="G108" s="245"/>
      <c r="H108" s="246" t="s">
        <v>246</v>
      </c>
      <c r="I108" s="247" t="str">
        <f t="shared" ca="1" si="5"/>
        <v>05.001.006.002</v>
      </c>
      <c r="J108" s="298" t="s">
        <v>423</v>
      </c>
      <c r="K108" s="249" t="s">
        <v>92</v>
      </c>
      <c r="L108" s="250">
        <f>Arquitetura!I565+Arquitetura!I568</f>
        <v>196.10999999999999</v>
      </c>
      <c r="M108" s="250">
        <f>IFERROR(VLOOKUP(J108,CPU!$D$2:$H$327,5,FALSE),0)</f>
        <v>54.128550000000004</v>
      </c>
      <c r="N108" s="251">
        <f>IF(H108="Serviço",M108*L108,IF(H108="CÉLULA CONSTRUTIVA",SUMIFS($N$8:$N$352,$B$8:$B$352,B108,$H$8:$H$352,"Serviço"),IF(H108="ETAPA",SUMIFS($N$8:$N$352,$B$8:$B$352,B108,$C$8:$C$352,C108,$H$8:$H$352,"Serviço"),IF(H108="SUBETAPA",SUMIFS($N$8:$N$352,$B$8:$B$352,B108,$C$8:$C$352,C108,$D$8:$D$352,D108,$H$8:$H$352,"Serviço"),0))))</f>
        <v>10615.1499405</v>
      </c>
      <c r="O108" s="252" t="s">
        <v>34</v>
      </c>
      <c r="P108" s="253" t="s">
        <v>366</v>
      </c>
      <c r="Q108" s="293"/>
    </row>
    <row r="109" spans="1:17" ht="13.5" hidden="1" customHeight="1" outlineLevel="1" x14ac:dyDescent="0.2">
      <c r="A109" s="233">
        <f ca="1">IF($H109="UNIDADE CONSTRUTIVA",OFFSET(A109,-1,0)+1,LARGE(A$3:A108,1))</f>
        <v>0</v>
      </c>
      <c r="B109" s="233">
        <f t="shared" ca="1" si="14"/>
        <v>5</v>
      </c>
      <c r="C109" s="233">
        <f t="shared" ca="1" si="15"/>
        <v>1</v>
      </c>
      <c r="D109" s="234">
        <f t="shared" ca="1" si="9"/>
        <v>7</v>
      </c>
      <c r="E109" s="234">
        <f t="shared" ca="1" si="4"/>
        <v>0</v>
      </c>
      <c r="F109" s="244"/>
      <c r="G109" s="245"/>
      <c r="H109" s="246" t="s">
        <v>244</v>
      </c>
      <c r="I109" s="247" t="str">
        <f t="shared" ca="1" si="5"/>
        <v>05.001.007</v>
      </c>
      <c r="J109" s="248" t="s">
        <v>399</v>
      </c>
      <c r="K109" s="249"/>
      <c r="L109" s="250"/>
      <c r="M109" s="250"/>
      <c r="N109" s="251">
        <f ca="1">IF(H109="Serviço",M109*L109,IF(H109="CÉLULA CONSTRUTIVA",SUMIFS($N$8:$N$352,$B$8:$B$352,B109,$H$8:$H$352,"Serviço"),IF(H109="ETAPA",SUMIFS($N$8:$N$352,$B$8:$B$352,B109,$C$8:$C$352,C109,$H$8:$H$352,"Serviço"),IF(H109="SUBETAPA",SUMIFS($N$8:$N$352,$B$8:$B$352,B109,$C$8:$C$352,C109,$D$8:$D$352,D109,$H$8:$H$352,"Serviço"),0))))</f>
        <v>264190.15000000002</v>
      </c>
      <c r="O109" s="252"/>
      <c r="P109" s="253"/>
      <c r="Q109" s="293"/>
    </row>
    <row r="110" spans="1:17" ht="13.5" hidden="1" customHeight="1" outlineLevel="2" x14ac:dyDescent="0.2">
      <c r="A110" s="233">
        <f t="shared" ca="1" si="10"/>
        <v>0</v>
      </c>
      <c r="B110" s="233">
        <f t="shared" ca="1" si="14"/>
        <v>5</v>
      </c>
      <c r="C110" s="233">
        <f t="shared" ca="1" si="15"/>
        <v>1</v>
      </c>
      <c r="D110" s="234">
        <f t="shared" ca="1" si="9"/>
        <v>7</v>
      </c>
      <c r="E110" s="234">
        <f t="shared" ca="1" si="4"/>
        <v>1</v>
      </c>
      <c r="F110" s="244"/>
      <c r="G110" s="245"/>
      <c r="H110" s="246" t="s">
        <v>246</v>
      </c>
      <c r="I110" s="247" t="str">
        <f t="shared" ca="1" si="5"/>
        <v>05.001.007.001</v>
      </c>
      <c r="J110" s="255" t="s">
        <v>425</v>
      </c>
      <c r="K110" s="249" t="s">
        <v>92</v>
      </c>
      <c r="L110" s="250">
        <f>L95</f>
        <v>4065.9</v>
      </c>
      <c r="M110" s="250">
        <v>20</v>
      </c>
      <c r="N110" s="251">
        <f>IF(H110="Serviço",M110*L110,IF(H110="CÉLULA CONSTRUTIVA",SUMIFS($N$8:$N$352,$B$8:$B$352,B110,$H$8:$H$352,"Serviço"),IF(H110="ETAPA",SUMIFS($N$8:$N$352,$B$8:$B$352,B110,$C$8:$C$352,C110,$H$8:$H$352,"Serviço"),IF(H110="SUBETAPA",SUMIFS($N$8:$N$352,$B$8:$B$352,B110,$C$8:$C$352,C110,$D$8:$D$352,D110,$H$8:$H$352,"Serviço"),0))))</f>
        <v>81318</v>
      </c>
      <c r="O110" s="252"/>
      <c r="P110" s="253" t="s">
        <v>366</v>
      </c>
      <c r="Q110" s="293"/>
    </row>
    <row r="111" spans="1:17" ht="13.5" hidden="1" customHeight="1" outlineLevel="2" x14ac:dyDescent="0.2">
      <c r="A111" s="233">
        <f t="shared" ca="1" si="10"/>
        <v>0</v>
      </c>
      <c r="B111" s="233">
        <f t="shared" ca="1" si="14"/>
        <v>5</v>
      </c>
      <c r="C111" s="233">
        <f t="shared" ca="1" si="15"/>
        <v>1</v>
      </c>
      <c r="D111" s="234">
        <f t="shared" ca="1" si="9"/>
        <v>7</v>
      </c>
      <c r="E111" s="234">
        <f t="shared" ca="1" si="4"/>
        <v>2</v>
      </c>
      <c r="F111" s="244"/>
      <c r="G111" s="245"/>
      <c r="H111" s="246" t="s">
        <v>246</v>
      </c>
      <c r="I111" s="247" t="str">
        <f t="shared" ca="1" si="5"/>
        <v>05.001.007.002</v>
      </c>
      <c r="J111" s="255" t="s">
        <v>426</v>
      </c>
      <c r="K111" s="249" t="s">
        <v>92</v>
      </c>
      <c r="L111" s="250">
        <f>L96</f>
        <v>824.43</v>
      </c>
      <c r="M111" s="250">
        <v>32</v>
      </c>
      <c r="N111" s="251">
        <f>IF(H111="Serviço",M111*L111,IF(H111="CÉLULA CONSTRUTIVA",SUMIFS($N$8:$N$352,$B$8:$B$352,B111,$H$8:$H$352,"Serviço"),IF(H111="ETAPA",SUMIFS($N$8:$N$352,$B$8:$B$352,B111,$C$8:$C$352,C111,$H$8:$H$352,"Serviço"),IF(H111="SUBETAPA",SUMIFS($N$8:$N$352,$B$8:$B$352,B111,$C$8:$C$352,C111,$D$8:$D$352,D111,$H$8:$H$352,"Serviço"),0))))</f>
        <v>26381.759999999998</v>
      </c>
      <c r="O111" s="252"/>
      <c r="P111" s="253" t="s">
        <v>366</v>
      </c>
      <c r="Q111" s="293"/>
    </row>
    <row r="112" spans="1:17" ht="13.5" hidden="1" customHeight="1" outlineLevel="2" x14ac:dyDescent="0.2">
      <c r="A112" s="233">
        <f t="shared" ca="1" si="10"/>
        <v>0</v>
      </c>
      <c r="B112" s="233">
        <f t="shared" ca="1" si="14"/>
        <v>5</v>
      </c>
      <c r="C112" s="233">
        <f t="shared" ca="1" si="15"/>
        <v>1</v>
      </c>
      <c r="D112" s="234">
        <f t="shared" ca="1" si="9"/>
        <v>7</v>
      </c>
      <c r="E112" s="234">
        <f t="shared" ca="1" si="4"/>
        <v>3</v>
      </c>
      <c r="F112" s="244"/>
      <c r="G112" s="245"/>
      <c r="H112" s="246" t="s">
        <v>246</v>
      </c>
      <c r="I112" s="247" t="str">
        <f t="shared" ca="1" si="5"/>
        <v>05.001.007.003</v>
      </c>
      <c r="J112" s="255" t="s">
        <v>427</v>
      </c>
      <c r="K112" s="249" t="s">
        <v>92</v>
      </c>
      <c r="L112" s="250">
        <f>L107</f>
        <v>616.61999999999989</v>
      </c>
      <c r="M112" s="250">
        <v>20</v>
      </c>
      <c r="N112" s="251">
        <f>IF(H112="Serviço",M112*L112,IF(H112="CÉLULA CONSTRUTIVA",SUMIFS($N$8:$N$352,$B$8:$B$352,B112,$H$8:$H$352,"Serviço"),IF(H112="ETAPA",SUMIFS($N$8:$N$352,$B$8:$B$352,B112,$C$8:$C$352,C112,$H$8:$H$352,"Serviço"),IF(H112="SUBETAPA",SUMIFS($N$8:$N$352,$B$8:$B$352,B112,$C$8:$C$352,C112,$D$8:$D$352,D112,$H$8:$H$352,"Serviço"),0))))</f>
        <v>12332.399999999998</v>
      </c>
      <c r="O112" s="252"/>
      <c r="P112" s="253" t="s">
        <v>366</v>
      </c>
      <c r="Q112" s="293"/>
    </row>
    <row r="113" spans="1:19" ht="13.5" hidden="1" customHeight="1" outlineLevel="2" x14ac:dyDescent="0.2">
      <c r="A113" s="233">
        <f t="shared" ca="1" si="10"/>
        <v>0</v>
      </c>
      <c r="B113" s="233">
        <f t="shared" ca="1" si="14"/>
        <v>5</v>
      </c>
      <c r="C113" s="233">
        <f t="shared" ca="1" si="15"/>
        <v>1</v>
      </c>
      <c r="D113" s="234">
        <f t="shared" ca="1" si="9"/>
        <v>7</v>
      </c>
      <c r="E113" s="234">
        <f t="shared" ca="1" si="4"/>
        <v>4</v>
      </c>
      <c r="F113" s="244"/>
      <c r="G113" s="245"/>
      <c r="H113" s="246" t="s">
        <v>246</v>
      </c>
      <c r="I113" s="247" t="str">
        <f t="shared" ca="1" si="5"/>
        <v>05.001.007.004</v>
      </c>
      <c r="J113" s="248" t="s">
        <v>428</v>
      </c>
      <c r="K113" s="249" t="s">
        <v>92</v>
      </c>
      <c r="L113" s="250">
        <f>L100+L98+L105</f>
        <v>1477.27</v>
      </c>
      <c r="M113" s="250">
        <v>48</v>
      </c>
      <c r="N113" s="251">
        <f>IF(H113="Serviço",M113*L113,IF(H113="CÉLULA CONSTRUTIVA",SUMIFS($N$8:$N$352,$B$8:$B$352,B113,$H$8:$H$352,"Serviço"),IF(H113="ETAPA",SUMIFS($N$8:$N$352,$B$8:$B$352,B113,$C$8:$C$352,C113,$H$8:$H$352,"Serviço"),IF(H113="SUBETAPA",SUMIFS($N$8:$N$352,$B$8:$B$352,B113,$C$8:$C$352,C113,$D$8:$D$352,D113,$H$8:$H$352,"Serviço"),0))))</f>
        <v>70908.959999999992</v>
      </c>
      <c r="O113" s="252"/>
      <c r="P113" s="253" t="s">
        <v>366</v>
      </c>
      <c r="Q113" s="293"/>
    </row>
    <row r="114" spans="1:19" ht="13.5" hidden="1" customHeight="1" outlineLevel="2" x14ac:dyDescent="0.2">
      <c r="A114" s="233">
        <f t="shared" ca="1" si="10"/>
        <v>0</v>
      </c>
      <c r="B114" s="233">
        <f t="shared" ca="1" si="14"/>
        <v>5</v>
      </c>
      <c r="C114" s="233">
        <f t="shared" ca="1" si="15"/>
        <v>1</v>
      </c>
      <c r="D114" s="234">
        <f t="shared" ca="1" si="9"/>
        <v>7</v>
      </c>
      <c r="E114" s="234">
        <f t="shared" ca="1" si="4"/>
        <v>5</v>
      </c>
      <c r="F114" s="244"/>
      <c r="G114" s="245"/>
      <c r="H114" s="246" t="s">
        <v>246</v>
      </c>
      <c r="I114" s="247" t="str">
        <f t="shared" ca="1" si="5"/>
        <v>05.001.007.005</v>
      </c>
      <c r="J114" s="255" t="s">
        <v>429</v>
      </c>
      <c r="K114" s="249" t="s">
        <v>88</v>
      </c>
      <c r="L114" s="250">
        <f>L104+L102</f>
        <v>2300.86</v>
      </c>
      <c r="M114" s="250">
        <v>28</v>
      </c>
      <c r="N114" s="251">
        <f>IF(H114="Serviço",M114*L114,IF(H114="CÉLULA CONSTRUTIVA",SUMIFS($N$8:$N$352,$B$8:$B$352,B114,$H$8:$H$352,"Serviço"),IF(H114="ETAPA",SUMIFS($N$8:$N$352,$B$8:$B$352,B114,$C$8:$C$352,C114,$H$8:$H$352,"Serviço"),IF(H114="SUBETAPA",SUMIFS($N$8:$N$352,$B$8:$B$352,B114,$C$8:$C$352,C114,$D$8:$D$352,D114,$H$8:$H$352,"Serviço"),0))))</f>
        <v>64424.08</v>
      </c>
      <c r="O114" s="252"/>
      <c r="P114" s="253" t="s">
        <v>366</v>
      </c>
      <c r="Q114" s="293"/>
    </row>
    <row r="115" spans="1:19" ht="13.5" hidden="1" customHeight="1" outlineLevel="2" x14ac:dyDescent="0.2">
      <c r="A115" s="233">
        <f t="shared" ca="1" si="10"/>
        <v>0</v>
      </c>
      <c r="B115" s="233">
        <f t="shared" ca="1" si="14"/>
        <v>5</v>
      </c>
      <c r="C115" s="233">
        <f t="shared" ca="1" si="15"/>
        <v>1</v>
      </c>
      <c r="D115" s="234">
        <f t="shared" ca="1" si="9"/>
        <v>7</v>
      </c>
      <c r="E115" s="234">
        <f t="shared" ca="1" si="4"/>
        <v>6</v>
      </c>
      <c r="F115" s="244"/>
      <c r="G115" s="245"/>
      <c r="H115" s="246" t="s">
        <v>246</v>
      </c>
      <c r="I115" s="247" t="str">
        <f t="shared" ca="1" si="5"/>
        <v>05.001.007.006</v>
      </c>
      <c r="J115" s="255" t="s">
        <v>430</v>
      </c>
      <c r="K115" s="249" t="s">
        <v>92</v>
      </c>
      <c r="L115" s="250">
        <f>L108</f>
        <v>196.10999999999999</v>
      </c>
      <c r="M115" s="250">
        <v>45</v>
      </c>
      <c r="N115" s="251">
        <f>IF(H115="Serviço",M115*L115,IF(H115="CÉLULA CONSTRUTIVA",SUMIFS($N$8:$N$352,$B$8:$B$352,B115,$H$8:$H$352,"Serviço"),IF(H115="ETAPA",SUMIFS($N$8:$N$352,$B$8:$B$352,B115,$C$8:$C$352,C115,$H$8:$H$352,"Serviço"),IF(H115="SUBETAPA",SUMIFS($N$8:$N$352,$B$8:$B$352,B115,$C$8:$C$352,C115,$D$8:$D$352,D115,$H$8:$H$352,"Serviço"),0))))</f>
        <v>8824.9499999999989</v>
      </c>
      <c r="O115" s="252"/>
      <c r="P115" s="253" t="s">
        <v>366</v>
      </c>
      <c r="Q115" s="293"/>
    </row>
    <row r="116" spans="1:19" ht="13.5" customHeight="1" collapsed="1" x14ac:dyDescent="0.2">
      <c r="A116" s="233">
        <f t="shared" ca="1" si="10"/>
        <v>0</v>
      </c>
      <c r="B116" s="233">
        <f t="shared" ca="1" si="14"/>
        <v>6</v>
      </c>
      <c r="C116" s="233">
        <f t="shared" ca="1" si="15"/>
        <v>0</v>
      </c>
      <c r="D116" s="234">
        <f t="shared" ca="1" si="9"/>
        <v>7</v>
      </c>
      <c r="E116" s="234">
        <f t="shared" ca="1" si="4"/>
        <v>6</v>
      </c>
      <c r="F116" s="1012"/>
      <c r="G116" s="245"/>
      <c r="H116" s="246" t="s">
        <v>241</v>
      </c>
      <c r="I116" s="247" t="str">
        <f t="shared" ca="1" si="5"/>
        <v>06</v>
      </c>
      <c r="J116" s="248" t="s">
        <v>62</v>
      </c>
      <c r="K116" s="249"/>
      <c r="L116" s="250"/>
      <c r="M116" s="250"/>
      <c r="N116" s="251">
        <f ca="1">IF(H116="Serviço",M116*L116,IF(H116="CÉLULA CONSTRUTIVA",SUMIFS($N$8:$N$352,$B$8:$B$352,B116,$H$8:$H$352,"Serviço"),IF(H116="ETAPA",SUMIFS($N$8:$N$352,$B$8:$B$352,B116,$C$8:$C$352,C116,$H$8:$H$352,"Serviço"),IF(H116="SUBETAPA",SUMIFS($N$8:$N$352,$B$8:$B$352,B116,$C$8:$C$352,C116,$D$8:$D$352,D116,$H$8:$H$352,"Serviço"),0))))</f>
        <v>911003.14010330499</v>
      </c>
      <c r="O116" s="252">
        <f ca="1">N116/'Obra '!E9</f>
        <v>118.74327298910133</v>
      </c>
      <c r="P116" s="253"/>
      <c r="Q116" s="293"/>
    </row>
    <row r="117" spans="1:19" ht="13.5" hidden="1" customHeight="1" outlineLevel="1" x14ac:dyDescent="0.2">
      <c r="A117" s="233">
        <f t="shared" ca="1" si="10"/>
        <v>0</v>
      </c>
      <c r="B117" s="233">
        <f t="shared" ca="1" si="14"/>
        <v>6</v>
      </c>
      <c r="C117" s="233">
        <f t="shared" ca="1" si="15"/>
        <v>1</v>
      </c>
      <c r="D117" s="234">
        <f t="shared" ca="1" si="9"/>
        <v>0</v>
      </c>
      <c r="E117" s="234">
        <f t="shared" ca="1" si="4"/>
        <v>6</v>
      </c>
      <c r="F117" s="244"/>
      <c r="G117" s="245"/>
      <c r="H117" s="246" t="s">
        <v>37</v>
      </c>
      <c r="I117" s="247" t="str">
        <f t="shared" ca="1" si="5"/>
        <v>06.001</v>
      </c>
      <c r="J117" s="248" t="s">
        <v>62</v>
      </c>
      <c r="K117" s="249"/>
      <c r="L117" s="250"/>
      <c r="M117" s="250"/>
      <c r="N117" s="251">
        <f ca="1">IF(H117="Serviço",M117*L117,IF(H117="CÉLULA CONSTRUTIVA",SUMIFS($N$8:$N$352,$B$8:$B$352,B117,$H$8:$H$352,"Serviço"),IF(H117="ETAPA",SUMIFS($N$8:$N$352,$B$8:$B$352,B117,$C$8:$C$352,C117,$H$8:$H$352,"Serviço"),IF(H117="SUBETAPA",SUMIFS($N$8:$N$352,$B$8:$B$352,B117,$C$8:$C$352,C117,$D$8:$D$352,D117,$H$8:$H$352,"Serviço"),0))))</f>
        <v>911003.14010330499</v>
      </c>
      <c r="O117" s="252"/>
      <c r="P117" s="253"/>
      <c r="Q117" s="291"/>
      <c r="R117" s="291"/>
      <c r="S117" s="291"/>
    </row>
    <row r="118" spans="1:19" ht="13.5" hidden="1" customHeight="1" outlineLevel="1" x14ac:dyDescent="0.2">
      <c r="A118" s="233">
        <f t="shared" ca="1" si="10"/>
        <v>0</v>
      </c>
      <c r="B118" s="233">
        <f t="shared" ca="1" si="14"/>
        <v>6</v>
      </c>
      <c r="C118" s="233">
        <f t="shared" ca="1" si="15"/>
        <v>1</v>
      </c>
      <c r="D118" s="234">
        <f t="shared" ca="1" si="9"/>
        <v>1</v>
      </c>
      <c r="E118" s="234">
        <f t="shared" ca="1" si="4"/>
        <v>0</v>
      </c>
      <c r="F118" s="244"/>
      <c r="G118" s="245"/>
      <c r="H118" s="246" t="s">
        <v>244</v>
      </c>
      <c r="I118" s="247" t="str">
        <f t="shared" ca="1" si="5"/>
        <v>06.001.001</v>
      </c>
      <c r="J118" s="248" t="s">
        <v>431</v>
      </c>
      <c r="K118" s="249"/>
      <c r="L118" s="250"/>
      <c r="M118" s="250"/>
      <c r="N118" s="251">
        <f ca="1">IF(H118="Serviço",M118*L118,IF(H118="CÉLULA CONSTRUTIVA",SUMIFS($N$8:$N$352,$B$8:$B$352,B118,$H$8:$H$352,"Serviço"),IF(H118="ETAPA",SUMIFS($N$8:$N$352,$B$8:$B$352,B118,$C$8:$C$352,C118,$H$8:$H$352,"Serviço"),IF(H118="SUBETAPA",SUMIFS($N$8:$N$352,$B$8:$B$352,B118,$C$8:$C$352,C118,$D$8:$D$352,D118,$H$8:$H$352,"Serviço"),0))))</f>
        <v>146616.93786999999</v>
      </c>
      <c r="O118" s="252"/>
      <c r="P118" s="253"/>
      <c r="Q118" s="293"/>
    </row>
    <row r="119" spans="1:19" ht="13.5" hidden="1" customHeight="1" outlineLevel="2" x14ac:dyDescent="0.2">
      <c r="A119" s="233">
        <f t="shared" ca="1" si="10"/>
        <v>0</v>
      </c>
      <c r="B119" s="233">
        <f t="shared" ca="1" si="14"/>
        <v>6</v>
      </c>
      <c r="C119" s="233">
        <f t="shared" ca="1" si="15"/>
        <v>1</v>
      </c>
      <c r="D119" s="234">
        <f t="shared" ca="1" si="9"/>
        <v>1</v>
      </c>
      <c r="E119" s="234">
        <f t="shared" ca="1" si="4"/>
        <v>1</v>
      </c>
      <c r="F119" s="244"/>
      <c r="G119" s="245"/>
      <c r="H119" s="246" t="s">
        <v>246</v>
      </c>
      <c r="I119" s="247" t="str">
        <f t="shared" ca="1" si="5"/>
        <v>06.001.001.001</v>
      </c>
      <c r="J119" s="248" t="s">
        <v>431</v>
      </c>
      <c r="K119" s="249" t="s">
        <v>175</v>
      </c>
      <c r="L119" s="250">
        <v>1</v>
      </c>
      <c r="M119" s="250">
        <f>HIDRO!Q7</f>
        <v>146616.93786999999</v>
      </c>
      <c r="N119" s="251">
        <f>IF(H119="Serviço",M119*L119,IF(H119="CÉLULA CONSTRUTIVA",SUMIFS($N$8:$N$352,$B$8:$B$352,B119,$H$8:$H$352,"Serviço"),IF(H119="ETAPA",SUMIFS($N$8:$N$352,$B$8:$B$352,B119,$C$8:$C$352,C119,$H$8:$H$352,"Serviço"),IF(H119="SUBETAPA",SUMIFS($N$8:$N$352,$B$8:$B$352,B119,$C$8:$C$352,C119,$D$8:$D$352,D119,$H$8:$H$352,"Serviço"),0))))</f>
        <v>146616.93786999999</v>
      </c>
      <c r="O119" s="252"/>
      <c r="P119" s="253" t="s">
        <v>366</v>
      </c>
      <c r="Q119" s="293"/>
    </row>
    <row r="120" spans="1:19" ht="13.5" hidden="1" customHeight="1" outlineLevel="1" x14ac:dyDescent="0.2">
      <c r="A120" s="233">
        <f t="shared" ca="1" si="10"/>
        <v>0</v>
      </c>
      <c r="B120" s="233">
        <f t="shared" ca="1" si="14"/>
        <v>6</v>
      </c>
      <c r="C120" s="233">
        <f t="shared" ca="1" si="15"/>
        <v>1</v>
      </c>
      <c r="D120" s="234">
        <f t="shared" ca="1" si="9"/>
        <v>2</v>
      </c>
      <c r="E120" s="234">
        <f t="shared" ca="1" si="4"/>
        <v>0</v>
      </c>
      <c r="F120" s="244"/>
      <c r="G120" s="245"/>
      <c r="H120" s="246" t="s">
        <v>244</v>
      </c>
      <c r="I120" s="247" t="str">
        <f t="shared" ca="1" si="5"/>
        <v>06.001.002</v>
      </c>
      <c r="J120" s="248" t="s">
        <v>432</v>
      </c>
      <c r="K120" s="249"/>
      <c r="L120" s="250"/>
      <c r="M120" s="250"/>
      <c r="N120" s="251">
        <f ca="1">IF(H120="Serviço",M120*L120,IF(H120="CÉLULA CONSTRUTIVA",SUMIFS($N$8:$N$352,$B$8:$B$352,B120,$H$8:$H$352,"Serviço"),IF(H120="ETAPA",SUMIFS($N$8:$N$352,$B$8:$B$352,B120,$C$8:$C$352,C120,$H$8:$H$352,"Serviço"),IF(H120="SUBETAPA",SUMIFS($N$8:$N$352,$B$8:$B$352,B120,$C$8:$C$352,C120,$D$8:$D$352,D120,$H$8:$H$352,"Serviço"),0))))</f>
        <v>171314.55310000005</v>
      </c>
      <c r="O120" s="252"/>
      <c r="P120" s="253"/>
      <c r="Q120" s="293"/>
    </row>
    <row r="121" spans="1:19" ht="13.5" hidden="1" customHeight="1" outlineLevel="2" x14ac:dyDescent="0.2">
      <c r="A121" s="233">
        <f t="shared" ca="1" si="10"/>
        <v>0</v>
      </c>
      <c r="B121" s="233">
        <f t="shared" ca="1" si="14"/>
        <v>6</v>
      </c>
      <c r="C121" s="233">
        <f t="shared" ca="1" si="15"/>
        <v>1</v>
      </c>
      <c r="D121" s="234">
        <f t="shared" ca="1" si="9"/>
        <v>2</v>
      </c>
      <c r="E121" s="234">
        <f t="shared" ca="1" si="4"/>
        <v>1</v>
      </c>
      <c r="F121" s="244"/>
      <c r="G121" s="245"/>
      <c r="H121" s="246" t="s">
        <v>246</v>
      </c>
      <c r="I121" s="247" t="str">
        <f t="shared" ca="1" si="5"/>
        <v>06.001.002.001</v>
      </c>
      <c r="J121" s="248" t="s">
        <v>432</v>
      </c>
      <c r="K121" s="249" t="s">
        <v>175</v>
      </c>
      <c r="L121" s="250">
        <v>1</v>
      </c>
      <c r="M121" s="250">
        <f>HIDRO!Q8</f>
        <v>171314.55310000005</v>
      </c>
      <c r="N121" s="251">
        <f>IF(H121="Serviço",M121*L121,IF(H121="CÉLULA CONSTRUTIVA",SUMIFS($N$8:$N$352,$B$8:$B$352,B121,$H$8:$H$352,"Serviço"),IF(H121="ETAPA",SUMIFS($N$8:$N$352,$B$8:$B$352,B121,$C$8:$C$352,C121,$H$8:$H$352,"Serviço"),IF(H121="SUBETAPA",SUMIFS($N$8:$N$352,$B$8:$B$352,B121,$C$8:$C$352,C121,$D$8:$D$352,D121,$H$8:$H$352,"Serviço"),0))))</f>
        <v>171314.55310000005</v>
      </c>
      <c r="O121" s="252"/>
      <c r="P121" s="253" t="s">
        <v>366</v>
      </c>
      <c r="Q121" s="293"/>
    </row>
    <row r="122" spans="1:19" ht="13.5" hidden="1" customHeight="1" outlineLevel="1" x14ac:dyDescent="0.2">
      <c r="A122" s="233">
        <f t="shared" ca="1" si="10"/>
        <v>0</v>
      </c>
      <c r="B122" s="233">
        <f t="shared" ca="1" si="14"/>
        <v>6</v>
      </c>
      <c r="C122" s="233">
        <f t="shared" ca="1" si="15"/>
        <v>1</v>
      </c>
      <c r="D122" s="234">
        <f t="shared" ca="1" si="9"/>
        <v>3</v>
      </c>
      <c r="E122" s="234">
        <f t="shared" ca="1" si="4"/>
        <v>0</v>
      </c>
      <c r="F122" s="244"/>
      <c r="G122" s="245"/>
      <c r="H122" s="246" t="s">
        <v>244</v>
      </c>
      <c r="I122" s="247" t="str">
        <f t="shared" ca="1" si="5"/>
        <v>06.001.003</v>
      </c>
      <c r="J122" s="248" t="s">
        <v>433</v>
      </c>
      <c r="K122" s="249"/>
      <c r="L122" s="250"/>
      <c r="M122" s="250"/>
      <c r="N122" s="251">
        <f ca="1">IF(H122="Serviço",M122*L122,IF(H122="CÉLULA CONSTRUTIVA",SUMIFS($N$8:$N$352,$B$8:$B$352,B122,$H$8:$H$352,"Serviço"),IF(H122="ETAPA",SUMIFS($N$8:$N$352,$B$8:$B$352,B122,$C$8:$C$352,C122,$H$8:$H$352,"Serviço"),IF(H122="SUBETAPA",SUMIFS($N$8:$N$352,$B$8:$B$352,B122,$C$8:$C$352,C122,$D$8:$D$352,D122,$H$8:$H$352,"Serviço"),0))))</f>
        <v>113032.13913330501</v>
      </c>
      <c r="O122" s="252"/>
      <c r="P122" s="253"/>
      <c r="Q122" s="293"/>
    </row>
    <row r="123" spans="1:19" ht="13.5" hidden="1" customHeight="1" outlineLevel="2" x14ac:dyDescent="0.2">
      <c r="A123" s="233">
        <f t="shared" ca="1" si="10"/>
        <v>0</v>
      </c>
      <c r="B123" s="233">
        <f t="shared" ca="1" si="14"/>
        <v>6</v>
      </c>
      <c r="C123" s="233">
        <f t="shared" ca="1" si="15"/>
        <v>1</v>
      </c>
      <c r="D123" s="234">
        <f t="shared" ca="1" si="9"/>
        <v>3</v>
      </c>
      <c r="E123" s="234">
        <f t="shared" ca="1" si="4"/>
        <v>1</v>
      </c>
      <c r="F123" s="244"/>
      <c r="G123" s="245"/>
      <c r="H123" s="246" t="s">
        <v>246</v>
      </c>
      <c r="I123" s="247" t="str">
        <f t="shared" ca="1" si="5"/>
        <v>06.001.003.001</v>
      </c>
      <c r="J123" s="248" t="s">
        <v>433</v>
      </c>
      <c r="K123" s="249" t="s">
        <v>175</v>
      </c>
      <c r="L123" s="250">
        <v>1</v>
      </c>
      <c r="M123" s="250">
        <f>HIDRO!Q9+HIDRO!Q10</f>
        <v>113032.13913330501</v>
      </c>
      <c r="N123" s="251">
        <f>IF(H123="Serviço",M123*L123,IF(H123="CÉLULA CONSTRUTIVA",SUMIFS($N$8:$N$352,$B$8:$B$352,B123,$H$8:$H$352,"Serviço"),IF(H123="ETAPA",SUMIFS($N$8:$N$352,$B$8:$B$352,B123,$C$8:$C$352,C123,$H$8:$H$352,"Serviço"),IF(H123="SUBETAPA",SUMIFS($N$8:$N$352,$B$8:$B$352,B123,$C$8:$C$352,C123,$D$8:$D$352,D123,$H$8:$H$352,"Serviço"),0))))</f>
        <v>113032.13913330501</v>
      </c>
      <c r="O123" s="252"/>
      <c r="P123" s="253" t="s">
        <v>366</v>
      </c>
      <c r="Q123" s="293"/>
    </row>
    <row r="124" spans="1:19" ht="13.5" hidden="1" customHeight="1" outlineLevel="1" x14ac:dyDescent="0.2">
      <c r="A124" s="233">
        <f t="shared" ca="1" si="10"/>
        <v>0</v>
      </c>
      <c r="B124" s="233">
        <f t="shared" ca="1" si="14"/>
        <v>6</v>
      </c>
      <c r="C124" s="233">
        <f t="shared" ca="1" si="15"/>
        <v>1</v>
      </c>
      <c r="D124" s="234">
        <f t="shared" ca="1" si="9"/>
        <v>4</v>
      </c>
      <c r="E124" s="234">
        <f t="shared" ca="1" si="4"/>
        <v>0</v>
      </c>
      <c r="F124" s="244"/>
      <c r="G124" s="245"/>
      <c r="H124" s="246" t="s">
        <v>244</v>
      </c>
      <c r="I124" s="247" t="str">
        <f t="shared" ca="1" si="5"/>
        <v>06.001.004</v>
      </c>
      <c r="J124" s="248" t="s">
        <v>434</v>
      </c>
      <c r="K124" s="249"/>
      <c r="L124" s="250"/>
      <c r="M124" s="250"/>
      <c r="N124" s="251">
        <f ca="1">IF(H124="Serviço",M124*L124,IF(H124="CÉLULA CONSTRUTIVA",SUMIFS($N$8:$N$352,$B$8:$B$352,B124,$H$8:$H$352,"Serviço"),IF(H124="ETAPA",SUMIFS($N$8:$N$352,$B$8:$B$352,B124,$C$8:$C$352,C124,$H$8:$H$352,"Serviço"),IF(H124="SUBETAPA",SUMIFS($N$8:$N$352,$B$8:$B$352,B124,$C$8:$C$352,C124,$D$8:$D$352,D124,$H$8:$H$352,"Serviço"),0))))</f>
        <v>19717.11</v>
      </c>
      <c r="O124" s="252"/>
      <c r="P124" s="253"/>
      <c r="Q124" s="293"/>
    </row>
    <row r="125" spans="1:19" ht="13.5" hidden="1" customHeight="1" outlineLevel="2" x14ac:dyDescent="0.2">
      <c r="A125" s="233">
        <f t="shared" ca="1" si="10"/>
        <v>0</v>
      </c>
      <c r="B125" s="233">
        <f t="shared" ca="1" si="14"/>
        <v>6</v>
      </c>
      <c r="C125" s="233">
        <f t="shared" ca="1" si="15"/>
        <v>1</v>
      </c>
      <c r="D125" s="234">
        <f t="shared" ca="1" si="9"/>
        <v>4</v>
      </c>
      <c r="E125" s="234">
        <f t="shared" ca="1" si="4"/>
        <v>1</v>
      </c>
      <c r="F125" s="244"/>
      <c r="G125" s="245"/>
      <c r="H125" s="246" t="s">
        <v>246</v>
      </c>
      <c r="I125" s="247" t="str">
        <f t="shared" ca="1" si="5"/>
        <v>06.001.004.001</v>
      </c>
      <c r="J125" s="248" t="s">
        <v>434</v>
      </c>
      <c r="K125" s="249" t="s">
        <v>175</v>
      </c>
      <c r="L125" s="250">
        <v>1</v>
      </c>
      <c r="M125" s="250">
        <f>HIDRO!Q10</f>
        <v>19717.11</v>
      </c>
      <c r="N125" s="251">
        <f>IF(H125="Serviço",M125*L125,IF(H125="CÉLULA CONSTRUTIVA",SUMIFS($N$8:$N$352,$B$8:$B$352,B125,$H$8:$H$352,"Serviço"),IF(H125="ETAPA",SUMIFS($N$8:$N$352,$B$8:$B$352,B125,$C$8:$C$352,C125,$H$8:$H$352,"Serviço"),IF(H125="SUBETAPA",SUMIFS($N$8:$N$352,$B$8:$B$352,B125,$C$8:$C$352,C125,$D$8:$D$352,D125,$H$8:$H$352,"Serviço"),0))))</f>
        <v>19717.11</v>
      </c>
      <c r="O125" s="252"/>
      <c r="P125" s="253" t="s">
        <v>366</v>
      </c>
      <c r="Q125" s="293"/>
    </row>
    <row r="126" spans="1:19" ht="13.5" hidden="1" customHeight="1" outlineLevel="1" x14ac:dyDescent="0.2">
      <c r="A126" s="233">
        <f t="shared" ca="1" si="10"/>
        <v>0</v>
      </c>
      <c r="B126" s="233">
        <f t="shared" ca="1" si="14"/>
        <v>6</v>
      </c>
      <c r="C126" s="233">
        <f t="shared" ca="1" si="15"/>
        <v>1</v>
      </c>
      <c r="D126" s="234">
        <f t="shared" ca="1" si="9"/>
        <v>5</v>
      </c>
      <c r="E126" s="234">
        <f t="shared" ca="1" si="4"/>
        <v>0</v>
      </c>
      <c r="F126" s="244"/>
      <c r="G126" s="245"/>
      <c r="H126" s="246" t="s">
        <v>244</v>
      </c>
      <c r="I126" s="247" t="str">
        <f t="shared" ca="1" si="5"/>
        <v>06.001.005</v>
      </c>
      <c r="J126" s="248" t="s">
        <v>435</v>
      </c>
      <c r="K126" s="249"/>
      <c r="L126" s="250"/>
      <c r="M126" s="250"/>
      <c r="N126" s="251">
        <f ca="1">IF(H126="Serviço",M126*L126,IF(H126="CÉLULA CONSTRUTIVA",SUMIFS($N$8:$N$352,$B$8:$B$352,B126,$H$8:$H$352,"Serviço"),IF(H126="ETAPA",SUMIFS($N$8:$N$352,$B$8:$B$352,B126,$C$8:$C$352,C126,$H$8:$H$352,"Serviço"),IF(H126="SUBETAPA",SUMIFS($N$8:$N$352,$B$8:$B$352,B126,$C$8:$C$352,C126,$D$8:$D$352,D126,$H$8:$H$352,"Serviço"),0))))</f>
        <v>460322.4</v>
      </c>
      <c r="O126" s="252"/>
      <c r="P126" s="253"/>
      <c r="Q126" s="293"/>
    </row>
    <row r="127" spans="1:19" ht="13.5" hidden="1" customHeight="1" outlineLevel="2" x14ac:dyDescent="0.2">
      <c r="A127" s="233">
        <f t="shared" ca="1" si="10"/>
        <v>0</v>
      </c>
      <c r="B127" s="233">
        <f t="shared" ca="1" si="14"/>
        <v>6</v>
      </c>
      <c r="C127" s="233">
        <f t="shared" ca="1" si="15"/>
        <v>1</v>
      </c>
      <c r="D127" s="234">
        <f t="shared" ca="1" si="9"/>
        <v>5</v>
      </c>
      <c r="E127" s="234">
        <f t="shared" ca="1" si="4"/>
        <v>1</v>
      </c>
      <c r="F127" s="244"/>
      <c r="G127" s="245"/>
      <c r="H127" s="246" t="s">
        <v>246</v>
      </c>
      <c r="I127" s="247" t="str">
        <f t="shared" ca="1" si="5"/>
        <v>06.001.005.001</v>
      </c>
      <c r="J127" s="248" t="s">
        <v>436</v>
      </c>
      <c r="K127" s="249" t="s">
        <v>92</v>
      </c>
      <c r="L127" s="250">
        <f>'Obra '!E9</f>
        <v>7672.04</v>
      </c>
      <c r="M127" s="250">
        <v>60</v>
      </c>
      <c r="N127" s="251">
        <f>IF(H127="Serviço",M127*L127,IF(H127="CÉLULA CONSTRUTIVA",SUMIFS($N$8:$N$352,$B$8:$B$352,B127,$H$8:$H$352,"Serviço"),IF(H127="ETAPA",SUMIFS($N$8:$N$352,$B$8:$B$352,B127,$C$8:$C$352,C127,$H$8:$H$352,"Serviço"),IF(H127="SUBETAPA",SUMIFS($N$8:$N$352,$B$8:$B$352,B127,$C$8:$C$352,C127,$D$8:$D$352,D127,$H$8:$H$352,"Serviço"),0))))</f>
        <v>460322.4</v>
      </c>
      <c r="O127" s="252"/>
      <c r="P127" s="253" t="s">
        <v>366</v>
      </c>
      <c r="Q127" s="293"/>
    </row>
    <row r="128" spans="1:19" ht="13.5" customHeight="1" collapsed="1" x14ac:dyDescent="0.2">
      <c r="A128" s="233">
        <f t="shared" ca="1" si="10"/>
        <v>0</v>
      </c>
      <c r="B128" s="233">
        <f t="shared" ca="1" si="14"/>
        <v>7</v>
      </c>
      <c r="C128" s="233">
        <f t="shared" ca="1" si="15"/>
        <v>0</v>
      </c>
      <c r="D128" s="234">
        <f t="shared" ca="1" si="9"/>
        <v>5</v>
      </c>
      <c r="E128" s="234">
        <f t="shared" ca="1" si="4"/>
        <v>1</v>
      </c>
      <c r="F128" s="1012"/>
      <c r="G128" s="245"/>
      <c r="H128" s="246" t="s">
        <v>241</v>
      </c>
      <c r="I128" s="247" t="str">
        <f t="shared" ca="1" si="5"/>
        <v>07</v>
      </c>
      <c r="J128" s="248" t="s">
        <v>63</v>
      </c>
      <c r="K128" s="249"/>
      <c r="L128" s="250"/>
      <c r="M128" s="250"/>
      <c r="N128" s="251">
        <f ca="1">IF(H128="Serviço",M128*L128,IF(H128="CÉLULA CONSTRUTIVA",SUMIFS($N$8:$N$352,$B$8:$B$352,B128,$H$8:$H$352,"Serviço"),IF(H128="ETAPA",SUMIFS($N$8:$N$352,$B$8:$B$352,B128,$C$8:$C$352,C128,$H$8:$H$352,"Serviço"),IF(H128="SUBETAPA",SUMIFS($N$8:$N$352,$B$8:$B$352,B128,$C$8:$C$352,C128,$D$8:$D$352,D128,$H$8:$H$352,"Serviço"),0))))</f>
        <v>1235027.3988666697</v>
      </c>
      <c r="O128" s="252">
        <f ca="1">N128/'Obra '!E9</f>
        <v>160.97770591220456</v>
      </c>
      <c r="P128" s="253"/>
      <c r="Q128" s="293"/>
    </row>
    <row r="129" spans="1:19" ht="13.5" hidden="1" customHeight="1" outlineLevel="1" x14ac:dyDescent="0.2">
      <c r="A129" s="233">
        <f t="shared" ref="A129:A192" ca="1" si="19">IF($H129="UNIDADE CONSTRUTIVA",OFFSET(A129,-1,0)+1,LARGE(A$3:A128,1))</f>
        <v>0</v>
      </c>
      <c r="B129" s="233">
        <f t="shared" ca="1" si="14"/>
        <v>7</v>
      </c>
      <c r="C129" s="233">
        <f t="shared" ca="1" si="15"/>
        <v>1</v>
      </c>
      <c r="D129" s="234">
        <f t="shared" ca="1" si="9"/>
        <v>0</v>
      </c>
      <c r="E129" s="234">
        <f t="shared" ca="1" si="4"/>
        <v>1</v>
      </c>
      <c r="F129" s="244"/>
      <c r="G129" s="245"/>
      <c r="H129" s="246" t="s">
        <v>37</v>
      </c>
      <c r="I129" s="247" t="str">
        <f t="shared" ca="1" si="5"/>
        <v>07.001</v>
      </c>
      <c r="J129" s="248" t="s">
        <v>437</v>
      </c>
      <c r="K129" s="249"/>
      <c r="L129" s="250"/>
      <c r="M129" s="250"/>
      <c r="N129" s="251">
        <f ca="1">IF(H129="Serviço",M129*L129,IF(H129="CÉLULA CONSTRUTIVA",SUMIFS($N$8:$N$352,$B$8:$B$352,B129,$H$8:$H$352,"Serviço"),IF(H129="ETAPA",SUMIFS($N$8:$N$352,$B$8:$B$352,B129,$C$8:$C$352,C129,$H$8:$H$352,"Serviço"),IF(H129="SUBETAPA",SUMIFS($N$8:$N$352,$B$8:$B$352,B129,$C$8:$C$352,C129,$D$8:$D$352,D129,$H$8:$H$352,"Serviço"),0))))</f>
        <v>1235027.3988666697</v>
      </c>
      <c r="O129" s="252"/>
      <c r="P129" s="253"/>
      <c r="Q129" s="291"/>
      <c r="R129" s="291"/>
      <c r="S129" s="291"/>
    </row>
    <row r="130" spans="1:19" ht="13.5" hidden="1" customHeight="1" outlineLevel="1" x14ac:dyDescent="0.2">
      <c r="A130" s="233">
        <f t="shared" ca="1" si="19"/>
        <v>0</v>
      </c>
      <c r="B130" s="233">
        <f t="shared" ref="B130:B193" ca="1" si="20">IF(H130="UNIDADE CONSTRUTIVA",0,IF(H130="CÉLULA CONSTRUTIVA",OFFSET(B130,-1,0)+1,OFFSET(B130,-1,0)))</f>
        <v>7</v>
      </c>
      <c r="C130" s="233">
        <f t="shared" ref="C130:C193" ca="1" si="21">IF(H130="CÉLULA CONSTRUTIVA",0,IF(H130="ETAPA",OFFSET(C130,-1,0)+1,OFFSET(C130,-1,0)))</f>
        <v>1</v>
      </c>
      <c r="D130" s="234">
        <f t="shared" ref="D130:D194" ca="1" si="22">IF(H130="ETAPA",0,IF(H130="SUBETAPA",OFFSET(D130,-1,0)+1,OFFSET(D130,-1,0)))</f>
        <v>1</v>
      </c>
      <c r="E130" s="234">
        <f t="shared" ca="1" si="4"/>
        <v>0</v>
      </c>
      <c r="F130" s="244"/>
      <c r="G130" s="245"/>
      <c r="H130" s="246" t="s">
        <v>244</v>
      </c>
      <c r="I130" s="247" t="str">
        <f t="shared" ca="1" si="5"/>
        <v>07.001.001</v>
      </c>
      <c r="J130" s="248" t="s">
        <v>438</v>
      </c>
      <c r="K130" s="249"/>
      <c r="L130" s="250"/>
      <c r="M130" s="250"/>
      <c r="N130" s="251">
        <f ca="1">IF(H130="Serviço",M130*L130,IF(H130="CÉLULA CONSTRUTIVA",SUMIFS($N$8:$N$352,$B$8:$B$352,B130,$H$8:$H$352,"Serviço"),IF(H130="ETAPA",SUMIFS($N$8:$N$352,$B$8:$B$352,B130,$C$8:$C$352,C130,$H$8:$H$352,"Serviço"),IF(H130="SUBETAPA",SUMIFS($N$8:$N$352,$B$8:$B$352,B130,$C$8:$C$352,C130,$D$8:$D$352,D130,$H$8:$H$352,"Serviço"),0))))</f>
        <v>4869.68</v>
      </c>
      <c r="O130" s="252"/>
      <c r="P130" s="253"/>
      <c r="Q130" s="293"/>
    </row>
    <row r="131" spans="1:19" ht="13.5" hidden="1" customHeight="1" outlineLevel="2" x14ac:dyDescent="0.2">
      <c r="A131" s="233">
        <f t="shared" ca="1" si="19"/>
        <v>0</v>
      </c>
      <c r="B131" s="233">
        <f t="shared" ca="1" si="20"/>
        <v>7</v>
      </c>
      <c r="C131" s="233">
        <f t="shared" ca="1" si="21"/>
        <v>1</v>
      </c>
      <c r="D131" s="234">
        <f t="shared" ca="1" si="22"/>
        <v>1</v>
      </c>
      <c r="E131" s="234">
        <f t="shared" ca="1" si="4"/>
        <v>1</v>
      </c>
      <c r="F131" s="244"/>
      <c r="G131" s="245"/>
      <c r="H131" s="246" t="s">
        <v>246</v>
      </c>
      <c r="I131" s="247" t="str">
        <f t="shared" ca="1" si="5"/>
        <v>07.001.001.001</v>
      </c>
      <c r="J131" s="248" t="s">
        <v>438</v>
      </c>
      <c r="K131" s="249" t="s">
        <v>175</v>
      </c>
      <c r="L131" s="250">
        <v>1</v>
      </c>
      <c r="M131" s="250">
        <f ca="1">ELETRICA!N11</f>
        <v>4869.68</v>
      </c>
      <c r="N131" s="251">
        <f ca="1">IF(H131="Serviço",M131*L131,IF(H131="CÉLULA CONSTRUTIVA",SUMIFS($N$8:$N$352,$B$8:$B$352,B131,$H$8:$H$352,"Serviço"),IF(H131="ETAPA",SUMIFS($N$8:$N$352,$B$8:$B$352,B131,$C$8:$C$352,C131,$H$8:$H$352,"Serviço"),IF(H131="SUBETAPA",SUMIFS($N$8:$N$352,$B$8:$B$352,B131,$C$8:$C$352,C131,$D$8:$D$352,D131,$H$8:$H$352,"Serviço"),0))))</f>
        <v>4869.68</v>
      </c>
      <c r="O131" s="252"/>
      <c r="P131" s="253" t="s">
        <v>366</v>
      </c>
      <c r="Q131" s="293"/>
    </row>
    <row r="132" spans="1:19" ht="13.5" hidden="1" customHeight="1" outlineLevel="1" x14ac:dyDescent="0.2">
      <c r="A132" s="233">
        <f t="shared" ca="1" si="19"/>
        <v>0</v>
      </c>
      <c r="B132" s="233">
        <f t="shared" ca="1" si="20"/>
        <v>7</v>
      </c>
      <c r="C132" s="233">
        <f t="shared" ca="1" si="21"/>
        <v>1</v>
      </c>
      <c r="D132" s="234">
        <f t="shared" ca="1" si="22"/>
        <v>2</v>
      </c>
      <c r="E132" s="234">
        <f t="shared" ca="1" si="4"/>
        <v>0</v>
      </c>
      <c r="F132" s="244"/>
      <c r="G132" s="245"/>
      <c r="H132" s="246" t="s">
        <v>244</v>
      </c>
      <c r="I132" s="247" t="str">
        <f t="shared" ca="1" si="5"/>
        <v>07.001.002</v>
      </c>
      <c r="J132" s="248" t="s">
        <v>439</v>
      </c>
      <c r="K132" s="249"/>
      <c r="L132" s="250"/>
      <c r="M132" s="250"/>
      <c r="N132" s="251">
        <f ca="1">IF(H132="Serviço",M132*L132,IF(H132="CÉLULA CONSTRUTIVA",SUMIFS($N$8:$N$352,$B$8:$B$352,B132,$H$8:$H$352,"Serviço"),IF(H132="ETAPA",SUMIFS($N$8:$N$352,$B$8:$B$352,B132,$C$8:$C$352,C132,$H$8:$H$352,"Serviço"),IF(H132="SUBETAPA",SUMIFS($N$8:$N$352,$B$8:$B$352,B132,$C$8:$C$352,C132,$D$8:$D$352,D132,$H$8:$H$352,"Serviço"),0))))</f>
        <v>79922.4764</v>
      </c>
      <c r="O132" s="252"/>
      <c r="P132" s="253"/>
      <c r="Q132" s="293"/>
    </row>
    <row r="133" spans="1:19" ht="13.5" hidden="1" customHeight="1" outlineLevel="2" x14ac:dyDescent="0.2">
      <c r="A133" s="233">
        <f t="shared" ca="1" si="19"/>
        <v>0</v>
      </c>
      <c r="B133" s="233">
        <f t="shared" ca="1" si="20"/>
        <v>7</v>
      </c>
      <c r="C133" s="233">
        <f t="shared" ca="1" si="21"/>
        <v>1</v>
      </c>
      <c r="D133" s="234">
        <f t="shared" ca="1" si="22"/>
        <v>2</v>
      </c>
      <c r="E133" s="234">
        <f t="shared" ca="1" si="4"/>
        <v>1</v>
      </c>
      <c r="F133" s="244"/>
      <c r="G133" s="245"/>
      <c r="H133" s="246" t="s">
        <v>246</v>
      </c>
      <c r="I133" s="247" t="str">
        <f t="shared" ca="1" si="5"/>
        <v>07.001.002.001</v>
      </c>
      <c r="J133" s="248" t="s">
        <v>439</v>
      </c>
      <c r="K133" s="249" t="s">
        <v>175</v>
      </c>
      <c r="L133" s="250">
        <v>1</v>
      </c>
      <c r="M133" s="250">
        <f ca="1">ELETRICA!N9</f>
        <v>79922.4764</v>
      </c>
      <c r="N133" s="251">
        <f ca="1">IF(H133="Serviço",M133*L133,IF(H133="CÉLULA CONSTRUTIVA",SUMIFS($N$8:$N$352,$B$8:$B$352,B133,$H$8:$H$352,"Serviço"),IF(H133="ETAPA",SUMIFS($N$8:$N$352,$B$8:$B$352,B133,$C$8:$C$352,C133,$H$8:$H$352,"Serviço"),IF(H133="SUBETAPA",SUMIFS($N$8:$N$352,$B$8:$B$352,B133,$C$8:$C$352,C133,$D$8:$D$352,D133,$H$8:$H$352,"Serviço"),0))))</f>
        <v>79922.4764</v>
      </c>
      <c r="O133" s="252"/>
      <c r="P133" s="253" t="s">
        <v>366</v>
      </c>
      <c r="Q133" s="293"/>
    </row>
    <row r="134" spans="1:19" ht="13.5" hidden="1" customHeight="1" outlineLevel="1" x14ac:dyDescent="0.2">
      <c r="A134" s="233">
        <f t="shared" ca="1" si="19"/>
        <v>0</v>
      </c>
      <c r="B134" s="233">
        <f t="shared" ca="1" si="20"/>
        <v>7</v>
      </c>
      <c r="C134" s="233">
        <f t="shared" ca="1" si="21"/>
        <v>1</v>
      </c>
      <c r="D134" s="234">
        <f t="shared" ca="1" si="22"/>
        <v>3</v>
      </c>
      <c r="E134" s="234">
        <f t="shared" ca="1" si="4"/>
        <v>0</v>
      </c>
      <c r="F134" s="244"/>
      <c r="G134" s="245"/>
      <c r="H134" s="246" t="s">
        <v>244</v>
      </c>
      <c r="I134" s="247" t="str">
        <f t="shared" ca="1" si="5"/>
        <v>07.001.003</v>
      </c>
      <c r="J134" s="248" t="s">
        <v>440</v>
      </c>
      <c r="K134" s="249"/>
      <c r="L134" s="250"/>
      <c r="M134" s="250"/>
      <c r="N134" s="251">
        <f ca="1">IF(H134="Serviço",M134*L134,IF(H134="CÉLULA CONSTRUTIVA",SUMIFS($N$8:$N$352,$B$8:$B$352,B134,$H$8:$H$352,"Serviço"),IF(H134="ETAPA",SUMIFS($N$8:$N$352,$B$8:$B$352,B134,$C$8:$C$352,C134,$H$8:$H$352,"Serviço"),IF(H134="SUBETAPA",SUMIFS($N$8:$N$352,$B$8:$B$352,B134,$C$8:$C$352,C134,$D$8:$D$352,D134,$H$8:$H$352,"Serviço"),0))))</f>
        <v>204357.44266666999</v>
      </c>
      <c r="O134" s="252"/>
      <c r="P134" s="253"/>
      <c r="Q134" s="293"/>
    </row>
    <row r="135" spans="1:19" ht="13.5" hidden="1" customHeight="1" outlineLevel="2" x14ac:dyDescent="0.2">
      <c r="A135" s="233">
        <f t="shared" ca="1" si="19"/>
        <v>0</v>
      </c>
      <c r="B135" s="233">
        <f t="shared" ca="1" si="20"/>
        <v>7</v>
      </c>
      <c r="C135" s="233">
        <f t="shared" ca="1" si="21"/>
        <v>1</v>
      </c>
      <c r="D135" s="234">
        <f t="shared" ca="1" si="22"/>
        <v>3</v>
      </c>
      <c r="E135" s="234">
        <f t="shared" ca="1" si="4"/>
        <v>1</v>
      </c>
      <c r="F135" s="244"/>
      <c r="G135" s="245"/>
      <c r="H135" s="246" t="s">
        <v>246</v>
      </c>
      <c r="I135" s="247" t="str">
        <f t="shared" ca="1" si="5"/>
        <v>07.001.003.001</v>
      </c>
      <c r="J135" s="248" t="s">
        <v>440</v>
      </c>
      <c r="K135" s="249" t="s">
        <v>175</v>
      </c>
      <c r="L135" s="250">
        <v>1</v>
      </c>
      <c r="M135" s="250">
        <f ca="1">ELETRICA!N7</f>
        <v>204357.44266666999</v>
      </c>
      <c r="N135" s="251">
        <f ca="1">IF(H135="Serviço",M135*L135,IF(H135="CÉLULA CONSTRUTIVA",SUMIFS($N$8:$N$352,$B$8:$B$352,B135,$H$8:$H$352,"Serviço"),IF(H135="ETAPA",SUMIFS($N$8:$N$352,$B$8:$B$352,B135,$C$8:$C$352,C135,$H$8:$H$352,"Serviço"),IF(H135="SUBETAPA",SUMIFS($N$8:$N$352,$B$8:$B$352,B135,$C$8:$C$352,C135,$D$8:$D$352,D135,$H$8:$H$352,"Serviço"),0))))</f>
        <v>204357.44266666999</v>
      </c>
      <c r="O135" s="252"/>
      <c r="P135" s="253" t="s">
        <v>366</v>
      </c>
      <c r="Q135" s="293"/>
    </row>
    <row r="136" spans="1:19" ht="13.5" hidden="1" customHeight="1" outlineLevel="1" x14ac:dyDescent="0.2">
      <c r="A136" s="233">
        <f t="shared" ca="1" si="19"/>
        <v>0</v>
      </c>
      <c r="B136" s="233">
        <f t="shared" ca="1" si="20"/>
        <v>7</v>
      </c>
      <c r="C136" s="233">
        <f t="shared" ca="1" si="21"/>
        <v>1</v>
      </c>
      <c r="D136" s="234">
        <f t="shared" ca="1" si="22"/>
        <v>4</v>
      </c>
      <c r="E136" s="234">
        <f t="shared" ca="1" si="4"/>
        <v>0</v>
      </c>
      <c r="F136" s="244"/>
      <c r="G136" s="245"/>
      <c r="H136" s="246" t="s">
        <v>244</v>
      </c>
      <c r="I136" s="247" t="str">
        <f t="shared" ca="1" si="5"/>
        <v>07.001.004</v>
      </c>
      <c r="J136" s="248" t="s">
        <v>441</v>
      </c>
      <c r="K136" s="249"/>
      <c r="L136" s="250"/>
      <c r="M136" s="250"/>
      <c r="N136" s="251">
        <f ca="1">IF(H136="Serviço",M136*L136,IF(H136="CÉLULA CONSTRUTIVA",SUMIFS($N$8:$N$352,$B$8:$B$352,B136,$H$8:$H$352,"Serviço"),IF(H136="ETAPA",SUMIFS($N$8:$N$352,$B$8:$B$352,B136,$C$8:$C$352,C136,$H$8:$H$352,"Serviço"),IF(H136="SUBETAPA",SUMIFS($N$8:$N$352,$B$8:$B$352,B136,$C$8:$C$352,C136,$D$8:$D$352,D136,$H$8:$H$352,"Serviço"),0))))</f>
        <v>388969.81979999971</v>
      </c>
      <c r="O136" s="252"/>
      <c r="P136" s="253"/>
      <c r="Q136" s="293"/>
    </row>
    <row r="137" spans="1:19" ht="13.5" hidden="1" customHeight="1" outlineLevel="2" x14ac:dyDescent="0.2">
      <c r="A137" s="233">
        <f t="shared" ca="1" si="19"/>
        <v>0</v>
      </c>
      <c r="B137" s="233">
        <f t="shared" ca="1" si="20"/>
        <v>7</v>
      </c>
      <c r="C137" s="233">
        <f t="shared" ca="1" si="21"/>
        <v>1</v>
      </c>
      <c r="D137" s="234">
        <f t="shared" ca="1" si="22"/>
        <v>4</v>
      </c>
      <c r="E137" s="234">
        <f t="shared" ca="1" si="4"/>
        <v>1</v>
      </c>
      <c r="F137" s="244"/>
      <c r="G137" s="245"/>
      <c r="H137" s="246" t="s">
        <v>246</v>
      </c>
      <c r="I137" s="247" t="str">
        <f t="shared" ca="1" si="5"/>
        <v>07.001.004.001</v>
      </c>
      <c r="J137" s="248" t="s">
        <v>441</v>
      </c>
      <c r="K137" s="249" t="s">
        <v>175</v>
      </c>
      <c r="L137" s="250">
        <v>1</v>
      </c>
      <c r="M137" s="250">
        <f ca="1">ELETRICA!N8</f>
        <v>388969.81979999971</v>
      </c>
      <c r="N137" s="251">
        <f ca="1">IF(H137="Serviço",M137*L137,IF(H137="CÉLULA CONSTRUTIVA",SUMIFS($N$8:$N$352,$B$8:$B$352,B137,$H$8:$H$352,"Serviço"),IF(H137="ETAPA",SUMIFS($N$8:$N$352,$B$8:$B$352,B137,$C$8:$C$352,C137,$H$8:$H$352,"Serviço"),IF(H137="SUBETAPA",SUMIFS($N$8:$N$352,$B$8:$B$352,B137,$C$8:$C$352,C137,$D$8:$D$352,D137,$H$8:$H$352,"Serviço"),0))))</f>
        <v>388969.81979999971</v>
      </c>
      <c r="O137" s="252"/>
      <c r="P137" s="253" t="s">
        <v>366</v>
      </c>
      <c r="Q137" s="293"/>
    </row>
    <row r="138" spans="1:19" ht="13.5" hidden="1" customHeight="1" outlineLevel="1" x14ac:dyDescent="0.2">
      <c r="A138" s="233">
        <f t="shared" ca="1" si="19"/>
        <v>0</v>
      </c>
      <c r="B138" s="233">
        <f t="shared" ca="1" si="20"/>
        <v>7</v>
      </c>
      <c r="C138" s="233">
        <f t="shared" ca="1" si="21"/>
        <v>1</v>
      </c>
      <c r="D138" s="234">
        <f t="shared" ca="1" si="22"/>
        <v>5</v>
      </c>
      <c r="E138" s="234">
        <f t="shared" ca="1" si="4"/>
        <v>0</v>
      </c>
      <c r="F138" s="244"/>
      <c r="G138" s="245"/>
      <c r="H138" s="246" t="s">
        <v>244</v>
      </c>
      <c r="I138" s="247" t="str">
        <f t="shared" ca="1" si="5"/>
        <v>07.001.005</v>
      </c>
      <c r="J138" s="248" t="s">
        <v>442</v>
      </c>
      <c r="K138" s="249"/>
      <c r="L138" s="250"/>
      <c r="M138" s="250"/>
      <c r="N138" s="251">
        <f ca="1">IF(H138="Serviço",M138*L138,IF(H138="CÉLULA CONSTRUTIVA",SUMIFS($N$8:$N$352,$B$8:$B$352,B138,$H$8:$H$352,"Serviço"),IF(H138="ETAPA",SUMIFS($N$8:$N$352,$B$8:$B$352,B138,$C$8:$C$352,C138,$H$8:$H$352,"Serviço"),IF(H138="SUBETAPA",SUMIFS($N$8:$N$352,$B$8:$B$352,B138,$C$8:$C$352,C138,$D$8:$D$352,D138,$H$8:$H$352,"Serviço"),0))))</f>
        <v>52393.279999999992</v>
      </c>
      <c r="O138" s="252"/>
      <c r="P138" s="253"/>
      <c r="Q138" s="293"/>
    </row>
    <row r="139" spans="1:19" ht="13.5" hidden="1" customHeight="1" outlineLevel="2" x14ac:dyDescent="0.2">
      <c r="A139" s="233">
        <f t="shared" ca="1" si="19"/>
        <v>0</v>
      </c>
      <c r="B139" s="233">
        <f t="shared" ca="1" si="20"/>
        <v>7</v>
      </c>
      <c r="C139" s="233">
        <f t="shared" ca="1" si="21"/>
        <v>1</v>
      </c>
      <c r="D139" s="234">
        <f t="shared" ca="1" si="22"/>
        <v>5</v>
      </c>
      <c r="E139" s="234">
        <f t="shared" ca="1" si="4"/>
        <v>1</v>
      </c>
      <c r="F139" s="244"/>
      <c r="G139" s="245"/>
      <c r="H139" s="246" t="s">
        <v>246</v>
      </c>
      <c r="I139" s="247" t="str">
        <f t="shared" ca="1" si="5"/>
        <v>07.001.005.001</v>
      </c>
      <c r="J139" s="248" t="s">
        <v>443</v>
      </c>
      <c r="K139" s="249" t="s">
        <v>175</v>
      </c>
      <c r="L139" s="250">
        <v>1</v>
      </c>
      <c r="M139" s="250">
        <f ca="1">ELETRICA!N10</f>
        <v>52393.279999999992</v>
      </c>
      <c r="N139" s="251">
        <f ca="1">IF(H139="Serviço",M139*L139,IF(H139="CÉLULA CONSTRUTIVA",SUMIFS($N$8:$N$352,$B$8:$B$352,B139,$H$8:$H$352,"Serviço"),IF(H139="ETAPA",SUMIFS($N$8:$N$352,$B$8:$B$352,B139,$C$8:$C$352,C139,$H$8:$H$352,"Serviço"),IF(H139="SUBETAPA",SUMIFS($N$8:$N$352,$B$8:$B$352,B139,$C$8:$C$352,C139,$D$8:$D$352,D139,$H$8:$H$352,"Serviço"),0))))</f>
        <v>52393.279999999992</v>
      </c>
      <c r="O139" s="252"/>
      <c r="P139" s="253" t="s">
        <v>366</v>
      </c>
      <c r="Q139" s="293"/>
    </row>
    <row r="140" spans="1:19" ht="13.5" hidden="1" customHeight="1" outlineLevel="1" x14ac:dyDescent="0.2">
      <c r="A140" s="233">
        <f t="shared" ca="1" si="19"/>
        <v>0</v>
      </c>
      <c r="B140" s="233">
        <f t="shared" ca="1" si="20"/>
        <v>7</v>
      </c>
      <c r="C140" s="233">
        <f t="shared" ca="1" si="21"/>
        <v>1</v>
      </c>
      <c r="D140" s="234">
        <f t="shared" ca="1" si="22"/>
        <v>6</v>
      </c>
      <c r="E140" s="234">
        <f t="shared" ca="1" si="4"/>
        <v>0</v>
      </c>
      <c r="F140" s="244"/>
      <c r="G140" s="245"/>
      <c r="H140" s="246" t="s">
        <v>244</v>
      </c>
      <c r="I140" s="247" t="str">
        <f t="shared" ca="1" si="5"/>
        <v>07.001.006</v>
      </c>
      <c r="J140" s="248" t="s">
        <v>444</v>
      </c>
      <c r="K140" s="249"/>
      <c r="L140" s="250"/>
      <c r="M140" s="250"/>
      <c r="N140" s="251">
        <f ca="1">IF(H140="Serviço",M140*L140,IF(H140="CÉLULA CONSTRUTIVA",SUMIFS($N$8:$N$352,$B$8:$B$352,B140,$H$8:$H$352,"Serviço"),IF(H140="ETAPA",SUMIFS($N$8:$N$352,$B$8:$B$352,B140,$C$8:$C$352,C140,$H$8:$H$352,"Serviço"),IF(H140="SUBETAPA",SUMIFS($N$8:$N$352,$B$8:$B$352,B140,$C$8:$C$352,C140,$D$8:$D$352,D140,$H$8:$H$352,"Serviço"),0))))</f>
        <v>5832.1</v>
      </c>
      <c r="O140" s="252"/>
      <c r="P140" s="253"/>
      <c r="Q140" s="293"/>
    </row>
    <row r="141" spans="1:19" ht="13.5" hidden="1" customHeight="1" outlineLevel="2" x14ac:dyDescent="0.2">
      <c r="A141" s="233">
        <f t="shared" ca="1" si="19"/>
        <v>0</v>
      </c>
      <c r="B141" s="233">
        <f t="shared" ca="1" si="20"/>
        <v>7</v>
      </c>
      <c r="C141" s="233">
        <f t="shared" ca="1" si="21"/>
        <v>1</v>
      </c>
      <c r="D141" s="234">
        <f t="shared" ca="1" si="22"/>
        <v>6</v>
      </c>
      <c r="E141" s="234">
        <f t="shared" ca="1" si="4"/>
        <v>1</v>
      </c>
      <c r="F141" s="244"/>
      <c r="G141" s="245"/>
      <c r="H141" s="246" t="s">
        <v>246</v>
      </c>
      <c r="I141" s="247" t="str">
        <f t="shared" ca="1" si="5"/>
        <v>07.001.006.001</v>
      </c>
      <c r="J141" s="248" t="s">
        <v>445</v>
      </c>
      <c r="K141" s="249" t="s">
        <v>175</v>
      </c>
      <c r="L141" s="250">
        <v>1</v>
      </c>
      <c r="M141" s="250">
        <v>5832.1</v>
      </c>
      <c r="N141" s="251">
        <f>IF(H141="Serviço",M141*L141,IF(H141="CÉLULA CONSTRUTIVA",SUMIFS($N$8:$N$352,$B$8:$B$352,B141,$H$8:$H$352,"Serviço"),IF(H141="ETAPA",SUMIFS($N$8:$N$352,$B$8:$B$352,B141,$C$8:$C$352,C141,$H$8:$H$352,"Serviço"),IF(H141="SUBETAPA",SUMIFS($N$8:$N$352,$B$8:$B$352,B141,$C$8:$C$352,C141,$D$8:$D$352,D141,$H$8:$H$352,"Serviço"),0))))</f>
        <v>5832.1</v>
      </c>
      <c r="O141" s="252"/>
      <c r="P141" s="253" t="s">
        <v>366</v>
      </c>
      <c r="Q141" s="293"/>
    </row>
    <row r="142" spans="1:19" ht="13.5" hidden="1" customHeight="1" outlineLevel="1" x14ac:dyDescent="0.2">
      <c r="A142" s="233">
        <f t="shared" ca="1" si="19"/>
        <v>0</v>
      </c>
      <c r="B142" s="233">
        <f t="shared" ca="1" si="20"/>
        <v>7</v>
      </c>
      <c r="C142" s="233">
        <f t="shared" ca="1" si="21"/>
        <v>1</v>
      </c>
      <c r="D142" s="234">
        <f t="shared" ca="1" si="22"/>
        <v>7</v>
      </c>
      <c r="E142" s="234">
        <f t="shared" ca="1" si="4"/>
        <v>0</v>
      </c>
      <c r="F142" s="244"/>
      <c r="G142" s="245"/>
      <c r="H142" s="246" t="s">
        <v>244</v>
      </c>
      <c r="I142" s="247" t="str">
        <f t="shared" ca="1" si="5"/>
        <v>07.001.007</v>
      </c>
      <c r="J142" s="248" t="s">
        <v>446</v>
      </c>
      <c r="K142" s="249"/>
      <c r="L142" s="250"/>
      <c r="M142" s="250"/>
      <c r="N142" s="251">
        <f ca="1">IF(H142="Serviço",M142*L142,IF(H142="CÉLULA CONSTRUTIVA",SUMIFS($N$8:$N$352,$B$8:$B$352,B142,$H$8:$H$352,"Serviço"),IF(H142="ETAPA",SUMIFS($N$8:$N$352,$B$8:$B$352,B142,$C$8:$C$352,C142,$H$8:$H$352,"Serviço"),IF(H142="SUBETAPA",SUMIFS($N$8:$N$352,$B$8:$B$352,B142,$C$8:$C$352,C142,$D$8:$D$352,D142,$H$8:$H$352,"Serviço"),0))))</f>
        <v>498682.6</v>
      </c>
      <c r="O142" s="252"/>
      <c r="P142" s="253"/>
      <c r="Q142" s="293"/>
    </row>
    <row r="143" spans="1:19" ht="13.5" hidden="1" customHeight="1" outlineLevel="2" x14ac:dyDescent="0.2">
      <c r="A143" s="233">
        <f t="shared" ca="1" si="19"/>
        <v>0</v>
      </c>
      <c r="B143" s="233">
        <f t="shared" ca="1" si="20"/>
        <v>7</v>
      </c>
      <c r="C143" s="233">
        <f t="shared" ca="1" si="21"/>
        <v>1</v>
      </c>
      <c r="D143" s="234">
        <f t="shared" ca="1" si="22"/>
        <v>7</v>
      </c>
      <c r="E143" s="234">
        <f t="shared" ca="1" si="4"/>
        <v>1</v>
      </c>
      <c r="F143" s="244"/>
      <c r="G143" s="245"/>
      <c r="H143" s="246" t="s">
        <v>246</v>
      </c>
      <c r="I143" s="247" t="str">
        <f t="shared" ca="1" si="5"/>
        <v>07.001.007.001</v>
      </c>
      <c r="J143" s="248" t="s">
        <v>447</v>
      </c>
      <c r="K143" s="249" t="s">
        <v>92</v>
      </c>
      <c r="L143" s="250">
        <f>'Obra '!E9</f>
        <v>7672.04</v>
      </c>
      <c r="M143" s="250">
        <v>65</v>
      </c>
      <c r="N143" s="251">
        <f>IF(H143="Serviço",M143*L143,IF(H143="CÉLULA CONSTRUTIVA",SUMIFS($N$8:$N$352,$B$8:$B$352,B143,$H$8:$H$352,"Serviço"),IF(H143="ETAPA",SUMIFS($N$8:$N$352,$B$8:$B$352,B143,$C$8:$C$352,C143,$H$8:$H$352,"Serviço"),IF(H143="SUBETAPA",SUMIFS($N$8:$N$352,$B$8:$B$352,B143,$C$8:$C$352,C143,$D$8:$D$352,D143,$H$8:$H$352,"Serviço"),0))))</f>
        <v>498682.6</v>
      </c>
      <c r="O143" s="252"/>
      <c r="P143" s="253" t="s">
        <v>366</v>
      </c>
      <c r="Q143" s="293"/>
    </row>
    <row r="144" spans="1:19" ht="13.5" customHeight="1" collapsed="1" x14ac:dyDescent="0.2">
      <c r="A144" s="233">
        <f t="shared" ca="1" si="19"/>
        <v>0</v>
      </c>
      <c r="B144" s="233">
        <f t="shared" ca="1" si="20"/>
        <v>8</v>
      </c>
      <c r="C144" s="233">
        <f t="shared" ca="1" si="21"/>
        <v>0</v>
      </c>
      <c r="D144" s="234">
        <f t="shared" ca="1" si="22"/>
        <v>7</v>
      </c>
      <c r="E144" s="234">
        <f t="shared" ca="1" si="4"/>
        <v>1</v>
      </c>
      <c r="F144" s="1012"/>
      <c r="G144" s="245"/>
      <c r="H144" s="246" t="s">
        <v>241</v>
      </c>
      <c r="I144" s="247" t="str">
        <f t="shared" ca="1" si="5"/>
        <v>08</v>
      </c>
      <c r="J144" s="248" t="s">
        <v>64</v>
      </c>
      <c r="K144" s="249"/>
      <c r="L144" s="250"/>
      <c r="M144" s="250"/>
      <c r="N144" s="251">
        <f ca="1">IF(H144="Serviço",M144*L144,IF(H144="CÉLULA CONSTRUTIVA",SUMIFS($N$8:$N$352,$B$8:$B$352,B144,$H$8:$H$352,"Serviço"),IF(H144="ETAPA",SUMIFS($N$8:$N$352,$B$8:$B$352,B144,$C$8:$C$352,C144,$H$8:$H$352,"Serviço"),IF(H144="SUBETAPA",SUMIFS($N$8:$N$352,$B$8:$B$352,B144,$C$8:$C$352,C144,$D$8:$D$352,D144,$H$8:$H$352,"Serviço"),0))))</f>
        <v>199112.84960000002</v>
      </c>
      <c r="O144" s="252">
        <f ca="1">N144/'Obra '!$E$9</f>
        <v>25.95305154821925</v>
      </c>
      <c r="P144" s="253"/>
      <c r="Q144" s="293"/>
    </row>
    <row r="145" spans="1:17" ht="13.5" hidden="1" customHeight="1" outlineLevel="1" x14ac:dyDescent="0.2">
      <c r="A145" s="233">
        <f t="shared" ca="1" si="19"/>
        <v>0</v>
      </c>
      <c r="B145" s="233">
        <f t="shared" ca="1" si="20"/>
        <v>8</v>
      </c>
      <c r="C145" s="233">
        <f t="shared" ca="1" si="21"/>
        <v>1</v>
      </c>
      <c r="D145" s="234">
        <f t="shared" ca="1" si="22"/>
        <v>0</v>
      </c>
      <c r="E145" s="234">
        <f t="shared" ca="1" si="4"/>
        <v>1</v>
      </c>
      <c r="F145" s="244"/>
      <c r="G145" s="245"/>
      <c r="H145" s="246" t="s">
        <v>37</v>
      </c>
      <c r="I145" s="247" t="str">
        <f t="shared" ca="1" si="5"/>
        <v>08.001</v>
      </c>
      <c r="J145" s="248" t="s">
        <v>448</v>
      </c>
      <c r="K145" s="249"/>
      <c r="L145" s="250"/>
      <c r="M145" s="250"/>
      <c r="N145" s="251">
        <f ca="1">IF(H145="Serviço",M145*L145,IF(H145="CÉLULA CONSTRUTIVA",SUMIFS($N$8:$N$352,$B$8:$B$352,B145,$H$8:$H$352,"Serviço"),IF(H145="ETAPA",SUMIFS($N$8:$N$352,$B$8:$B$352,B145,$C$8:$C$352,C145,$H$8:$H$352,"Serviço"),IF(H145="SUBETAPA",SUMIFS($N$8:$N$352,$B$8:$B$352,B145,$C$8:$C$352,C145,$D$8:$D$352,D145,$H$8:$H$352,"Serviço"),0))))</f>
        <v>199112.84960000002</v>
      </c>
      <c r="O145" s="252"/>
      <c r="P145" s="253"/>
      <c r="Q145" s="293"/>
    </row>
    <row r="146" spans="1:17" ht="13.5" hidden="1" customHeight="1" outlineLevel="1" x14ac:dyDescent="0.2">
      <c r="A146" s="233">
        <f t="shared" ca="1" si="19"/>
        <v>0</v>
      </c>
      <c r="B146" s="233">
        <f t="shared" ca="1" si="20"/>
        <v>8</v>
      </c>
      <c r="C146" s="233">
        <f t="shared" ca="1" si="21"/>
        <v>1</v>
      </c>
      <c r="D146" s="234">
        <f t="shared" ca="1" si="22"/>
        <v>1</v>
      </c>
      <c r="E146" s="234">
        <f t="shared" ca="1" si="4"/>
        <v>0</v>
      </c>
      <c r="F146" s="244"/>
      <c r="G146" s="245"/>
      <c r="H146" s="246" t="s">
        <v>244</v>
      </c>
      <c r="I146" s="247" t="str">
        <f t="shared" ca="1" si="5"/>
        <v>08.001.001</v>
      </c>
      <c r="J146" s="248" t="s">
        <v>449</v>
      </c>
      <c r="K146" s="249"/>
      <c r="L146" s="250"/>
      <c r="M146" s="250"/>
      <c r="N146" s="251">
        <f ca="1">IF(H146="Serviço",M146*L146,IF(H146="CÉLULA CONSTRUTIVA",SUMIFS($N$8:$N$352,$B$8:$B$352,B146,$H$8:$H$352,"Serviço"),IF(H146="ETAPA",SUMIFS($N$8:$N$352,$B$8:$B$352,B146,$C$8:$C$352,C146,$H$8:$H$352,"Serviço"),IF(H146="SUBETAPA",SUMIFS($N$8:$N$352,$B$8:$B$352,B146,$C$8:$C$352,C146,$D$8:$D$352,D146,$H$8:$H$352,"Serviço"),0))))</f>
        <v>27799.17</v>
      </c>
      <c r="O146" s="252"/>
      <c r="P146" s="253"/>
      <c r="Q146" s="293"/>
    </row>
    <row r="147" spans="1:17" ht="13.5" hidden="1" customHeight="1" outlineLevel="2" x14ac:dyDescent="0.2">
      <c r="A147" s="233">
        <f t="shared" ca="1" si="19"/>
        <v>0</v>
      </c>
      <c r="B147" s="233">
        <f t="shared" ca="1" si="20"/>
        <v>8</v>
      </c>
      <c r="C147" s="233">
        <f t="shared" ca="1" si="21"/>
        <v>1</v>
      </c>
      <c r="D147" s="234">
        <f t="shared" ca="1" si="22"/>
        <v>1</v>
      </c>
      <c r="E147" s="234">
        <f t="shared" ca="1" si="4"/>
        <v>1</v>
      </c>
      <c r="F147" s="244"/>
      <c r="G147" s="245"/>
      <c r="H147" s="246" t="s">
        <v>246</v>
      </c>
      <c r="I147" s="247" t="str">
        <f t="shared" ca="1" si="5"/>
        <v>08.001.001.001</v>
      </c>
      <c r="J147" s="248" t="s">
        <v>449</v>
      </c>
      <c r="K147" s="249" t="s">
        <v>175</v>
      </c>
      <c r="L147" s="250">
        <v>1</v>
      </c>
      <c r="M147" s="250">
        <f>PCISPDAGÁS!N8</f>
        <v>27799.17</v>
      </c>
      <c r="N147" s="251">
        <f>IF(H147="Serviço",M147*L147,IF(H147="CÉLULA CONSTRUTIVA",SUMIFS($N$8:$N$352,$B$8:$B$352,B147,$H$8:$H$352,"Serviço"),IF(H147="ETAPA",SUMIFS($N$8:$N$352,$B$8:$B$352,B147,$C$8:$C$352,C147,$H$8:$H$352,"Serviço"),IF(H147="SUBETAPA",SUMIFS($N$8:$N$352,$B$8:$B$352,B147,$C$8:$C$352,C147,$D$8:$D$352,D147,$H$8:$H$352,"Serviço"),0))))</f>
        <v>27799.17</v>
      </c>
      <c r="O147" s="252"/>
      <c r="P147" s="253" t="s">
        <v>366</v>
      </c>
      <c r="Q147" s="293"/>
    </row>
    <row r="148" spans="1:17" ht="13.5" hidden="1" customHeight="1" outlineLevel="1" x14ac:dyDescent="0.2">
      <c r="A148" s="233">
        <f t="shared" ca="1" si="19"/>
        <v>0</v>
      </c>
      <c r="B148" s="233">
        <f t="shared" ca="1" si="20"/>
        <v>8</v>
      </c>
      <c r="C148" s="233">
        <f t="shared" ca="1" si="21"/>
        <v>1</v>
      </c>
      <c r="D148" s="234">
        <f t="shared" ca="1" si="22"/>
        <v>2</v>
      </c>
      <c r="E148" s="234">
        <f t="shared" ca="1" si="4"/>
        <v>0</v>
      </c>
      <c r="F148" s="244"/>
      <c r="G148" s="245"/>
      <c r="H148" s="246" t="s">
        <v>244</v>
      </c>
      <c r="I148" s="247" t="str">
        <f t="shared" ca="1" si="5"/>
        <v>08.001.002</v>
      </c>
      <c r="J148" s="248" t="s">
        <v>450</v>
      </c>
      <c r="K148" s="249"/>
      <c r="L148" s="250"/>
      <c r="M148" s="250"/>
      <c r="N148" s="251">
        <f ca="1">IF(H148="Serviço",M148*L148,IF(H148="CÉLULA CONSTRUTIVA",SUMIFS($N$8:$N$352,$B$8:$B$352,B148,$H$8:$H$352,"Serviço"),IF(H148="ETAPA",SUMIFS($N$8:$N$352,$B$8:$B$352,B148,$C$8:$C$352,C148,$H$8:$H$352,"Serviço"),IF(H148="SUBETAPA",SUMIFS($N$8:$N$352,$B$8:$B$352,B148,$C$8:$C$352,C148,$D$8:$D$352,D148,$H$8:$H$352,"Serviço"),0))))</f>
        <v>8308.6</v>
      </c>
      <c r="O148" s="252"/>
      <c r="P148" s="253"/>
      <c r="Q148" s="293"/>
    </row>
    <row r="149" spans="1:17" ht="13.5" hidden="1" customHeight="1" outlineLevel="2" x14ac:dyDescent="0.2">
      <c r="A149" s="233">
        <f t="shared" ca="1" si="19"/>
        <v>0</v>
      </c>
      <c r="B149" s="233">
        <f t="shared" ca="1" si="20"/>
        <v>8</v>
      </c>
      <c r="C149" s="233">
        <f t="shared" ca="1" si="21"/>
        <v>1</v>
      </c>
      <c r="D149" s="234">
        <f t="shared" ca="1" si="22"/>
        <v>2</v>
      </c>
      <c r="E149" s="234">
        <f t="shared" ca="1" si="4"/>
        <v>1</v>
      </c>
      <c r="F149" s="244"/>
      <c r="G149" s="245"/>
      <c r="H149" s="246" t="s">
        <v>246</v>
      </c>
      <c r="I149" s="247" t="str">
        <f t="shared" ca="1" si="5"/>
        <v>08.001.002.001</v>
      </c>
      <c r="J149" s="248" t="s">
        <v>450</v>
      </c>
      <c r="K149" s="249" t="s">
        <v>175</v>
      </c>
      <c r="L149" s="250">
        <v>1</v>
      </c>
      <c r="M149" s="250">
        <f>PCISPDAGÁS!N7</f>
        <v>8308.6</v>
      </c>
      <c r="N149" s="251">
        <f>IF(H149="Serviço",M149*L149,IF(H149="CÉLULA CONSTRUTIVA",SUMIFS($N$8:$N$352,$B$8:$B$352,B149,$H$8:$H$352,"Serviço"),IF(H149="ETAPA",SUMIFS($N$8:$N$352,$B$8:$B$352,B149,$C$8:$C$352,C149,$H$8:$H$352,"Serviço"),IF(H149="SUBETAPA",SUMIFS($N$8:$N$352,$B$8:$B$352,B149,$C$8:$C$352,C149,$D$8:$D$352,D149,$H$8:$H$352,"Serviço"),0))))</f>
        <v>8308.6</v>
      </c>
      <c r="O149" s="252"/>
      <c r="P149" s="253" t="s">
        <v>366</v>
      </c>
      <c r="Q149" s="293"/>
    </row>
    <row r="150" spans="1:17" ht="13.5" hidden="1" customHeight="1" outlineLevel="1" x14ac:dyDescent="0.2">
      <c r="A150" s="233">
        <f t="shared" ca="1" si="19"/>
        <v>0</v>
      </c>
      <c r="B150" s="233">
        <f t="shared" ca="1" si="20"/>
        <v>8</v>
      </c>
      <c r="C150" s="233">
        <f t="shared" ca="1" si="21"/>
        <v>1</v>
      </c>
      <c r="D150" s="234">
        <f t="shared" ca="1" si="22"/>
        <v>3</v>
      </c>
      <c r="E150" s="234">
        <f t="shared" ca="1" si="4"/>
        <v>0</v>
      </c>
      <c r="F150" s="244"/>
      <c r="G150" s="245"/>
      <c r="H150" s="246" t="s">
        <v>244</v>
      </c>
      <c r="I150" s="247" t="str">
        <f t="shared" ca="1" si="5"/>
        <v>08.001.003</v>
      </c>
      <c r="J150" s="248" t="s">
        <v>451</v>
      </c>
      <c r="K150" s="249"/>
      <c r="L150" s="250"/>
      <c r="M150" s="250"/>
      <c r="N150" s="251">
        <f ca="1">IF(H150="Serviço",M150*L150,IF(H150="CÉLULA CONSTRUTIVA",SUMIFS($N$8:$N$352,$B$8:$B$352,B150,$H$8:$H$352,"Serviço"),IF(H150="ETAPA",SUMIFS($N$8:$N$352,$B$8:$B$352,B150,$C$8:$C$352,C150,$H$8:$H$352,"Serviço"),IF(H150="SUBETAPA",SUMIFS($N$8:$N$352,$B$8:$B$352,B150,$C$8:$C$352,C150,$D$8:$D$352,D150,$H$8:$H$352,"Serviço"),0))))</f>
        <v>91216.259600000019</v>
      </c>
      <c r="O150" s="252"/>
      <c r="P150" s="253"/>
      <c r="Q150" s="293"/>
    </row>
    <row r="151" spans="1:17" ht="13.5" hidden="1" customHeight="1" outlineLevel="2" x14ac:dyDescent="0.2">
      <c r="A151" s="233">
        <f t="shared" ca="1" si="19"/>
        <v>0</v>
      </c>
      <c r="B151" s="233">
        <f t="shared" ca="1" si="20"/>
        <v>8</v>
      </c>
      <c r="C151" s="233">
        <f t="shared" ca="1" si="21"/>
        <v>1</v>
      </c>
      <c r="D151" s="234">
        <f t="shared" ca="1" si="22"/>
        <v>3</v>
      </c>
      <c r="E151" s="234">
        <f t="shared" ca="1" si="4"/>
        <v>1</v>
      </c>
      <c r="F151" s="244"/>
      <c r="G151" s="245"/>
      <c r="H151" s="246" t="s">
        <v>246</v>
      </c>
      <c r="I151" s="247" t="str">
        <f t="shared" ca="1" si="5"/>
        <v>08.001.003.001</v>
      </c>
      <c r="J151" s="248" t="s">
        <v>451</v>
      </c>
      <c r="K151" s="249" t="s">
        <v>175</v>
      </c>
      <c r="L151" s="250">
        <v>1</v>
      </c>
      <c r="M151" s="250">
        <f>PCISPDAGÁS!N11</f>
        <v>91216.259600000019</v>
      </c>
      <c r="N151" s="251">
        <f>IF(H151="Serviço",M151*L151,IF(H151="CÉLULA CONSTRUTIVA",SUMIFS($N$8:$N$352,$B$8:$B$352,B151,$H$8:$H$352,"Serviço"),IF(H151="ETAPA",SUMIFS($N$8:$N$352,$B$8:$B$352,B151,$C$8:$C$352,C151,$H$8:$H$352,"Serviço"),IF(H151="SUBETAPA",SUMIFS($N$8:$N$352,$B$8:$B$352,B151,$C$8:$C$352,C151,$D$8:$D$352,D151,$H$8:$H$352,"Serviço"),0))))</f>
        <v>91216.259600000019</v>
      </c>
      <c r="O151" s="252"/>
      <c r="P151" s="253" t="s">
        <v>366</v>
      </c>
      <c r="Q151" s="293"/>
    </row>
    <row r="152" spans="1:17" ht="13.5" hidden="1" customHeight="1" outlineLevel="1" x14ac:dyDescent="0.2">
      <c r="A152" s="233">
        <f t="shared" ca="1" si="19"/>
        <v>0</v>
      </c>
      <c r="B152" s="233">
        <f t="shared" ca="1" si="20"/>
        <v>8</v>
      </c>
      <c r="C152" s="233">
        <f t="shared" ca="1" si="21"/>
        <v>1</v>
      </c>
      <c r="D152" s="234">
        <f t="shared" ca="1" si="22"/>
        <v>4</v>
      </c>
      <c r="E152" s="234">
        <f t="shared" ca="1" si="4"/>
        <v>0</v>
      </c>
      <c r="F152" s="244"/>
      <c r="G152" s="245"/>
      <c r="H152" s="246" t="s">
        <v>244</v>
      </c>
      <c r="I152" s="247" t="str">
        <f t="shared" ca="1" si="5"/>
        <v>08.001.004</v>
      </c>
      <c r="J152" s="248" t="s">
        <v>452</v>
      </c>
      <c r="K152" s="249"/>
      <c r="L152" s="250"/>
      <c r="M152" s="250"/>
      <c r="N152" s="251">
        <f ca="1">IF(H152="Serviço",M152*L152,IF(H152="CÉLULA CONSTRUTIVA",SUMIFS($N$8:$N$352,$B$8:$B$352,B152,$H$8:$H$352,"Serviço"),IF(H152="ETAPA",SUMIFS($N$8:$N$352,$B$8:$B$352,B152,$C$8:$C$352,C152,$H$8:$H$352,"Serviço"),IF(H152="SUBETAPA",SUMIFS($N$8:$N$352,$B$8:$B$352,B152,$C$8:$C$352,C152,$D$8:$D$352,D152,$H$8:$H$352,"Serviço"),0))))</f>
        <v>10412.5</v>
      </c>
      <c r="O152" s="252"/>
      <c r="P152" s="253"/>
      <c r="Q152" s="293"/>
    </row>
    <row r="153" spans="1:17" ht="13.5" hidden="1" customHeight="1" outlineLevel="2" x14ac:dyDescent="0.2">
      <c r="A153" s="233">
        <f t="shared" ca="1" si="19"/>
        <v>0</v>
      </c>
      <c r="B153" s="233">
        <f t="shared" ca="1" si="20"/>
        <v>8</v>
      </c>
      <c r="C153" s="233">
        <f t="shared" ca="1" si="21"/>
        <v>1</v>
      </c>
      <c r="D153" s="234">
        <f t="shared" ca="1" si="22"/>
        <v>4</v>
      </c>
      <c r="E153" s="234">
        <f t="shared" ca="1" si="4"/>
        <v>1</v>
      </c>
      <c r="F153" s="244"/>
      <c r="G153" s="245"/>
      <c r="H153" s="246" t="s">
        <v>246</v>
      </c>
      <c r="I153" s="247" t="str">
        <f t="shared" ca="1" si="5"/>
        <v>08.001.004.001</v>
      </c>
      <c r="J153" s="248" t="s">
        <v>452</v>
      </c>
      <c r="K153" s="249" t="s">
        <v>175</v>
      </c>
      <c r="L153" s="250">
        <v>1</v>
      </c>
      <c r="M153" s="250">
        <f>PCISPDAGÁS!N9</f>
        <v>10412.5</v>
      </c>
      <c r="N153" s="251">
        <f>IF(H153="Serviço",M153*L153,IF(H153="CÉLULA CONSTRUTIVA",SUMIFS($N$8:$N$352,$B$8:$B$352,B153,$H$8:$H$352,"Serviço"),IF(H153="ETAPA",SUMIFS($N$8:$N$352,$B$8:$B$352,B153,$C$8:$C$352,C153,$H$8:$H$352,"Serviço"),IF(H153="SUBETAPA",SUMIFS($N$8:$N$352,$B$8:$B$352,B153,$C$8:$C$352,C153,$D$8:$D$352,D153,$H$8:$H$352,"Serviço"),0))))</f>
        <v>10412.5</v>
      </c>
      <c r="O153" s="252"/>
      <c r="P153" s="253" t="s">
        <v>366</v>
      </c>
      <c r="Q153" s="293"/>
    </row>
    <row r="154" spans="1:17" ht="13.5" hidden="1" customHeight="1" outlineLevel="1" x14ac:dyDescent="0.2">
      <c r="A154" s="233">
        <f t="shared" ca="1" si="19"/>
        <v>0</v>
      </c>
      <c r="B154" s="233">
        <f t="shared" ca="1" si="20"/>
        <v>8</v>
      </c>
      <c r="C154" s="233">
        <f t="shared" ca="1" si="21"/>
        <v>1</v>
      </c>
      <c r="D154" s="234">
        <f t="shared" ca="1" si="22"/>
        <v>5</v>
      </c>
      <c r="E154" s="234">
        <f t="shared" ca="1" si="4"/>
        <v>0</v>
      </c>
      <c r="F154" s="244"/>
      <c r="G154" s="245"/>
      <c r="H154" s="246" t="s">
        <v>244</v>
      </c>
      <c r="I154" s="247" t="str">
        <f t="shared" ca="1" si="5"/>
        <v>08.001.005</v>
      </c>
      <c r="J154" s="248" t="s">
        <v>453</v>
      </c>
      <c r="K154" s="249"/>
      <c r="L154" s="250"/>
      <c r="M154" s="250"/>
      <c r="N154" s="251">
        <f ca="1">IF(H154="Serviço",M154*L154,IF(H154="CÉLULA CONSTRUTIVA",SUMIFS($N$8:$N$352,$B$8:$B$352,B154,$H$8:$H$352,"Serviço"),IF(H154="ETAPA",SUMIFS($N$8:$N$352,$B$8:$B$352,B154,$C$8:$C$352,C154,$H$8:$H$352,"Serviço"),IF(H154="SUBETAPA",SUMIFS($N$8:$N$352,$B$8:$B$352,B154,$C$8:$C$352,C154,$D$8:$D$352,D154,$H$8:$H$352,"Serviço"),0))))</f>
        <v>61376.32</v>
      </c>
      <c r="O154" s="252"/>
      <c r="P154" s="253"/>
      <c r="Q154" s="293"/>
    </row>
    <row r="155" spans="1:17" ht="13.5" hidden="1" customHeight="1" outlineLevel="2" x14ac:dyDescent="0.2">
      <c r="A155" s="233">
        <f t="shared" ca="1" si="19"/>
        <v>0</v>
      </c>
      <c r="B155" s="233">
        <f t="shared" ca="1" si="20"/>
        <v>8</v>
      </c>
      <c r="C155" s="233">
        <f t="shared" ca="1" si="21"/>
        <v>1</v>
      </c>
      <c r="D155" s="234">
        <f t="shared" ca="1" si="22"/>
        <v>5</v>
      </c>
      <c r="E155" s="234">
        <f t="shared" ca="1" si="4"/>
        <v>1</v>
      </c>
      <c r="F155" s="244"/>
      <c r="G155" s="245"/>
      <c r="H155" s="246" t="s">
        <v>246</v>
      </c>
      <c r="I155" s="247" t="str">
        <f t="shared" ca="1" si="5"/>
        <v>08.001.005.001</v>
      </c>
      <c r="J155" s="255" t="s">
        <v>454</v>
      </c>
      <c r="K155" s="249" t="s">
        <v>92</v>
      </c>
      <c r="L155" s="250">
        <f>'Obra '!E9</f>
        <v>7672.04</v>
      </c>
      <c r="M155" s="250">
        <v>8</v>
      </c>
      <c r="N155" s="251">
        <f>IF(H155="Serviço",M155*L155,IF(H155="CÉLULA CONSTRUTIVA",SUMIFS($N$8:$N$352,$B$8:$B$352,B155,$H$8:$H$352,"Serviço"),IF(H155="ETAPA",SUMIFS($N$8:$N$352,$B$8:$B$352,B155,$C$8:$C$352,C155,$H$8:$H$352,"Serviço"),IF(H155="SUBETAPA",SUMIFS($N$8:$N$352,$B$8:$B$352,B155,$C$8:$C$352,C155,$D$8:$D$352,D155,$H$8:$H$352,"Serviço"),0))))</f>
        <v>61376.32</v>
      </c>
      <c r="O155" s="252"/>
      <c r="P155" s="253" t="s">
        <v>366</v>
      </c>
      <c r="Q155" s="293"/>
    </row>
    <row r="156" spans="1:17" ht="13.5" customHeight="1" collapsed="1" x14ac:dyDescent="0.2">
      <c r="A156" s="233">
        <f t="shared" ca="1" si="19"/>
        <v>0</v>
      </c>
      <c r="B156" s="233">
        <f t="shared" ca="1" si="20"/>
        <v>9</v>
      </c>
      <c r="C156" s="233">
        <f t="shared" ca="1" si="21"/>
        <v>0</v>
      </c>
      <c r="D156" s="234">
        <f t="shared" ca="1" si="22"/>
        <v>5</v>
      </c>
      <c r="E156" s="234">
        <f t="shared" ca="1" si="4"/>
        <v>1</v>
      </c>
      <c r="F156" s="1012"/>
      <c r="G156" s="245"/>
      <c r="H156" s="246" t="s">
        <v>241</v>
      </c>
      <c r="I156" s="247" t="str">
        <f t="shared" ca="1" si="5"/>
        <v>09</v>
      </c>
      <c r="J156" s="248" t="s">
        <v>65</v>
      </c>
      <c r="K156" s="249"/>
      <c r="L156" s="250"/>
      <c r="M156" s="250"/>
      <c r="N156" s="251">
        <f ca="1">IF(H156="Serviço",M156*L156,IF(H156="CÉLULA CONSTRUTIVA",SUMIFS($N$8:$N$352,$B$8:$B$352,B156,$H$8:$H$352,"Serviço"),IF(H156="ETAPA",SUMIFS($N$8:$N$352,$B$8:$B$352,B156,$C$8:$C$352,C156,$H$8:$H$352,"Serviço"),IF(H156="SUBETAPA",SUMIFS($N$8:$N$352,$B$8:$B$352,B156,$C$8:$C$352,C156,$D$8:$D$352,D156,$H$8:$H$352,"Serviço"),0))))</f>
        <v>83695.329999999987</v>
      </c>
      <c r="O156" s="252">
        <f ca="1">N156/'Obra '!$E$9</f>
        <v>10.909136292302959</v>
      </c>
      <c r="P156" s="253"/>
      <c r="Q156" s="293"/>
    </row>
    <row r="157" spans="1:17" ht="13.5" hidden="1" customHeight="1" outlineLevel="1" x14ac:dyDescent="0.2">
      <c r="A157" s="233">
        <f t="shared" ca="1" si="19"/>
        <v>0</v>
      </c>
      <c r="B157" s="233">
        <f t="shared" ca="1" si="20"/>
        <v>9</v>
      </c>
      <c r="C157" s="233">
        <f t="shared" ca="1" si="21"/>
        <v>1</v>
      </c>
      <c r="D157" s="234">
        <f t="shared" ca="1" si="22"/>
        <v>0</v>
      </c>
      <c r="E157" s="234">
        <f t="shared" ca="1" si="4"/>
        <v>1</v>
      </c>
      <c r="F157" s="244"/>
      <c r="G157" s="245"/>
      <c r="H157" s="246" t="s">
        <v>37</v>
      </c>
      <c r="I157" s="247" t="str">
        <f t="shared" ca="1" si="5"/>
        <v>09.001</v>
      </c>
      <c r="J157" s="248" t="s">
        <v>455</v>
      </c>
      <c r="K157" s="249"/>
      <c r="L157" s="250"/>
      <c r="M157" s="250"/>
      <c r="N157" s="251">
        <f ca="1">IF(H157="Serviço",M157*L157,IF(H157="CÉLULA CONSTRUTIVA",SUMIFS($N$8:$N$352,$B$8:$B$352,B157,$H$8:$H$352,"Serviço"),IF(H157="ETAPA",SUMIFS($N$8:$N$352,$B$8:$B$352,B157,$C$8:$C$352,C157,$H$8:$H$352,"Serviço"),IF(H157="SUBETAPA",SUMIFS($N$8:$N$352,$B$8:$B$352,B157,$C$8:$C$352,C157,$D$8:$D$352,D157,$H$8:$H$352,"Serviço"),0))))</f>
        <v>83695.329999999987</v>
      </c>
      <c r="O157" s="252"/>
      <c r="P157" s="253"/>
      <c r="Q157" s="293"/>
    </row>
    <row r="158" spans="1:17" ht="13.5" hidden="1" customHeight="1" outlineLevel="1" x14ac:dyDescent="0.2">
      <c r="A158" s="233">
        <f t="shared" ca="1" si="19"/>
        <v>0</v>
      </c>
      <c r="B158" s="233">
        <f t="shared" ca="1" si="20"/>
        <v>9</v>
      </c>
      <c r="C158" s="233">
        <f t="shared" ca="1" si="21"/>
        <v>1</v>
      </c>
      <c r="D158" s="234">
        <f t="shared" ca="1" si="22"/>
        <v>1</v>
      </c>
      <c r="E158" s="234">
        <f t="shared" ca="1" si="4"/>
        <v>0</v>
      </c>
      <c r="F158" s="244"/>
      <c r="G158" s="245"/>
      <c r="H158" s="246" t="s">
        <v>244</v>
      </c>
      <c r="I158" s="247" t="str">
        <f t="shared" ca="1" si="5"/>
        <v>09.001.001</v>
      </c>
      <c r="J158" s="248" t="s">
        <v>456</v>
      </c>
      <c r="K158" s="249"/>
      <c r="L158" s="250"/>
      <c r="M158" s="250"/>
      <c r="N158" s="251">
        <f ca="1">IF(H158="Serviço",M158*L158,IF(H158="CÉLULA CONSTRUTIVA",SUMIFS($N$8:$N$352,$B$8:$B$352,B158,$H$8:$H$352,"Serviço"),IF(H158="ETAPA",SUMIFS($N$8:$N$352,$B$8:$B$352,B158,$C$8:$C$352,C158,$H$8:$H$352,"Serviço"),IF(H158="SUBETAPA",SUMIFS($N$8:$N$352,$B$8:$B$352,B158,$C$8:$C$352,C158,$D$8:$D$352,D158,$H$8:$H$352,"Serviço"),0))))</f>
        <v>45335.13</v>
      </c>
      <c r="O158" s="252"/>
      <c r="P158" s="253"/>
      <c r="Q158" s="293"/>
    </row>
    <row r="159" spans="1:17" ht="13.5" hidden="1" customHeight="1" outlineLevel="2" x14ac:dyDescent="0.2">
      <c r="A159" s="233">
        <f t="shared" ca="1" si="19"/>
        <v>0</v>
      </c>
      <c r="B159" s="233">
        <f t="shared" ca="1" si="20"/>
        <v>9</v>
      </c>
      <c r="C159" s="233">
        <f t="shared" ca="1" si="21"/>
        <v>1</v>
      </c>
      <c r="D159" s="234">
        <f t="shared" ca="1" si="22"/>
        <v>1</v>
      </c>
      <c r="E159" s="234">
        <f t="shared" ca="1" si="4"/>
        <v>1</v>
      </c>
      <c r="F159" s="244"/>
      <c r="G159" s="245"/>
      <c r="H159" s="246" t="s">
        <v>246</v>
      </c>
      <c r="I159" s="247" t="str">
        <f t="shared" ca="1" si="5"/>
        <v>09.001.001.001</v>
      </c>
      <c r="J159" s="255" t="s">
        <v>456</v>
      </c>
      <c r="K159" s="249" t="s">
        <v>175</v>
      </c>
      <c r="L159" s="250">
        <v>1</v>
      </c>
      <c r="M159" s="250">
        <f>PCISPDAGÁS!N10</f>
        <v>45335.13</v>
      </c>
      <c r="N159" s="251">
        <f>IF(H159="Serviço",M159*L159,IF(H159="CÉLULA CONSTRUTIVA",SUMIFS($N$8:$N$352,$B$8:$B$352,B159,$H$8:$H$352,"Serviço"),IF(H159="ETAPA",SUMIFS($N$8:$N$352,$B$8:$B$352,B159,$C$8:$C$352,C159,$H$8:$H$352,"Serviço"),IF(H159="SUBETAPA",SUMIFS($N$8:$N$352,$B$8:$B$352,B159,$C$8:$C$352,C159,$D$8:$D$352,D159,$H$8:$H$352,"Serviço"),0))))</f>
        <v>45335.13</v>
      </c>
      <c r="O159" s="252"/>
      <c r="P159" s="253" t="s">
        <v>366</v>
      </c>
      <c r="Q159" s="293"/>
    </row>
    <row r="160" spans="1:17" ht="13.5" hidden="1" customHeight="1" outlineLevel="1" x14ac:dyDescent="0.2">
      <c r="A160" s="233">
        <f t="shared" ca="1" si="19"/>
        <v>0</v>
      </c>
      <c r="B160" s="233">
        <f t="shared" ca="1" si="20"/>
        <v>9</v>
      </c>
      <c r="C160" s="233">
        <f t="shared" ca="1" si="21"/>
        <v>1</v>
      </c>
      <c r="D160" s="234">
        <f t="shared" ca="1" si="22"/>
        <v>2</v>
      </c>
      <c r="E160" s="234">
        <f t="shared" ca="1" si="4"/>
        <v>0</v>
      </c>
      <c r="F160" s="244"/>
      <c r="G160" s="245"/>
      <c r="H160" s="246" t="s">
        <v>244</v>
      </c>
      <c r="I160" s="247" t="str">
        <f t="shared" ca="1" si="5"/>
        <v>09.001.002</v>
      </c>
      <c r="J160" s="248" t="s">
        <v>457</v>
      </c>
      <c r="K160" s="249"/>
      <c r="L160" s="250"/>
      <c r="M160" s="250"/>
      <c r="N160" s="251">
        <f ca="1">IF(H160="Serviço",M160*L160,IF(H160="CÉLULA CONSTRUTIVA",SUMIFS($N$8:$N$352,$B$8:$B$352,B160,$H$8:$H$352,"Serviço"),IF(H160="ETAPA",SUMIFS($N$8:$N$352,$B$8:$B$352,B160,$C$8:$C$352,C160,$H$8:$H$352,"Serviço"),IF(H160="SUBETAPA",SUMIFS($N$8:$N$352,$B$8:$B$352,B160,$C$8:$C$352,C160,$D$8:$D$352,D160,$H$8:$H$352,"Serviço"),0))))</f>
        <v>38360.199999999997</v>
      </c>
      <c r="O160" s="252"/>
      <c r="P160" s="253"/>
      <c r="Q160" s="293"/>
    </row>
    <row r="161" spans="1:17" ht="13.5" hidden="1" customHeight="1" outlineLevel="2" x14ac:dyDescent="0.2">
      <c r="A161" s="233">
        <f t="shared" ca="1" si="19"/>
        <v>0</v>
      </c>
      <c r="B161" s="233">
        <f t="shared" ca="1" si="20"/>
        <v>9</v>
      </c>
      <c r="C161" s="233">
        <f t="shared" ca="1" si="21"/>
        <v>1</v>
      </c>
      <c r="D161" s="234">
        <f t="shared" ca="1" si="22"/>
        <v>2</v>
      </c>
      <c r="E161" s="234">
        <f t="shared" ca="1" si="4"/>
        <v>1</v>
      </c>
      <c r="F161" s="244"/>
      <c r="G161" s="245"/>
      <c r="H161" s="246" t="s">
        <v>246</v>
      </c>
      <c r="I161" s="247" t="str">
        <f t="shared" ca="1" si="5"/>
        <v>09.001.002.001</v>
      </c>
      <c r="J161" s="248" t="s">
        <v>457</v>
      </c>
      <c r="K161" s="249" t="s">
        <v>92</v>
      </c>
      <c r="L161" s="250">
        <f>'Obra '!E9</f>
        <v>7672.04</v>
      </c>
      <c r="M161" s="250">
        <v>5</v>
      </c>
      <c r="N161" s="251">
        <f>IF(H161="Serviço",M161*L161,IF(H161="CÉLULA CONSTRUTIVA",SUMIFS($N$8:$N$352,$B$8:$B$352,B161,$H$8:$H$352,"Serviço"),IF(H161="ETAPA",SUMIFS($N$8:$N$352,$B$8:$B$352,B161,$C$8:$C$352,C161,$H$8:$H$352,"Serviço"),IF(H161="SUBETAPA",SUMIFS($N$8:$N$352,$B$8:$B$352,B161,$C$8:$C$352,C161,$D$8:$D$352,D161,$H$8:$H$352,"Serviço"),0))))</f>
        <v>38360.199999999997</v>
      </c>
      <c r="O161" s="252"/>
      <c r="P161" s="253" t="s">
        <v>366</v>
      </c>
      <c r="Q161" s="293"/>
    </row>
    <row r="162" spans="1:17" ht="13.5" customHeight="1" collapsed="1" x14ac:dyDescent="0.2">
      <c r="A162" s="233">
        <f t="shared" ca="1" si="19"/>
        <v>0</v>
      </c>
      <c r="B162" s="233">
        <f t="shared" ca="1" si="20"/>
        <v>10</v>
      </c>
      <c r="C162" s="233">
        <f t="shared" ca="1" si="21"/>
        <v>0</v>
      </c>
      <c r="D162" s="234">
        <f t="shared" ca="1" si="22"/>
        <v>2</v>
      </c>
      <c r="E162" s="234">
        <f t="shared" ca="1" si="4"/>
        <v>1</v>
      </c>
      <c r="F162" s="1012"/>
      <c r="G162" s="245"/>
      <c r="H162" s="246" t="s">
        <v>241</v>
      </c>
      <c r="I162" s="247" t="str">
        <f t="shared" ca="1" si="5"/>
        <v>10</v>
      </c>
      <c r="J162" s="248" t="s">
        <v>66</v>
      </c>
      <c r="K162" s="249"/>
      <c r="L162" s="250"/>
      <c r="M162" s="250"/>
      <c r="N162" s="251">
        <f ca="1">IF(H162="Serviço",M162*L162,IF(H162="CÉLULA CONSTRUTIVA",SUMIFS($N$8:$N$352,$B$8:$B$352,B162,$H$8:$H$352,"Serviço"),IF(H162="ETAPA",SUMIFS($N$8:$N$352,$B$8:$B$352,B162,$C$8:$C$352,C162,$H$8:$H$352,"Serviço"),IF(H162="SUBETAPA",SUMIFS($N$8:$N$352,$B$8:$B$352,B162,$C$8:$C$352,C162,$D$8:$D$352,D162,$H$8:$H$352,"Serviço"),0))))</f>
        <v>193637.79300000001</v>
      </c>
      <c r="O162" s="252">
        <f ca="1">N162/'Obra '!$E$9</f>
        <v>25.239413897737759</v>
      </c>
      <c r="P162" s="253"/>
      <c r="Q162" s="293"/>
    </row>
    <row r="163" spans="1:17" ht="13.5" hidden="1" customHeight="1" outlineLevel="1" x14ac:dyDescent="0.2">
      <c r="A163" s="233">
        <f t="shared" ca="1" si="19"/>
        <v>0</v>
      </c>
      <c r="B163" s="233">
        <f t="shared" ca="1" si="20"/>
        <v>10</v>
      </c>
      <c r="C163" s="233">
        <f t="shared" ca="1" si="21"/>
        <v>1</v>
      </c>
      <c r="D163" s="234">
        <f t="shared" ca="1" si="22"/>
        <v>0</v>
      </c>
      <c r="E163" s="234">
        <f t="shared" ca="1" si="4"/>
        <v>1</v>
      </c>
      <c r="F163" s="244"/>
      <c r="G163" s="245"/>
      <c r="H163" s="246" t="s">
        <v>37</v>
      </c>
      <c r="I163" s="247" t="str">
        <f t="shared" ca="1" si="5"/>
        <v>10.001</v>
      </c>
      <c r="J163" s="248" t="s">
        <v>66</v>
      </c>
      <c r="K163" s="249"/>
      <c r="L163" s="250"/>
      <c r="M163" s="250"/>
      <c r="N163" s="251">
        <f ca="1">IF(H163="Serviço",M163*L163,IF(H163="CÉLULA CONSTRUTIVA",SUMIFS($N$8:$N$352,$B$8:$B$352,B163,$H$8:$H$352,"Serviço"),IF(H163="ETAPA",SUMIFS($N$8:$N$352,$B$8:$B$352,B163,$C$8:$C$352,C163,$H$8:$H$352,"Serviço"),IF(H163="SUBETAPA",SUMIFS($N$8:$N$352,$B$8:$B$352,B163,$C$8:$C$352,C163,$D$8:$D$352,D163,$H$8:$H$352,"Serviço"),0))))</f>
        <v>193637.79300000001</v>
      </c>
      <c r="O163" s="252"/>
      <c r="P163" s="253"/>
      <c r="Q163" s="293"/>
    </row>
    <row r="164" spans="1:17" ht="13.5" hidden="1" customHeight="1" outlineLevel="1" x14ac:dyDescent="0.2">
      <c r="A164" s="233">
        <f t="shared" ca="1" si="19"/>
        <v>0</v>
      </c>
      <c r="B164" s="233">
        <f t="shared" ca="1" si="20"/>
        <v>10</v>
      </c>
      <c r="C164" s="233">
        <f t="shared" ca="1" si="21"/>
        <v>1</v>
      </c>
      <c r="D164" s="234">
        <f t="shared" ca="1" si="22"/>
        <v>1</v>
      </c>
      <c r="E164" s="234">
        <f t="shared" ca="1" si="4"/>
        <v>0</v>
      </c>
      <c r="F164" s="244"/>
      <c r="G164" s="245"/>
      <c r="H164" s="246" t="s">
        <v>244</v>
      </c>
      <c r="I164" s="247" t="str">
        <f t="shared" ca="1" si="5"/>
        <v>10.001.001</v>
      </c>
      <c r="J164" s="248" t="s">
        <v>458</v>
      </c>
      <c r="K164" s="249"/>
      <c r="L164" s="250"/>
      <c r="M164" s="250"/>
      <c r="N164" s="251">
        <f ca="1">IF(H164="Serviço",M164*L164,IF(H164="CÉLULA CONSTRUTIVA",SUMIFS($N$8:$N$352,$B$8:$B$352,B164,$H$8:$H$352,"Serviço"),IF(H164="ETAPA",SUMIFS($N$8:$N$352,$B$8:$B$352,B164,$C$8:$C$352,C164,$H$8:$H$352,"Serviço"),IF(H164="SUBETAPA",SUMIFS($N$8:$N$352,$B$8:$B$352,B164,$C$8:$C$352,C164,$D$8:$D$352,D164,$H$8:$H$352,"Serviço"),0))))</f>
        <v>193637.79300000001</v>
      </c>
      <c r="O164" s="252"/>
      <c r="P164" s="253"/>
      <c r="Q164" s="293"/>
    </row>
    <row r="165" spans="1:17" ht="13.5" hidden="1" customHeight="1" outlineLevel="2" x14ac:dyDescent="0.2">
      <c r="A165" s="233">
        <f t="shared" ca="1" si="19"/>
        <v>0</v>
      </c>
      <c r="B165" s="233">
        <f t="shared" ca="1" si="20"/>
        <v>10</v>
      </c>
      <c r="C165" s="233">
        <f t="shared" ca="1" si="21"/>
        <v>1</v>
      </c>
      <c r="D165" s="234">
        <f t="shared" ca="1" si="22"/>
        <v>1</v>
      </c>
      <c r="E165" s="234">
        <f t="shared" ca="1" si="4"/>
        <v>1</v>
      </c>
      <c r="F165" s="244"/>
      <c r="G165" s="245"/>
      <c r="H165" s="246" t="s">
        <v>246</v>
      </c>
      <c r="I165" s="247" t="str">
        <f t="shared" ca="1" si="5"/>
        <v>10.001.001.001</v>
      </c>
      <c r="J165" s="248" t="s">
        <v>459</v>
      </c>
      <c r="K165" s="249" t="s">
        <v>175</v>
      </c>
      <c r="L165" s="250">
        <v>1</v>
      </c>
      <c r="M165" s="250">
        <f>INTERFONIA!F22+PORTÕES!F17</f>
        <v>50366.351999999999</v>
      </c>
      <c r="N165" s="251">
        <f>IF(H165="Serviço",M165*L165,IF(H165="CÉLULA CONSTRUTIVA",SUMIFS($N$8:$N$352,$B$8:$B$352,B165,$H$8:$H$352,"Serviço"),IF(H165="ETAPA",SUMIFS($N$8:$N$352,$B$8:$B$352,B165,$C$8:$C$352,C165,$H$8:$H$352,"Serviço"),IF(H165="SUBETAPA",SUMIFS($N$8:$N$352,$B$8:$B$352,B165,$C$8:$C$352,C165,$D$8:$D$352,D165,$H$8:$H$352,"Serviço"),0))))</f>
        <v>50366.351999999999</v>
      </c>
      <c r="O165" s="252" t="s">
        <v>460</v>
      </c>
      <c r="P165" s="253" t="s">
        <v>366</v>
      </c>
      <c r="Q165" s="293"/>
    </row>
    <row r="166" spans="1:17" ht="13.5" hidden="1" customHeight="1" outlineLevel="2" x14ac:dyDescent="0.2">
      <c r="A166" s="233">
        <f t="shared" ca="1" si="19"/>
        <v>0</v>
      </c>
      <c r="B166" s="233">
        <f t="shared" ca="1" si="20"/>
        <v>10</v>
      </c>
      <c r="C166" s="233">
        <f t="shared" ca="1" si="21"/>
        <v>1</v>
      </c>
      <c r="D166" s="234">
        <f t="shared" ca="1" si="22"/>
        <v>1</v>
      </c>
      <c r="E166" s="234">
        <f t="shared" ca="1" si="4"/>
        <v>2</v>
      </c>
      <c r="F166" s="244"/>
      <c r="G166" s="245"/>
      <c r="H166" s="246" t="s">
        <v>246</v>
      </c>
      <c r="I166" s="247" t="str">
        <f t="shared" ca="1" si="5"/>
        <v>10.001.001.002</v>
      </c>
      <c r="J166" s="248" t="s">
        <v>461</v>
      </c>
      <c r="K166" s="249" t="s">
        <v>175</v>
      </c>
      <c r="L166" s="250">
        <v>1</v>
      </c>
      <c r="M166" s="250">
        <f>2*'Obra '!E9</f>
        <v>15344.08</v>
      </c>
      <c r="N166" s="251">
        <f>IF(H166="Serviço",M166*L166,IF(H166="CÉLULA CONSTRUTIVA",SUMIFS($N$8:$N$352,$B$8:$B$352,B166,$H$8:$H$352,"Serviço"),IF(H166="ETAPA",SUMIFS($N$8:$N$352,$B$8:$B$352,B166,$C$8:$C$352,C166,$H$8:$H$352,"Serviço"),IF(H166="SUBETAPA",SUMIFS($N$8:$N$352,$B$8:$B$352,B166,$C$8:$C$352,C166,$D$8:$D$352,D166,$H$8:$H$352,"Serviço"),0))))</f>
        <v>15344.08</v>
      </c>
      <c r="O166" s="252" t="s">
        <v>462</v>
      </c>
      <c r="P166" s="253" t="s">
        <v>366</v>
      </c>
      <c r="Q166" s="293"/>
    </row>
    <row r="167" spans="1:17" ht="13.5" hidden="1" customHeight="1" outlineLevel="2" x14ac:dyDescent="0.2">
      <c r="A167" s="233">
        <f t="shared" ca="1" si="19"/>
        <v>0</v>
      </c>
      <c r="B167" s="233">
        <f t="shared" ca="1" si="20"/>
        <v>10</v>
      </c>
      <c r="C167" s="233">
        <f t="shared" ca="1" si="21"/>
        <v>1</v>
      </c>
      <c r="D167" s="234">
        <f t="shared" ca="1" si="22"/>
        <v>1</v>
      </c>
      <c r="E167" s="234">
        <f t="shared" ca="1" si="4"/>
        <v>3</v>
      </c>
      <c r="F167" s="244"/>
      <c r="G167" s="245"/>
      <c r="H167" s="246" t="s">
        <v>246</v>
      </c>
      <c r="I167" s="247" t="str">
        <f t="shared" ca="1" si="5"/>
        <v>10.001.001.003</v>
      </c>
      <c r="J167" s="248" t="s">
        <v>463</v>
      </c>
      <c r="K167" s="249" t="s">
        <v>175</v>
      </c>
      <c r="L167" s="250">
        <v>1</v>
      </c>
      <c r="M167" s="250">
        <f>3*'Obra '!E9</f>
        <v>23016.12</v>
      </c>
      <c r="N167" s="251">
        <f>IF(H167="Serviço",M167*L167,IF(H167="CÉLULA CONSTRUTIVA",SUMIFS($N$8:$N$352,$B$8:$B$352,B167,$H$8:$H$352,"Serviço"),IF(H167="ETAPA",SUMIFS($N$8:$N$352,$B$8:$B$352,B167,$C$8:$C$352,C167,$H$8:$H$352,"Serviço"),IF(H167="SUBETAPA",SUMIFS($N$8:$N$352,$B$8:$B$352,B167,$C$8:$C$352,C167,$D$8:$D$352,D167,$H$8:$H$352,"Serviço"),0))))</f>
        <v>23016.12</v>
      </c>
      <c r="O167" s="252" t="s">
        <v>462</v>
      </c>
      <c r="P167" s="253" t="s">
        <v>366</v>
      </c>
      <c r="Q167" s="293"/>
    </row>
    <row r="168" spans="1:17" ht="13.5" hidden="1" customHeight="1" outlineLevel="2" x14ac:dyDescent="0.2">
      <c r="A168" s="233">
        <f t="shared" ca="1" si="19"/>
        <v>0</v>
      </c>
      <c r="B168" s="233">
        <f t="shared" ca="1" si="20"/>
        <v>10</v>
      </c>
      <c r="C168" s="233">
        <f t="shared" ca="1" si="21"/>
        <v>1</v>
      </c>
      <c r="D168" s="234">
        <f t="shared" ca="1" si="22"/>
        <v>1</v>
      </c>
      <c r="E168" s="234">
        <f t="shared" ca="1" si="4"/>
        <v>4</v>
      </c>
      <c r="F168" s="244"/>
      <c r="G168" s="245"/>
      <c r="H168" s="246" t="s">
        <v>246</v>
      </c>
      <c r="I168" s="247" t="str">
        <f t="shared" ca="1" si="5"/>
        <v>10.001.001.004</v>
      </c>
      <c r="J168" s="248" t="s">
        <v>464</v>
      </c>
      <c r="K168" s="249" t="s">
        <v>175</v>
      </c>
      <c r="L168" s="250">
        <v>1</v>
      </c>
      <c r="M168" s="250">
        <f>TELEFONECFTV!N7</f>
        <v>104911.24099999999</v>
      </c>
      <c r="N168" s="251">
        <f>IF(H168="Serviço",M168*L168,IF(H168="CÉLULA CONSTRUTIVA",SUMIFS($N$8:$N$352,$B$8:$B$352,B168,$H$8:$H$352,"Serviço"),IF(H168="ETAPA",SUMIFS($N$8:$N$352,$B$8:$B$352,B168,$C$8:$C$352,C168,$H$8:$H$352,"Serviço"),IF(H168="SUBETAPA",SUMIFS($N$8:$N$352,$B$8:$B$352,B168,$C$8:$C$352,C168,$D$8:$D$352,D168,$H$8:$H$352,"Serviço"),0))))</f>
        <v>104911.24099999999</v>
      </c>
      <c r="O168" s="252"/>
      <c r="P168" s="253" t="s">
        <v>366</v>
      </c>
      <c r="Q168" s="293"/>
    </row>
    <row r="169" spans="1:17" ht="13.5" customHeight="1" collapsed="1" x14ac:dyDescent="0.2">
      <c r="A169" s="233">
        <f t="shared" ca="1" si="19"/>
        <v>0</v>
      </c>
      <c r="B169" s="233">
        <f t="shared" ca="1" si="20"/>
        <v>11</v>
      </c>
      <c r="C169" s="233">
        <f t="shared" ca="1" si="21"/>
        <v>0</v>
      </c>
      <c r="D169" s="234">
        <f t="shared" ca="1" si="22"/>
        <v>1</v>
      </c>
      <c r="E169" s="234">
        <f t="shared" ca="1" si="4"/>
        <v>4</v>
      </c>
      <c r="F169" s="1012"/>
      <c r="G169" s="245"/>
      <c r="H169" s="246" t="s">
        <v>241</v>
      </c>
      <c r="I169" s="247" t="str">
        <f t="shared" ca="1" si="5"/>
        <v>11</v>
      </c>
      <c r="J169" s="248" t="s">
        <v>48</v>
      </c>
      <c r="K169" s="249"/>
      <c r="L169" s="250"/>
      <c r="M169" s="250"/>
      <c r="N169" s="251">
        <f ca="1">IF(H169="Serviço",M169*L169,IF(H169="CÉLULA CONSTRUTIVA",SUMIFS($N$8:$N$352,$B$8:$B$352,B169,$H$8:$H$352,"Serviço"),IF(H169="ETAPA",SUMIFS($N$8:$N$352,$B$8:$B$352,B169,$C$8:$C$352,C169,$H$8:$H$352,"Serviço"),IF(H169="SUBETAPA",SUMIFS($N$8:$N$352,$B$8:$B$352,B169,$C$8:$C$352,C169,$D$8:$D$352,D169,$H$8:$H$352,"Serviço"),0))))</f>
        <v>672002.26</v>
      </c>
      <c r="O169" s="252">
        <f ca="1">N169/'Obra '!$E$9</f>
        <v>87.591078774354671</v>
      </c>
      <c r="P169" s="253"/>
      <c r="Q169" s="293"/>
    </row>
    <row r="170" spans="1:17" ht="13.5" hidden="1" customHeight="1" outlineLevel="1" x14ac:dyDescent="0.2">
      <c r="A170" s="233">
        <f t="shared" ca="1" si="19"/>
        <v>0</v>
      </c>
      <c r="B170" s="233">
        <f t="shared" ca="1" si="20"/>
        <v>11</v>
      </c>
      <c r="C170" s="233">
        <f t="shared" ca="1" si="21"/>
        <v>1</v>
      </c>
      <c r="D170" s="234">
        <f t="shared" ca="1" si="22"/>
        <v>0</v>
      </c>
      <c r="E170" s="234">
        <f t="shared" ca="1" si="4"/>
        <v>4</v>
      </c>
      <c r="F170" s="244"/>
      <c r="G170" s="245"/>
      <c r="H170" s="246" t="s">
        <v>37</v>
      </c>
      <c r="I170" s="247" t="str">
        <f t="shared" ca="1" si="5"/>
        <v>11.001</v>
      </c>
      <c r="J170" s="248" t="s">
        <v>48</v>
      </c>
      <c r="K170" s="249"/>
      <c r="L170" s="250"/>
      <c r="M170" s="250"/>
      <c r="N170" s="251">
        <f ca="1">IF(H170="Serviço",M170*L170,IF(H170="CÉLULA CONSTRUTIVA",SUMIFS($N$8:$N$352,$B$8:$B$352,B170,$H$8:$H$352,"Serviço"),IF(H170="ETAPA",SUMIFS($N$8:$N$352,$B$8:$B$352,B170,$C$8:$C$352,C170,$H$8:$H$352,"Serviço"),IF(H170="SUBETAPA",SUMIFS($N$8:$N$352,$B$8:$B$352,B170,$C$8:$C$352,C170,$D$8:$D$352,D170,$H$8:$H$352,"Serviço"),0))))</f>
        <v>672002.26</v>
      </c>
      <c r="O170" s="252"/>
      <c r="P170" s="253"/>
      <c r="Q170" s="293"/>
    </row>
    <row r="171" spans="1:17" ht="13.5" hidden="1" customHeight="1" outlineLevel="1" x14ac:dyDescent="0.2">
      <c r="A171" s="233">
        <f t="shared" ca="1" si="19"/>
        <v>0</v>
      </c>
      <c r="B171" s="233">
        <f t="shared" ca="1" si="20"/>
        <v>11</v>
      </c>
      <c r="C171" s="233">
        <f t="shared" ca="1" si="21"/>
        <v>1</v>
      </c>
      <c r="D171" s="234">
        <f t="shared" ca="1" si="22"/>
        <v>1</v>
      </c>
      <c r="E171" s="234">
        <f t="shared" ca="1" si="4"/>
        <v>0</v>
      </c>
      <c r="F171" s="244"/>
      <c r="G171" s="245"/>
      <c r="H171" s="246" t="s">
        <v>244</v>
      </c>
      <c r="I171" s="247" t="str">
        <f t="shared" ca="1" si="5"/>
        <v>11.001.001</v>
      </c>
      <c r="J171" s="248" t="s">
        <v>465</v>
      </c>
      <c r="K171" s="249"/>
      <c r="L171" s="250"/>
      <c r="M171" s="250"/>
      <c r="N171" s="251">
        <f ca="1">IF(H171="Serviço",M171*L171,IF(H171="CÉLULA CONSTRUTIVA",SUMIFS($N$8:$N$352,$B$8:$B$352,B171,$H$8:$H$352,"Serviço"),IF(H171="ETAPA",SUMIFS($N$8:$N$352,$B$8:$B$352,B171,$C$8:$C$352,C171,$H$8:$H$352,"Serviço"),IF(H171="SUBETAPA",SUMIFS($N$8:$N$352,$B$8:$B$352,B171,$C$8:$C$352,C171,$D$8:$D$352,D171,$H$8:$H$352,"Serviço"),0))))</f>
        <v>62002.259999999995</v>
      </c>
      <c r="O171" s="252"/>
      <c r="P171" s="253"/>
      <c r="Q171" s="293"/>
    </row>
    <row r="172" spans="1:17" ht="13.5" hidden="1" customHeight="1" outlineLevel="2" x14ac:dyDescent="0.2">
      <c r="A172" s="233">
        <f t="shared" ca="1" si="19"/>
        <v>0</v>
      </c>
      <c r="B172" s="233">
        <f t="shared" ca="1" si="20"/>
        <v>11</v>
      </c>
      <c r="C172" s="233">
        <f t="shared" ca="1" si="21"/>
        <v>1</v>
      </c>
      <c r="D172" s="234">
        <f t="shared" ca="1" si="22"/>
        <v>1</v>
      </c>
      <c r="E172" s="234">
        <f t="shared" ca="1" si="4"/>
        <v>1</v>
      </c>
      <c r="F172" s="244"/>
      <c r="G172" s="245"/>
      <c r="H172" s="246" t="s">
        <v>246</v>
      </c>
      <c r="I172" s="247" t="str">
        <f t="shared" ca="1" si="5"/>
        <v>11.001.001.001</v>
      </c>
      <c r="J172" s="248" t="s">
        <v>466</v>
      </c>
      <c r="K172" s="249" t="s">
        <v>175</v>
      </c>
      <c r="L172" s="250">
        <v>1</v>
      </c>
      <c r="M172" s="250">
        <f>54505.47*2+55642.56-Q172-Q173*2</f>
        <v>59252.259999999995</v>
      </c>
      <c r="N172" s="251">
        <f>IF(H172="Serviço",M172*L172,IF(H172="CÉLULA CONSTRUTIVA",SUMIFS($N$8:$N$352,$B$8:$B$352,B172,$H$8:$H$352,"Serviço"),IF(H172="ETAPA",SUMIFS($N$8:$N$352,$B$8:$B$352,B172,$C$8:$C$352,C172,$H$8:$H$352,"Serviço"),IF(H172="SUBETAPA",SUMIFS($N$8:$N$352,$B$8:$B$352,B172,$C$8:$C$352,C172,$D$8:$D$352,D172,$H$8:$H$352,"Serviço"),0))))</f>
        <v>59252.259999999995</v>
      </c>
      <c r="O172" s="252"/>
      <c r="P172" s="253" t="s">
        <v>366</v>
      </c>
      <c r="Q172" s="293">
        <f>32214+1698.08+665+620</f>
        <v>35197.08</v>
      </c>
    </row>
    <row r="173" spans="1:17" ht="13.5" hidden="1" customHeight="1" outlineLevel="2" x14ac:dyDescent="0.2">
      <c r="A173" s="233">
        <f ca="1">IF($H173="UNIDADE CONSTRUTIVA",OFFSET(A173,-1,0)+1,LARGE(A$3:A172,1))</f>
        <v>0</v>
      </c>
      <c r="B173" s="233">
        <f t="shared" ca="1" si="20"/>
        <v>11</v>
      </c>
      <c r="C173" s="233">
        <f t="shared" ca="1" si="21"/>
        <v>1</v>
      </c>
      <c r="D173" s="234">
        <f t="shared" ca="1" si="22"/>
        <v>1</v>
      </c>
      <c r="E173" s="234">
        <f t="shared" ca="1" si="4"/>
        <v>2</v>
      </c>
      <c r="F173" s="244"/>
      <c r="G173" s="245"/>
      <c r="H173" s="246" t="s">
        <v>246</v>
      </c>
      <c r="I173" s="247" t="str">
        <f t="shared" ca="1" si="5"/>
        <v>11.001.001.002</v>
      </c>
      <c r="J173" s="248" t="s">
        <v>467</v>
      </c>
      <c r="K173" s="249" t="s">
        <v>88</v>
      </c>
      <c r="L173" s="250">
        <v>5</v>
      </c>
      <c r="M173" s="250">
        <v>550</v>
      </c>
      <c r="N173" s="251">
        <f>IF(H173="Serviço",M173*L173,IF(H173="CÉLULA CONSTRUTIVA",SUMIFS($N$8:$N$352,$B$8:$B$352,B173,$H$8:$H$352,"Serviço"),IF(H173="ETAPA",SUMIFS($N$8:$N$352,$B$8:$B$352,B173,$C$8:$C$352,C173,$H$8:$H$352,"Serviço"),IF(H173="SUBETAPA",SUMIFS($N$8:$N$352,$B$8:$B$352,B173,$C$8:$C$352,C173,$D$8:$D$352,D173,$H$8:$H$352,"Serviço"),0))))</f>
        <v>2750</v>
      </c>
      <c r="O173" s="252"/>
      <c r="P173" s="253" t="s">
        <v>366</v>
      </c>
      <c r="Q173" s="293">
        <f>32214+1698.08+570+620</f>
        <v>35102.080000000002</v>
      </c>
    </row>
    <row r="174" spans="1:17" ht="13.5" hidden="1" customHeight="1" outlineLevel="1" x14ac:dyDescent="0.2">
      <c r="A174" s="233">
        <f t="shared" ca="1" si="19"/>
        <v>0</v>
      </c>
      <c r="B174" s="233">
        <f t="shared" ca="1" si="20"/>
        <v>11</v>
      </c>
      <c r="C174" s="233">
        <f t="shared" ca="1" si="21"/>
        <v>1</v>
      </c>
      <c r="D174" s="234">
        <f t="shared" ca="1" si="22"/>
        <v>2</v>
      </c>
      <c r="E174" s="234">
        <f t="shared" ca="1" si="4"/>
        <v>0</v>
      </c>
      <c r="F174" s="244"/>
      <c r="G174" s="245"/>
      <c r="H174" s="246" t="s">
        <v>244</v>
      </c>
      <c r="I174" s="247" t="str">
        <f t="shared" ca="1" si="5"/>
        <v>11.001.002</v>
      </c>
      <c r="J174" s="248" t="s">
        <v>468</v>
      </c>
      <c r="K174" s="249"/>
      <c r="L174" s="250"/>
      <c r="M174" s="250"/>
      <c r="N174" s="251">
        <f ca="1">IF(H174="Serviço",M174*L174,IF(H174="CÉLULA CONSTRUTIVA",SUMIFS($N$8:$N$352,$B$8:$B$352,B174,$H$8:$H$352,"Serviço"),IF(H174="ETAPA",SUMIFS($N$8:$N$352,$B$8:$B$352,B174,$C$8:$C$352,C174,$H$8:$H$352,"Serviço"),IF(H174="SUBETAPA",SUMIFS($N$8:$N$352,$B$8:$B$352,B174,$C$8:$C$352,C174,$D$8:$D$352,D174,$H$8:$H$352,"Serviço"),0))))</f>
        <v>610000</v>
      </c>
      <c r="O174" s="252"/>
      <c r="P174" s="253"/>
      <c r="Q174" s="293"/>
    </row>
    <row r="175" spans="1:17" ht="13.5" hidden="1" customHeight="1" outlineLevel="2" x14ac:dyDescent="0.2">
      <c r="A175" s="233">
        <f t="shared" ca="1" si="19"/>
        <v>0</v>
      </c>
      <c r="B175" s="233">
        <f t="shared" ca="1" si="20"/>
        <v>11</v>
      </c>
      <c r="C175" s="233">
        <f t="shared" ca="1" si="21"/>
        <v>1</v>
      </c>
      <c r="D175" s="234">
        <f t="shared" ca="1" si="22"/>
        <v>2</v>
      </c>
      <c r="E175" s="234">
        <f t="shared" ca="1" si="4"/>
        <v>1</v>
      </c>
      <c r="F175" s="244"/>
      <c r="G175" s="245"/>
      <c r="H175" s="246" t="s">
        <v>246</v>
      </c>
      <c r="I175" s="247" t="str">
        <f t="shared" ca="1" si="5"/>
        <v>11.001.002.001</v>
      </c>
      <c r="J175" s="248" t="s">
        <v>468</v>
      </c>
      <c r="K175" s="249" t="s">
        <v>88</v>
      </c>
      <c r="L175" s="250">
        <v>2</v>
      </c>
      <c r="M175" s="250">
        <f>610000/2</f>
        <v>305000</v>
      </c>
      <c r="N175" s="251">
        <f>IF(H175="Serviço",M175*L175,IF(H175="CÉLULA CONSTRUTIVA",SUMIFS($N$8:$N$352,$B$8:$B$352,B175,$H$8:$H$352,"Serviço"),IF(H175="ETAPA",SUMIFS($N$8:$N$352,$B$8:$B$352,B175,$C$8:$C$352,C175,$H$8:$H$352,"Serviço"),IF(H175="SUBETAPA",SUMIFS($N$8:$N$352,$B$8:$B$352,B175,$C$8:$C$352,C175,$D$8:$D$352,D175,$H$8:$H$352,"Serviço"),0))))</f>
        <v>610000</v>
      </c>
      <c r="O175" s="252"/>
      <c r="P175" s="253" t="s">
        <v>366</v>
      </c>
      <c r="Q175" s="293"/>
    </row>
    <row r="176" spans="1:17" ht="13.5" customHeight="1" collapsed="1" x14ac:dyDescent="0.2">
      <c r="A176" s="233">
        <f t="shared" ca="1" si="19"/>
        <v>0</v>
      </c>
      <c r="B176" s="233">
        <f t="shared" ca="1" si="20"/>
        <v>12</v>
      </c>
      <c r="C176" s="233">
        <f t="shared" ca="1" si="21"/>
        <v>0</v>
      </c>
      <c r="D176" s="234">
        <f t="shared" ca="1" si="22"/>
        <v>2</v>
      </c>
      <c r="E176" s="234">
        <f t="shared" ca="1" si="4"/>
        <v>1</v>
      </c>
      <c r="F176" s="1012"/>
      <c r="G176" s="245"/>
      <c r="H176" s="246" t="s">
        <v>241</v>
      </c>
      <c r="I176" s="247" t="str">
        <f t="shared" ca="1" si="5"/>
        <v>12</v>
      </c>
      <c r="J176" s="248" t="s">
        <v>49</v>
      </c>
      <c r="K176" s="249"/>
      <c r="L176" s="250"/>
      <c r="M176" s="250"/>
      <c r="N176" s="251">
        <f ca="1">IF(H176="Serviço",M176*L176,IF(H176="CÉLULA CONSTRUTIVA",SUMIFS($N$8:$N$352,$B$8:$B$352,B176,$H$8:$H$352,"Serviço"),IF(H176="ETAPA",SUMIFS($N$8:$N$352,$B$8:$B$352,B176,$C$8:$C$352,C176,$H$8:$H$352,"Serviço"),IF(H176="SUBETAPA",SUMIFS($N$8:$N$352,$B$8:$B$352,B176,$C$8:$C$352,C176,$D$8:$D$352,D176,$H$8:$H$352,"Serviço"),0))))</f>
        <v>229561</v>
      </c>
      <c r="O176" s="252">
        <f ca="1">N176/'Obra '!$E$9</f>
        <v>29.921767873994401</v>
      </c>
      <c r="P176" s="253"/>
      <c r="Q176" s="293"/>
    </row>
    <row r="177" spans="1:17" ht="13.5" hidden="1" customHeight="1" outlineLevel="1" x14ac:dyDescent="0.2">
      <c r="A177" s="233">
        <f t="shared" ca="1" si="19"/>
        <v>0</v>
      </c>
      <c r="B177" s="233">
        <f t="shared" ca="1" si="20"/>
        <v>12</v>
      </c>
      <c r="C177" s="233">
        <f t="shared" ca="1" si="21"/>
        <v>1</v>
      </c>
      <c r="D177" s="234">
        <f t="shared" ca="1" si="22"/>
        <v>0</v>
      </c>
      <c r="E177" s="234">
        <f t="shared" ca="1" si="4"/>
        <v>1</v>
      </c>
      <c r="F177" s="1012"/>
      <c r="G177" s="245"/>
      <c r="H177" s="246" t="s">
        <v>37</v>
      </c>
      <c r="I177" s="247" t="str">
        <f t="shared" ca="1" si="5"/>
        <v>12.001</v>
      </c>
      <c r="J177" s="248" t="s">
        <v>49</v>
      </c>
      <c r="K177" s="249"/>
      <c r="L177" s="250"/>
      <c r="M177" s="250"/>
      <c r="N177" s="251">
        <f ca="1">IF(H177="Serviço",M177*L177,IF(H177="CÉLULA CONSTRUTIVA",SUMIFS($N$8:$N$352,$B$8:$B$352,B177,$H$8:$H$352,"Serviço"),IF(H177="ETAPA",SUMIFS($N$8:$N$352,$B$8:$B$352,B177,$C$8:$C$352,C177,$H$8:$H$352,"Serviço"),IF(H177="SUBETAPA",SUMIFS($N$8:$N$352,$B$8:$B$352,B177,$C$8:$C$352,C177,$D$8:$D$352,D177,$H$8:$H$352,"Serviço"),0))))</f>
        <v>229561</v>
      </c>
      <c r="O177" s="252"/>
      <c r="P177" s="253"/>
      <c r="Q177" s="293"/>
    </row>
    <row r="178" spans="1:17" ht="13.5" hidden="1" customHeight="1" outlineLevel="1" x14ac:dyDescent="0.2">
      <c r="A178" s="233">
        <f t="shared" ca="1" si="19"/>
        <v>0</v>
      </c>
      <c r="B178" s="233">
        <f t="shared" ca="1" si="20"/>
        <v>12</v>
      </c>
      <c r="C178" s="233">
        <f t="shared" ca="1" si="21"/>
        <v>1</v>
      </c>
      <c r="D178" s="234">
        <f t="shared" ca="1" si="22"/>
        <v>1</v>
      </c>
      <c r="E178" s="234">
        <f t="shared" ca="1" si="4"/>
        <v>0</v>
      </c>
      <c r="F178" s="1012"/>
      <c r="G178" s="245"/>
      <c r="H178" s="246" t="s">
        <v>244</v>
      </c>
      <c r="I178" s="247" t="str">
        <f t="shared" ca="1" si="5"/>
        <v>12.001.001</v>
      </c>
      <c r="J178" s="248" t="s">
        <v>469</v>
      </c>
      <c r="K178" s="249"/>
      <c r="L178" s="250"/>
      <c r="M178" s="250"/>
      <c r="N178" s="251">
        <f ca="1">IF(H178="Serviço",M178*L178,IF(H178="CÉLULA CONSTRUTIVA",SUMIFS($N$8:$N$352,$B$8:$B$352,B178,$H$8:$H$352,"Serviço"),IF(H178="ETAPA",SUMIFS($N$8:$N$352,$B$8:$B$352,B178,$C$8:$C$352,C178,$H$8:$H$352,"Serviço"),IF(H178="SUBETAPA",SUMIFS($N$8:$N$352,$B$8:$B$352,B178,$C$8:$C$352,C178,$D$8:$D$352,D178,$H$8:$H$352,"Serviço"),0))))</f>
        <v>212761</v>
      </c>
      <c r="O178" s="252"/>
      <c r="P178" s="253"/>
      <c r="Q178" s="293"/>
    </row>
    <row r="179" spans="1:17" ht="13.5" hidden="1" customHeight="1" outlineLevel="2" x14ac:dyDescent="0.2">
      <c r="A179" s="233">
        <f t="shared" ca="1" si="19"/>
        <v>0</v>
      </c>
      <c r="B179" s="233">
        <f t="shared" ca="1" si="20"/>
        <v>12</v>
      </c>
      <c r="C179" s="233">
        <f t="shared" ca="1" si="21"/>
        <v>1</v>
      </c>
      <c r="D179" s="234">
        <f t="shared" ca="1" si="22"/>
        <v>1</v>
      </c>
      <c r="E179" s="234">
        <f t="shared" ca="1" si="4"/>
        <v>1</v>
      </c>
      <c r="F179" s="244"/>
      <c r="G179" s="245"/>
      <c r="H179" s="246" t="s">
        <v>246</v>
      </c>
      <c r="I179" s="247" t="str">
        <f t="shared" ca="1" si="5"/>
        <v>12.001.001.001</v>
      </c>
      <c r="J179" s="248" t="s">
        <v>470</v>
      </c>
      <c r="K179" s="249" t="s">
        <v>88</v>
      </c>
      <c r="L179" s="250">
        <f>SUM(CLIMATIZAÇÃO!E8:E11)</f>
        <v>125</v>
      </c>
      <c r="M179" s="250">
        <v>1200</v>
      </c>
      <c r="N179" s="251">
        <f>IF(H179="Serviço",M179*L179,IF(H179="CÉLULA CONSTRUTIVA",SUMIFS($N$8:$N$352,$B$8:$B$352,B179,$H$8:$H$352,"Serviço"),IF(H179="ETAPA",SUMIFS($N$8:$N$352,$B$8:$B$352,B179,$C$8:$C$352,C179,$H$8:$H$352,"Serviço"),IF(H179="SUBETAPA",SUMIFS($N$8:$N$352,$B$8:$B$352,B179,$C$8:$C$352,C179,$D$8:$D$352,D179,$H$8:$H$352,"Serviço"),0))))</f>
        <v>150000</v>
      </c>
      <c r="O179" s="252"/>
      <c r="P179" s="253" t="s">
        <v>366</v>
      </c>
      <c r="Q179" s="293"/>
    </row>
    <row r="180" spans="1:17" ht="13.5" hidden="1" customHeight="1" outlineLevel="2" x14ac:dyDescent="0.2">
      <c r="A180" s="233">
        <f t="shared" ca="1" si="19"/>
        <v>0</v>
      </c>
      <c r="B180" s="233">
        <f t="shared" ca="1" si="20"/>
        <v>12</v>
      </c>
      <c r="C180" s="233">
        <f t="shared" ca="1" si="21"/>
        <v>1</v>
      </c>
      <c r="D180" s="234">
        <f t="shared" ca="1" si="22"/>
        <v>1</v>
      </c>
      <c r="E180" s="234">
        <f t="shared" ca="1" si="4"/>
        <v>2</v>
      </c>
      <c r="F180" s="1012"/>
      <c r="G180" s="245"/>
      <c r="H180" s="246" t="s">
        <v>246</v>
      </c>
      <c r="I180" s="247" t="str">
        <f t="shared" ca="1" si="5"/>
        <v>12.001.001.002</v>
      </c>
      <c r="J180" s="248" t="s">
        <v>471</v>
      </c>
      <c r="K180" s="249" t="s">
        <v>175</v>
      </c>
      <c r="L180" s="250">
        <v>1</v>
      </c>
      <c r="M180" s="250">
        <f>CLIMATIZAÇÃO!N7</f>
        <v>58711</v>
      </c>
      <c r="N180" s="251">
        <f>IF(H180="Serviço",M180*L180,IF(H180="CÉLULA CONSTRUTIVA",SUMIFS($N$8:$N$352,$B$8:$B$352,B180,$H$8:$H$352,"Serviço"),IF(H180="ETAPA",SUMIFS($N$8:$N$352,$B$8:$B$352,B180,$C$8:$C$352,C180,$H$8:$H$352,"Serviço"),IF(H180="SUBETAPA",SUMIFS($N$8:$N$352,$B$8:$B$352,B180,$C$8:$C$352,C180,$D$8:$D$352,D180,$H$8:$H$352,"Serviço"),0))))</f>
        <v>58711</v>
      </c>
      <c r="O180" s="252"/>
      <c r="P180" s="253" t="s">
        <v>366</v>
      </c>
      <c r="Q180" s="293"/>
    </row>
    <row r="181" spans="1:17" ht="13.5" hidden="1" customHeight="1" outlineLevel="2" x14ac:dyDescent="0.2">
      <c r="A181" s="233">
        <f t="shared" ca="1" si="19"/>
        <v>0</v>
      </c>
      <c r="B181" s="233">
        <f t="shared" ca="1" si="20"/>
        <v>12</v>
      </c>
      <c r="C181" s="233">
        <f t="shared" ca="1" si="21"/>
        <v>1</v>
      </c>
      <c r="D181" s="234">
        <f t="shared" ref="D181" ca="1" si="23">IF(H181="ETAPA",0,IF(H181="SUBETAPA",OFFSET(D181,-1,0)+1,OFFSET(D181,-1,0)))</f>
        <v>1</v>
      </c>
      <c r="E181" s="234">
        <f t="shared" ref="E181" ca="1" si="24">IF(H181="Subetapa",0,IF(H181="serviço",OFFSET(E181,-1,0)+1,OFFSET(E181,-1,0)))</f>
        <v>3</v>
      </c>
      <c r="F181" s="1012"/>
      <c r="G181" s="245"/>
      <c r="H181" s="246" t="s">
        <v>246</v>
      </c>
      <c r="I181" s="247" t="str">
        <f t="shared" ref="I181" ca="1" si="25">IF(H181="Unidade Construtiva",TEXT(A181,"00"),IF(H181="Célula Construtiva",TEXT(B181,"00"),IF(H181="Etapa",CONCATENATE(TEXT(B181,"00"),".",TEXT(C181,"000")),IF(H181="Subetapa",CONCATENATE(TEXT(B181,"00"),".",TEXT(C181,"000"),".",TEXT(D181,"000")),IF(H181="Serviço",CONCATENATE(TEXT(B181,"00"),".",TEXT(C181,"000"),".",TEXT(D181,"000"),".",TEXT(E181,"000")),"")))))</f>
        <v>12.001.001.003</v>
      </c>
      <c r="J181" s="248" t="s">
        <v>5084</v>
      </c>
      <c r="K181" s="249" t="s">
        <v>175</v>
      </c>
      <c r="L181" s="250">
        <f>SUM(CLIMATIZAÇÃO!E12:E16)</f>
        <v>9</v>
      </c>
      <c r="M181" s="250">
        <v>450</v>
      </c>
      <c r="N181" s="251">
        <f>IF(H181="Serviço",M181*L181,IF(H181="CÉLULA CONSTRUTIVA",SUMIFS($N$8:$N$352,$B$8:$B$352,B181,$H$8:$H$352,"Serviço"),IF(H181="ETAPA",SUMIFS($N$8:$N$352,$B$8:$B$352,B181,$C$8:$C$352,C181,$H$8:$H$352,"Serviço"),IF(H181="SUBETAPA",SUMIFS($N$8:$N$352,$B$8:$B$352,B181,$C$8:$C$352,C181,$D$8:$D$352,D181,$H$8:$H$352,"Serviço"),0))))</f>
        <v>4050</v>
      </c>
      <c r="O181" s="252"/>
      <c r="P181" s="253" t="s">
        <v>366</v>
      </c>
      <c r="Q181" s="293"/>
    </row>
    <row r="182" spans="1:17" ht="13.5" hidden="1" customHeight="1" outlineLevel="1" x14ac:dyDescent="0.2">
      <c r="A182" s="233">
        <f t="shared" ca="1" si="19"/>
        <v>0</v>
      </c>
      <c r="B182" s="233">
        <f t="shared" ca="1" si="20"/>
        <v>12</v>
      </c>
      <c r="C182" s="233">
        <f t="shared" ca="1" si="21"/>
        <v>1</v>
      </c>
      <c r="D182" s="234">
        <f t="shared" ca="1" si="22"/>
        <v>2</v>
      </c>
      <c r="E182" s="234">
        <f t="shared" ca="1" si="4"/>
        <v>0</v>
      </c>
      <c r="F182" s="1012"/>
      <c r="G182" s="245"/>
      <c r="H182" s="246" t="s">
        <v>244</v>
      </c>
      <c r="I182" s="247" t="str">
        <f t="shared" ca="1" si="5"/>
        <v>12.001.002</v>
      </c>
      <c r="J182" s="248" t="s">
        <v>472</v>
      </c>
      <c r="K182" s="249"/>
      <c r="L182" s="250"/>
      <c r="M182" s="250"/>
      <c r="N182" s="251">
        <f ca="1">IF(H182="Serviço",M182*L182,IF(H182="CÉLULA CONSTRUTIVA",SUMIFS($N$8:$N$352,$B$8:$B$352,B182,$H$8:$H$352,"Serviço"),IF(H182="ETAPA",SUMIFS($N$8:$N$352,$B$8:$B$352,B182,$C$8:$C$352,C182,$H$8:$H$352,"Serviço"),IF(H182="SUBETAPA",SUMIFS($N$8:$N$352,$B$8:$B$352,B182,$C$8:$C$352,C182,$D$8:$D$352,D182,$H$8:$H$352,"Serviço"),0))))</f>
        <v>16800</v>
      </c>
      <c r="O182" s="252"/>
      <c r="P182" s="253"/>
      <c r="Q182" s="293"/>
    </row>
    <row r="183" spans="1:17" ht="13.5" hidden="1" customHeight="1" outlineLevel="2" x14ac:dyDescent="0.2">
      <c r="A183" s="233">
        <f t="shared" ca="1" si="19"/>
        <v>0</v>
      </c>
      <c r="B183" s="233">
        <f t="shared" ca="1" si="20"/>
        <v>12</v>
      </c>
      <c r="C183" s="233">
        <f t="shared" ca="1" si="21"/>
        <v>1</v>
      </c>
      <c r="D183" s="234">
        <f t="shared" ca="1" si="22"/>
        <v>2</v>
      </c>
      <c r="E183" s="234">
        <f t="shared" ca="1" si="4"/>
        <v>1</v>
      </c>
      <c r="F183" s="1012"/>
      <c r="G183" s="245"/>
      <c r="H183" s="246" t="s">
        <v>246</v>
      </c>
      <c r="I183" s="247" t="str">
        <f t="shared" ca="1" si="5"/>
        <v>12.001.002.001</v>
      </c>
      <c r="J183" s="248" t="s">
        <v>473</v>
      </c>
      <c r="K183" s="249" t="s">
        <v>88</v>
      </c>
      <c r="L183" s="250">
        <f>SUM(CLIMATIZAÇÃO!E18)</f>
        <v>48</v>
      </c>
      <c r="M183" s="250">
        <v>350</v>
      </c>
      <c r="N183" s="251">
        <f>IF(H183="Serviço",M183*L183,IF(H183="CÉLULA CONSTRUTIVA",SUMIFS($N$8:$N$352,$B$8:$B$352,B183,$H$8:$H$352,"Serviço"),IF(H183="ETAPA",SUMIFS($N$8:$N$352,$B$8:$B$352,B183,$C$8:$C$352,C183,$H$8:$H$352,"Serviço"),IF(H183="SUBETAPA",SUMIFS($N$8:$N$352,$B$8:$B$352,B183,$C$8:$C$352,C183,$D$8:$D$352,D183,$H$8:$H$352,"Serviço"),0))))</f>
        <v>16800</v>
      </c>
      <c r="O183" s="252"/>
      <c r="P183" s="253" t="s">
        <v>366</v>
      </c>
      <c r="Q183" s="293"/>
    </row>
    <row r="184" spans="1:17" ht="13.5" customHeight="1" collapsed="1" x14ac:dyDescent="0.2">
      <c r="A184" s="233">
        <f t="shared" ca="1" si="19"/>
        <v>0</v>
      </c>
      <c r="B184" s="233">
        <f t="shared" ca="1" si="20"/>
        <v>13</v>
      </c>
      <c r="C184" s="233">
        <f t="shared" ca="1" si="21"/>
        <v>0</v>
      </c>
      <c r="D184" s="234">
        <f t="shared" ca="1" si="22"/>
        <v>2</v>
      </c>
      <c r="E184" s="234">
        <f t="shared" ca="1" si="4"/>
        <v>1</v>
      </c>
      <c r="F184" s="1012"/>
      <c r="G184" s="245"/>
      <c r="H184" s="246" t="s">
        <v>241</v>
      </c>
      <c r="I184" s="247" t="str">
        <f t="shared" ca="1" si="5"/>
        <v>13</v>
      </c>
      <c r="J184" s="248" t="s">
        <v>50</v>
      </c>
      <c r="K184" s="249"/>
      <c r="L184" s="250"/>
      <c r="M184" s="250"/>
      <c r="N184" s="251">
        <f ca="1">IF(H184="Serviço",M184*L184,IF(H184="CÉLULA CONSTRUTIVA",SUMIFS($N$8:$N$352,$B$8:$B$352,B184,$H$8:$H$352,"Serviço"),IF(H184="ETAPA",SUMIFS($N$8:$N$352,$B$8:$B$352,B184,$C$8:$C$352,C184,$H$8:$H$352,"Serviço"),IF(H184="SUBETAPA",SUMIFS($N$8:$N$352,$B$8:$B$352,B184,$C$8:$C$352,C184,$D$8:$D$352,D184,$H$8:$H$352,"Serviço"),0))))</f>
        <v>1510715.4557557104</v>
      </c>
      <c r="O184" s="252"/>
      <c r="P184" s="253"/>
      <c r="Q184" s="293"/>
    </row>
    <row r="185" spans="1:17" ht="13.5" hidden="1" customHeight="1" outlineLevel="1" x14ac:dyDescent="0.2">
      <c r="A185" s="233">
        <f t="shared" ca="1" si="19"/>
        <v>0</v>
      </c>
      <c r="B185" s="233">
        <f t="shared" ca="1" si="20"/>
        <v>13</v>
      </c>
      <c r="C185" s="233">
        <f t="shared" ca="1" si="21"/>
        <v>1</v>
      </c>
      <c r="D185" s="234">
        <f t="shared" ca="1" si="22"/>
        <v>0</v>
      </c>
      <c r="E185" s="234">
        <f t="shared" ca="1" si="4"/>
        <v>1</v>
      </c>
      <c r="F185" s="244"/>
      <c r="G185" s="245"/>
      <c r="H185" s="246" t="s">
        <v>37</v>
      </c>
      <c r="I185" s="247" t="str">
        <f t="shared" ca="1" si="5"/>
        <v>13.001</v>
      </c>
      <c r="J185" s="248" t="s">
        <v>474</v>
      </c>
      <c r="K185" s="249"/>
      <c r="L185" s="250"/>
      <c r="M185" s="250"/>
      <c r="N185" s="251">
        <f ca="1">IF(H185="Serviço",M185*L185,IF(H185="CÉLULA CONSTRUTIVA",SUMIFS($N$8:$N$352,$B$8:$B$352,B185,$H$8:$H$352,"Serviço"),IF(H185="ETAPA",SUMIFS($N$8:$N$352,$B$8:$B$352,B185,$C$8:$C$352,C185,$H$8:$H$352,"Serviço"),IF(H185="SUBETAPA",SUMIFS($N$8:$N$352,$B$8:$B$352,B185,$C$8:$C$352,C185,$D$8:$D$352,D185,$H$8:$H$352,"Serviço"),0))))</f>
        <v>1510715.4557557104</v>
      </c>
      <c r="O185" s="252"/>
      <c r="P185" s="253"/>
      <c r="Q185" s="293"/>
    </row>
    <row r="186" spans="1:17" ht="13.5" hidden="1" customHeight="1" outlineLevel="1" x14ac:dyDescent="0.2">
      <c r="A186" s="233">
        <f t="shared" ca="1" si="19"/>
        <v>0</v>
      </c>
      <c r="B186" s="233">
        <f t="shared" ca="1" si="20"/>
        <v>13</v>
      </c>
      <c r="C186" s="233">
        <f t="shared" ca="1" si="21"/>
        <v>1</v>
      </c>
      <c r="D186" s="234">
        <f t="shared" ca="1" si="22"/>
        <v>1</v>
      </c>
      <c r="E186" s="234">
        <f t="shared" ca="1" si="4"/>
        <v>0</v>
      </c>
      <c r="F186" s="244"/>
      <c r="G186" s="245"/>
      <c r="H186" s="246" t="s">
        <v>244</v>
      </c>
      <c r="I186" s="247" t="str">
        <f t="shared" ca="1" si="5"/>
        <v>13.001.001</v>
      </c>
      <c r="J186" s="248" t="s">
        <v>475</v>
      </c>
      <c r="K186" s="249"/>
      <c r="L186" s="250"/>
      <c r="M186" s="250"/>
      <c r="N186" s="251">
        <f ca="1">IF(H186="Serviço",M186*L186,IF(H186="CÉLULA CONSTRUTIVA",SUMIFS($N$8:$N$352,$B$8:$B$352,B186,$H$8:$H$352,"Serviço"),IF(H186="ETAPA",SUMIFS($N$8:$N$352,$B$8:$B$352,B186,$C$8:$C$352,C186,$H$8:$H$352,"Serviço"),IF(H186="SUBETAPA",SUMIFS($N$8:$N$352,$B$8:$B$352,B186,$C$8:$C$352,C186,$D$8:$D$352,D186,$H$8:$H$352,"Serviço"),0))))</f>
        <v>324178.04611571057</v>
      </c>
      <c r="O186" s="252"/>
      <c r="P186" s="253"/>
      <c r="Q186" s="293"/>
    </row>
    <row r="187" spans="1:17" ht="13.5" hidden="1" customHeight="1" outlineLevel="2" x14ac:dyDescent="0.2">
      <c r="A187" s="233">
        <f t="shared" ca="1" si="19"/>
        <v>0</v>
      </c>
      <c r="B187" s="233">
        <f t="shared" ca="1" si="20"/>
        <v>13</v>
      </c>
      <c r="C187" s="233">
        <f t="shared" ca="1" si="21"/>
        <v>1</v>
      </c>
      <c r="D187" s="234">
        <f t="shared" ca="1" si="22"/>
        <v>1</v>
      </c>
      <c r="E187" s="234">
        <f t="shared" ca="1" si="4"/>
        <v>1</v>
      </c>
      <c r="F187" s="244"/>
      <c r="G187" s="245"/>
      <c r="H187" s="246" t="s">
        <v>246</v>
      </c>
      <c r="I187" s="247" t="str">
        <f t="shared" ca="1" si="5"/>
        <v>13.001.001.001</v>
      </c>
      <c r="J187" s="299" t="s">
        <v>476</v>
      </c>
      <c r="K187" s="249" t="s">
        <v>92</v>
      </c>
      <c r="L187" s="250">
        <f>Arquitetura!I286</f>
        <v>2736.9100000000008</v>
      </c>
      <c r="M187" s="250">
        <f>IFERROR(VLOOKUP(J187,CPU!$D$2:$H$327,5,FALSE),0)</f>
        <v>7.1999999999999993</v>
      </c>
      <c r="N187" s="251">
        <f>IF(H187="Serviço",M187*L187,IF(H187="CÉLULA CONSTRUTIVA",SUMIFS($N$8:$N$352,$B$8:$B$352,B187,$H$8:$H$352,"Serviço"),IF(H187="ETAPA",SUMIFS($N$8:$N$352,$B$8:$B$352,B187,$C$8:$C$352,C187,$H$8:$H$352,"Serviço"),IF(H187="SUBETAPA",SUMIFS($N$8:$N$352,$B$8:$B$352,B187,$C$8:$C$352,C187,$D$8:$D$352,D187,$H$8:$H$352,"Serviço"),0))))</f>
        <v>19705.752000000004</v>
      </c>
      <c r="O187" s="252"/>
      <c r="P187" s="253" t="s">
        <v>366</v>
      </c>
      <c r="Q187" s="293"/>
    </row>
    <row r="188" spans="1:17" ht="13.5" hidden="1" customHeight="1" outlineLevel="2" x14ac:dyDescent="0.2">
      <c r="A188" s="233">
        <f t="shared" ca="1" si="19"/>
        <v>0</v>
      </c>
      <c r="B188" s="233">
        <f t="shared" ca="1" si="20"/>
        <v>13</v>
      </c>
      <c r="C188" s="233">
        <f t="shared" ca="1" si="21"/>
        <v>1</v>
      </c>
      <c r="D188" s="234">
        <f t="shared" ca="1" si="22"/>
        <v>1</v>
      </c>
      <c r="E188" s="234">
        <f t="shared" ca="1" si="4"/>
        <v>2</v>
      </c>
      <c r="F188" s="244"/>
      <c r="G188" s="245"/>
      <c r="H188" s="246" t="s">
        <v>246</v>
      </c>
      <c r="I188" s="247" t="str">
        <f t="shared" ca="1" si="5"/>
        <v>13.001.001.002</v>
      </c>
      <c r="J188" s="299" t="s">
        <v>477</v>
      </c>
      <c r="K188" s="249" t="s">
        <v>92</v>
      </c>
      <c r="L188" s="250">
        <f>Arquitetura!I285</f>
        <v>12091.920000000002</v>
      </c>
      <c r="M188" s="250">
        <f>IFERROR(VLOOKUP(J188,CPU!$D$2:$H$327,5,FALSE),0)</f>
        <v>7.4998500000000003</v>
      </c>
      <c r="N188" s="251">
        <f>IF(H188="Serviço",M188*L188,IF(H188="CÉLULA CONSTRUTIVA",SUMIFS($N$8:$N$352,$B$8:$B$352,B188,$H$8:$H$352,"Serviço"),IF(H188="ETAPA",SUMIFS($N$8:$N$352,$B$8:$B$352,B188,$C$8:$C$352,C188,$H$8:$H$352,"Serviço"),IF(H188="SUBETAPA",SUMIFS($N$8:$N$352,$B$8:$B$352,B188,$C$8:$C$352,C188,$D$8:$D$352,D188,$H$8:$H$352,"Serviço"),0))))</f>
        <v>90687.586212000024</v>
      </c>
      <c r="O188" s="252"/>
      <c r="P188" s="253" t="s">
        <v>366</v>
      </c>
      <c r="Q188" s="293"/>
    </row>
    <row r="189" spans="1:17" ht="13.5" hidden="1" customHeight="1" outlineLevel="2" x14ac:dyDescent="0.2">
      <c r="A189" s="233">
        <f t="shared" ca="1" si="19"/>
        <v>0</v>
      </c>
      <c r="B189" s="233">
        <f t="shared" ca="1" si="20"/>
        <v>13</v>
      </c>
      <c r="C189" s="233">
        <f t="shared" ca="1" si="21"/>
        <v>1</v>
      </c>
      <c r="D189" s="234">
        <f t="shared" ca="1" si="22"/>
        <v>1</v>
      </c>
      <c r="E189" s="234">
        <f t="shared" ca="1" si="4"/>
        <v>3</v>
      </c>
      <c r="F189" s="244"/>
      <c r="G189" s="245"/>
      <c r="H189" s="246" t="s">
        <v>246</v>
      </c>
      <c r="I189" s="247" t="str">
        <f t="shared" ca="1" si="5"/>
        <v>13.001.001.003</v>
      </c>
      <c r="J189" s="971" t="s">
        <v>5093</v>
      </c>
      <c r="K189" s="249" t="s">
        <v>92</v>
      </c>
      <c r="L189" s="250">
        <f>Arquitetura!I289+Arquitetura!I288</f>
        <v>14828.830000000002</v>
      </c>
      <c r="M189" s="250">
        <f>IFERROR(VLOOKUP(J189,CPU!$D$2:$H$327,5,FALSE),0)</f>
        <v>13.475000000000001</v>
      </c>
      <c r="N189" s="251">
        <f>IF(H189="Serviço",M189*L189,IF(H189="CÉLULA CONSTRUTIVA",SUMIFS($N$8:$N$352,$B$8:$B$352,B189,$H$8:$H$352,"Serviço"),IF(H189="ETAPA",SUMIFS($N$8:$N$352,$B$8:$B$352,B189,$C$8:$C$352,C189,$H$8:$H$352,"Serviço"),IF(H189="SUBETAPA",SUMIFS($N$8:$N$352,$B$8:$B$352,B189,$C$8:$C$352,C189,$D$8:$D$352,D189,$H$8:$H$352,"Serviço"),0))))</f>
        <v>199818.48425000004</v>
      </c>
      <c r="O189" s="252"/>
      <c r="P189" s="253" t="s">
        <v>366</v>
      </c>
      <c r="Q189" s="293"/>
    </row>
    <row r="190" spans="1:17" ht="13.5" hidden="1" customHeight="1" outlineLevel="2" x14ac:dyDescent="0.2">
      <c r="A190" s="233">
        <f t="shared" ca="1" si="19"/>
        <v>0</v>
      </c>
      <c r="B190" s="233">
        <f t="shared" ca="1" si="20"/>
        <v>13</v>
      </c>
      <c r="C190" s="233">
        <f t="shared" ca="1" si="21"/>
        <v>1</v>
      </c>
      <c r="D190" s="234">
        <f t="shared" ca="1" si="22"/>
        <v>1</v>
      </c>
      <c r="E190" s="234">
        <f t="shared" ca="1" si="4"/>
        <v>4</v>
      </c>
      <c r="F190" s="244"/>
      <c r="G190" s="245"/>
      <c r="H190" s="246" t="s">
        <v>246</v>
      </c>
      <c r="I190" s="247" t="str">
        <f t="shared" ca="1" si="5"/>
        <v>13.001.001.004</v>
      </c>
      <c r="J190" s="248" t="s">
        <v>478</v>
      </c>
      <c r="K190" s="249" t="s">
        <v>92</v>
      </c>
      <c r="L190" s="250">
        <f>L187</f>
        <v>2736.9100000000008</v>
      </c>
      <c r="M190" s="250">
        <f>IFERROR(VLOOKUP(J190,CPU!$D$2:$H$327,5,FALSE),0)</f>
        <v>5.1029166664999996</v>
      </c>
      <c r="N190" s="251">
        <f>IF(H190="Serviço",M190*L190,IF(H190="CÉLULA CONSTRUTIVA",SUMIFS($N$8:$N$352,$B$8:$B$352,B190,$H$8:$H$352,"Serviço"),IF(H190="ETAPA",SUMIFS($N$8:$N$352,$B$8:$B$352,B190,$C$8:$C$352,C190,$H$8:$H$352,"Serviço"),IF(H190="SUBETAPA",SUMIFS($N$8:$N$352,$B$8:$B$352,B190,$C$8:$C$352,C190,$D$8:$D$352,D190,$H$8:$H$352,"Serviço"),0))))</f>
        <v>13966.223653710518</v>
      </c>
      <c r="O190" s="252"/>
      <c r="P190" s="253" t="s">
        <v>366</v>
      </c>
      <c r="Q190" s="293"/>
    </row>
    <row r="191" spans="1:17" ht="13.5" hidden="1" customHeight="1" outlineLevel="1" x14ac:dyDescent="0.2">
      <c r="A191" s="233">
        <f t="shared" ca="1" si="19"/>
        <v>0</v>
      </c>
      <c r="B191" s="233">
        <f t="shared" ca="1" si="20"/>
        <v>13</v>
      </c>
      <c r="C191" s="233">
        <f t="shared" ca="1" si="21"/>
        <v>1</v>
      </c>
      <c r="D191" s="234">
        <f t="shared" ca="1" si="22"/>
        <v>2</v>
      </c>
      <c r="E191" s="234">
        <f t="shared" ca="1" si="4"/>
        <v>0</v>
      </c>
      <c r="F191" s="244"/>
      <c r="G191" s="245"/>
      <c r="H191" s="246" t="s">
        <v>244</v>
      </c>
      <c r="I191" s="247" t="str">
        <f t="shared" ca="1" si="5"/>
        <v>13.001.002</v>
      </c>
      <c r="J191" s="248" t="s">
        <v>479</v>
      </c>
      <c r="K191" s="249"/>
      <c r="L191" s="250"/>
      <c r="M191" s="250"/>
      <c r="N191" s="251">
        <f ca="1">IF(H191="Serviço",M191*L191,IF(H191="CÉLULA CONSTRUTIVA",SUMIFS($N$8:$N$352,$B$8:$B$352,B191,$H$8:$H$352,"Serviço"),IF(H191="ETAPA",SUMIFS($N$8:$N$352,$B$8:$B$352,B191,$C$8:$C$352,C191,$H$8:$H$352,"Serviço"),IF(H191="SUBETAPA",SUMIFS($N$8:$N$352,$B$8:$B$352,B191,$C$8:$C$352,C191,$D$8:$D$352,D191,$H$8:$H$352,"Serviço"),0))))</f>
        <v>253353.08093999993</v>
      </c>
      <c r="O191" s="252"/>
      <c r="P191" s="253"/>
      <c r="Q191" s="293"/>
    </row>
    <row r="192" spans="1:17" ht="13.5" hidden="1" customHeight="1" outlineLevel="2" x14ac:dyDescent="0.2">
      <c r="A192" s="233">
        <f t="shared" ca="1" si="19"/>
        <v>0</v>
      </c>
      <c r="B192" s="233">
        <f t="shared" ca="1" si="20"/>
        <v>13</v>
      </c>
      <c r="C192" s="233">
        <f t="shared" ca="1" si="21"/>
        <v>1</v>
      </c>
      <c r="D192" s="234">
        <f t="shared" ca="1" si="22"/>
        <v>2</v>
      </c>
      <c r="E192" s="234">
        <f t="shared" ca="1" si="4"/>
        <v>1</v>
      </c>
      <c r="F192" s="244"/>
      <c r="G192" s="245"/>
      <c r="H192" s="246" t="s">
        <v>246</v>
      </c>
      <c r="I192" s="247" t="str">
        <f t="shared" ca="1" si="5"/>
        <v>13.001.002.001</v>
      </c>
      <c r="J192" s="248" t="s">
        <v>480</v>
      </c>
      <c r="K192" s="249" t="s">
        <v>92</v>
      </c>
      <c r="L192" s="250">
        <f>Arquitetura!I472</f>
        <v>2429.7799999999993</v>
      </c>
      <c r="M192" s="250">
        <f>IFERROR(VLOOKUP(J192,CPU!$D$2:$H$327,5,FALSE),0)</f>
        <v>102.235</v>
      </c>
      <c r="N192" s="251">
        <f>IF(H192="Serviço",M192*L192,IF(H192="CÉLULA CONSTRUTIVA",SUMIFS($N$8:$N$352,$B$8:$B$352,B192,$H$8:$H$352,"Serviço"),IF(H192="ETAPA",SUMIFS($N$8:$N$352,$B$8:$B$352,B192,$C$8:$C$352,C192,$H$8:$H$352,"Serviço"),IF(H192="SUBETAPA",SUMIFS($N$8:$N$352,$B$8:$B$352,B192,$C$8:$C$352,C192,$D$8:$D$352,D192,$H$8:$H$352,"Serviço"),0))))</f>
        <v>248408.55829999992</v>
      </c>
      <c r="O192" s="252"/>
      <c r="P192" s="253" t="s">
        <v>366</v>
      </c>
      <c r="Q192" s="293"/>
    </row>
    <row r="193" spans="1:17" ht="13.5" hidden="1" customHeight="1" outlineLevel="2" x14ac:dyDescent="0.2">
      <c r="A193" s="233">
        <f t="shared" ref="A193:A256" ca="1" si="26">IF($H193="UNIDADE CONSTRUTIVA",OFFSET(A193,-1,0)+1,LARGE(A$3:A192,1))</f>
        <v>0</v>
      </c>
      <c r="B193" s="233">
        <f t="shared" ca="1" si="20"/>
        <v>13</v>
      </c>
      <c r="C193" s="233">
        <f t="shared" ca="1" si="21"/>
        <v>1</v>
      </c>
      <c r="D193" s="234">
        <f t="shared" ca="1" si="22"/>
        <v>2</v>
      </c>
      <c r="E193" s="234">
        <f t="shared" ca="1" si="4"/>
        <v>2</v>
      </c>
      <c r="F193" s="244"/>
      <c r="G193" s="245"/>
      <c r="H193" s="246" t="s">
        <v>246</v>
      </c>
      <c r="I193" s="247" t="str">
        <f t="shared" ca="1" si="5"/>
        <v>13.001.002.002</v>
      </c>
      <c r="J193" s="300" t="s">
        <v>481</v>
      </c>
      <c r="K193" s="249" t="s">
        <v>92</v>
      </c>
      <c r="L193" s="250">
        <f>Arquitetura!I473</f>
        <v>69.83</v>
      </c>
      <c r="M193" s="250">
        <f>IFERROR(VLOOKUP(J193,CPU!$D$2:$H$327,5,FALSE),0)</f>
        <v>70.807999999999993</v>
      </c>
      <c r="N193" s="251">
        <f>IF(H193="Serviço",M193*L193,IF(H193="CÉLULA CONSTRUTIVA",SUMIFS($N$8:$N$352,$B$8:$B$352,B193,$H$8:$H$352,"Serviço"),IF(H193="ETAPA",SUMIFS($N$8:$N$352,$B$8:$B$352,B193,$C$8:$C$352,C193,$H$8:$H$352,"Serviço"),IF(H193="SUBETAPA",SUMIFS($N$8:$N$352,$B$8:$B$352,B193,$C$8:$C$352,C193,$D$8:$D$352,D193,$H$8:$H$352,"Serviço"),0))))</f>
        <v>4944.5226399999992</v>
      </c>
      <c r="O193" s="252"/>
      <c r="P193" s="253" t="s">
        <v>366</v>
      </c>
      <c r="Q193" s="293"/>
    </row>
    <row r="194" spans="1:17" ht="13.5" hidden="1" customHeight="1" outlineLevel="1" x14ac:dyDescent="0.2">
      <c r="A194" s="233">
        <f t="shared" ca="1" si="26"/>
        <v>0</v>
      </c>
      <c r="B194" s="233">
        <f t="shared" ref="B194:B257" ca="1" si="27">IF(H194="UNIDADE CONSTRUTIVA",0,IF(H194="CÉLULA CONSTRUTIVA",OFFSET(B194,-1,0)+1,OFFSET(B194,-1,0)))</f>
        <v>13</v>
      </c>
      <c r="C194" s="233">
        <f t="shared" ref="C194:C257" ca="1" si="28">IF(H194="CÉLULA CONSTRUTIVA",0,IF(H194="ETAPA",OFFSET(C194,-1,0)+1,OFFSET(C194,-1,0)))</f>
        <v>1</v>
      </c>
      <c r="D194" s="234">
        <f t="shared" ca="1" si="22"/>
        <v>3</v>
      </c>
      <c r="E194" s="234">
        <f t="shared" ca="1" si="4"/>
        <v>0</v>
      </c>
      <c r="F194" s="244"/>
      <c r="G194" s="245"/>
      <c r="H194" s="246" t="s">
        <v>244</v>
      </c>
      <c r="I194" s="247" t="str">
        <f t="shared" ca="1" si="5"/>
        <v>13.001.003</v>
      </c>
      <c r="J194" s="248" t="s">
        <v>482</v>
      </c>
      <c r="K194" s="249"/>
      <c r="L194" s="250"/>
      <c r="M194" s="250"/>
      <c r="N194" s="251">
        <f ca="1">IF(H194="Serviço",M194*L194,IF(H194="CÉLULA CONSTRUTIVA",SUMIFS($N$8:$N$352,$B$8:$B$352,B194,$H$8:$H$352,"Serviço"),IF(H194="ETAPA",SUMIFS($N$8:$N$352,$B$8:$B$352,B194,$C$8:$C$352,C194,$H$8:$H$352,"Serviço"),IF(H194="SUBETAPA",SUMIFS($N$8:$N$352,$B$8:$B$352,B194,$C$8:$C$352,C194,$D$8:$D$352,D194,$H$8:$H$352,"Serviço"),0))))</f>
        <v>42026.947199999988</v>
      </c>
      <c r="O194" s="252"/>
      <c r="P194" s="253"/>
      <c r="Q194" s="293"/>
    </row>
    <row r="195" spans="1:17" ht="13.5" hidden="1" customHeight="1" outlineLevel="2" x14ac:dyDescent="0.2">
      <c r="A195" s="233">
        <f t="shared" ca="1" si="26"/>
        <v>0</v>
      </c>
      <c r="B195" s="233">
        <f t="shared" ca="1" si="27"/>
        <v>13</v>
      </c>
      <c r="C195" s="233">
        <f t="shared" ca="1" si="28"/>
        <v>1</v>
      </c>
      <c r="D195" s="234">
        <f t="shared" ref="D195:D275" ca="1" si="29">IF(H195="ETAPA",0,IF(H195="SUBETAPA",OFFSET(D195,-1,0)+1,OFFSET(D195,-1,0)))</f>
        <v>3</v>
      </c>
      <c r="E195" s="234">
        <f t="shared" ca="1" si="4"/>
        <v>1</v>
      </c>
      <c r="F195" s="244"/>
      <c r="G195" s="245"/>
      <c r="H195" s="246" t="s">
        <v>246</v>
      </c>
      <c r="I195" s="247" t="str">
        <f t="shared" ca="1" si="5"/>
        <v>13.001.003.001</v>
      </c>
      <c r="J195" s="248" t="s">
        <v>484</v>
      </c>
      <c r="K195" s="249" t="s">
        <v>79</v>
      </c>
      <c r="L195" s="250">
        <f>Arquitetura!I475</f>
        <v>176.39999999999995</v>
      </c>
      <c r="M195" s="250">
        <f>IFERROR(VLOOKUP(J195,CPU!$D$2:$H$333,5,FALSE),0)</f>
        <v>238.24799999999999</v>
      </c>
      <c r="N195" s="251">
        <f>IF(H195="Serviço",M195*L195,IF(H195="CÉLULA CONSTRUTIVA",SUMIFS($N$8:$N$352,$B$8:$B$352,B195,$H$8:$H$352,"Serviço"),IF(H195="ETAPA",SUMIFS($N$8:$N$352,$B$8:$B$352,B195,$C$8:$C$352,C195,$H$8:$H$352,"Serviço"),IF(H195="SUBETAPA",SUMIFS($N$8:$N$352,$B$8:$B$352,B195,$C$8:$C$352,C195,$D$8:$D$352,D195,$H$8:$H$352,"Serviço"),0))))</f>
        <v>42026.947199999988</v>
      </c>
      <c r="O195" s="252"/>
      <c r="P195" s="253" t="s">
        <v>366</v>
      </c>
      <c r="Q195" s="293"/>
    </row>
    <row r="196" spans="1:17" ht="13.5" hidden="1" customHeight="1" outlineLevel="1" x14ac:dyDescent="0.2">
      <c r="A196" s="233">
        <f t="shared" ca="1" si="26"/>
        <v>0</v>
      </c>
      <c r="B196" s="233">
        <f t="shared" ca="1" si="27"/>
        <v>13</v>
      </c>
      <c r="C196" s="233">
        <f t="shared" ca="1" si="28"/>
        <v>1</v>
      </c>
      <c r="D196" s="234">
        <f t="shared" ca="1" si="29"/>
        <v>4</v>
      </c>
      <c r="E196" s="234">
        <f t="shared" ref="E196:E198" ca="1" si="30">IF(H196="Subetapa",0,IF(H196="serviço",OFFSET(E196,-1,0)+1,OFFSET(E196,-1,0)))</f>
        <v>0</v>
      </c>
      <c r="F196" s="244"/>
      <c r="G196" s="245"/>
      <c r="H196" s="246" t="s">
        <v>244</v>
      </c>
      <c r="I196" s="247" t="str">
        <f t="shared" ref="I196:I198" ca="1" si="31">IF(H196="Unidade Construtiva",TEXT(A196,"00"),IF(H196="Célula Construtiva",TEXT(B196,"00"),IF(H196="Etapa",CONCATENATE(TEXT(B196,"00"),".",TEXT(C196,"000")),IF(H196="Subetapa",CONCATENATE(TEXT(B196,"00"),".",TEXT(C196,"000"),".",TEXT(D196,"000")),IF(H196="Serviço",CONCATENATE(TEXT(B196,"00"),".",TEXT(C196,"000"),".",TEXT(D196,"000"),".",TEXT(E196,"000")),"")))))</f>
        <v>13.001.004</v>
      </c>
      <c r="J196" s="965" t="s">
        <v>5094</v>
      </c>
      <c r="K196" s="249"/>
      <c r="L196" s="250"/>
      <c r="M196" s="250"/>
      <c r="N196" s="251">
        <f ca="1">IF(H196="Serviço",M196*L196,IF(H196="CÉLULA CONSTRUTIVA",SUMIFS($N$8:$N$352,$B$8:$B$352,B196,$H$8:$H$352,"Serviço"),IF(H196="ETAPA",SUMIFS($N$8:$N$352,$B$8:$B$352,B196,$C$8:$C$352,C196,$H$8:$H$352,"Serviço"),IF(H196="SUBETAPA",SUMIFS($N$8:$N$352,$B$8:$B$352,B196,$C$8:$C$352,C196,$D$8:$D$352,D196,$H$8:$H$352,"Serviço"),0))))</f>
        <v>204779.91149999993</v>
      </c>
      <c r="O196" s="252"/>
      <c r="P196" s="253"/>
      <c r="Q196" s="293"/>
    </row>
    <row r="197" spans="1:17" ht="13.5" hidden="1" customHeight="1" outlineLevel="2" x14ac:dyDescent="0.2">
      <c r="A197" s="233">
        <f t="shared" ca="1" si="26"/>
        <v>0</v>
      </c>
      <c r="B197" s="233">
        <f t="shared" ca="1" si="27"/>
        <v>13</v>
      </c>
      <c r="C197" s="233">
        <f t="shared" ca="1" si="28"/>
        <v>1</v>
      </c>
      <c r="D197" s="234">
        <f t="shared" ca="1" si="29"/>
        <v>4</v>
      </c>
      <c r="E197" s="234">
        <f t="shared" ref="E197" ca="1" si="32">IF(H197="Subetapa",0,IF(H197="serviço",OFFSET(E197,-1,0)+1,OFFSET(E197,-1,0)))</f>
        <v>1</v>
      </c>
      <c r="F197" s="244"/>
      <c r="G197" s="245"/>
      <c r="H197" s="246" t="s">
        <v>246</v>
      </c>
      <c r="I197" s="247" t="str">
        <f t="shared" ref="I197" ca="1" si="33">IF(H197="Unidade Construtiva",TEXT(A197,"00"),IF(H197="Célula Construtiva",TEXT(B197,"00"),IF(H197="Etapa",CONCATENATE(TEXT(B197,"00"),".",TEXT(C197,"000")),IF(H197="Subetapa",CONCATENATE(TEXT(B197,"00"),".",TEXT(C197,"000"),".",TEXT(D197,"000")),IF(H197="Serviço",CONCATENATE(TEXT(B197,"00"),".",TEXT(C197,"000"),".",TEXT(D197,"000"),".",TEXT(E197,"000")),"")))))</f>
        <v>13.001.004.001</v>
      </c>
      <c r="J197" s="971" t="s">
        <v>678</v>
      </c>
      <c r="K197" s="249" t="s">
        <v>92</v>
      </c>
      <c r="L197" s="250">
        <f>Arquitetura!I475</f>
        <v>176.39999999999995</v>
      </c>
      <c r="M197" s="250">
        <f>IFERROR(VLOOKUP(J197,CPU!$D$2:$H$333,5,FALSE),0)</f>
        <v>799.88400000000001</v>
      </c>
      <c r="N197" s="251">
        <f>IF(H197="Serviço",M197*L197,IF(H197="CÉLULA CONSTRUTIVA",SUMIFS($N$8:$N$352,$B$8:$B$352,B197,$H$8:$H$352,"Serviço"),IF(H197="ETAPA",SUMIFS($N$8:$N$352,$B$8:$B$352,B197,$C$8:$C$352,C197,$H$8:$H$352,"Serviço"),IF(H197="SUBETAPA",SUMIFS($N$8:$N$352,$B$8:$B$352,B197,$C$8:$C$352,C197,$D$8:$D$352,D197,$H$8:$H$352,"Serviço"),0))))</f>
        <v>141099.53759999995</v>
      </c>
      <c r="O197" s="252"/>
      <c r="P197" s="253" t="s">
        <v>366</v>
      </c>
      <c r="Q197" s="293"/>
    </row>
    <row r="198" spans="1:17" ht="13.5" hidden="1" customHeight="1" outlineLevel="2" x14ac:dyDescent="0.2">
      <c r="A198" s="233">
        <f t="shared" ca="1" si="26"/>
        <v>0</v>
      </c>
      <c r="B198" s="233">
        <f t="shared" ca="1" si="27"/>
        <v>13</v>
      </c>
      <c r="C198" s="233">
        <f t="shared" ca="1" si="28"/>
        <v>1</v>
      </c>
      <c r="D198" s="234">
        <f t="shared" ref="D198" ca="1" si="34">IF(H198="ETAPA",0,IF(H198="SUBETAPA",OFFSET(D198,-1,0)+1,OFFSET(D198,-1,0)))</f>
        <v>4</v>
      </c>
      <c r="E198" s="234">
        <f t="shared" ca="1" si="30"/>
        <v>2</v>
      </c>
      <c r="F198" s="244"/>
      <c r="G198" s="245"/>
      <c r="H198" s="246" t="s">
        <v>246</v>
      </c>
      <c r="I198" s="247" t="str">
        <f t="shared" ca="1" si="31"/>
        <v>13.001.004.002</v>
      </c>
      <c r="J198" s="971" t="s">
        <v>5153</v>
      </c>
      <c r="K198" s="249" t="s">
        <v>92</v>
      </c>
      <c r="L198" s="250">
        <f>Arquitetura!I478</f>
        <v>53.349999999999994</v>
      </c>
      <c r="M198" s="250">
        <f>IFERROR(VLOOKUP(J198,CPU!$D$2:$H$333,5,FALSE),0)</f>
        <v>1193.634</v>
      </c>
      <c r="N198" s="251">
        <f>IF(H198="Serviço",M198*L198,IF(H198="CÉLULA CONSTRUTIVA",SUMIFS($N$8:$N$352,$B$8:$B$352,B198,$H$8:$H$352,"Serviço"),IF(H198="ETAPA",SUMIFS($N$8:$N$352,$B$8:$B$352,B198,$C$8:$C$352,C198,$H$8:$H$352,"Serviço"),IF(H198="SUBETAPA",SUMIFS($N$8:$N$352,$B$8:$B$352,B198,$C$8:$C$352,C198,$D$8:$D$352,D198,$H$8:$H$352,"Serviço"),0))))</f>
        <v>63680.373899999991</v>
      </c>
      <c r="O198" s="252"/>
      <c r="P198" s="253" t="s">
        <v>366</v>
      </c>
      <c r="Q198" s="293"/>
    </row>
    <row r="199" spans="1:17" ht="13.5" hidden="1" customHeight="1" outlineLevel="1" x14ac:dyDescent="0.2">
      <c r="A199" s="233">
        <f t="shared" ca="1" si="26"/>
        <v>0</v>
      </c>
      <c r="B199" s="233">
        <f t="shared" ca="1" si="27"/>
        <v>13</v>
      </c>
      <c r="C199" s="233">
        <f t="shared" ca="1" si="28"/>
        <v>1</v>
      </c>
      <c r="D199" s="234">
        <f t="shared" ca="1" si="29"/>
        <v>5</v>
      </c>
      <c r="E199" s="234">
        <f t="shared" ca="1" si="4"/>
        <v>0</v>
      </c>
      <c r="F199" s="244"/>
      <c r="G199" s="245"/>
      <c r="H199" s="246" t="s">
        <v>244</v>
      </c>
      <c r="I199" s="247" t="str">
        <f t="shared" ca="1" si="5"/>
        <v>13.001.005</v>
      </c>
      <c r="J199" s="248" t="s">
        <v>485</v>
      </c>
      <c r="K199" s="249"/>
      <c r="L199" s="250"/>
      <c r="M199" s="250"/>
      <c r="N199" s="251">
        <f ca="1">IF(H199="Serviço",M199*L199,IF(H199="CÉLULA CONSTRUTIVA",SUMIFS($N$8:$N$352,$B$8:$B$352,B199,$H$8:$H$352,"Serviço"),IF(H199="ETAPA",SUMIFS($N$8:$N$352,$B$8:$B$352,B199,$C$8:$C$352,C199,$H$8:$H$352,"Serviço"),IF(H199="SUBETAPA",SUMIFS($N$8:$N$352,$B$8:$B$352,B199,$C$8:$C$352,C199,$D$8:$D$352,D199,$H$8:$H$352,"Serviço"),0))))</f>
        <v>686377.47000000009</v>
      </c>
      <c r="O199" s="252"/>
      <c r="P199" s="253"/>
      <c r="Q199" s="293"/>
    </row>
    <row r="200" spans="1:17" ht="13.5" hidden="1" customHeight="1" outlineLevel="2" x14ac:dyDescent="0.2">
      <c r="A200" s="233">
        <f t="shared" ca="1" si="26"/>
        <v>0</v>
      </c>
      <c r="B200" s="233">
        <f t="shared" ca="1" si="27"/>
        <v>13</v>
      </c>
      <c r="C200" s="233">
        <f t="shared" ca="1" si="28"/>
        <v>1</v>
      </c>
      <c r="D200" s="234">
        <f t="shared" ca="1" si="29"/>
        <v>5</v>
      </c>
      <c r="E200" s="234">
        <f t="shared" ca="1" si="4"/>
        <v>1</v>
      </c>
      <c r="F200" s="244"/>
      <c r="G200" s="245"/>
      <c r="H200" s="246" t="s">
        <v>246</v>
      </c>
      <c r="I200" s="247" t="str">
        <f t="shared" ca="1" si="5"/>
        <v>13.001.005.001</v>
      </c>
      <c r="J200" s="992" t="s">
        <v>486</v>
      </c>
      <c r="K200" s="249" t="s">
        <v>92</v>
      </c>
      <c r="L200" s="250">
        <f>SUM(Arquitetura!D436:D470)</f>
        <v>16056.640000000001</v>
      </c>
      <c r="M200" s="250">
        <v>36</v>
      </c>
      <c r="N200" s="251">
        <f>IF(H200="Serviço",M200*L200,IF(H200="CÉLULA CONSTRUTIVA",SUMIFS($N$8:$N$352,$B$8:$B$352,B200,$H$8:$H$352,"Serviço"),IF(H200="ETAPA",SUMIFS($N$8:$N$352,$B$8:$B$352,B200,$C$8:$C$352,C200,$H$8:$H$352,"Serviço"),IF(H200="SUBETAPA",SUMIFS($N$8:$N$352,$B$8:$B$352,B200,$C$8:$C$352,C200,$D$8:$D$352,D200,$H$8:$H$352,"Serviço"),0))))</f>
        <v>578039.04000000004</v>
      </c>
      <c r="O200" s="960" t="s">
        <v>5092</v>
      </c>
      <c r="P200" s="253" t="s">
        <v>366</v>
      </c>
      <c r="Q200" s="293"/>
    </row>
    <row r="201" spans="1:17" ht="13.5" hidden="1" customHeight="1" outlineLevel="2" x14ac:dyDescent="0.2">
      <c r="A201" s="233">
        <f t="shared" ca="1" si="26"/>
        <v>0</v>
      </c>
      <c r="B201" s="233">
        <f t="shared" ca="1" si="27"/>
        <v>13</v>
      </c>
      <c r="C201" s="233">
        <f t="shared" ca="1" si="28"/>
        <v>1</v>
      </c>
      <c r="D201" s="234">
        <f t="shared" ca="1" si="29"/>
        <v>5</v>
      </c>
      <c r="E201" s="234">
        <f t="shared" ca="1" si="4"/>
        <v>2</v>
      </c>
      <c r="F201" s="244"/>
      <c r="G201" s="245"/>
      <c r="H201" s="246" t="s">
        <v>246</v>
      </c>
      <c r="I201" s="247" t="str">
        <f t="shared" ca="1" si="5"/>
        <v>13.001.005.002</v>
      </c>
      <c r="J201" s="248" t="s">
        <v>487</v>
      </c>
      <c r="K201" s="249" t="s">
        <v>92</v>
      </c>
      <c r="L201" s="250">
        <f>L190</f>
        <v>2736.9100000000008</v>
      </c>
      <c r="M201" s="250">
        <v>22</v>
      </c>
      <c r="N201" s="251">
        <f>IF(H201="Serviço",M201*L201,IF(H201="CÉLULA CONSTRUTIVA",SUMIFS($N$8:$N$352,$B$8:$B$352,B201,$H$8:$H$352,"Serviço"),IF(H201="ETAPA",SUMIFS($N$8:$N$352,$B$8:$B$352,B201,$C$8:$C$352,C201,$H$8:$H$352,"Serviço"),IF(H201="SUBETAPA",SUMIFS($N$8:$N$352,$B$8:$B$352,B201,$C$8:$C$352,C201,$D$8:$D$352,D201,$H$8:$H$352,"Serviço"),0))))</f>
        <v>60212.020000000019</v>
      </c>
      <c r="O201" s="252"/>
      <c r="P201" s="253" t="s">
        <v>366</v>
      </c>
      <c r="Q201" s="293"/>
    </row>
    <row r="202" spans="1:17" ht="13.5" hidden="1" customHeight="1" outlineLevel="2" x14ac:dyDescent="0.2">
      <c r="A202" s="233">
        <f t="shared" ca="1" si="26"/>
        <v>0</v>
      </c>
      <c r="B202" s="233">
        <f t="shared" ca="1" si="27"/>
        <v>13</v>
      </c>
      <c r="C202" s="233">
        <f t="shared" ca="1" si="28"/>
        <v>1</v>
      </c>
      <c r="D202" s="234">
        <f t="shared" ca="1" si="29"/>
        <v>5</v>
      </c>
      <c r="E202" s="234">
        <f t="shared" ca="1" si="4"/>
        <v>3</v>
      </c>
      <c r="F202" s="244"/>
      <c r="G202" s="245"/>
      <c r="H202" s="246" t="s">
        <v>246</v>
      </c>
      <c r="I202" s="247" t="str">
        <f t="shared" ca="1" si="5"/>
        <v>13.001.005.003</v>
      </c>
      <c r="J202" s="248" t="s">
        <v>488</v>
      </c>
      <c r="K202" s="249" t="s">
        <v>92</v>
      </c>
      <c r="L202" s="250">
        <f>L192+L193</f>
        <v>2499.6099999999992</v>
      </c>
      <c r="M202" s="250">
        <v>6</v>
      </c>
      <c r="N202" s="251">
        <f>IF(H202="Serviço",M202*L202,IF(H202="CÉLULA CONSTRUTIVA",SUMIFS($N$8:$N$352,$B$8:$B$352,B202,$H$8:$H$352,"Serviço"),IF(H202="ETAPA",SUMIFS($N$8:$N$352,$B$8:$B$352,B202,$C$8:$C$352,C202,$H$8:$H$352,"Serviço"),IF(H202="SUBETAPA",SUMIFS($N$8:$N$352,$B$8:$B$352,B202,$C$8:$C$352,C202,$D$8:$D$352,D202,$H$8:$H$352,"Serviço"),0))))</f>
        <v>14997.659999999996</v>
      </c>
      <c r="O202" s="252"/>
      <c r="P202" s="253" t="s">
        <v>366</v>
      </c>
      <c r="Q202" s="293"/>
    </row>
    <row r="203" spans="1:17" ht="13.5" hidden="1" customHeight="1" outlineLevel="2" x14ac:dyDescent="0.2">
      <c r="A203" s="233">
        <f t="shared" ca="1" si="26"/>
        <v>0</v>
      </c>
      <c r="B203" s="233">
        <f t="shared" ca="1" si="27"/>
        <v>13</v>
      </c>
      <c r="C203" s="233">
        <f t="shared" ca="1" si="28"/>
        <v>1</v>
      </c>
      <c r="D203" s="234">
        <f t="shared" ca="1" si="29"/>
        <v>5</v>
      </c>
      <c r="E203" s="234">
        <f t="shared" ca="1" si="4"/>
        <v>4</v>
      </c>
      <c r="F203" s="244"/>
      <c r="G203" s="245"/>
      <c r="H203" s="246" t="s">
        <v>246</v>
      </c>
      <c r="I203" s="247" t="str">
        <f t="shared" ca="1" si="5"/>
        <v>13.001.005.004</v>
      </c>
      <c r="J203" s="965" t="s">
        <v>5152</v>
      </c>
      <c r="K203" s="973" t="s">
        <v>79</v>
      </c>
      <c r="L203" s="250">
        <f>L195+L197/0.2+L198/0.2</f>
        <v>1325.1499999999996</v>
      </c>
      <c r="M203" s="250">
        <v>25</v>
      </c>
      <c r="N203" s="251">
        <f>IF(H203="Serviço",M203*L203,IF(H203="CÉLULA CONSTRUTIVA",SUMIFS($N$8:$N$352,$B$8:$B$352,B203,$H$8:$H$352,"Serviço"),IF(H203="ETAPA",SUMIFS($N$8:$N$352,$B$8:$B$352,B203,$C$8:$C$352,C203,$H$8:$H$352,"Serviço"),IF(H203="SUBETAPA",SUMIFS($N$8:$N$352,$B$8:$B$352,B203,$C$8:$C$352,C203,$D$8:$D$352,D203,$H$8:$H$352,"Serviço"),0))))</f>
        <v>33128.749999999993</v>
      </c>
      <c r="O203" s="252"/>
      <c r="P203" s="253" t="s">
        <v>366</v>
      </c>
      <c r="Q203" s="293"/>
    </row>
    <row r="204" spans="1:17" ht="13.5" customHeight="1" collapsed="1" x14ac:dyDescent="0.2">
      <c r="A204" s="233">
        <f t="shared" ca="1" si="26"/>
        <v>0</v>
      </c>
      <c r="B204" s="233">
        <f t="shared" ca="1" si="27"/>
        <v>14</v>
      </c>
      <c r="C204" s="233">
        <f t="shared" ca="1" si="28"/>
        <v>0</v>
      </c>
      <c r="D204" s="234">
        <f t="shared" ca="1" si="29"/>
        <v>5</v>
      </c>
      <c r="E204" s="234">
        <f t="shared" ca="1" si="4"/>
        <v>4</v>
      </c>
      <c r="F204" s="1012"/>
      <c r="G204" s="245"/>
      <c r="H204" s="246" t="s">
        <v>241</v>
      </c>
      <c r="I204" s="247" t="str">
        <f t="shared" ca="1" si="5"/>
        <v>14</v>
      </c>
      <c r="J204" s="248" t="s">
        <v>51</v>
      </c>
      <c r="K204" s="249"/>
      <c r="L204" s="250"/>
      <c r="M204" s="250"/>
      <c r="N204" s="251">
        <f ca="1">IF(H204="Serviço",M204*L204,IF(H204="CÉLULA CONSTRUTIVA",SUMIFS($N$8:$N$352,$B$8:$B$352,B204,$H$8:$H$352,"Serviço"),IF(H204="ETAPA",SUMIFS($N$8:$N$352,$B$8:$B$352,B204,$C$8:$C$352,C204,$H$8:$H$352,"Serviço"),IF(H204="SUBETAPA",SUMIFS($N$8:$N$352,$B$8:$B$352,B204,$C$8:$C$352,C204,$D$8:$D$352,D204,$H$8:$H$352,"Serviço"),0))))</f>
        <v>557998.00529553019</v>
      </c>
      <c r="O204" s="252"/>
      <c r="P204" s="253"/>
      <c r="Q204" s="293"/>
    </row>
    <row r="205" spans="1:17" ht="13.5" hidden="1" customHeight="1" outlineLevel="1" x14ac:dyDescent="0.2">
      <c r="A205" s="233">
        <f t="shared" ca="1" si="26"/>
        <v>0</v>
      </c>
      <c r="B205" s="233">
        <f t="shared" ca="1" si="27"/>
        <v>14</v>
      </c>
      <c r="C205" s="233">
        <f t="shared" ca="1" si="28"/>
        <v>1</v>
      </c>
      <c r="D205" s="234">
        <f t="shared" ca="1" si="29"/>
        <v>0</v>
      </c>
      <c r="E205" s="234">
        <f t="shared" ca="1" si="4"/>
        <v>4</v>
      </c>
      <c r="F205" s="244"/>
      <c r="G205" s="245"/>
      <c r="H205" s="246" t="s">
        <v>37</v>
      </c>
      <c r="I205" s="247" t="str">
        <f t="shared" ca="1" si="5"/>
        <v>14.001</v>
      </c>
      <c r="J205" s="965" t="s">
        <v>5085</v>
      </c>
      <c r="K205" s="249"/>
      <c r="L205" s="250"/>
      <c r="M205" s="250"/>
      <c r="N205" s="251">
        <f ca="1">IF(H205="Serviço",M205*L205,IF(H205="CÉLULA CONSTRUTIVA",SUMIFS($N$8:$N$352,$B$8:$B$352,B205,$H$8:$H$352,"Serviço"),IF(H205="ETAPA",SUMIFS($N$8:$N$352,$B$8:$B$352,B205,$C$8:$C$352,C205,$H$8:$H$352,"Serviço"),IF(H205="SUBETAPA",SUMIFS($N$8:$N$352,$B$8:$B$352,B205,$C$8:$C$352,C205,$D$8:$D$352,D205,$H$8:$H$352,"Serviço"),0))))</f>
        <v>557998.00529553019</v>
      </c>
      <c r="O205" s="252"/>
      <c r="P205" s="253"/>
      <c r="Q205" s="293"/>
    </row>
    <row r="206" spans="1:17" ht="13.5" hidden="1" customHeight="1" outlineLevel="1" x14ac:dyDescent="0.2">
      <c r="A206" s="233">
        <f t="shared" ca="1" si="26"/>
        <v>0</v>
      </c>
      <c r="B206" s="233">
        <f t="shared" ca="1" si="27"/>
        <v>14</v>
      </c>
      <c r="C206" s="233">
        <f t="shared" ca="1" si="28"/>
        <v>1</v>
      </c>
      <c r="D206" s="234">
        <f t="shared" ca="1" si="29"/>
        <v>1</v>
      </c>
      <c r="E206" s="234">
        <f t="shared" ca="1" si="4"/>
        <v>0</v>
      </c>
      <c r="F206" s="244"/>
      <c r="G206" s="245"/>
      <c r="H206" s="246" t="s">
        <v>244</v>
      </c>
      <c r="I206" s="247" t="str">
        <f t="shared" ca="1" si="5"/>
        <v>14.001.001</v>
      </c>
      <c r="J206" s="248" t="s">
        <v>489</v>
      </c>
      <c r="K206" s="249"/>
      <c r="L206" s="250"/>
      <c r="M206" s="250"/>
      <c r="N206" s="251">
        <f ca="1">IF(H206="Serviço",M206*L206,IF(H206="CÉLULA CONSTRUTIVA",SUMIFS($N$8:$N$352,$B$8:$B$352,B206,$H$8:$H$352,"Serviço"),IF(H206="ETAPA",SUMIFS($N$8:$N$352,$B$8:$B$352,B206,$C$8:$C$352,C206,$H$8:$H$352,"Serviço"),IF(H206="SUBETAPA",SUMIFS($N$8:$N$352,$B$8:$B$352,B206,$C$8:$C$352,C206,$D$8:$D$352,D206,$H$8:$H$352,"Serviço"),0))))</f>
        <v>9276.7452955303434</v>
      </c>
      <c r="O206" s="252"/>
      <c r="P206" s="253"/>
      <c r="Q206" s="293"/>
    </row>
    <row r="207" spans="1:17" ht="13.5" hidden="1" customHeight="1" outlineLevel="2" x14ac:dyDescent="0.2">
      <c r="A207" s="233">
        <f t="shared" ca="1" si="26"/>
        <v>0</v>
      </c>
      <c r="B207" s="233">
        <f t="shared" ca="1" si="27"/>
        <v>14</v>
      </c>
      <c r="C207" s="233">
        <f t="shared" ca="1" si="28"/>
        <v>1</v>
      </c>
      <c r="D207" s="234">
        <f t="shared" ca="1" si="29"/>
        <v>1</v>
      </c>
      <c r="E207" s="234">
        <f t="shared" ca="1" si="4"/>
        <v>1</v>
      </c>
      <c r="F207" s="244"/>
      <c r="G207" s="245"/>
      <c r="H207" s="246" t="s">
        <v>246</v>
      </c>
      <c r="I207" s="247" t="str">
        <f t="shared" ca="1" si="5"/>
        <v>14.001.001.001</v>
      </c>
      <c r="J207" s="248" t="s">
        <v>490</v>
      </c>
      <c r="K207" s="249" t="s">
        <v>92</v>
      </c>
      <c r="L207" s="250">
        <f>Arquitetura!I764+Arquitetura!I765</f>
        <v>1817.9299999999998</v>
      </c>
      <c r="M207" s="250">
        <f>IFERROR(VLOOKUP(J207,CPU!$D$2:$H$428,5,FALSE),0)</f>
        <v>5.1029166664999996</v>
      </c>
      <c r="N207" s="251">
        <f>IF(H207="Serviço",M207*L207,IF(H207="CÉLULA CONSTRUTIVA",SUMIFS($N$8:$N$352,$B$8:$B$352,B207,$H$8:$H$352,"Serviço"),IF(H207="ETAPA",SUMIFS($N$8:$N$352,$B$8:$B$352,B207,$C$8:$C$352,C207,$H$8:$H$352,"Serviço"),IF(H207="SUBETAPA",SUMIFS($N$8:$N$352,$B$8:$B$352,B207,$C$8:$C$352,C207,$D$8:$D$352,D207,$H$8:$H$352,"Serviço"),0))))</f>
        <v>9276.7452955303434</v>
      </c>
      <c r="O207" s="252"/>
      <c r="P207" s="253" t="s">
        <v>366</v>
      </c>
      <c r="Q207" s="293"/>
    </row>
    <row r="208" spans="1:17" ht="13.5" hidden="1" customHeight="1" outlineLevel="1" x14ac:dyDescent="0.2">
      <c r="A208" s="233">
        <f t="shared" ca="1" si="26"/>
        <v>0</v>
      </c>
      <c r="B208" s="233">
        <f t="shared" ca="1" si="27"/>
        <v>14</v>
      </c>
      <c r="C208" s="233">
        <f t="shared" ca="1" si="28"/>
        <v>1</v>
      </c>
      <c r="D208" s="234">
        <f t="shared" ca="1" si="29"/>
        <v>2</v>
      </c>
      <c r="E208" s="234">
        <f t="shared" ca="1" si="4"/>
        <v>0</v>
      </c>
      <c r="F208" s="244"/>
      <c r="G208" s="245"/>
      <c r="H208" s="246" t="s">
        <v>244</v>
      </c>
      <c r="I208" s="247" t="str">
        <f t="shared" ca="1" si="5"/>
        <v>14.001.002</v>
      </c>
      <c r="J208" s="248" t="s">
        <v>491</v>
      </c>
      <c r="K208" s="249"/>
      <c r="L208" s="250"/>
      <c r="M208" s="250"/>
      <c r="N208" s="251">
        <f ca="1">IF(H208="Serviço",M208*L208,IF(H208="CÉLULA CONSTRUTIVA",SUMIFS($N$8:$N$352,$B$8:$B$352,B208,$H$8:$H$352,"Serviço"),IF(H208="ETAPA",SUMIFS($N$8:$N$352,$B$8:$B$352,B208,$C$8:$C$352,C208,$H$8:$H$352,"Serviço"),IF(H208="SUBETAPA",SUMIFS($N$8:$N$352,$B$8:$B$352,B208,$C$8:$C$352,C208,$D$8:$D$352,D208,$H$8:$H$352,"Serviço"),0))))</f>
        <v>508726.79999999981</v>
      </c>
      <c r="O208" s="252"/>
      <c r="P208" s="253"/>
      <c r="Q208" s="293"/>
    </row>
    <row r="209" spans="1:17" ht="13.5" hidden="1" customHeight="1" outlineLevel="2" x14ac:dyDescent="0.2">
      <c r="A209" s="233">
        <f t="shared" ca="1" si="26"/>
        <v>0</v>
      </c>
      <c r="B209" s="233">
        <f t="shared" ca="1" si="27"/>
        <v>14</v>
      </c>
      <c r="C209" s="233">
        <f t="shared" ca="1" si="28"/>
        <v>1</v>
      </c>
      <c r="D209" s="234">
        <f t="shared" ca="1" si="29"/>
        <v>2</v>
      </c>
      <c r="E209" s="234">
        <f t="shared" ca="1" si="4"/>
        <v>1</v>
      </c>
      <c r="F209" s="244"/>
      <c r="G209" s="245"/>
      <c r="H209" s="246" t="s">
        <v>246</v>
      </c>
      <c r="I209" s="247" t="str">
        <f t="shared" ca="1" si="5"/>
        <v>14.001.002.001</v>
      </c>
      <c r="J209" s="248" t="s">
        <v>492</v>
      </c>
      <c r="K209" s="249" t="s">
        <v>92</v>
      </c>
      <c r="L209" s="250">
        <f>Arquitetura!I762</f>
        <v>4239.3899999999985</v>
      </c>
      <c r="M209" s="250">
        <f>IFERROR(VLOOKUP(J209,CPU!$D$2:$H$428,5,FALSE),0)</f>
        <v>120</v>
      </c>
      <c r="N209" s="251">
        <f>IF(H209="Serviço",M209*L209,IF(H209="CÉLULA CONSTRUTIVA",SUMIFS($N$8:$N$352,$B$8:$B$352,B209,$H$8:$H$352,"Serviço"),IF(H209="ETAPA",SUMIFS($N$8:$N$352,$B$8:$B$352,B209,$C$8:$C$352,C209,$H$8:$H$352,"Serviço"),IF(H209="SUBETAPA",SUMIFS($N$8:$N$352,$B$8:$B$352,B209,$C$8:$C$352,C209,$D$8:$D$352,D209,$H$8:$H$352,"Serviço"),0))))</f>
        <v>508726.79999999981</v>
      </c>
      <c r="O209" s="252"/>
      <c r="P209" s="253" t="s">
        <v>366</v>
      </c>
      <c r="Q209" s="293"/>
    </row>
    <row r="210" spans="1:17" ht="13.5" hidden="1" customHeight="1" outlineLevel="1" x14ac:dyDescent="0.2">
      <c r="A210" s="233">
        <f t="shared" ca="1" si="26"/>
        <v>0</v>
      </c>
      <c r="B210" s="233">
        <f t="shared" ca="1" si="27"/>
        <v>14</v>
      </c>
      <c r="C210" s="233">
        <f t="shared" ca="1" si="28"/>
        <v>1</v>
      </c>
      <c r="D210" s="234">
        <f t="shared" ca="1" si="29"/>
        <v>3</v>
      </c>
      <c r="E210" s="234">
        <f t="shared" ca="1" si="4"/>
        <v>0</v>
      </c>
      <c r="F210" s="244"/>
      <c r="G210" s="245"/>
      <c r="H210" s="246" t="s">
        <v>244</v>
      </c>
      <c r="I210" s="247" t="str">
        <f t="shared" ca="1" si="5"/>
        <v>14.001.003</v>
      </c>
      <c r="J210" s="248" t="s">
        <v>494</v>
      </c>
      <c r="K210" s="249"/>
      <c r="L210" s="250"/>
      <c r="M210" s="250"/>
      <c r="N210" s="251">
        <f ca="1">IF(H210="Serviço",M210*L210,IF(H210="CÉLULA CONSTRUTIVA",SUMIFS($N$8:$N$352,$B$8:$B$352,B210,$H$8:$H$352,"Serviço"),IF(H210="ETAPA",SUMIFS($N$8:$N$352,$B$8:$B$352,B210,$C$8:$C$352,C210,$H$8:$H$352,"Serviço"),IF(H210="SUBETAPA",SUMIFS($N$8:$N$352,$B$8:$B$352,B210,$C$8:$C$352,C210,$D$8:$D$352,D210,$H$8:$H$352,"Serviço"),0))))</f>
        <v>39994.46</v>
      </c>
      <c r="O210" s="252"/>
      <c r="P210" s="253"/>
      <c r="Q210" s="293"/>
    </row>
    <row r="211" spans="1:17" ht="13.5" hidden="1" customHeight="1" outlineLevel="2" x14ac:dyDescent="0.2">
      <c r="A211" s="233">
        <f t="shared" ca="1" si="26"/>
        <v>0</v>
      </c>
      <c r="B211" s="233">
        <f t="shared" ca="1" si="27"/>
        <v>14</v>
      </c>
      <c r="C211" s="233">
        <f t="shared" ca="1" si="28"/>
        <v>1</v>
      </c>
      <c r="D211" s="234">
        <f t="shared" ca="1" si="29"/>
        <v>3</v>
      </c>
      <c r="E211" s="234">
        <f t="shared" ca="1" si="4"/>
        <v>1</v>
      </c>
      <c r="F211" s="244"/>
      <c r="G211" s="245"/>
      <c r="H211" s="246" t="s">
        <v>246</v>
      </c>
      <c r="I211" s="247" t="str">
        <f t="shared" ca="1" si="5"/>
        <v>14.001.003.001</v>
      </c>
      <c r="J211" s="248" t="s">
        <v>495</v>
      </c>
      <c r="K211" s="249" t="s">
        <v>92</v>
      </c>
      <c r="L211" s="250">
        <f>L207</f>
        <v>1817.9299999999998</v>
      </c>
      <c r="M211" s="250">
        <v>22</v>
      </c>
      <c r="N211" s="251">
        <f>IF(H211="Serviço",M211*L211,IF(H211="CÉLULA CONSTRUTIVA",SUMIFS($N$8:$N$352,$B$8:$B$352,B211,$H$8:$H$352,"Serviço"),IF(H211="ETAPA",SUMIFS($N$8:$N$352,$B$8:$B$352,B211,$C$8:$C$352,C211,$H$8:$H$352,"Serviço"),IF(H211="SUBETAPA",SUMIFS($N$8:$N$352,$B$8:$B$352,B211,$C$8:$C$352,C211,$D$8:$D$352,D211,$H$8:$H$352,"Serviço"),0))))</f>
        <v>39994.46</v>
      </c>
      <c r="O211" s="252"/>
      <c r="P211" s="253" t="s">
        <v>366</v>
      </c>
      <c r="Q211" s="293"/>
    </row>
    <row r="212" spans="1:17" ht="13.5" customHeight="1" collapsed="1" x14ac:dyDescent="0.2">
      <c r="A212" s="233">
        <f t="shared" ca="1" si="26"/>
        <v>0</v>
      </c>
      <c r="B212" s="233">
        <f t="shared" ca="1" si="27"/>
        <v>15</v>
      </c>
      <c r="C212" s="233">
        <f t="shared" ca="1" si="28"/>
        <v>0</v>
      </c>
      <c r="D212" s="234">
        <f t="shared" ca="1" si="29"/>
        <v>3</v>
      </c>
      <c r="E212" s="234">
        <f t="shared" ca="1" si="4"/>
        <v>1</v>
      </c>
      <c r="F212" s="1012"/>
      <c r="G212" s="245"/>
      <c r="H212" s="246" t="s">
        <v>241</v>
      </c>
      <c r="I212" s="247" t="str">
        <f t="shared" ca="1" si="5"/>
        <v>15</v>
      </c>
      <c r="J212" s="248" t="s">
        <v>52</v>
      </c>
      <c r="K212" s="249"/>
      <c r="L212" s="250"/>
      <c r="M212" s="250"/>
      <c r="N212" s="251">
        <f ca="1">IF(H212="Serviço",M212*L212,IF(H212="CÉLULA CONSTRUTIVA",SUMIFS($N$8:$N$352,$B$8:$B$352,B212,$H$8:$H$352,"Serviço"),IF(H212="ETAPA",SUMIFS($N$8:$N$352,$B$8:$B$352,B212,$C$8:$C$352,C212,$H$8:$H$352,"Serviço"),IF(H212="SUBETAPA",SUMIFS($N$8:$N$352,$B$8:$B$352,B212,$C$8:$C$352,C212,$D$8:$D$352,D212,$H$8:$H$352,"Serviço"),0))))</f>
        <v>2160927.3967958791</v>
      </c>
      <c r="O212" s="252"/>
      <c r="P212" s="253"/>
      <c r="Q212" s="293"/>
    </row>
    <row r="213" spans="1:17" ht="13.5" hidden="1" customHeight="1" outlineLevel="1" x14ac:dyDescent="0.2">
      <c r="A213" s="233">
        <f t="shared" ca="1" si="26"/>
        <v>0</v>
      </c>
      <c r="B213" s="233">
        <f t="shared" ca="1" si="27"/>
        <v>15</v>
      </c>
      <c r="C213" s="233">
        <f t="shared" ca="1" si="28"/>
        <v>1</v>
      </c>
      <c r="D213" s="234">
        <f t="shared" ca="1" si="29"/>
        <v>0</v>
      </c>
      <c r="E213" s="234">
        <f t="shared" ca="1" si="4"/>
        <v>1</v>
      </c>
      <c r="F213" s="244"/>
      <c r="G213" s="245"/>
      <c r="H213" s="246" t="s">
        <v>37</v>
      </c>
      <c r="I213" s="247" t="str">
        <f t="shared" ca="1" si="5"/>
        <v>15.001</v>
      </c>
      <c r="J213" s="248" t="s">
        <v>52</v>
      </c>
      <c r="K213" s="249"/>
      <c r="L213" s="250"/>
      <c r="M213" s="250"/>
      <c r="N213" s="251">
        <f ca="1">IF(H213="Serviço",M213*L213,IF(H213="CÉLULA CONSTRUTIVA",SUMIFS($N$8:$N$352,$B$8:$B$352,B213,$H$8:$H$352,"Serviço"),IF(H213="ETAPA",SUMIFS($N$8:$N$352,$B$8:$B$352,B213,$C$8:$C$352,C213,$H$8:$H$352,"Serviço"),IF(H213="SUBETAPA",SUMIFS($N$8:$N$352,$B$8:$B$352,B213,$C$8:$C$352,C213,$D$8:$D$352,D213,$H$8:$H$352,"Serviço"),0))))</f>
        <v>2160927.3967958791</v>
      </c>
      <c r="O213" s="252"/>
      <c r="P213" s="253"/>
      <c r="Q213" s="293"/>
    </row>
    <row r="214" spans="1:17" ht="13.5" hidden="1" customHeight="1" outlineLevel="1" x14ac:dyDescent="0.2">
      <c r="A214" s="233">
        <f t="shared" ca="1" si="26"/>
        <v>0</v>
      </c>
      <c r="B214" s="233">
        <f t="shared" ca="1" si="27"/>
        <v>15</v>
      </c>
      <c r="C214" s="233">
        <f t="shared" ca="1" si="28"/>
        <v>1</v>
      </c>
      <c r="D214" s="234">
        <f t="shared" ca="1" si="29"/>
        <v>1</v>
      </c>
      <c r="E214" s="234">
        <f t="shared" ca="1" si="4"/>
        <v>0</v>
      </c>
      <c r="F214" s="244"/>
      <c r="G214" s="245"/>
      <c r="H214" s="246" t="s">
        <v>244</v>
      </c>
      <c r="I214" s="247" t="str">
        <f t="shared" ca="1" si="5"/>
        <v>15.001.001</v>
      </c>
      <c r="J214" s="248" t="s">
        <v>496</v>
      </c>
      <c r="K214" s="249"/>
      <c r="L214" s="250"/>
      <c r="M214" s="250"/>
      <c r="N214" s="251">
        <f ca="1">IF(H214="Serviço",M214*L214,IF(H214="CÉLULA CONSTRUTIVA",SUMIFS($N$8:$N$352,$B$8:$B$352,B214,$H$8:$H$352,"Serviço"),IF(H214="ETAPA",SUMIFS($N$8:$N$352,$B$8:$B$352,B214,$C$8:$C$352,C214,$H$8:$H$352,"Serviço"),IF(H214="SUBETAPA",SUMIFS($N$8:$N$352,$B$8:$B$352,B214,$C$8:$C$352,C214,$D$8:$D$352,D214,$H$8:$H$352,"Serviço"),0))))</f>
        <v>637266.21005988878</v>
      </c>
      <c r="O214" s="252"/>
      <c r="P214" s="253"/>
      <c r="Q214" s="293"/>
    </row>
    <row r="215" spans="1:17" ht="13.5" hidden="1" customHeight="1" outlineLevel="2" x14ac:dyDescent="0.2">
      <c r="A215" s="233">
        <f t="shared" ca="1" si="26"/>
        <v>0</v>
      </c>
      <c r="B215" s="233">
        <f t="shared" ca="1" si="27"/>
        <v>15</v>
      </c>
      <c r="C215" s="233">
        <f t="shared" ca="1" si="28"/>
        <v>1</v>
      </c>
      <c r="D215" s="234">
        <f t="shared" ca="1" si="29"/>
        <v>1</v>
      </c>
      <c r="E215" s="234">
        <f t="shared" ca="1" si="4"/>
        <v>1</v>
      </c>
      <c r="F215" s="244"/>
      <c r="G215" s="245"/>
      <c r="H215" s="246" t="s">
        <v>246</v>
      </c>
      <c r="I215" s="247" t="str">
        <f t="shared" ca="1" si="5"/>
        <v>15.001.001.001</v>
      </c>
      <c r="J215" s="248" t="s">
        <v>5156</v>
      </c>
      <c r="K215" s="249" t="s">
        <v>92</v>
      </c>
      <c r="L215" s="250">
        <f>Arquitetura!I927+Arquitetura!I928+Arquitetura!I932</f>
        <v>348.13000000000005</v>
      </c>
      <c r="M215" s="250">
        <f>IFERROR(VLOOKUP(J215,CPU!$D$2:$H$6171,5,FALSE),0)</f>
        <v>42.708544333333343</v>
      </c>
      <c r="N215" s="251">
        <f>IF(H215="Serviço",M215*L215,IF(H215="CÉLULA CONSTRUTIVA",SUMIFS($N$8:$N$352,$B$8:$B$352,B215,$H$8:$H$352,"Serviço"),IF(H215="ETAPA",SUMIFS($N$8:$N$352,$B$8:$B$352,B215,$C$8:$C$352,C215,$H$8:$H$352,"Serviço"),IF(H215="SUBETAPA",SUMIFS($N$8:$N$352,$B$8:$B$352,B215,$C$8:$C$352,C215,$D$8:$D$352,D215,$H$8:$H$352,"Serviço"),0))))</f>
        <v>14868.125538763339</v>
      </c>
      <c r="O215" s="252"/>
      <c r="P215" s="253" t="s">
        <v>366</v>
      </c>
      <c r="Q215" s="293"/>
    </row>
    <row r="216" spans="1:17" ht="13.5" hidden="1" customHeight="1" outlineLevel="2" x14ac:dyDescent="0.2">
      <c r="A216" s="233">
        <f t="shared" ca="1" si="26"/>
        <v>0</v>
      </c>
      <c r="B216" s="233">
        <f t="shared" ca="1" si="27"/>
        <v>15</v>
      </c>
      <c r="C216" s="233">
        <f t="shared" ca="1" si="28"/>
        <v>1</v>
      </c>
      <c r="D216" s="234">
        <f t="shared" ca="1" si="29"/>
        <v>1</v>
      </c>
      <c r="E216" s="234">
        <f t="shared" ca="1" si="4"/>
        <v>2</v>
      </c>
      <c r="F216" s="244"/>
      <c r="G216" s="245"/>
      <c r="H216" s="246" t="s">
        <v>246</v>
      </c>
      <c r="I216" s="247" t="str">
        <f t="shared" ca="1" si="5"/>
        <v>15.001.001.002</v>
      </c>
      <c r="J216" s="965" t="s">
        <v>5157</v>
      </c>
      <c r="K216" s="249" t="s">
        <v>92</v>
      </c>
      <c r="L216" s="250">
        <f>Arquitetura!I929+Arquitetura!I930</f>
        <v>7063.17</v>
      </c>
      <c r="M216" s="250">
        <f>IFERROR(VLOOKUP(J216,CPU!$D$2:$H$6171,5,FALSE),0)</f>
        <v>68.333670933333352</v>
      </c>
      <c r="N216" s="251">
        <f>IF(H216="Serviço",M216*L216,IF(H216="CÉLULA CONSTRUTIVA",SUMIFS($N$8:$N$352,$B$8:$B$352,B216,$H$8:$H$352,"Serviço"),IF(H216="ETAPA",SUMIFS($N$8:$N$352,$B$8:$B$352,B216,$C$8:$C$352,C216,$H$8:$H$352,"Serviço"),IF(H216="SUBETAPA",SUMIFS($N$8:$N$352,$B$8:$B$352,B216,$C$8:$C$352,C216,$D$8:$D$352,D216,$H$8:$H$352,"Serviço"),0))))</f>
        <v>482652.33452619211</v>
      </c>
      <c r="O216" s="252"/>
      <c r="P216" s="253" t="s">
        <v>366</v>
      </c>
      <c r="Q216" s="293"/>
    </row>
    <row r="217" spans="1:17" ht="13.5" hidden="1" customHeight="1" outlineLevel="2" x14ac:dyDescent="0.2">
      <c r="A217" s="233">
        <f t="shared" ca="1" si="26"/>
        <v>0</v>
      </c>
      <c r="B217" s="233">
        <f t="shared" ca="1" si="27"/>
        <v>15</v>
      </c>
      <c r="C217" s="233">
        <f t="shared" ca="1" si="28"/>
        <v>1</v>
      </c>
      <c r="D217" s="234">
        <f t="shared" ca="1" si="29"/>
        <v>1</v>
      </c>
      <c r="E217" s="234">
        <f t="shared" ca="1" si="4"/>
        <v>3</v>
      </c>
      <c r="F217" s="244"/>
      <c r="G217" s="245"/>
      <c r="H217" s="246" t="s">
        <v>246</v>
      </c>
      <c r="I217" s="247" t="str">
        <f t="shared" ca="1" si="5"/>
        <v>15.001.001.003</v>
      </c>
      <c r="J217" s="965" t="s">
        <v>5159</v>
      </c>
      <c r="K217" s="249" t="s">
        <v>92</v>
      </c>
      <c r="L217" s="250">
        <f>Arquitetura!I930</f>
        <v>3056.56</v>
      </c>
      <c r="M217" s="250">
        <f>IFERROR(VLOOKUP(J217,CPU!$D$2:$H$6171,5,FALSE),0)</f>
        <v>45.719943333333333</v>
      </c>
      <c r="N217" s="251">
        <f>IF(H217="Serviço",M217*L217,IF(H217="CÉLULA CONSTRUTIVA",SUMIFS($N$8:$N$352,$B$8:$B$352,B217,$H$8:$H$352,"Serviço"),IF(H217="ETAPA",SUMIFS($N$8:$N$352,$B$8:$B$352,B217,$C$8:$C$352,C217,$H$8:$H$352,"Serviço"),IF(H217="SUBETAPA",SUMIFS($N$8:$N$352,$B$8:$B$352,B217,$C$8:$C$352,C217,$D$8:$D$352,D217,$H$8:$H$352,"Serviço"),0))))</f>
        <v>139745.74999493334</v>
      </c>
      <c r="O217" s="252"/>
      <c r="P217" s="253" t="s">
        <v>366</v>
      </c>
      <c r="Q217" s="293"/>
    </row>
    <row r="218" spans="1:17" ht="13.5" hidden="1" customHeight="1" outlineLevel="1" x14ac:dyDescent="0.2">
      <c r="A218" s="233">
        <f t="shared" ca="1" si="26"/>
        <v>0</v>
      </c>
      <c r="B218" s="233">
        <f t="shared" ca="1" si="27"/>
        <v>15</v>
      </c>
      <c r="C218" s="233">
        <f t="shared" ca="1" si="28"/>
        <v>1</v>
      </c>
      <c r="D218" s="234">
        <f t="shared" ca="1" si="29"/>
        <v>2</v>
      </c>
      <c r="E218" s="234">
        <f t="shared" ca="1" si="4"/>
        <v>0</v>
      </c>
      <c r="F218" s="244"/>
      <c r="G218" s="245"/>
      <c r="H218" s="246" t="s">
        <v>244</v>
      </c>
      <c r="I218" s="247" t="str">
        <f t="shared" ca="1" si="5"/>
        <v>15.001.002</v>
      </c>
      <c r="J218" s="248" t="s">
        <v>498</v>
      </c>
      <c r="K218" s="249"/>
      <c r="L218" s="250"/>
      <c r="M218" s="250"/>
      <c r="N218" s="251">
        <f ca="1">IF(H218="Serviço",M218*L218,IF(H218="CÉLULA CONSTRUTIVA",SUMIFS($N$8:$N$352,$B$8:$B$352,B218,$H$8:$H$352,"Serviço"),IF(H218="ETAPA",SUMIFS($N$8:$N$352,$B$8:$B$352,B218,$C$8:$C$352,C218,$H$8:$H$352,"Serviço"),IF(H218="SUBETAPA",SUMIFS($N$8:$N$352,$B$8:$B$352,B218,$C$8:$C$352,C218,$D$8:$D$352,D218,$H$8:$H$352,"Serviço"),0))))</f>
        <v>601012.36270500009</v>
      </c>
      <c r="O218" s="252"/>
      <c r="P218" s="253"/>
      <c r="Q218" s="293"/>
    </row>
    <row r="219" spans="1:17" ht="13.5" hidden="1" customHeight="1" outlineLevel="2" x14ac:dyDescent="0.2">
      <c r="A219" s="233">
        <f t="shared" ca="1" si="26"/>
        <v>0</v>
      </c>
      <c r="B219" s="233">
        <f t="shared" ca="1" si="27"/>
        <v>15</v>
      </c>
      <c r="C219" s="233">
        <f t="shared" ca="1" si="28"/>
        <v>1</v>
      </c>
      <c r="D219" s="234">
        <f t="shared" ca="1" si="29"/>
        <v>2</v>
      </c>
      <c r="E219" s="234">
        <f t="shared" ca="1" si="4"/>
        <v>1</v>
      </c>
      <c r="F219" s="244"/>
      <c r="G219" s="245"/>
      <c r="H219" s="246" t="s">
        <v>246</v>
      </c>
      <c r="I219" s="247" t="str">
        <f t="shared" ca="1" si="5"/>
        <v>15.001.002.001</v>
      </c>
      <c r="J219" s="300" t="s">
        <v>686</v>
      </c>
      <c r="K219" s="249" t="s">
        <v>92</v>
      </c>
      <c r="L219" s="250">
        <f>Arquitetura!I935+Arquitetura!I940+Arquitetura!I479</f>
        <v>5110.3700000000008</v>
      </c>
      <c r="M219" s="250">
        <f>IFERROR(VLOOKUP(J219,CPU!$D$2:$H$6171,5,FALSE),0)</f>
        <v>93.49</v>
      </c>
      <c r="N219" s="251">
        <f>IF(H219="Serviço",M219*L219,IF(H219="CÉLULA CONSTRUTIVA",SUMIFS($N$8:$N$352,$B$8:$B$352,B219,$H$8:$H$352,"Serviço"),IF(H219="ETAPA",SUMIFS($N$8:$N$352,$B$8:$B$352,B219,$C$8:$C$352,C219,$H$8:$H$352,"Serviço"),IF(H219="SUBETAPA",SUMIFS($N$8:$N$352,$B$8:$B$352,B219,$C$8:$C$352,C219,$D$8:$D$352,D219,$H$8:$H$352,"Serviço"),0))))</f>
        <v>477768.49130000005</v>
      </c>
      <c r="O219" s="252"/>
      <c r="P219" s="253" t="s">
        <v>366</v>
      </c>
      <c r="Q219" s="293"/>
    </row>
    <row r="220" spans="1:17" ht="13.5" hidden="1" customHeight="1" outlineLevel="2" x14ac:dyDescent="0.2">
      <c r="A220" s="233">
        <f t="shared" ca="1" si="26"/>
        <v>0</v>
      </c>
      <c r="B220" s="233">
        <f t="shared" ca="1" si="27"/>
        <v>15</v>
      </c>
      <c r="C220" s="233">
        <f t="shared" ca="1" si="28"/>
        <v>1</v>
      </c>
      <c r="D220" s="234">
        <f t="shared" ca="1" si="29"/>
        <v>2</v>
      </c>
      <c r="E220" s="234">
        <f t="shared" ca="1" si="4"/>
        <v>2</v>
      </c>
      <c r="F220" s="244"/>
      <c r="G220" s="245"/>
      <c r="H220" s="246" t="s">
        <v>246</v>
      </c>
      <c r="I220" s="247" t="str">
        <f t="shared" ca="1" si="5"/>
        <v>15.001.002.002</v>
      </c>
      <c r="J220" s="300" t="s">
        <v>501</v>
      </c>
      <c r="K220" s="249" t="s">
        <v>92</v>
      </c>
      <c r="L220" s="250">
        <f>Arquitetura!I934+Arquitetura!I939</f>
        <v>1605.2700000000002</v>
      </c>
      <c r="M220" s="250">
        <f>IFERROR(VLOOKUP(J220,CPU!$D$2:$H$6171,5,FALSE),0)</f>
        <v>58.176500000000011</v>
      </c>
      <c r="N220" s="251">
        <f>IF(H220="Serviço",M220*L220,IF(H220="CÉLULA CONSTRUTIVA",SUMIFS($N$8:$N$352,$B$8:$B$352,B220,$H$8:$H$352,"Serviço"),IF(H220="ETAPA",SUMIFS($N$8:$N$352,$B$8:$B$352,B220,$C$8:$C$352,C220,$H$8:$H$352,"Serviço"),IF(H220="SUBETAPA",SUMIFS($N$8:$N$352,$B$8:$B$352,B220,$C$8:$C$352,C220,$D$8:$D$352,D220,$H$8:$H$352,"Serviço"),0))))</f>
        <v>93388.990155000036</v>
      </c>
      <c r="O220" s="960" t="s">
        <v>5162</v>
      </c>
      <c r="P220" s="253" t="s">
        <v>366</v>
      </c>
      <c r="Q220" s="293"/>
    </row>
    <row r="221" spans="1:17" ht="13.5" hidden="1" customHeight="1" outlineLevel="2" x14ac:dyDescent="0.2">
      <c r="A221" s="233">
        <f t="shared" ca="1" si="26"/>
        <v>0</v>
      </c>
      <c r="B221" s="233">
        <f t="shared" ca="1" si="27"/>
        <v>15</v>
      </c>
      <c r="C221" s="233">
        <f t="shared" ca="1" si="28"/>
        <v>1</v>
      </c>
      <c r="D221" s="234">
        <f t="shared" ref="D221" ca="1" si="35">IF(H221="ETAPA",0,IF(H221="SUBETAPA",OFFSET(D221,-1,0)+1,OFFSET(D221,-1,0)))</f>
        <v>2</v>
      </c>
      <c r="E221" s="234">
        <f t="shared" ref="E221" ca="1" si="36">IF(H221="Subetapa",0,IF(H221="serviço",OFFSET(E221,-1,0)+1,OFFSET(E221,-1,0)))</f>
        <v>3</v>
      </c>
      <c r="F221" s="244"/>
      <c r="G221" s="245"/>
      <c r="H221" s="246" t="s">
        <v>246</v>
      </c>
      <c r="I221" s="247" t="str">
        <f t="shared" ref="I221" ca="1" si="37">IF(H221="Unidade Construtiva",TEXT(A221,"00"),IF(H221="Célula Construtiva",TEXT(B221,"00"),IF(H221="Etapa",CONCATENATE(TEXT(B221,"00"),".",TEXT(C221,"000")),IF(H221="Subetapa",CONCATENATE(TEXT(B221,"00"),".",TEXT(C221,"000"),".",TEXT(D221,"000")),IF(H221="Serviço",CONCATENATE(TEXT(B221,"00"),".",TEXT(C221,"000"),".",TEXT(D221,"000"),".",TEXT(E221,"000")),"")))))</f>
        <v>15.001.002.003</v>
      </c>
      <c r="J221" s="300" t="s">
        <v>689</v>
      </c>
      <c r="K221" s="249" t="s">
        <v>92</v>
      </c>
      <c r="L221" s="250">
        <f>Arquitetura!I474+Arquitetura!I473</f>
        <v>185.74</v>
      </c>
      <c r="M221" s="250">
        <f>IFERROR(VLOOKUP(J221,CPU!$D$2:$H$6171,5,FALSE),0)</f>
        <v>159.54500000000002</v>
      </c>
      <c r="N221" s="251">
        <f>IF(H221="Serviço",M221*L221,IF(H221="CÉLULA CONSTRUTIVA",SUMIFS($N$8:$N$352,$B$8:$B$352,B221,$H$8:$H$352,"Serviço"),IF(H221="ETAPA",SUMIFS($N$8:$N$352,$B$8:$B$352,B221,$C$8:$C$352,C221,$H$8:$H$352,"Serviço"),IF(H221="SUBETAPA",SUMIFS($N$8:$N$352,$B$8:$B$352,B221,$C$8:$C$352,C221,$D$8:$D$352,D221,$H$8:$H$352,"Serviço"),0))))</f>
        <v>29633.888300000006</v>
      </c>
      <c r="O221" s="960" t="s">
        <v>5161</v>
      </c>
      <c r="P221" s="253" t="s">
        <v>366</v>
      </c>
      <c r="Q221" s="293"/>
    </row>
    <row r="222" spans="1:17" ht="13.5" hidden="1" customHeight="1" outlineLevel="2" x14ac:dyDescent="0.2">
      <c r="A222" s="233">
        <f t="shared" ca="1" si="26"/>
        <v>0</v>
      </c>
      <c r="B222" s="233">
        <f t="shared" ca="1" si="27"/>
        <v>15</v>
      </c>
      <c r="C222" s="233">
        <f t="shared" ca="1" si="28"/>
        <v>1</v>
      </c>
      <c r="D222" s="234">
        <f t="shared" ref="D222" ca="1" si="38">IF(H222="ETAPA",0,IF(H222="SUBETAPA",OFFSET(D222,-1,0)+1,OFFSET(D222,-1,0)))</f>
        <v>2</v>
      </c>
      <c r="E222" s="234">
        <f t="shared" ref="E222" ca="1" si="39">IF(H222="Subetapa",0,IF(H222="serviço",OFFSET(E222,-1,0)+1,OFFSET(E222,-1,0)))</f>
        <v>4</v>
      </c>
      <c r="F222" s="244"/>
      <c r="G222" s="245"/>
      <c r="H222" s="246" t="s">
        <v>246</v>
      </c>
      <c r="I222" s="247" t="str">
        <f t="shared" ref="I222" ca="1" si="40">IF(H222="Unidade Construtiva",TEXT(A222,"00"),IF(H222="Célula Construtiva",TEXT(B222,"00"),IF(H222="Etapa",CONCATENATE(TEXT(B222,"00"),".",TEXT(C222,"000")),IF(H222="Subetapa",CONCATENATE(TEXT(B222,"00"),".",TEXT(C222,"000"),".",TEXT(D222,"000")),IF(H222="Serviço",CONCATENATE(TEXT(B222,"00"),".",TEXT(C222,"000"),".",TEXT(D222,"000"),".",TEXT(E222,"000")),"")))))</f>
        <v>15.001.002.004</v>
      </c>
      <c r="J222" s="974" t="s">
        <v>5160</v>
      </c>
      <c r="K222" s="249" t="s">
        <v>92</v>
      </c>
      <c r="L222" s="250">
        <f>Arquitetura!I936</f>
        <v>2.5099999999999998</v>
      </c>
      <c r="M222" s="250">
        <f>IFERROR(VLOOKUP(J222,CPU!$D$2:$H$6171,5,FALSE),0)</f>
        <v>88.044999999999987</v>
      </c>
      <c r="N222" s="251">
        <f>IF(H222="Serviço",M222*L222,IF(H222="CÉLULA CONSTRUTIVA",SUMIFS($N$8:$N$352,$B$8:$B$352,B222,$H$8:$H$352,"Serviço"),IF(H222="ETAPA",SUMIFS($N$8:$N$352,$B$8:$B$352,B222,$C$8:$C$352,C222,$H$8:$H$352,"Serviço"),IF(H222="SUBETAPA",SUMIFS($N$8:$N$352,$B$8:$B$352,B222,$C$8:$C$352,C222,$D$8:$D$352,D222,$H$8:$H$352,"Serviço"),0))))</f>
        <v>220.99294999999995</v>
      </c>
      <c r="O222" s="252"/>
      <c r="P222" s="253" t="s">
        <v>366</v>
      </c>
      <c r="Q222" s="293"/>
    </row>
    <row r="223" spans="1:17" ht="13.5" hidden="1" customHeight="1" outlineLevel="1" x14ac:dyDescent="0.2">
      <c r="A223" s="233">
        <f t="shared" ca="1" si="26"/>
        <v>0</v>
      </c>
      <c r="B223" s="233">
        <f t="shared" ca="1" si="27"/>
        <v>15</v>
      </c>
      <c r="C223" s="233">
        <f t="shared" ca="1" si="28"/>
        <v>1</v>
      </c>
      <c r="D223" s="234">
        <f t="shared" ca="1" si="29"/>
        <v>3</v>
      </c>
      <c r="E223" s="234">
        <f t="shared" ca="1" si="4"/>
        <v>0</v>
      </c>
      <c r="F223" s="244"/>
      <c r="G223" s="245"/>
      <c r="H223" s="246" t="s">
        <v>244</v>
      </c>
      <c r="I223" s="247" t="str">
        <f t="shared" ca="1" si="5"/>
        <v>15.001.003</v>
      </c>
      <c r="J223" s="248" t="s">
        <v>502</v>
      </c>
      <c r="K223" s="249"/>
      <c r="L223" s="250"/>
      <c r="M223" s="250"/>
      <c r="N223" s="251">
        <f ca="1">IF(H223="Serviço",M223*L223,IF(H223="CÉLULA CONSTRUTIVA",SUMIFS($N$8:$N$352,$B$8:$B$352,B223,$H$8:$H$352,"Serviço"),IF(H223="ETAPA",SUMIFS($N$8:$N$352,$B$8:$B$352,B223,$C$8:$C$352,C223,$H$8:$H$352,"Serviço"),IF(H223="SUBETAPA",SUMIFS($N$8:$N$352,$B$8:$B$352,B223,$C$8:$C$352,C223,$D$8:$D$352,D223,$H$8:$H$352,"Serviço"),0))))</f>
        <v>56368.17902399</v>
      </c>
      <c r="O223" s="252"/>
      <c r="P223" s="253"/>
      <c r="Q223" s="293"/>
    </row>
    <row r="224" spans="1:17" ht="13.5" hidden="1" customHeight="1" outlineLevel="2" x14ac:dyDescent="0.2">
      <c r="A224" s="233">
        <f t="shared" ca="1" si="26"/>
        <v>0</v>
      </c>
      <c r="B224" s="233">
        <f t="shared" ca="1" si="27"/>
        <v>15</v>
      </c>
      <c r="C224" s="233">
        <f t="shared" ca="1" si="28"/>
        <v>1</v>
      </c>
      <c r="D224" s="234">
        <f t="shared" ca="1" si="29"/>
        <v>3</v>
      </c>
      <c r="E224" s="234">
        <f t="shared" ca="1" si="4"/>
        <v>1</v>
      </c>
      <c r="F224" s="244"/>
      <c r="G224" s="245"/>
      <c r="H224" s="246" t="s">
        <v>246</v>
      </c>
      <c r="I224" s="247" t="str">
        <f t="shared" ca="1" si="5"/>
        <v>15.001.003.001</v>
      </c>
      <c r="J224" s="974" t="s">
        <v>683</v>
      </c>
      <c r="K224" s="249" t="s">
        <v>92</v>
      </c>
      <c r="L224" s="250">
        <f>Arquitetura!I937</f>
        <v>64.849999999999994</v>
      </c>
      <c r="M224" s="250">
        <f>IFERROR(VLOOKUP(J224,CPU!$D$2:$H$6171,5,FALSE),0)</f>
        <v>822.7</v>
      </c>
      <c r="N224" s="251">
        <f>IF(H224="Serviço",M224*L224,IF(H224="CÉLULA CONSTRUTIVA",SUMIFS($N$8:$N$352,$B$8:$B$352,B224,$H$8:$H$352,"Serviço"),IF(H224="ETAPA",SUMIFS($N$8:$N$352,$B$8:$B$352,B224,$C$8:$C$352,C224,$H$8:$H$352,"Serviço"),IF(H224="SUBETAPA",SUMIFS($N$8:$N$352,$B$8:$B$352,B224,$C$8:$C$352,C224,$D$8:$D$352,D224,$H$8:$H$352,"Serviço"),0))))</f>
        <v>53352.095000000001</v>
      </c>
      <c r="O224" s="252"/>
      <c r="P224" s="253" t="s">
        <v>366</v>
      </c>
      <c r="Q224" s="293"/>
    </row>
    <row r="225" spans="1:19" ht="13.5" hidden="1" customHeight="1" outlineLevel="2" x14ac:dyDescent="0.2">
      <c r="A225" s="233">
        <f t="shared" ca="1" si="26"/>
        <v>0</v>
      </c>
      <c r="B225" s="233">
        <f t="shared" ca="1" si="27"/>
        <v>15</v>
      </c>
      <c r="C225" s="233">
        <f t="shared" ca="1" si="28"/>
        <v>1</v>
      </c>
      <c r="D225" s="234">
        <f t="shared" ref="D225:D229" ca="1" si="41">IF(H225="ETAPA",0,IF(H225="SUBETAPA",OFFSET(D225,-1,0)+1,OFFSET(D225,-1,0)))</f>
        <v>3</v>
      </c>
      <c r="E225" s="234">
        <f t="shared" ref="E225:E229" ca="1" si="42">IF(H225="Subetapa",0,IF(H225="serviço",OFFSET(E225,-1,0)+1,OFFSET(E225,-1,0)))</f>
        <v>2</v>
      </c>
      <c r="F225" s="244"/>
      <c r="G225" s="245"/>
      <c r="H225" s="246" t="s">
        <v>246</v>
      </c>
      <c r="I225" s="247" t="str">
        <f t="shared" ref="I225:I229" ca="1" si="43">IF(H225="Unidade Construtiva",TEXT(A225,"00"),IF(H225="Célula Construtiva",TEXT(B225,"00"),IF(H225="Etapa",CONCATENATE(TEXT(B225,"00"),".",TEXT(C225,"000")),IF(H225="Subetapa",CONCATENATE(TEXT(B225,"00"),".",TEXT(C225,"000"),".",TEXT(D225,"000")),IF(H225="Serviço",CONCATENATE(TEXT(B225,"00"),".",TEXT(C225,"000"),".",TEXT(D225,"000"),".",TEXT(E225,"000")),"")))))</f>
        <v>15.001.003.002</v>
      </c>
      <c r="J225" s="974" t="s">
        <v>500</v>
      </c>
      <c r="K225" s="249" t="s">
        <v>92</v>
      </c>
      <c r="L225" s="250">
        <f>Arquitetura!I938</f>
        <v>29.57</v>
      </c>
      <c r="M225" s="250">
        <f>IFERROR(VLOOKUP(J225,CPU!$D$2:$H$6171,5,FALSE),0)</f>
        <v>101.998107</v>
      </c>
      <c r="N225" s="251">
        <f>IF(H225="Serviço",M225*L225,IF(H225="CÉLULA CONSTRUTIVA",SUMIFS($N$8:$N$352,$B$8:$B$352,B225,$H$8:$H$352,"Serviço"),IF(H225="ETAPA",SUMIFS($N$8:$N$352,$B$8:$B$352,B225,$C$8:$C$352,C225,$H$8:$H$352,"Serviço"),IF(H225="SUBETAPA",SUMIFS($N$8:$N$352,$B$8:$B$352,B225,$C$8:$C$352,C225,$D$8:$D$352,D225,$H$8:$H$352,"Serviço"),0))))</f>
        <v>3016.0840239900003</v>
      </c>
      <c r="O225" s="252"/>
      <c r="P225" s="253" t="s">
        <v>366</v>
      </c>
      <c r="Q225" s="293"/>
    </row>
    <row r="226" spans="1:19" ht="13.5" hidden="1" customHeight="1" outlineLevel="1" x14ac:dyDescent="0.2">
      <c r="A226" s="233">
        <f t="shared" ca="1" si="26"/>
        <v>0</v>
      </c>
      <c r="B226" s="233">
        <f t="shared" ca="1" si="27"/>
        <v>15</v>
      </c>
      <c r="C226" s="233">
        <f t="shared" ca="1" si="28"/>
        <v>1</v>
      </c>
      <c r="D226" s="234">
        <f t="shared" ca="1" si="41"/>
        <v>4</v>
      </c>
      <c r="E226" s="234">
        <f t="shared" ca="1" si="42"/>
        <v>0</v>
      </c>
      <c r="F226" s="244"/>
      <c r="G226" s="245"/>
      <c r="H226" s="246" t="s">
        <v>244</v>
      </c>
      <c r="I226" s="247" t="str">
        <f t="shared" ca="1" si="43"/>
        <v>15.001.004</v>
      </c>
      <c r="J226" s="248" t="s">
        <v>5164</v>
      </c>
      <c r="K226" s="249"/>
      <c r="L226" s="250"/>
      <c r="M226" s="250"/>
      <c r="N226" s="251">
        <f ca="1">IF(H226="Serviço",M226*L226,IF(H226="CÉLULA CONSTRUTIVA",SUMIFS($N$8:$N$352,$B$8:$B$352,B226,$H$8:$H$352,"Serviço"),IF(H226="ETAPA",SUMIFS($N$8:$N$352,$B$8:$B$352,B226,$C$8:$C$352,C226,$H$8:$H$352,"Serviço"),IF(H226="SUBETAPA",SUMIFS($N$8:$N$352,$B$8:$B$352,B226,$C$8:$C$352,C226,$D$8:$D$352,D226,$H$8:$H$352,"Serviço"),0))))</f>
        <v>54645.725007000015</v>
      </c>
      <c r="O226" s="252"/>
      <c r="P226" s="253"/>
      <c r="Q226" s="293"/>
    </row>
    <row r="227" spans="1:19" s="997" customFormat="1" ht="13.9" hidden="1" customHeight="1" outlineLevel="2" x14ac:dyDescent="0.2">
      <c r="A227" s="233">
        <f t="shared" ca="1" si="26"/>
        <v>0</v>
      </c>
      <c r="B227" s="233">
        <f t="shared" ca="1" si="27"/>
        <v>15</v>
      </c>
      <c r="C227" s="233">
        <f t="shared" ca="1" si="28"/>
        <v>1</v>
      </c>
      <c r="D227" s="996">
        <f t="shared" ca="1" si="41"/>
        <v>4</v>
      </c>
      <c r="E227" s="996">
        <f t="shared" ca="1" si="42"/>
        <v>1</v>
      </c>
      <c r="G227" s="998"/>
      <c r="H227" s="246" t="s">
        <v>246</v>
      </c>
      <c r="I227" s="247" t="str">
        <f t="shared" ca="1" si="43"/>
        <v>15.001.004.001</v>
      </c>
      <c r="J227" s="974" t="s">
        <v>5165</v>
      </c>
      <c r="K227" s="249" t="s">
        <v>79</v>
      </c>
      <c r="L227" s="250">
        <f>Arquitetura!I1410</f>
        <v>701.18999999999994</v>
      </c>
      <c r="M227" s="250">
        <f>IFERROR(VLOOKUP(J227,CPU!$D$2:$H$6171,5,FALSE),0)</f>
        <v>6.2459000000000007</v>
      </c>
      <c r="N227" s="251">
        <f>IF(H227="Serviço",M227*L227,IF(H227="CÉLULA CONSTRUTIVA",SUMIFS($N$8:$N$352,$B$8:$B$352,B227,$H$8:$H$352,"Serviço"),IF(H227="ETAPA",SUMIFS($N$8:$N$352,$B$8:$B$352,B227,$C$8:$C$352,C227,$H$8:$H$352,"Serviço"),IF(H227="SUBETAPA",SUMIFS($N$8:$N$352,$B$8:$B$352,B227,$C$8:$C$352,C227,$D$8:$D$352,D227,$H$8:$H$352,"Serviço"),0))))</f>
        <v>4379.562621</v>
      </c>
      <c r="O227" s="999"/>
      <c r="P227" s="253" t="s">
        <v>366</v>
      </c>
      <c r="Q227" s="1000"/>
      <c r="R227" s="1001"/>
      <c r="S227" s="1001"/>
    </row>
    <row r="228" spans="1:19" s="997" customFormat="1" ht="13.9" hidden="1" customHeight="1" outlineLevel="2" x14ac:dyDescent="0.2">
      <c r="A228" s="233">
        <f t="shared" ca="1" si="26"/>
        <v>0</v>
      </c>
      <c r="B228" s="233">
        <f t="shared" ca="1" si="27"/>
        <v>15</v>
      </c>
      <c r="C228" s="233">
        <f t="shared" ca="1" si="28"/>
        <v>1</v>
      </c>
      <c r="D228" s="996">
        <f t="shared" ca="1" si="41"/>
        <v>4</v>
      </c>
      <c r="E228" s="996">
        <f t="shared" ca="1" si="42"/>
        <v>2</v>
      </c>
      <c r="G228" s="998"/>
      <c r="H228" s="246" t="s">
        <v>246</v>
      </c>
      <c r="I228" s="247" t="str">
        <f t="shared" ca="1" si="43"/>
        <v>15.001.004.002</v>
      </c>
      <c r="J228" s="974" t="s">
        <v>693</v>
      </c>
      <c r="K228" s="249" t="s">
        <v>79</v>
      </c>
      <c r="L228" s="250">
        <f>Arquitetura!I1411</f>
        <v>593.82999999999993</v>
      </c>
      <c r="M228" s="250">
        <f>IFERROR(VLOOKUP(J228,CPU!$D$2:$H$6171,5,FALSE),0)</f>
        <v>33.872200000000007</v>
      </c>
      <c r="N228" s="251">
        <f>IF(H228="Serviço",M228*L228,IF(H228="CÉLULA CONSTRUTIVA",SUMIFS($N$8:$N$352,$B$8:$B$352,B228,$H$8:$H$352,"Serviço"),IF(H228="ETAPA",SUMIFS($N$8:$N$352,$B$8:$B$352,B228,$C$8:$C$352,C228,$H$8:$H$352,"Serviço"),IF(H228="SUBETAPA",SUMIFS($N$8:$N$352,$B$8:$B$352,B228,$C$8:$C$352,C228,$D$8:$D$352,D228,$H$8:$H$352,"Serviço"),0))))</f>
        <v>20114.328526000001</v>
      </c>
      <c r="O228" s="999"/>
      <c r="P228" s="253" t="s">
        <v>366</v>
      </c>
      <c r="Q228" s="1000"/>
      <c r="R228" s="1001"/>
      <c r="S228" s="1001"/>
    </row>
    <row r="229" spans="1:19" s="997" customFormat="1" ht="13.9" hidden="1" customHeight="1" outlineLevel="2" x14ac:dyDescent="0.2">
      <c r="A229" s="233">
        <f t="shared" ca="1" si="26"/>
        <v>0</v>
      </c>
      <c r="B229" s="233">
        <f t="shared" ca="1" si="27"/>
        <v>15</v>
      </c>
      <c r="C229" s="233">
        <f t="shared" ca="1" si="28"/>
        <v>1</v>
      </c>
      <c r="D229" s="996">
        <f t="shared" ca="1" si="41"/>
        <v>4</v>
      </c>
      <c r="E229" s="996">
        <f t="shared" ca="1" si="42"/>
        <v>3</v>
      </c>
      <c r="G229" s="998"/>
      <c r="H229" s="246" t="s">
        <v>246</v>
      </c>
      <c r="I229" s="247" t="str">
        <f t="shared" ca="1" si="43"/>
        <v>15.001.004.003</v>
      </c>
      <c r="J229" s="974" t="s">
        <v>695</v>
      </c>
      <c r="K229" s="249" t="s">
        <v>79</v>
      </c>
      <c r="L229" s="250">
        <f>Arquitetura!I1412</f>
        <v>3225.1400000000008</v>
      </c>
      <c r="M229" s="250">
        <f>IFERROR(VLOOKUP(J229,CPU!$D$2:$H$6171,5,FALSE),0)</f>
        <v>9.3490000000000002</v>
      </c>
      <c r="N229" s="251">
        <f>IF(H229="Serviço",M229*L229,IF(H229="CÉLULA CONSTRUTIVA",SUMIFS($N$8:$N$352,$B$8:$B$352,B229,$H$8:$H$352,"Serviço"),IF(H229="ETAPA",SUMIFS($N$8:$N$352,$B$8:$B$352,B229,$C$8:$C$352,C229,$H$8:$H$352,"Serviço"),IF(H229="SUBETAPA",SUMIFS($N$8:$N$352,$B$8:$B$352,B229,$C$8:$C$352,C229,$D$8:$D$352,D229,$H$8:$H$352,"Serviço"),0))))</f>
        <v>30151.83386000001</v>
      </c>
      <c r="O229" s="999"/>
      <c r="P229" s="253" t="s">
        <v>366</v>
      </c>
      <c r="Q229" s="1000"/>
      <c r="R229" s="1001"/>
      <c r="S229" s="1001"/>
    </row>
    <row r="230" spans="1:19" ht="13.5" hidden="1" customHeight="1" outlineLevel="1" x14ac:dyDescent="0.2">
      <c r="A230" s="233">
        <f t="shared" ca="1" si="26"/>
        <v>0</v>
      </c>
      <c r="B230" s="233">
        <f t="shared" ca="1" si="27"/>
        <v>15</v>
      </c>
      <c r="C230" s="233">
        <f t="shared" ca="1" si="28"/>
        <v>1</v>
      </c>
      <c r="D230" s="234">
        <f t="shared" ca="1" si="29"/>
        <v>5</v>
      </c>
      <c r="E230" s="234">
        <f t="shared" ca="1" si="4"/>
        <v>0</v>
      </c>
      <c r="F230" s="244"/>
      <c r="G230" s="245"/>
      <c r="H230" s="246" t="s">
        <v>244</v>
      </c>
      <c r="I230" s="247" t="str">
        <f t="shared" ca="1" si="5"/>
        <v>15.001.005</v>
      </c>
      <c r="J230" s="248" t="s">
        <v>504</v>
      </c>
      <c r="K230" s="249"/>
      <c r="L230" s="250"/>
      <c r="M230" s="250"/>
      <c r="N230" s="251">
        <f ca="1">IF(H230="Serviço",M230*L230,IF(H230="CÉLULA CONSTRUTIVA",SUMIFS($N$8:$N$352,$B$8:$B$352,B230,$H$8:$H$352,"Serviço"),IF(H230="ETAPA",SUMIFS($N$8:$N$352,$B$8:$B$352,B230,$C$8:$C$352,C230,$H$8:$H$352,"Serviço"),IF(H230="SUBETAPA",SUMIFS($N$8:$N$352,$B$8:$B$352,B230,$C$8:$C$352,C230,$D$8:$D$352,D230,$H$8:$H$352,"Serviço"),0))))</f>
        <v>811634.92000000016</v>
      </c>
      <c r="O230" s="252"/>
      <c r="P230" s="253"/>
      <c r="Q230" s="293"/>
    </row>
    <row r="231" spans="1:19" ht="13.5" hidden="1" customHeight="1" outlineLevel="2" x14ac:dyDescent="0.2">
      <c r="A231" s="233">
        <f t="shared" ca="1" si="26"/>
        <v>0</v>
      </c>
      <c r="B231" s="233">
        <f t="shared" ca="1" si="27"/>
        <v>15</v>
      </c>
      <c r="C231" s="233">
        <f t="shared" ca="1" si="28"/>
        <v>1</v>
      </c>
      <c r="D231" s="234">
        <f t="shared" ca="1" si="29"/>
        <v>5</v>
      </c>
      <c r="E231" s="234">
        <f t="shared" ca="1" si="4"/>
        <v>1</v>
      </c>
      <c r="F231" s="244"/>
      <c r="G231" s="245"/>
      <c r="H231" s="246" t="s">
        <v>246</v>
      </c>
      <c r="I231" s="247" t="str">
        <f t="shared" ca="1" si="5"/>
        <v>15.001.005.001</v>
      </c>
      <c r="J231" s="248" t="s">
        <v>505</v>
      </c>
      <c r="K231" s="249" t="s">
        <v>92</v>
      </c>
      <c r="L231" s="250">
        <f>L216+L215</f>
        <v>7411.3</v>
      </c>
      <c r="M231" s="250">
        <v>40</v>
      </c>
      <c r="N231" s="251">
        <f>IF(H231="Serviço",M231*L231,IF(H231="CÉLULA CONSTRUTIVA",SUMIFS($N$8:$N$352,$B$8:$B$352,B231,$H$8:$H$352,"Serviço"),IF(H231="ETAPA",SUMIFS($N$8:$N$352,$B$8:$B$352,B231,$C$8:$C$352,C231,$H$8:$H$352,"Serviço"),IF(H231="SUBETAPA",SUMIFS($N$8:$N$352,$B$8:$B$352,B231,$C$8:$C$352,C231,$D$8:$D$352,D231,$H$8:$H$352,"Serviço"),0))))</f>
        <v>296452</v>
      </c>
      <c r="O231" s="252"/>
      <c r="P231" s="253" t="s">
        <v>366</v>
      </c>
      <c r="Q231" s="293"/>
    </row>
    <row r="232" spans="1:19" ht="13.5" hidden="1" customHeight="1" outlineLevel="2" x14ac:dyDescent="0.2">
      <c r="A232" s="233">
        <f t="shared" ca="1" si="26"/>
        <v>0</v>
      </c>
      <c r="B232" s="233">
        <f t="shared" ca="1" si="27"/>
        <v>15</v>
      </c>
      <c r="C232" s="233">
        <f t="shared" ca="1" si="28"/>
        <v>1</v>
      </c>
      <c r="D232" s="234">
        <f t="shared" ca="1" si="29"/>
        <v>5</v>
      </c>
      <c r="E232" s="234">
        <f t="shared" ca="1" si="4"/>
        <v>2</v>
      </c>
      <c r="F232" s="244"/>
      <c r="G232" s="245"/>
      <c r="H232" s="246" t="s">
        <v>246</v>
      </c>
      <c r="I232" s="247" t="str">
        <f t="shared" ca="1" si="5"/>
        <v>15.001.005.002</v>
      </c>
      <c r="J232" s="248" t="s">
        <v>506</v>
      </c>
      <c r="K232" s="249" t="s">
        <v>92</v>
      </c>
      <c r="L232" s="250">
        <f>L219+L220</f>
        <v>6715.6400000000012</v>
      </c>
      <c r="M232" s="250">
        <v>60</v>
      </c>
      <c r="N232" s="251">
        <f>IF(H232="Serviço",M232*L232,IF(H232="CÉLULA CONSTRUTIVA",SUMIFS($N$8:$N$352,$B$8:$B$352,B232,$H$8:$H$352,"Serviço"),IF(H232="ETAPA",SUMIFS($N$8:$N$352,$B$8:$B$352,B232,$C$8:$C$352,C232,$H$8:$H$352,"Serviço"),IF(H232="SUBETAPA",SUMIFS($N$8:$N$352,$B$8:$B$352,B232,$C$8:$C$352,C232,$D$8:$D$352,D232,$H$8:$H$352,"Serviço"),0))))</f>
        <v>402938.40000000008</v>
      </c>
      <c r="O232" s="252"/>
      <c r="P232" s="253" t="s">
        <v>366</v>
      </c>
      <c r="Q232" s="293"/>
    </row>
    <row r="233" spans="1:19" ht="13.5" hidden="1" customHeight="1" outlineLevel="2" x14ac:dyDescent="0.2">
      <c r="A233" s="233">
        <f t="shared" ca="1" si="26"/>
        <v>0</v>
      </c>
      <c r="B233" s="233">
        <f t="shared" ca="1" si="27"/>
        <v>15</v>
      </c>
      <c r="C233" s="233">
        <f t="shared" ca="1" si="28"/>
        <v>1</v>
      </c>
      <c r="D233" s="234">
        <f t="shared" ca="1" si="29"/>
        <v>5</v>
      </c>
      <c r="E233" s="234">
        <f t="shared" ca="1" si="4"/>
        <v>3</v>
      </c>
      <c r="F233" s="244"/>
      <c r="G233" s="245"/>
      <c r="H233" s="246" t="s">
        <v>246</v>
      </c>
      <c r="I233" s="247" t="str">
        <f t="shared" ca="1" si="5"/>
        <v>15.001.005.003</v>
      </c>
      <c r="J233" s="248" t="s">
        <v>507</v>
      </c>
      <c r="K233" s="249" t="s">
        <v>92</v>
      </c>
      <c r="L233" s="250">
        <f>L221</f>
        <v>185.74</v>
      </c>
      <c r="M233" s="250">
        <v>68</v>
      </c>
      <c r="N233" s="251">
        <f>IF(H233="Serviço",M233*L233,IF(H233="CÉLULA CONSTRUTIVA",SUMIFS($N$8:$N$352,$B$8:$B$352,B233,$H$8:$H$352,"Serviço"),IF(H233="ETAPA",SUMIFS($N$8:$N$352,$B$8:$B$352,B233,$C$8:$C$352,C233,$H$8:$H$352,"Serviço"),IF(H233="SUBETAPA",SUMIFS($N$8:$N$352,$B$8:$B$352,B233,$C$8:$C$352,C233,$D$8:$D$352,D233,$H$8:$H$352,"Serviço"),0))))</f>
        <v>12630.32</v>
      </c>
      <c r="O233" s="252"/>
      <c r="P233" s="253" t="s">
        <v>366</v>
      </c>
      <c r="Q233" s="293"/>
    </row>
    <row r="234" spans="1:19" ht="13.5" hidden="1" customHeight="1" outlineLevel="2" x14ac:dyDescent="0.2">
      <c r="A234" s="233">
        <f t="shared" ca="1" si="26"/>
        <v>0</v>
      </c>
      <c r="B234" s="233">
        <f t="shared" ca="1" si="27"/>
        <v>15</v>
      </c>
      <c r="C234" s="233">
        <f t="shared" ca="1" si="28"/>
        <v>1</v>
      </c>
      <c r="D234" s="234">
        <f t="shared" ca="1" si="29"/>
        <v>5</v>
      </c>
      <c r="E234" s="234">
        <f t="shared" ca="1" si="4"/>
        <v>4</v>
      </c>
      <c r="F234" s="244"/>
      <c r="G234" s="245"/>
      <c r="H234" s="246" t="s">
        <v>246</v>
      </c>
      <c r="I234" s="247" t="str">
        <f t="shared" ca="1" si="5"/>
        <v>15.001.005.004</v>
      </c>
      <c r="J234" s="965" t="s">
        <v>5163</v>
      </c>
      <c r="K234" s="249" t="s">
        <v>92</v>
      </c>
      <c r="L234" s="250">
        <f>L222</f>
        <v>2.5099999999999998</v>
      </c>
      <c r="M234" s="250">
        <v>68</v>
      </c>
      <c r="N234" s="251">
        <f>IF(H234="Serviço",M234*L234,IF(H234="CÉLULA CONSTRUTIVA",SUMIFS($N$8:$N$352,$B$8:$B$352,B234,$H$8:$H$352,"Serviço"),IF(H234="ETAPA",SUMIFS($N$8:$N$352,$B$8:$B$352,B234,$C$8:$C$352,C234,$H$8:$H$352,"Serviço"),IF(H234="SUBETAPA",SUMIFS($N$8:$N$352,$B$8:$B$352,B234,$C$8:$C$352,C234,$D$8:$D$352,D234,$H$8:$H$352,"Serviço"),0))))</f>
        <v>170.67999999999998</v>
      </c>
      <c r="O234" s="252"/>
      <c r="P234" s="253" t="s">
        <v>366</v>
      </c>
      <c r="Q234" s="293"/>
    </row>
    <row r="235" spans="1:19" ht="13.5" hidden="1" customHeight="1" outlineLevel="2" x14ac:dyDescent="0.2">
      <c r="A235" s="233">
        <f t="shared" ca="1" si="26"/>
        <v>0</v>
      </c>
      <c r="B235" s="233">
        <f t="shared" ca="1" si="27"/>
        <v>15</v>
      </c>
      <c r="C235" s="233">
        <f t="shared" ca="1" si="28"/>
        <v>1</v>
      </c>
      <c r="D235" s="234">
        <f t="shared" ref="D235:D236" ca="1" si="44">IF(H235="ETAPA",0,IF(H235="SUBETAPA",OFFSET(D235,-1,0)+1,OFFSET(D235,-1,0)))</f>
        <v>5</v>
      </c>
      <c r="E235" s="234">
        <f t="shared" ref="E235:E236" ca="1" si="45">IF(H235="Subetapa",0,IF(H235="serviço",OFFSET(E235,-1,0)+1,OFFSET(E235,-1,0)))</f>
        <v>5</v>
      </c>
      <c r="F235" s="244"/>
      <c r="G235" s="245"/>
      <c r="H235" s="246" t="s">
        <v>246</v>
      </c>
      <c r="I235" s="247" t="str">
        <f t="shared" ref="I235:I236" ca="1" si="46">IF(H235="Unidade Construtiva",TEXT(A235,"00"),IF(H235="Célula Construtiva",TEXT(B235,"00"),IF(H235="Etapa",CONCATENATE(TEXT(B235,"00"),".",TEXT(C235,"000")),IF(H235="Subetapa",CONCATENATE(TEXT(B235,"00"),".",TEXT(C235,"000"),".",TEXT(D235,"000")),IF(H235="Serviço",CONCATENATE(TEXT(B235,"00"),".",TEXT(C235,"000"),".",TEXT(D235,"000"),".",TEXT(E235,"000")),"")))))</f>
        <v>15.001.005.005</v>
      </c>
      <c r="J235" s="965" t="s">
        <v>726</v>
      </c>
      <c r="K235" s="249" t="s">
        <v>79</v>
      </c>
      <c r="L235" s="250">
        <f>L228</f>
        <v>593.82999999999993</v>
      </c>
      <c r="M235" s="250">
        <v>22</v>
      </c>
      <c r="N235" s="251">
        <f>IF(H235="Serviço",M235*L235,IF(H235="CÉLULA CONSTRUTIVA",SUMIFS($N$8:$N$352,$B$8:$B$352,B235,$H$8:$H$352,"Serviço"),IF(H235="ETAPA",SUMIFS($N$8:$N$352,$B$8:$B$352,B235,$C$8:$C$352,C235,$H$8:$H$352,"Serviço"),IF(H235="SUBETAPA",SUMIFS($N$8:$N$352,$B$8:$B$352,B235,$C$8:$C$352,C235,$D$8:$D$352,D235,$H$8:$H$352,"Serviço"),0))))</f>
        <v>13064.259999999998</v>
      </c>
      <c r="O235" s="252"/>
      <c r="P235" s="253" t="s">
        <v>366</v>
      </c>
      <c r="Q235" s="293"/>
    </row>
    <row r="236" spans="1:19" ht="13.5" hidden="1" customHeight="1" outlineLevel="2" x14ac:dyDescent="0.2">
      <c r="A236" s="233">
        <f t="shared" ca="1" si="26"/>
        <v>0</v>
      </c>
      <c r="B236" s="233">
        <f t="shared" ca="1" si="27"/>
        <v>15</v>
      </c>
      <c r="C236" s="233">
        <f t="shared" ca="1" si="28"/>
        <v>1</v>
      </c>
      <c r="D236" s="234">
        <f t="shared" ca="1" si="44"/>
        <v>5</v>
      </c>
      <c r="E236" s="234">
        <f t="shared" ca="1" si="45"/>
        <v>6</v>
      </c>
      <c r="F236" s="244"/>
      <c r="G236" s="245"/>
      <c r="H236" s="246" t="s">
        <v>246</v>
      </c>
      <c r="I236" s="247" t="str">
        <f t="shared" ca="1" si="46"/>
        <v>15.001.005.006</v>
      </c>
      <c r="J236" s="965" t="s">
        <v>727</v>
      </c>
      <c r="K236" s="249" t="s">
        <v>79</v>
      </c>
      <c r="L236" s="250">
        <f>L227+L229</f>
        <v>3926.3300000000008</v>
      </c>
      <c r="M236" s="250">
        <v>22</v>
      </c>
      <c r="N236" s="251">
        <f>IF(H236="Serviço",M236*L236,IF(H236="CÉLULA CONSTRUTIVA",SUMIFS($N$8:$N$352,$B$8:$B$352,B236,$H$8:$H$352,"Serviço"),IF(H236="ETAPA",SUMIFS($N$8:$N$352,$B$8:$B$352,B236,$C$8:$C$352,C236,$H$8:$H$352,"Serviço"),IF(H236="SUBETAPA",SUMIFS($N$8:$N$352,$B$8:$B$352,B236,$C$8:$C$352,C236,$D$8:$D$352,D236,$H$8:$H$352,"Serviço"),0))))</f>
        <v>86379.260000000024</v>
      </c>
      <c r="O236" s="252"/>
      <c r="P236" s="253" t="s">
        <v>366</v>
      </c>
      <c r="Q236" s="293"/>
    </row>
    <row r="237" spans="1:19" ht="13.5" customHeight="1" collapsed="1" x14ac:dyDescent="0.2">
      <c r="A237" s="233">
        <f t="shared" ca="1" si="26"/>
        <v>0</v>
      </c>
      <c r="B237" s="233">
        <f t="shared" ca="1" si="27"/>
        <v>16</v>
      </c>
      <c r="C237" s="233">
        <f t="shared" ca="1" si="28"/>
        <v>0</v>
      </c>
      <c r="D237" s="234">
        <f t="shared" ca="1" si="29"/>
        <v>5</v>
      </c>
      <c r="E237" s="234">
        <f t="shared" ca="1" si="4"/>
        <v>6</v>
      </c>
      <c r="F237" s="1012"/>
      <c r="G237" s="245"/>
      <c r="H237" s="246" t="s">
        <v>241</v>
      </c>
      <c r="I237" s="247" t="str">
        <f t="shared" ca="1" si="5"/>
        <v>16</v>
      </c>
      <c r="J237" s="248" t="s">
        <v>53</v>
      </c>
      <c r="K237" s="249"/>
      <c r="L237" s="250"/>
      <c r="M237" s="250"/>
      <c r="N237" s="251">
        <f ca="1">IF(H237="Serviço",M237*L237,IF(H237="CÉLULA CONSTRUTIVA",SUMIFS($N$8:$N$352,$B$8:$B$352,B237,$H$8:$H$352,"Serviço"),IF(H237="ETAPA",SUMIFS($N$8:$N$352,$B$8:$B$352,B237,$C$8:$C$352,C237,$H$8:$H$352,"Serviço"),IF(H237="SUBETAPA",SUMIFS($N$8:$N$352,$B$8:$B$352,B237,$C$8:$C$352,C237,$D$8:$D$352,D237,$H$8:$H$352,"Serviço"),0))))</f>
        <v>1247040.5998755777</v>
      </c>
      <c r="O237" s="252"/>
      <c r="P237" s="253"/>
      <c r="Q237" s="293"/>
    </row>
    <row r="238" spans="1:19" ht="13.5" hidden="1" customHeight="1" outlineLevel="1" x14ac:dyDescent="0.2">
      <c r="A238" s="233">
        <f t="shared" ca="1" si="26"/>
        <v>0</v>
      </c>
      <c r="B238" s="233">
        <f t="shared" ca="1" si="27"/>
        <v>16</v>
      </c>
      <c r="C238" s="233">
        <f t="shared" ca="1" si="28"/>
        <v>1</v>
      </c>
      <c r="D238" s="234">
        <f t="shared" ca="1" si="29"/>
        <v>0</v>
      </c>
      <c r="E238" s="234">
        <f t="shared" ca="1" si="4"/>
        <v>6</v>
      </c>
      <c r="F238" s="1012"/>
      <c r="G238" s="245"/>
      <c r="H238" s="246" t="s">
        <v>37</v>
      </c>
      <c r="I238" s="247" t="str">
        <f t="shared" ca="1" si="5"/>
        <v>16.001</v>
      </c>
      <c r="J238" s="248" t="s">
        <v>508</v>
      </c>
      <c r="K238" s="249"/>
      <c r="L238" s="250"/>
      <c r="M238" s="250"/>
      <c r="N238" s="251">
        <f ca="1">IF(H238="Serviço",M238*L238,IF(H238="CÉLULA CONSTRUTIVA",SUMIFS($N$8:$N$352,$B$8:$B$352,B238,$H$8:$H$352,"Serviço"),IF(H238="ETAPA",SUMIFS($N$8:$N$352,$B$8:$B$352,B238,$C$8:$C$352,C238,$H$8:$H$352,"Serviço"),IF(H238="SUBETAPA",SUMIFS($N$8:$N$352,$B$8:$B$352,B238,$C$8:$C$352,C238,$D$8:$D$352,D238,$H$8:$H$352,"Serviço"),0))))</f>
        <v>1247040.5998755777</v>
      </c>
      <c r="O238" s="252"/>
      <c r="P238" s="253"/>
      <c r="Q238" s="293"/>
    </row>
    <row r="239" spans="1:19" ht="13.5" hidden="1" customHeight="1" outlineLevel="1" x14ac:dyDescent="0.2">
      <c r="A239" s="233">
        <f t="shared" ca="1" si="26"/>
        <v>0</v>
      </c>
      <c r="B239" s="233">
        <f t="shared" ca="1" si="27"/>
        <v>16</v>
      </c>
      <c r="C239" s="233">
        <f t="shared" ca="1" si="28"/>
        <v>1</v>
      </c>
      <c r="D239" s="234">
        <f t="shared" ref="D239:D240" ca="1" si="47">IF(H239="ETAPA",0,IF(H239="SUBETAPA",OFFSET(D239,-1,0)+1,OFFSET(D239,-1,0)))</f>
        <v>1</v>
      </c>
      <c r="E239" s="234">
        <f t="shared" ref="E239:E240" ca="1" si="48">IF(H239="Subetapa",0,IF(H239="serviço",OFFSET(E239,-1,0)+1,OFFSET(E239,-1,0)))</f>
        <v>0</v>
      </c>
      <c r="F239" s="1012"/>
      <c r="G239" s="245"/>
      <c r="H239" s="246" t="s">
        <v>244</v>
      </c>
      <c r="I239" s="247" t="str">
        <f t="shared" ref="I239:I240" ca="1" si="49">IF(H239="Unidade Construtiva",TEXT(A239,"00"),IF(H239="Célula Construtiva",TEXT(B239,"00"),IF(H239="Etapa",CONCATENATE(TEXT(B239,"00"),".",TEXT(C239,"000")),IF(H239="Subetapa",CONCATENATE(TEXT(B239,"00"),".",TEXT(C239,"000"),".",TEXT(D239,"000")),IF(H239="Serviço",CONCATENATE(TEXT(B239,"00"),".",TEXT(C239,"000"),".",TEXT(D239,"000"),".",TEXT(E239,"000")),"")))))</f>
        <v>16.001.001</v>
      </c>
      <c r="J239" s="965" t="s">
        <v>2756</v>
      </c>
      <c r="K239" s="249"/>
      <c r="L239" s="250"/>
      <c r="M239" s="250"/>
      <c r="N239" s="251">
        <f ca="1">IF(H239="Serviço",M239*L239,IF(H239="CÉLULA CONSTRUTIVA",SUMIFS($N$8:$N$352,$B$8:$B$352,B239,$H$8:$H$352,"Serviço"),IF(H239="ETAPA",SUMIFS($N$8:$N$352,$B$8:$B$352,B239,$C$8:$C$352,C239,$H$8:$H$352,"Serviço"),IF(H239="SUBETAPA",SUMIFS($N$8:$N$352,$B$8:$B$352,B239,$C$8:$C$352,C239,$D$8:$D$352,D239,$H$8:$H$352,"Serviço"),0))))</f>
        <v>71.030202400000007</v>
      </c>
      <c r="O239" s="252"/>
      <c r="P239" s="253"/>
      <c r="Q239" s="293"/>
    </row>
    <row r="240" spans="1:19" ht="13.5" hidden="1" customHeight="1" outlineLevel="2" x14ac:dyDescent="0.2">
      <c r="A240" s="233">
        <f t="shared" ca="1" si="26"/>
        <v>0</v>
      </c>
      <c r="B240" s="233">
        <f t="shared" ca="1" si="27"/>
        <v>16</v>
      </c>
      <c r="C240" s="233">
        <f t="shared" ca="1" si="28"/>
        <v>1</v>
      </c>
      <c r="D240" s="234">
        <f t="shared" ca="1" si="47"/>
        <v>1</v>
      </c>
      <c r="E240" s="234">
        <f t="shared" ca="1" si="48"/>
        <v>1</v>
      </c>
      <c r="F240" s="1012"/>
      <c r="G240" s="245"/>
      <c r="H240" s="246" t="s">
        <v>246</v>
      </c>
      <c r="I240" s="247" t="str">
        <f t="shared" ca="1" si="49"/>
        <v>16.001.001.001</v>
      </c>
      <c r="J240" s="248" t="s">
        <v>5319</v>
      </c>
      <c r="K240" s="249" t="s">
        <v>92</v>
      </c>
      <c r="L240" s="250">
        <f>Arquitetura!D1850</f>
        <v>6.29</v>
      </c>
      <c r="M240" s="250">
        <f>IFERROR(VLOOKUP(J240,CPU!$D$2:$H$6171,5,FALSE),0)</f>
        <v>11.292560000000002</v>
      </c>
      <c r="N240" s="251">
        <f>IF(H240="Serviço",M240*L240,IF(H240="CÉLULA CONSTRUTIVA",SUMIFS($N$8:$N$352,$B$8:$B$352,B240,$H$8:$H$352,"Serviço"),IF(H240="ETAPA",SUMIFS($N$8:$N$352,$B$8:$B$352,B240,$C$8:$C$352,C240,$H$8:$H$352,"Serviço"),IF(H240="SUBETAPA",SUMIFS($N$8:$N$352,$B$8:$B$352,B240,$C$8:$C$352,C240,$D$8:$D$352,D240,$H$8:$H$352,"Serviço"),0))))</f>
        <v>71.030202400000007</v>
      </c>
      <c r="O240" s="960" t="s">
        <v>5321</v>
      </c>
      <c r="P240" s="253" t="s">
        <v>366</v>
      </c>
      <c r="Q240" s="293"/>
    </row>
    <row r="241" spans="1:17" ht="13.5" hidden="1" customHeight="1" outlineLevel="1" x14ac:dyDescent="0.2">
      <c r="A241" s="233">
        <f t="shared" ca="1" si="26"/>
        <v>0</v>
      </c>
      <c r="B241" s="233">
        <f t="shared" ca="1" si="27"/>
        <v>16</v>
      </c>
      <c r="C241" s="233">
        <f t="shared" ca="1" si="28"/>
        <v>1</v>
      </c>
      <c r="D241" s="234">
        <f t="shared" ca="1" si="29"/>
        <v>2</v>
      </c>
      <c r="E241" s="234">
        <f t="shared" ca="1" si="4"/>
        <v>0</v>
      </c>
      <c r="F241" s="1012"/>
      <c r="G241" s="245"/>
      <c r="H241" s="246" t="s">
        <v>244</v>
      </c>
      <c r="I241" s="247" t="str">
        <f t="shared" ca="1" si="5"/>
        <v>16.001.002</v>
      </c>
      <c r="J241" s="248" t="s">
        <v>509</v>
      </c>
      <c r="K241" s="249"/>
      <c r="L241" s="250"/>
      <c r="M241" s="250"/>
      <c r="N241" s="251">
        <f ca="1">IF(H241="Serviço",M241*L241,IF(H241="CÉLULA CONSTRUTIVA",SUMIFS($N$8:$N$352,$B$8:$B$352,B241,$H$8:$H$352,"Serviço"),IF(H241="ETAPA",SUMIFS($N$8:$N$352,$B$8:$B$352,B241,$C$8:$C$352,C241,$H$8:$H$352,"Serviço"),IF(H241="SUBETAPA",SUMIFS($N$8:$N$352,$B$8:$B$352,B241,$C$8:$C$352,C241,$D$8:$D$352,D241,$H$8:$H$352,"Serviço"),0))))</f>
        <v>287332.21015151724</v>
      </c>
      <c r="O241" s="252"/>
      <c r="P241" s="253"/>
      <c r="Q241" s="293"/>
    </row>
    <row r="242" spans="1:17" ht="13.5" hidden="1" customHeight="1" outlineLevel="2" x14ac:dyDescent="0.2">
      <c r="A242" s="233">
        <f t="shared" ca="1" si="26"/>
        <v>0</v>
      </c>
      <c r="B242" s="233">
        <f t="shared" ca="1" si="27"/>
        <v>16</v>
      </c>
      <c r="C242" s="233">
        <f t="shared" ca="1" si="28"/>
        <v>1</v>
      </c>
      <c r="D242" s="234">
        <f t="shared" ref="D242:D243" ca="1" si="50">IF(H242="ETAPA",0,IF(H242="SUBETAPA",OFFSET(D242,-1,0)+1,OFFSET(D242,-1,0)))</f>
        <v>2</v>
      </c>
      <c r="E242" s="234">
        <f t="shared" ref="E242:E243" ca="1" si="51">IF(H242="Subetapa",0,IF(H242="serviço",OFFSET(E242,-1,0)+1,OFFSET(E242,-1,0)))</f>
        <v>1</v>
      </c>
      <c r="F242" s="1012"/>
      <c r="G242" s="245"/>
      <c r="H242" s="246" t="s">
        <v>246</v>
      </c>
      <c r="I242" s="247" t="str">
        <f t="shared" ref="I242:I243" ca="1" si="52">IF(H242="Unidade Construtiva",TEXT(A242,"00"),IF(H242="Célula Construtiva",TEXT(B242,"00"),IF(H242="Etapa",CONCATENATE(TEXT(B242,"00"),".",TEXT(C242,"000")),IF(H242="Subetapa",CONCATENATE(TEXT(B242,"00"),".",TEXT(C242,"000"),".",TEXT(D242,"000")),IF(H242="Serviço",CONCATENATE(TEXT(B242,"00"),".",TEXT(C242,"000"),".",TEXT(D242,"000"),".",TEXT(E242,"000")),"")))))</f>
        <v>16.001.002.001</v>
      </c>
      <c r="J242" s="248" t="s">
        <v>5322</v>
      </c>
      <c r="K242" s="249" t="s">
        <v>92</v>
      </c>
      <c r="L242" s="250">
        <f>Arquitetura!D1904</f>
        <v>44.21</v>
      </c>
      <c r="M242" s="250">
        <f>IFERROR(VLOOKUP(J242,CPU!$D$2:$H$6171,5,FALSE),0)</f>
        <v>9.0783000000000005</v>
      </c>
      <c r="N242" s="251">
        <f>IF(H242="Serviço",M242*L242,IF(H242="CÉLULA CONSTRUTIVA",SUMIFS($N$8:$N$352,$B$8:$B$352,B242,$H$8:$H$352,"Serviço"),IF(H242="ETAPA",SUMIFS($N$8:$N$352,$B$8:$B$352,B242,$C$8:$C$352,C242,$H$8:$H$352,"Serviço"),IF(H242="SUBETAPA",SUMIFS($N$8:$N$352,$B$8:$B$352,B242,$C$8:$C$352,C242,$D$8:$D$352,D242,$H$8:$H$352,"Serviço"),0))))</f>
        <v>401.35164300000002</v>
      </c>
      <c r="O242" s="252"/>
      <c r="P242" s="253" t="s">
        <v>366</v>
      </c>
      <c r="Q242" s="293"/>
    </row>
    <row r="243" spans="1:17" ht="13.5" hidden="1" customHeight="1" outlineLevel="2" x14ac:dyDescent="0.2">
      <c r="A243" s="233">
        <f t="shared" ca="1" si="26"/>
        <v>0</v>
      </c>
      <c r="B243" s="233">
        <f t="shared" ca="1" si="27"/>
        <v>16</v>
      </c>
      <c r="C243" s="233">
        <f t="shared" ca="1" si="28"/>
        <v>1</v>
      </c>
      <c r="D243" s="234">
        <f t="shared" ca="1" si="50"/>
        <v>2</v>
      </c>
      <c r="E243" s="234">
        <f t="shared" ca="1" si="51"/>
        <v>2</v>
      </c>
      <c r="F243" s="1012"/>
      <c r="G243" s="245"/>
      <c r="H243" s="246" t="s">
        <v>246</v>
      </c>
      <c r="I243" s="247" t="str">
        <f t="shared" ca="1" si="52"/>
        <v>16.001.002.002</v>
      </c>
      <c r="J243" s="965" t="s">
        <v>5323</v>
      </c>
      <c r="K243" s="249" t="s">
        <v>92</v>
      </c>
      <c r="L243" s="250">
        <f>Arquitetura!I1883</f>
        <v>12834.329999999998</v>
      </c>
      <c r="M243" s="250">
        <f>IFERROR(VLOOKUP(J243,CPU!$D$2:$H$6171,5,FALSE),0)</f>
        <v>2.7766666672220004</v>
      </c>
      <c r="N243" s="251">
        <f>IF(H243="Serviço",M243*L243,IF(H243="CÉLULA CONSTRUTIVA",SUMIFS($N$8:$N$352,$B$8:$B$352,B243,$H$8:$H$352,"Serviço"),IF(H243="ETAPA",SUMIFS($N$8:$N$352,$B$8:$B$352,B243,$C$8:$C$352,C243,$H$8:$H$352,"Serviço"),IF(H243="SUBETAPA",SUMIFS($N$8:$N$352,$B$8:$B$352,B243,$C$8:$C$352,C243,$D$8:$D$352,D243,$H$8:$H$352,"Serviço"),0))))</f>
        <v>35636.656307127334</v>
      </c>
      <c r="O243" s="252"/>
      <c r="P243" s="253" t="s">
        <v>366</v>
      </c>
      <c r="Q243" s="293"/>
    </row>
    <row r="244" spans="1:17" ht="13.5" hidden="1" customHeight="1" outlineLevel="2" x14ac:dyDescent="0.2">
      <c r="A244" s="233">
        <f t="shared" ca="1" si="26"/>
        <v>0</v>
      </c>
      <c r="B244" s="233">
        <f t="shared" ca="1" si="27"/>
        <v>16</v>
      </c>
      <c r="C244" s="233">
        <f t="shared" ca="1" si="28"/>
        <v>1</v>
      </c>
      <c r="D244" s="234">
        <f t="shared" ref="D244" ca="1" si="53">IF(H244="ETAPA",0,IF(H244="SUBETAPA",OFFSET(D244,-1,0)+1,OFFSET(D244,-1,0)))</f>
        <v>2</v>
      </c>
      <c r="E244" s="234">
        <f t="shared" ref="E244" ca="1" si="54">IF(H244="Subetapa",0,IF(H244="serviço",OFFSET(E244,-1,0)+1,OFFSET(E244,-1,0)))</f>
        <v>3</v>
      </c>
      <c r="F244" s="1012"/>
      <c r="G244" s="245"/>
      <c r="H244" s="246" t="s">
        <v>246</v>
      </c>
      <c r="I244" s="247" t="str">
        <f t="shared" ref="I244" ca="1" si="55">IF(H244="Unidade Construtiva",TEXT(A244,"00"),IF(H244="Célula Construtiva",TEXT(B244,"00"),IF(H244="Etapa",CONCATENATE(TEXT(B244,"00"),".",TEXT(C244,"000")),IF(H244="Subetapa",CONCATENATE(TEXT(B244,"00"),".",TEXT(C244,"000"),".",TEXT(D244,"000")),IF(H244="Serviço",CONCATENATE(TEXT(B244,"00"),".",TEXT(C244,"000"),".",TEXT(D244,"000"),".",TEXT(E244,"000")),"")))))</f>
        <v>16.001.002.003</v>
      </c>
      <c r="J244" s="965" t="s">
        <v>5324</v>
      </c>
      <c r="K244" s="249" t="s">
        <v>92</v>
      </c>
      <c r="L244" s="250">
        <f>Arquitetura!I1885</f>
        <v>9907.7899999999954</v>
      </c>
      <c r="M244" s="250">
        <f>IFERROR(VLOOKUP(J244,CPU!$D$2:$H$6171,5,FALSE),0)</f>
        <v>5.7965489999999997</v>
      </c>
      <c r="N244" s="251">
        <f>IF(H244="Serviço",M244*L244,IF(H244="CÉLULA CONSTRUTIVA",SUMIFS($N$8:$N$352,$B$8:$B$352,B244,$H$8:$H$352,"Serviço"),IF(H244="ETAPA",SUMIFS($N$8:$N$352,$B$8:$B$352,B244,$C$8:$C$352,C244,$H$8:$H$352,"Serviço"),IF(H244="SUBETAPA",SUMIFS($N$8:$N$352,$B$8:$B$352,B244,$C$8:$C$352,C244,$D$8:$D$352,D244,$H$8:$H$352,"Serviço"),0))))</f>
        <v>57430.990216709972</v>
      </c>
      <c r="O244" s="252"/>
      <c r="P244" s="253" t="s">
        <v>366</v>
      </c>
      <c r="Q244" s="293"/>
    </row>
    <row r="245" spans="1:17" ht="13.5" hidden="1" customHeight="1" outlineLevel="2" x14ac:dyDescent="0.2">
      <c r="A245" s="233">
        <f t="shared" ca="1" si="26"/>
        <v>0</v>
      </c>
      <c r="B245" s="233">
        <f t="shared" ca="1" si="27"/>
        <v>16</v>
      </c>
      <c r="C245" s="233">
        <f t="shared" ca="1" si="28"/>
        <v>1</v>
      </c>
      <c r="D245" s="234">
        <f t="shared" ca="1" si="29"/>
        <v>2</v>
      </c>
      <c r="E245" s="234">
        <f t="shared" ca="1" si="4"/>
        <v>4</v>
      </c>
      <c r="F245" s="1012"/>
      <c r="G245" s="245"/>
      <c r="H245" s="246" t="s">
        <v>246</v>
      </c>
      <c r="I245" s="247" t="str">
        <f t="shared" ca="1" si="5"/>
        <v>16.001.002.004</v>
      </c>
      <c r="J245" s="248" t="s">
        <v>510</v>
      </c>
      <c r="K245" s="249" t="s">
        <v>92</v>
      </c>
      <c r="L245" s="250">
        <f>Arquitetura!I1882</f>
        <v>13619.059999999994</v>
      </c>
      <c r="M245" s="250">
        <f>IFERROR(VLOOKUP(J245,CPU!$D$2:$H$6171,5,FALSE),0)</f>
        <v>13.61745</v>
      </c>
      <c r="N245" s="251">
        <f>IF(H245="Serviço",M245*L245,IF(H245="CÉLULA CONSTRUTIVA",SUMIFS($N$8:$N$352,$B$8:$B$352,B245,$H$8:$H$352,"Serviço"),IF(H245="ETAPA",SUMIFS($N$8:$N$352,$B$8:$B$352,B245,$C$8:$C$352,C245,$H$8:$H$352,"Serviço"),IF(H245="SUBETAPA",SUMIFS($N$8:$N$352,$B$8:$B$352,B245,$C$8:$C$352,C245,$D$8:$D$352,D245,$H$8:$H$352,"Serviço"),0))))</f>
        <v>185456.86859699991</v>
      </c>
      <c r="O245" s="252"/>
      <c r="P245" s="253" t="s">
        <v>366</v>
      </c>
      <c r="Q245" s="293"/>
    </row>
    <row r="246" spans="1:17" ht="13.5" hidden="1" customHeight="1" outlineLevel="2" x14ac:dyDescent="0.2">
      <c r="A246" s="233">
        <f t="shared" ca="1" si="26"/>
        <v>0</v>
      </c>
      <c r="B246" s="233">
        <f t="shared" ca="1" si="27"/>
        <v>16</v>
      </c>
      <c r="C246" s="233">
        <f t="shared" ca="1" si="28"/>
        <v>1</v>
      </c>
      <c r="D246" s="234">
        <f t="shared" ca="1" si="29"/>
        <v>2</v>
      </c>
      <c r="E246" s="234">
        <f t="shared" ca="1" si="4"/>
        <v>5</v>
      </c>
      <c r="F246" s="1012"/>
      <c r="G246" s="245"/>
      <c r="H246" s="246" t="s">
        <v>246</v>
      </c>
      <c r="I246" s="247" t="str">
        <f t="shared" ca="1" si="5"/>
        <v>16.001.002.005</v>
      </c>
      <c r="J246" s="248" t="s">
        <v>511</v>
      </c>
      <c r="K246" s="249" t="s">
        <v>92</v>
      </c>
      <c r="L246" s="250">
        <f>Arquitetura!I1884</f>
        <v>1246.48</v>
      </c>
      <c r="M246" s="250">
        <f>IFERROR(VLOOKUP(J246,CPU!$D$2:$H$6171,5,FALSE),0)</f>
        <v>6.7440659999999992</v>
      </c>
      <c r="N246" s="251">
        <f>IF(H246="Serviço",M246*L246,IF(H246="CÉLULA CONSTRUTIVA",SUMIFS($N$8:$N$352,$B$8:$B$352,B246,$H$8:$H$352,"Serviço"),IF(H246="ETAPA",SUMIFS($N$8:$N$352,$B$8:$B$352,B246,$C$8:$C$352,C246,$H$8:$H$352,"Serviço"),IF(H246="SUBETAPA",SUMIFS($N$8:$N$352,$B$8:$B$352,B246,$C$8:$C$352,C246,$D$8:$D$352,D246,$H$8:$H$352,"Serviço"),0))))</f>
        <v>8406.3433876799991</v>
      </c>
      <c r="O246" s="252"/>
      <c r="P246" s="253" t="s">
        <v>366</v>
      </c>
      <c r="Q246" s="293"/>
    </row>
    <row r="247" spans="1:17" ht="13.5" hidden="1" customHeight="1" outlineLevel="1" x14ac:dyDescent="0.2">
      <c r="A247" s="233">
        <f t="shared" ca="1" si="26"/>
        <v>0</v>
      </c>
      <c r="B247" s="233">
        <f t="shared" ca="1" si="27"/>
        <v>16</v>
      </c>
      <c r="C247" s="233">
        <f t="shared" ca="1" si="28"/>
        <v>1</v>
      </c>
      <c r="D247" s="234">
        <f t="shared" ca="1" si="29"/>
        <v>3</v>
      </c>
      <c r="E247" s="234">
        <f t="shared" ca="1" si="4"/>
        <v>0</v>
      </c>
      <c r="F247" s="1012"/>
      <c r="G247" s="245"/>
      <c r="H247" s="246" t="s">
        <v>244</v>
      </c>
      <c r="I247" s="247" t="str">
        <f t="shared" ca="1" si="5"/>
        <v>16.001.003</v>
      </c>
      <c r="J247" s="248" t="s">
        <v>512</v>
      </c>
      <c r="K247" s="249"/>
      <c r="L247" s="250"/>
      <c r="M247" s="250"/>
      <c r="N247" s="251">
        <f ca="1">IF(H247="Serviço",M247*L247,IF(H247="CÉLULA CONSTRUTIVA",SUMIFS($N$8:$N$352,$B$8:$B$352,B247,$H$8:$H$352,"Serviço"),IF(H247="ETAPA",SUMIFS($N$8:$N$352,$B$8:$B$352,B247,$C$8:$C$352,C247,$H$8:$H$352,"Serviço"),IF(H247="SUBETAPA",SUMIFS($N$8:$N$352,$B$8:$B$352,B247,$C$8:$C$352,C247,$D$8:$D$352,D247,$H$8:$H$352,"Serviço"),0))))</f>
        <v>140485.46952166062</v>
      </c>
      <c r="O247" s="252"/>
      <c r="P247" s="253"/>
      <c r="Q247" s="293"/>
    </row>
    <row r="248" spans="1:17" ht="13.5" hidden="1" customHeight="1" outlineLevel="2" x14ac:dyDescent="0.2">
      <c r="A248" s="233">
        <f t="shared" ca="1" si="26"/>
        <v>0</v>
      </c>
      <c r="B248" s="233">
        <f t="shared" ca="1" si="27"/>
        <v>16</v>
      </c>
      <c r="C248" s="233">
        <f t="shared" ca="1" si="28"/>
        <v>1</v>
      </c>
      <c r="D248" s="234">
        <f t="shared" ca="1" si="29"/>
        <v>3</v>
      </c>
      <c r="E248" s="234">
        <f t="shared" ca="1" si="4"/>
        <v>1</v>
      </c>
      <c r="F248" s="1012"/>
      <c r="G248" s="245"/>
      <c r="H248" s="246" t="s">
        <v>246</v>
      </c>
      <c r="I248" s="247" t="str">
        <f t="shared" ca="1" si="5"/>
        <v>16.001.003.001</v>
      </c>
      <c r="J248" s="965" t="s">
        <v>5325</v>
      </c>
      <c r="K248" s="249" t="s">
        <v>92</v>
      </c>
      <c r="L248" s="250">
        <f>Arquitetura!I2415</f>
        <v>6057.4000000000033</v>
      </c>
      <c r="M248" s="250">
        <f>IFERROR(VLOOKUP(J248,CPU!$D$2:$H$6171,5,FALSE),0)</f>
        <v>2.7766666672220004</v>
      </c>
      <c r="N248" s="251">
        <f>IF(H248="Serviço",M248*L248,IF(H248="CÉLULA CONSTRUTIVA",SUMIFS($N$8:$N$352,$B$8:$B$352,B248,$H$8:$H$352,"Serviço"),IF(H248="ETAPA",SUMIFS($N$8:$N$352,$B$8:$B$352,B248,$C$8:$C$352,C248,$H$8:$H$352,"Serviço"),IF(H248="SUBETAPA",SUMIFS($N$8:$N$352,$B$8:$B$352,B248,$C$8:$C$352,C248,$D$8:$D$352,D248,$H$8:$H$352,"Serviço"),0))))</f>
        <v>16819.380670030554</v>
      </c>
      <c r="O248" s="252"/>
      <c r="P248" s="253" t="s">
        <v>366</v>
      </c>
      <c r="Q248" s="293"/>
    </row>
    <row r="249" spans="1:17" ht="13.5" hidden="1" customHeight="1" outlineLevel="2" x14ac:dyDescent="0.2">
      <c r="A249" s="233">
        <f t="shared" ca="1" si="26"/>
        <v>0</v>
      </c>
      <c r="B249" s="233">
        <f t="shared" ca="1" si="27"/>
        <v>16</v>
      </c>
      <c r="C249" s="233">
        <f t="shared" ca="1" si="28"/>
        <v>1</v>
      </c>
      <c r="D249" s="234">
        <f t="shared" ca="1" si="29"/>
        <v>3</v>
      </c>
      <c r="E249" s="234">
        <f t="shared" ca="1" si="4"/>
        <v>2</v>
      </c>
      <c r="F249" s="1012"/>
      <c r="G249" s="245"/>
      <c r="H249" s="246" t="s">
        <v>246</v>
      </c>
      <c r="I249" s="247" t="str">
        <f t="shared" ca="1" si="5"/>
        <v>16.001.003.002</v>
      </c>
      <c r="J249" s="965" t="s">
        <v>5327</v>
      </c>
      <c r="K249" s="249" t="s">
        <v>92</v>
      </c>
      <c r="L249" s="250">
        <f>Arquitetura!I2416</f>
        <v>4239.3899999999994</v>
      </c>
      <c r="M249" s="250">
        <f>IFERROR(VLOOKUP(J249,CPU!$D$2:$H$6171,5,FALSE),0)</f>
        <v>5.7965489999999997</v>
      </c>
      <c r="N249" s="251">
        <f>IF(H249="Serviço",M249*L249,IF(H249="CÉLULA CONSTRUTIVA",SUMIFS($N$8:$N$352,$B$8:$B$352,B249,$H$8:$H$352,"Serviço"),IF(H249="ETAPA",SUMIFS($N$8:$N$352,$B$8:$B$352,B249,$C$8:$C$352,C249,$H$8:$H$352,"Serviço"),IF(H249="SUBETAPA",SUMIFS($N$8:$N$352,$B$8:$B$352,B249,$C$8:$C$352,C249,$D$8:$D$352,D249,$H$8:$H$352,"Serviço"),0))))</f>
        <v>24573.831865109994</v>
      </c>
      <c r="O249" s="252"/>
      <c r="P249" s="253" t="s">
        <v>366</v>
      </c>
      <c r="Q249" s="293"/>
    </row>
    <row r="250" spans="1:17" ht="13.5" hidden="1" customHeight="1" outlineLevel="2" x14ac:dyDescent="0.2">
      <c r="A250" s="233">
        <f t="shared" ca="1" si="26"/>
        <v>0</v>
      </c>
      <c r="B250" s="233">
        <f t="shared" ca="1" si="27"/>
        <v>16</v>
      </c>
      <c r="C250" s="233">
        <f t="shared" ca="1" si="28"/>
        <v>1</v>
      </c>
      <c r="D250" s="234">
        <f t="shared" ca="1" si="29"/>
        <v>3</v>
      </c>
      <c r="E250" s="234">
        <f t="shared" ca="1" si="4"/>
        <v>3</v>
      </c>
      <c r="F250" s="1012"/>
      <c r="G250" s="245"/>
      <c r="H250" s="246" t="s">
        <v>246</v>
      </c>
      <c r="I250" s="247" t="str">
        <f t="shared" ca="1" si="5"/>
        <v>16.001.003.003</v>
      </c>
      <c r="J250" s="248" t="s">
        <v>513</v>
      </c>
      <c r="K250" s="249" t="s">
        <v>92</v>
      </c>
      <c r="L250" s="250">
        <f>Arquitetura!I2418</f>
        <v>1815.7200000000018</v>
      </c>
      <c r="M250" s="250">
        <f>IFERROR(VLOOKUP(J250,CPU!$D$2:$H$6171,5,FALSE),0)</f>
        <v>6.7440659999999992</v>
      </c>
      <c r="N250" s="251">
        <f>IF(H250="Serviço",M250*L250,IF(H250="CÉLULA CONSTRUTIVA",SUMIFS($N$8:$N$352,$B$8:$B$352,B250,$H$8:$H$352,"Serviço"),IF(H250="ETAPA",SUMIFS($N$8:$N$352,$B$8:$B$352,B250,$C$8:$C$352,C250,$H$8:$H$352,"Serviço"),IF(H250="SUBETAPA",SUMIFS($N$8:$N$352,$B$8:$B$352,B250,$C$8:$C$352,C250,$D$8:$D$352,D250,$H$8:$H$352,"Serviço"),0))))</f>
        <v>12245.33551752001</v>
      </c>
      <c r="O250" s="252"/>
      <c r="P250" s="253" t="s">
        <v>366</v>
      </c>
      <c r="Q250" s="293"/>
    </row>
    <row r="251" spans="1:17" ht="13.5" hidden="1" customHeight="1" outlineLevel="2" x14ac:dyDescent="0.2">
      <c r="A251" s="233">
        <f t="shared" ca="1" si="26"/>
        <v>0</v>
      </c>
      <c r="B251" s="233">
        <f t="shared" ca="1" si="27"/>
        <v>16</v>
      </c>
      <c r="C251" s="233">
        <f t="shared" ca="1" si="28"/>
        <v>1</v>
      </c>
      <c r="D251" s="234">
        <f t="shared" ca="1" si="29"/>
        <v>3</v>
      </c>
      <c r="E251" s="234">
        <f t="shared" ca="1" si="4"/>
        <v>4</v>
      </c>
      <c r="F251" s="1012"/>
      <c r="G251" s="245"/>
      <c r="H251" s="246" t="s">
        <v>246</v>
      </c>
      <c r="I251" s="247" t="str">
        <f t="shared" ca="1" si="5"/>
        <v>16.001.003.004</v>
      </c>
      <c r="J251" s="965" t="s">
        <v>5326</v>
      </c>
      <c r="K251" s="249" t="s">
        <v>92</v>
      </c>
      <c r="L251" s="250">
        <f>Arquitetura!I2417</f>
        <v>6377.6200000000035</v>
      </c>
      <c r="M251" s="250">
        <f>IFERROR(VLOOKUP(J251,CPU!$D$2:$H$6171,5,FALSE),0)</f>
        <v>13.61745</v>
      </c>
      <c r="N251" s="251">
        <f>IF(H251="Serviço",M251*L251,IF(H251="CÉLULA CONSTRUTIVA",SUMIFS($N$8:$N$352,$B$8:$B$352,B251,$H$8:$H$352,"Serviço"),IF(H251="ETAPA",SUMIFS($N$8:$N$352,$B$8:$B$352,B251,$C$8:$C$352,C251,$H$8:$H$352,"Serviço"),IF(H251="SUBETAPA",SUMIFS($N$8:$N$352,$B$8:$B$352,B251,$C$8:$C$352,C251,$D$8:$D$352,D251,$H$8:$H$352,"Serviço"),0))))</f>
        <v>86846.921469000052</v>
      </c>
      <c r="O251" s="252"/>
      <c r="P251" s="253" t="s">
        <v>366</v>
      </c>
      <c r="Q251" s="293"/>
    </row>
    <row r="252" spans="1:17" ht="13.5" hidden="1" customHeight="1" outlineLevel="2" x14ac:dyDescent="0.2">
      <c r="A252" s="233">
        <f t="shared" ca="1" si="26"/>
        <v>0</v>
      </c>
      <c r="B252" s="233">
        <f t="shared" ca="1" si="27"/>
        <v>16</v>
      </c>
      <c r="C252" s="233">
        <f t="shared" ca="1" si="28"/>
        <v>1</v>
      </c>
      <c r="D252" s="234">
        <f t="shared" ca="1" si="29"/>
        <v>4</v>
      </c>
      <c r="E252" s="234">
        <f t="shared" ca="1" si="4"/>
        <v>0</v>
      </c>
      <c r="F252" s="1012"/>
      <c r="G252" s="245"/>
      <c r="H252" s="246" t="s">
        <v>244</v>
      </c>
      <c r="I252" s="247" t="str">
        <f t="shared" ca="1" si="5"/>
        <v>16.001.004</v>
      </c>
      <c r="J252" s="248" t="s">
        <v>514</v>
      </c>
      <c r="K252" s="249"/>
      <c r="L252" s="250"/>
      <c r="M252" s="250"/>
      <c r="N252" s="251">
        <f ca="1">IF(H252="Serviço",M252*L252,IF(H252="CÉLULA CONSTRUTIVA",SUMIFS($N$8:$N$352,$B$8:$B$352,B252,$H$8:$H$352,"Serviço"),IF(H252="ETAPA",SUMIFS($N$8:$N$352,$B$8:$B$352,B252,$C$8:$C$352,C252,$H$8:$H$352,"Serviço"),IF(H252="SUBETAPA",SUMIFS($N$8:$N$352,$B$8:$B$352,B252,$C$8:$C$352,C252,$D$8:$D$352,D252,$H$8:$H$352,"Serviço"),0))))</f>
        <v>819151.8899999999</v>
      </c>
      <c r="O252" s="252"/>
      <c r="P252" s="253"/>
      <c r="Q252" s="293"/>
    </row>
    <row r="253" spans="1:17" ht="13.5" hidden="1" customHeight="1" outlineLevel="2" x14ac:dyDescent="0.2">
      <c r="A253" s="233">
        <f t="shared" ca="1" si="26"/>
        <v>0</v>
      </c>
      <c r="B253" s="233">
        <f t="shared" ca="1" si="27"/>
        <v>16</v>
      </c>
      <c r="C253" s="233">
        <f t="shared" ca="1" si="28"/>
        <v>1</v>
      </c>
      <c r="D253" s="234">
        <f t="shared" ref="D253:D254" ca="1" si="56">IF(H253="ETAPA",0,IF(H253="SUBETAPA",OFFSET(D253,-1,0)+1,OFFSET(D253,-1,0)))</f>
        <v>4</v>
      </c>
      <c r="E253" s="234">
        <f t="shared" ref="E253:E254" ca="1" si="57">IF(H253="Subetapa",0,IF(H253="serviço",OFFSET(E253,-1,0)+1,OFFSET(E253,-1,0)))</f>
        <v>1</v>
      </c>
      <c r="F253" s="1012"/>
      <c r="G253" s="245"/>
      <c r="H253" s="246" t="s">
        <v>246</v>
      </c>
      <c r="I253" s="247" t="str">
        <f t="shared" ref="I253:I254" ca="1" si="58">IF(H253="Unidade Construtiva",TEXT(A253,"00"),IF(H253="Célula Construtiva",TEXT(B253,"00"),IF(H253="Etapa",CONCATENATE(TEXT(B253,"00"),".",TEXT(C253,"000")),IF(H253="Subetapa",CONCATENATE(TEXT(B253,"00"),".",TEXT(C253,"000"),".",TEXT(D253,"000")),IF(H253="Serviço",CONCATENATE(TEXT(B253,"00"),".",TEXT(C253,"000"),".",TEXT(D253,"000"),".",TEXT(E253,"000")),"")))))</f>
        <v>16.001.004.001</v>
      </c>
      <c r="J253" s="248" t="s">
        <v>5328</v>
      </c>
      <c r="K253" s="249" t="s">
        <v>92</v>
      </c>
      <c r="L253" s="250">
        <f>L240</f>
        <v>6.29</v>
      </c>
      <c r="M253" s="250">
        <v>42</v>
      </c>
      <c r="N253" s="251">
        <f>IF(H253="Serviço",M253*L253,IF(H253="CÉLULA CONSTRUTIVA",SUMIFS($N$8:$N$352,$B$8:$B$352,B253,$H$8:$H$352,"Serviço"),IF(H253="ETAPA",SUMIFS($N$8:$N$352,$B$8:$B$352,B253,$C$8:$C$352,C253,$H$8:$H$352,"Serviço"),IF(H253="SUBETAPA",SUMIFS($N$8:$N$352,$B$8:$B$352,B253,$C$8:$C$352,C253,$D$8:$D$352,D253,$H$8:$H$352,"Serviço"),0))))</f>
        <v>264.18</v>
      </c>
      <c r="O253" s="252"/>
      <c r="P253" s="253" t="s">
        <v>366</v>
      </c>
      <c r="Q253" s="293"/>
    </row>
    <row r="254" spans="1:17" ht="13.5" hidden="1" customHeight="1" outlineLevel="2" x14ac:dyDescent="0.2">
      <c r="A254" s="233">
        <f t="shared" ca="1" si="26"/>
        <v>0</v>
      </c>
      <c r="B254" s="233">
        <f t="shared" ca="1" si="27"/>
        <v>16</v>
      </c>
      <c r="C254" s="233">
        <f t="shared" ca="1" si="28"/>
        <v>1</v>
      </c>
      <c r="D254" s="234">
        <f t="shared" ca="1" si="56"/>
        <v>4</v>
      </c>
      <c r="E254" s="234">
        <f t="shared" ca="1" si="57"/>
        <v>2</v>
      </c>
      <c r="F254" s="1012"/>
      <c r="G254" s="245"/>
      <c r="H254" s="246" t="s">
        <v>246</v>
      </c>
      <c r="I254" s="247" t="str">
        <f t="shared" ca="1" si="58"/>
        <v>16.001.004.002</v>
      </c>
      <c r="J254" s="965" t="s">
        <v>5329</v>
      </c>
      <c r="K254" s="249" t="s">
        <v>92</v>
      </c>
      <c r="L254" s="250">
        <f>L242</f>
        <v>44.21</v>
      </c>
      <c r="M254" s="250">
        <v>23</v>
      </c>
      <c r="N254" s="251">
        <f>IF(H254="Serviço",M254*L254,IF(H254="CÉLULA CONSTRUTIVA",SUMIFS($N$8:$N$352,$B$8:$B$352,B254,$H$8:$H$352,"Serviço"),IF(H254="ETAPA",SUMIFS($N$8:$N$352,$B$8:$B$352,B254,$C$8:$C$352,C254,$H$8:$H$352,"Serviço"),IF(H254="SUBETAPA",SUMIFS($N$8:$N$352,$B$8:$B$352,B254,$C$8:$C$352,C254,$D$8:$D$352,D254,$H$8:$H$352,"Serviço"),0))))</f>
        <v>1016.83</v>
      </c>
      <c r="O254" s="252"/>
      <c r="P254" s="253" t="s">
        <v>366</v>
      </c>
      <c r="Q254" s="293"/>
    </row>
    <row r="255" spans="1:17" ht="13.5" hidden="1" customHeight="1" outlineLevel="2" x14ac:dyDescent="0.2">
      <c r="A255" s="233">
        <f t="shared" ca="1" si="26"/>
        <v>0</v>
      </c>
      <c r="B255" s="233">
        <f t="shared" ca="1" si="27"/>
        <v>16</v>
      </c>
      <c r="C255" s="233">
        <f t="shared" ca="1" si="28"/>
        <v>1</v>
      </c>
      <c r="D255" s="234">
        <f t="shared" ca="1" si="29"/>
        <v>4</v>
      </c>
      <c r="E255" s="234">
        <f t="shared" ca="1" si="4"/>
        <v>3</v>
      </c>
      <c r="F255" s="1012"/>
      <c r="G255" s="245"/>
      <c r="H255" s="246" t="s">
        <v>246</v>
      </c>
      <c r="I255" s="247" t="str">
        <f t="shared" ca="1" si="5"/>
        <v>16.001.004.003</v>
      </c>
      <c r="J255" s="248" t="s">
        <v>515</v>
      </c>
      <c r="K255" s="249" t="s">
        <v>92</v>
      </c>
      <c r="L255" s="250">
        <f>L245</f>
        <v>13619.059999999994</v>
      </c>
      <c r="M255" s="250">
        <v>36</v>
      </c>
      <c r="N255" s="251">
        <f>IF(H255="Serviço",M255*L255,IF(H255="CÉLULA CONSTRUTIVA",SUMIFS($N$8:$N$352,$B$8:$B$352,B255,$H$8:$H$352,"Serviço"),IF(H255="ETAPA",SUMIFS($N$8:$N$352,$B$8:$B$352,B255,$C$8:$C$352,C255,$H$8:$H$352,"Serviço"),IF(H255="SUBETAPA",SUMIFS($N$8:$N$352,$B$8:$B$352,B255,$C$8:$C$352,C255,$D$8:$D$352,D255,$H$8:$H$352,"Serviço"),0))))</f>
        <v>490286.1599999998</v>
      </c>
      <c r="O255" s="252"/>
      <c r="P255" s="253" t="s">
        <v>366</v>
      </c>
      <c r="Q255" s="293"/>
    </row>
    <row r="256" spans="1:17" ht="13.5" hidden="1" customHeight="1" outlineLevel="2" x14ac:dyDescent="0.2">
      <c r="A256" s="233">
        <f t="shared" ca="1" si="26"/>
        <v>0</v>
      </c>
      <c r="B256" s="233">
        <f t="shared" ca="1" si="27"/>
        <v>16</v>
      </c>
      <c r="C256" s="233">
        <f t="shared" ca="1" si="28"/>
        <v>1</v>
      </c>
      <c r="D256" s="234">
        <f t="shared" ca="1" si="29"/>
        <v>4</v>
      </c>
      <c r="E256" s="234">
        <f t="shared" ca="1" si="4"/>
        <v>4</v>
      </c>
      <c r="F256" s="1012"/>
      <c r="G256" s="245"/>
      <c r="H256" s="246" t="s">
        <v>246</v>
      </c>
      <c r="I256" s="247" t="str">
        <f t="shared" ca="1" si="5"/>
        <v>16.001.004.004</v>
      </c>
      <c r="J256" s="248" t="s">
        <v>516</v>
      </c>
      <c r="K256" s="249" t="s">
        <v>92</v>
      </c>
      <c r="L256" s="250">
        <f>L246</f>
        <v>1246.48</v>
      </c>
      <c r="M256" s="250">
        <v>32</v>
      </c>
      <c r="N256" s="251">
        <f>IF(H256="Serviço",M256*L256,IF(H256="CÉLULA CONSTRUTIVA",SUMIFS($N$8:$N$352,$B$8:$B$352,B256,$H$8:$H$352,"Serviço"),IF(H256="ETAPA",SUMIFS($N$8:$N$352,$B$8:$B$352,B256,$C$8:$C$352,C256,$H$8:$H$352,"Serviço"),IF(H256="SUBETAPA",SUMIFS($N$8:$N$352,$B$8:$B$352,B256,$C$8:$C$352,C256,$D$8:$D$352,D256,$H$8:$H$352,"Serviço"),0))))</f>
        <v>39887.360000000001</v>
      </c>
      <c r="O256" s="252"/>
      <c r="P256" s="253" t="s">
        <v>366</v>
      </c>
      <c r="Q256" s="293"/>
    </row>
    <row r="257" spans="1:17" ht="13.5" hidden="1" customHeight="1" outlineLevel="2" x14ac:dyDescent="0.2">
      <c r="A257" s="233">
        <f t="shared" ref="A257:A321" ca="1" si="59">IF($H257="UNIDADE CONSTRUTIVA",OFFSET(A257,-1,0)+1,LARGE(A$3:A256,1))</f>
        <v>0</v>
      </c>
      <c r="B257" s="233">
        <f t="shared" ca="1" si="27"/>
        <v>16</v>
      </c>
      <c r="C257" s="233">
        <f t="shared" ca="1" si="28"/>
        <v>1</v>
      </c>
      <c r="D257" s="234">
        <f t="shared" ca="1" si="29"/>
        <v>4</v>
      </c>
      <c r="E257" s="234">
        <f t="shared" ca="1" si="4"/>
        <v>5</v>
      </c>
      <c r="F257" s="1012"/>
      <c r="G257" s="245"/>
      <c r="H257" s="246" t="s">
        <v>246</v>
      </c>
      <c r="I257" s="247" t="str">
        <f t="shared" ca="1" si="5"/>
        <v>16.001.004.005</v>
      </c>
      <c r="J257" s="248" t="s">
        <v>517</v>
      </c>
      <c r="K257" s="249" t="s">
        <v>92</v>
      </c>
      <c r="L257" s="250">
        <f>L251</f>
        <v>6377.6200000000035</v>
      </c>
      <c r="M257" s="250">
        <v>36</v>
      </c>
      <c r="N257" s="251">
        <f>IF(H257="Serviço",M257*L257,IF(H257="CÉLULA CONSTRUTIVA",SUMIFS($N$8:$N$352,$B$8:$B$352,B257,$H$8:$H$352,"Serviço"),IF(H257="ETAPA",SUMIFS($N$8:$N$352,$B$8:$B$352,B257,$C$8:$C$352,C257,$H$8:$H$352,"Serviço"),IF(H257="SUBETAPA",SUMIFS($N$8:$N$352,$B$8:$B$352,B257,$C$8:$C$352,C257,$D$8:$D$352,D257,$H$8:$H$352,"Serviço"),0))))</f>
        <v>229594.32000000012</v>
      </c>
      <c r="O257" s="252"/>
      <c r="P257" s="253" t="s">
        <v>366</v>
      </c>
      <c r="Q257" s="293"/>
    </row>
    <row r="258" spans="1:17" ht="13.5" hidden="1" customHeight="1" outlineLevel="2" x14ac:dyDescent="0.2">
      <c r="A258" s="233">
        <f t="shared" ca="1" si="59"/>
        <v>0</v>
      </c>
      <c r="B258" s="233">
        <f t="shared" ref="B258:B322" ca="1" si="60">IF(H258="UNIDADE CONSTRUTIVA",0,IF(H258="CÉLULA CONSTRUTIVA",OFFSET(B258,-1,0)+1,OFFSET(B258,-1,0)))</f>
        <v>16</v>
      </c>
      <c r="C258" s="233">
        <f t="shared" ref="C258:C322" ca="1" si="61">IF(H258="CÉLULA CONSTRUTIVA",0,IF(H258="ETAPA",OFFSET(C258,-1,0)+1,OFFSET(C258,-1,0)))</f>
        <v>1</v>
      </c>
      <c r="D258" s="234">
        <f t="shared" ca="1" si="29"/>
        <v>4</v>
      </c>
      <c r="E258" s="234">
        <f t="shared" ca="1" si="4"/>
        <v>6</v>
      </c>
      <c r="F258" s="1012"/>
      <c r="G258" s="245"/>
      <c r="H258" s="246" t="s">
        <v>246</v>
      </c>
      <c r="I258" s="247" t="str">
        <f t="shared" ca="1" si="5"/>
        <v>16.001.004.006</v>
      </c>
      <c r="J258" s="248" t="s">
        <v>518</v>
      </c>
      <c r="K258" s="249" t="s">
        <v>92</v>
      </c>
      <c r="L258" s="250">
        <f>L250</f>
        <v>1815.7200000000018</v>
      </c>
      <c r="M258" s="250">
        <v>32</v>
      </c>
      <c r="N258" s="251">
        <f>IF(H258="Serviço",M258*L258,IF(H258="CÉLULA CONSTRUTIVA",SUMIFS($N$8:$N$352,$B$8:$B$352,B258,$H$8:$H$352,"Serviço"),IF(H258="ETAPA",SUMIFS($N$8:$N$352,$B$8:$B$352,B258,$C$8:$C$352,C258,$H$8:$H$352,"Serviço"),IF(H258="SUBETAPA",SUMIFS($N$8:$N$352,$B$8:$B$352,B258,$C$8:$C$352,C258,$D$8:$D$352,D258,$H$8:$H$352,"Serviço"),0))))</f>
        <v>58103.040000000059</v>
      </c>
      <c r="O258" s="252"/>
      <c r="P258" s="253" t="s">
        <v>366</v>
      </c>
      <c r="Q258" s="293"/>
    </row>
    <row r="259" spans="1:17" ht="13.5" customHeight="1" collapsed="1" x14ac:dyDescent="0.2">
      <c r="A259" s="233">
        <f t="shared" ca="1" si="59"/>
        <v>0</v>
      </c>
      <c r="B259" s="233">
        <f t="shared" ca="1" si="60"/>
        <v>17</v>
      </c>
      <c r="C259" s="233">
        <f t="shared" ca="1" si="61"/>
        <v>0</v>
      </c>
      <c r="D259" s="234">
        <f t="shared" ca="1" si="29"/>
        <v>4</v>
      </c>
      <c r="E259" s="234">
        <f t="shared" ca="1" si="4"/>
        <v>6</v>
      </c>
      <c r="F259" s="1012"/>
      <c r="G259" s="245"/>
      <c r="H259" s="246" t="s">
        <v>241</v>
      </c>
      <c r="I259" s="247" t="str">
        <f t="shared" ca="1" si="5"/>
        <v>17</v>
      </c>
      <c r="J259" s="248" t="s">
        <v>54</v>
      </c>
      <c r="K259" s="249"/>
      <c r="L259" s="250"/>
      <c r="M259" s="250"/>
      <c r="N259" s="251">
        <f ca="1">IF(H259="Serviço",M259*L259,IF(H259="CÉLULA CONSTRUTIVA",SUMIFS($N$8:$N$352,$B$8:$B$352,B259,$H$8:$H$352,"Serviço"),IF(H259="ETAPA",SUMIFS($N$8:$N$352,$B$8:$B$352,B259,$C$8:$C$352,C259,$H$8:$H$352,"Serviço"),IF(H259="SUBETAPA",SUMIFS($N$8:$N$352,$B$8:$B$352,B259,$C$8:$C$352,C259,$D$8:$D$352,D259,$H$8:$H$352,"Serviço"),0))))</f>
        <v>3562144.1076000002</v>
      </c>
      <c r="O259" s="252"/>
      <c r="P259" s="253"/>
      <c r="Q259" s="293"/>
    </row>
    <row r="260" spans="1:17" ht="13.5" hidden="1" customHeight="1" outlineLevel="1" x14ac:dyDescent="0.2">
      <c r="A260" s="233">
        <f t="shared" ca="1" si="59"/>
        <v>0</v>
      </c>
      <c r="B260" s="233">
        <f t="shared" ca="1" si="60"/>
        <v>17</v>
      </c>
      <c r="C260" s="233">
        <f t="shared" ca="1" si="61"/>
        <v>1</v>
      </c>
      <c r="D260" s="234">
        <f t="shared" ca="1" si="29"/>
        <v>0</v>
      </c>
      <c r="E260" s="234">
        <f t="shared" ca="1" si="4"/>
        <v>6</v>
      </c>
      <c r="F260" s="244"/>
      <c r="G260" s="245"/>
      <c r="H260" s="246" t="s">
        <v>37</v>
      </c>
      <c r="I260" s="247" t="str">
        <f t="shared" ca="1" si="5"/>
        <v>17.001</v>
      </c>
      <c r="J260" s="248" t="s">
        <v>519</v>
      </c>
      <c r="K260" s="249"/>
      <c r="L260" s="250"/>
      <c r="M260" s="250"/>
      <c r="N260" s="251">
        <f ca="1">IF(H260="Serviço",M260*L260,IF(H260="CÉLULA CONSTRUTIVA",SUMIFS($N$8:$N$352,$B$8:$B$352,B260,$H$8:$H$352,"Serviço"),IF(H260="ETAPA",SUMIFS($N$8:$N$352,$B$8:$B$352,B260,$C$8:$C$352,C260,$H$8:$H$352,"Serviço"),IF(H260="SUBETAPA",SUMIFS($N$8:$N$352,$B$8:$B$352,B260,$C$8:$C$352,C260,$D$8:$D$352,D260,$H$8:$H$352,"Serviço"),0))))</f>
        <v>3013876.2856000001</v>
      </c>
      <c r="O260" s="252"/>
      <c r="P260" s="253"/>
      <c r="Q260" s="293"/>
    </row>
    <row r="261" spans="1:17" ht="11.25" hidden="1" customHeight="1" outlineLevel="1" x14ac:dyDescent="0.2">
      <c r="A261" s="233">
        <f t="shared" ca="1" si="59"/>
        <v>0</v>
      </c>
      <c r="B261" s="233">
        <f t="shared" ca="1" si="60"/>
        <v>17</v>
      </c>
      <c r="C261" s="233">
        <f t="shared" ca="1" si="61"/>
        <v>1</v>
      </c>
      <c r="D261" s="234">
        <f t="shared" ca="1" si="29"/>
        <v>1</v>
      </c>
      <c r="E261" s="234">
        <f t="shared" ca="1" si="4"/>
        <v>0</v>
      </c>
      <c r="F261" s="244"/>
      <c r="G261" s="245"/>
      <c r="H261" s="246" t="s">
        <v>244</v>
      </c>
      <c r="I261" s="247" t="str">
        <f t="shared" ca="1" si="5"/>
        <v>17.001.001</v>
      </c>
      <c r="J261" s="248" t="s">
        <v>520</v>
      </c>
      <c r="K261" s="249"/>
      <c r="L261" s="301"/>
      <c r="M261" s="250"/>
      <c r="N261" s="251">
        <f ca="1">IF(H261="Serviço",M261*L261,IF(H261="CÉLULA CONSTRUTIVA",SUMIFS($N$8:$N$352,$B$8:$B$352,B261,$H$8:$H$352,"Serviço"),IF(H261="ETAPA",SUMIFS($N$8:$N$352,$B$8:$B$352,B261,$C$8:$C$352,C261,$H$8:$H$352,"Serviço"),IF(H261="SUBETAPA",SUMIFS($N$8:$N$352,$B$8:$B$352,B261,$C$8:$C$352,C261,$D$8:$D$352,D261,$H$8:$H$352,"Serviço"),0))))</f>
        <v>63610.030800000008</v>
      </c>
      <c r="O261" s="252"/>
      <c r="P261" s="253"/>
      <c r="Q261" s="293"/>
    </row>
    <row r="262" spans="1:17" ht="13.5" hidden="1" customHeight="1" outlineLevel="2" x14ac:dyDescent="0.2">
      <c r="A262" s="233">
        <f t="shared" ca="1" si="59"/>
        <v>0</v>
      </c>
      <c r="B262" s="233">
        <f t="shared" ca="1" si="60"/>
        <v>17</v>
      </c>
      <c r="C262" s="233">
        <f t="shared" ca="1" si="61"/>
        <v>1</v>
      </c>
      <c r="D262" s="234">
        <f t="shared" ca="1" si="29"/>
        <v>1</v>
      </c>
      <c r="E262" s="234">
        <f t="shared" ca="1" si="4"/>
        <v>1</v>
      </c>
      <c r="F262" s="244"/>
      <c r="G262" s="245"/>
      <c r="H262" s="246" t="s">
        <v>246</v>
      </c>
      <c r="I262" s="247" t="str">
        <f t="shared" ca="1" si="5"/>
        <v>17.001.001.001</v>
      </c>
      <c r="J262" s="248" t="s">
        <v>521</v>
      </c>
      <c r="K262" s="249" t="s">
        <v>79</v>
      </c>
      <c r="L262" s="301">
        <f>Arquitetura!I1554</f>
        <v>2335.17</v>
      </c>
      <c r="M262" s="250">
        <v>27.240000000000002</v>
      </c>
      <c r="N262" s="251">
        <f>IF(H262="Serviço",M262*L262,IF(H262="CÉLULA CONSTRUTIVA",SUMIFS($N$8:$N$352,$B$8:$B$352,B262,$H$8:$H$352,"Serviço"),IF(H262="ETAPA",SUMIFS($N$8:$N$352,$B$8:$B$352,B262,$C$8:$C$352,C262,$H$8:$H$352,"Serviço"),IF(H262="SUBETAPA",SUMIFS($N$8:$N$352,$B$8:$B$352,B262,$C$8:$C$352,C262,$D$8:$D$352,D262,$H$8:$H$352,"Serviço"),0))))</f>
        <v>63610.030800000008</v>
      </c>
      <c r="O262" s="252"/>
      <c r="P262" s="253" t="s">
        <v>366</v>
      </c>
      <c r="Q262" s="293"/>
    </row>
    <row r="263" spans="1:17" ht="11.25" hidden="1" customHeight="1" outlineLevel="1" x14ac:dyDescent="0.2">
      <c r="A263" s="233">
        <f t="shared" ca="1" si="59"/>
        <v>0</v>
      </c>
      <c r="B263" s="233">
        <f t="shared" ca="1" si="60"/>
        <v>17</v>
      </c>
      <c r="C263" s="233">
        <f t="shared" ca="1" si="61"/>
        <v>1</v>
      </c>
      <c r="D263" s="234">
        <f t="shared" ca="1" si="29"/>
        <v>2</v>
      </c>
      <c r="E263" s="234">
        <f t="shared" ca="1" si="4"/>
        <v>0</v>
      </c>
      <c r="F263" s="244"/>
      <c r="G263" s="245"/>
      <c r="H263" s="246" t="s">
        <v>244</v>
      </c>
      <c r="I263" s="247" t="str">
        <f t="shared" ca="1" si="5"/>
        <v>17.001.002</v>
      </c>
      <c r="J263" s="248" t="s">
        <v>522</v>
      </c>
      <c r="K263" s="249"/>
      <c r="L263" s="301"/>
      <c r="M263" s="250"/>
      <c r="N263" s="251">
        <f ca="1">IF(H263="Serviço",M263*L263,IF(H263="CÉLULA CONSTRUTIVA",SUMIFS($N$8:$N$352,$B$8:$B$352,B263,$H$8:$H$352,"Serviço"),IF(H263="ETAPA",SUMIFS($N$8:$N$352,$B$8:$B$352,B263,$C$8:$C$352,C263,$H$8:$H$352,"Serviço"),IF(H263="SUBETAPA",SUMIFS($N$8:$N$352,$B$8:$B$352,B263,$C$8:$C$352,C263,$D$8:$D$352,D263,$H$8:$H$352,"Serviço"),0))))</f>
        <v>2159400.5972000002</v>
      </c>
      <c r="O263" s="252"/>
      <c r="P263" s="253"/>
      <c r="Q263" s="293"/>
    </row>
    <row r="264" spans="1:17" ht="13.5" hidden="1" customHeight="1" outlineLevel="2" x14ac:dyDescent="0.2">
      <c r="A264" s="233">
        <f t="shared" ca="1" si="59"/>
        <v>0</v>
      </c>
      <c r="B264" s="233">
        <f t="shared" ca="1" si="60"/>
        <v>17</v>
      </c>
      <c r="C264" s="233">
        <f t="shared" ca="1" si="61"/>
        <v>1</v>
      </c>
      <c r="D264" s="234">
        <f t="shared" ca="1" si="29"/>
        <v>2</v>
      </c>
      <c r="E264" s="234">
        <f t="shared" ca="1" si="4"/>
        <v>1</v>
      </c>
      <c r="F264" s="244"/>
      <c r="G264" s="245"/>
      <c r="H264" s="246" t="s">
        <v>246</v>
      </c>
      <c r="I264" s="247" t="str">
        <f t="shared" ca="1" si="5"/>
        <v>17.001.002.001</v>
      </c>
      <c r="J264" s="248" t="s">
        <v>523</v>
      </c>
      <c r="K264" s="249" t="s">
        <v>92</v>
      </c>
      <c r="L264" s="301">
        <f>SUM(Arquitetura!I1504:I1546)+SUM(Arquitetura!I1555:I1566)+0.8*2.1</f>
        <v>1446.0400000000002</v>
      </c>
      <c r="M264" s="250">
        <v>1470.43</v>
      </c>
      <c r="N264" s="251">
        <f>IF(H264="Serviço",M264*L264,IF(H264="CÉLULA CONSTRUTIVA",SUMIFS($N$8:$N$352,$B$8:$B$352,B264,$H$8:$H$352,"Serviço"),IF(H264="ETAPA",SUMIFS($N$8:$N$352,$B$8:$B$352,B264,$C$8:$C$352,C264,$H$8:$H$352,"Serviço"),IF(H264="SUBETAPA",SUMIFS($N$8:$N$352,$B$8:$B$352,B264,$C$8:$C$352,C264,$D$8:$D$352,D264,$H$8:$H$352,"Serviço"),0))))</f>
        <v>2126300.5972000002</v>
      </c>
      <c r="O264" s="252"/>
      <c r="P264" s="253" t="s">
        <v>366</v>
      </c>
      <c r="Q264" s="293"/>
    </row>
    <row r="265" spans="1:17" ht="13.5" hidden="1" customHeight="1" outlineLevel="2" x14ac:dyDescent="0.2">
      <c r="A265" s="233">
        <f t="shared" ca="1" si="59"/>
        <v>0</v>
      </c>
      <c r="B265" s="233">
        <f t="shared" ca="1" si="60"/>
        <v>17</v>
      </c>
      <c r="C265" s="233">
        <f t="shared" ca="1" si="61"/>
        <v>1</v>
      </c>
      <c r="D265" s="234">
        <f t="shared" ref="D265:D266" ca="1" si="62">IF(H265="ETAPA",0,IF(H265="SUBETAPA",OFFSET(D265,-1,0)+1,OFFSET(D265,-1,0)))</f>
        <v>2</v>
      </c>
      <c r="E265" s="234">
        <f t="shared" ref="E265:E266" ca="1" si="63">IF(H265="Subetapa",0,IF(H265="serviço",OFFSET(E265,-1,0)+1,OFFSET(E265,-1,0)))</f>
        <v>2</v>
      </c>
      <c r="F265" s="244"/>
      <c r="G265" s="245"/>
      <c r="H265" s="246" t="s">
        <v>246</v>
      </c>
      <c r="I265" s="247" t="str">
        <f t="shared" ref="I265:I266" ca="1" si="64">IF(H265="Unidade Construtiva",TEXT(A265,"00"),IF(H265="Célula Construtiva",TEXT(B265,"00"),IF(H265="Etapa",CONCATENATE(TEXT(B265,"00"),".",TEXT(C265,"000")),IF(H265="Subetapa",CONCATENATE(TEXT(B265,"00"),".",TEXT(C265,"000"),".",TEXT(D265,"000")),IF(H265="Serviço",CONCATENATE(TEXT(B265,"00"),".",TEXT(C265,"000"),".",TEXT(D265,"000"),".",TEXT(E265,"000")),"")))))</f>
        <v>17.001.002.002</v>
      </c>
      <c r="J265" s="248" t="s">
        <v>5331</v>
      </c>
      <c r="K265" s="249" t="s">
        <v>88</v>
      </c>
      <c r="L265" s="301">
        <v>1</v>
      </c>
      <c r="M265" s="250">
        <v>15950</v>
      </c>
      <c r="N265" s="251">
        <f>IF(H265="Serviço",M265*L265,IF(H265="CÉLULA CONSTRUTIVA",SUMIFS($N$8:$N$352,$B$8:$B$352,B265,$H$8:$H$352,"Serviço"),IF(H265="ETAPA",SUMIFS($N$8:$N$352,$B$8:$B$352,B265,$C$8:$C$352,C265,$H$8:$H$352,"Serviço"),IF(H265="SUBETAPA",SUMIFS($N$8:$N$352,$B$8:$B$352,B265,$C$8:$C$352,C265,$D$8:$D$352,D265,$H$8:$H$352,"Serviço"),0))))</f>
        <v>15950</v>
      </c>
      <c r="O265" s="252"/>
      <c r="P265" s="253" t="s">
        <v>366</v>
      </c>
      <c r="Q265" s="293"/>
    </row>
    <row r="266" spans="1:17" ht="13.5" hidden="1" customHeight="1" outlineLevel="2" x14ac:dyDescent="0.2">
      <c r="A266" s="233">
        <f t="shared" ca="1" si="59"/>
        <v>0</v>
      </c>
      <c r="B266" s="233">
        <f t="shared" ca="1" si="60"/>
        <v>17</v>
      </c>
      <c r="C266" s="233">
        <f t="shared" ca="1" si="61"/>
        <v>1</v>
      </c>
      <c r="D266" s="234">
        <f t="shared" ca="1" si="62"/>
        <v>2</v>
      </c>
      <c r="E266" s="234">
        <f t="shared" ca="1" si="63"/>
        <v>3</v>
      </c>
      <c r="F266" s="244"/>
      <c r="G266" s="245"/>
      <c r="H266" s="246" t="s">
        <v>246</v>
      </c>
      <c r="I266" s="247" t="str">
        <f t="shared" ca="1" si="64"/>
        <v>17.001.002.003</v>
      </c>
      <c r="J266" s="248" t="s">
        <v>5332</v>
      </c>
      <c r="K266" s="249" t="s">
        <v>88</v>
      </c>
      <c r="L266" s="301">
        <v>1</v>
      </c>
      <c r="M266" s="250">
        <v>17150</v>
      </c>
      <c r="N266" s="251">
        <f>IF(H266="Serviço",M266*L266,IF(H266="CÉLULA CONSTRUTIVA",SUMIFS($N$8:$N$352,$B$8:$B$352,B266,$H$8:$H$352,"Serviço"),IF(H266="ETAPA",SUMIFS($N$8:$N$352,$B$8:$B$352,B266,$C$8:$C$352,C266,$H$8:$H$352,"Serviço"),IF(H266="SUBETAPA",SUMIFS($N$8:$N$352,$B$8:$B$352,B266,$C$8:$C$352,C266,$D$8:$D$352,D266,$H$8:$H$352,"Serviço"),0))))</f>
        <v>17150</v>
      </c>
      <c r="O266" s="252"/>
      <c r="P266" s="253" t="s">
        <v>366</v>
      </c>
      <c r="Q266" s="293"/>
    </row>
    <row r="267" spans="1:17" ht="11.25" hidden="1" customHeight="1" outlineLevel="1" x14ac:dyDescent="0.2">
      <c r="A267" s="233">
        <f t="shared" ca="1" si="59"/>
        <v>0</v>
      </c>
      <c r="B267" s="233">
        <f t="shared" ca="1" si="60"/>
        <v>17</v>
      </c>
      <c r="C267" s="233">
        <f t="shared" ca="1" si="61"/>
        <v>1</v>
      </c>
      <c r="D267" s="234">
        <f t="shared" ca="1" si="29"/>
        <v>3</v>
      </c>
      <c r="E267" s="234">
        <f t="shared" ca="1" si="4"/>
        <v>0</v>
      </c>
      <c r="F267" s="244"/>
      <c r="G267" s="245"/>
      <c r="H267" s="246" t="s">
        <v>244</v>
      </c>
      <c r="I267" s="247" t="str">
        <f t="shared" ca="1" si="5"/>
        <v>17.001.003</v>
      </c>
      <c r="J267" s="248" t="s">
        <v>524</v>
      </c>
      <c r="K267" s="249"/>
      <c r="L267" s="301"/>
      <c r="M267" s="250"/>
      <c r="N267" s="251">
        <f ca="1">IF(H267="Serviço",M267*L267,IF(H267="CÉLULA CONSTRUTIVA",SUMIFS($N$8:$N$352,$B$8:$B$352,B267,$H$8:$H$352,"Serviço"),IF(H267="ETAPA",SUMIFS($N$8:$N$352,$B$8:$B$352,B267,$C$8:$C$352,C267,$H$8:$H$352,"Serviço"),IF(H267="SUBETAPA",SUMIFS($N$8:$N$352,$B$8:$B$352,B267,$C$8:$C$352,C267,$D$8:$D$352,D267,$H$8:$H$352,"Serviço"),0))))</f>
        <v>267848</v>
      </c>
      <c r="O267" s="252"/>
      <c r="P267" s="253"/>
      <c r="Q267" s="293"/>
    </row>
    <row r="268" spans="1:17" ht="13.5" hidden="1" customHeight="1" outlineLevel="2" x14ac:dyDescent="0.2">
      <c r="A268" s="233">
        <f t="shared" ca="1" si="59"/>
        <v>0</v>
      </c>
      <c r="B268" s="233">
        <f t="shared" ca="1" si="60"/>
        <v>17</v>
      </c>
      <c r="C268" s="233">
        <f t="shared" ca="1" si="61"/>
        <v>1</v>
      </c>
      <c r="D268" s="234">
        <f t="shared" ca="1" si="29"/>
        <v>3</v>
      </c>
      <c r="E268" s="234">
        <f t="shared" ca="1" si="4"/>
        <v>1</v>
      </c>
      <c r="F268" s="244"/>
      <c r="G268" s="245"/>
      <c r="H268" s="246" t="s">
        <v>246</v>
      </c>
      <c r="I268" s="247" t="str">
        <f t="shared" ca="1" si="5"/>
        <v>17.001.003.001</v>
      </c>
      <c r="J268" s="248" t="s">
        <v>525</v>
      </c>
      <c r="K268" s="249" t="s">
        <v>92</v>
      </c>
      <c r="L268" s="1007">
        <f>Arquitetura!I3016+Arquitetura!I3017+Arquitetura!I3018</f>
        <v>590.12999999999988</v>
      </c>
      <c r="M268" s="250">
        <f>(58048+209800)/L268</f>
        <v>453.87965363563967</v>
      </c>
      <c r="N268" s="251">
        <f>IF(H268="Serviço",M268*L268,IF(H268="CÉLULA CONSTRUTIVA",SUMIFS($N$8:$N$352,$B$8:$B$352,B268,$H$8:$H$352,"Serviço"),IF(H268="ETAPA",SUMIFS($N$8:$N$352,$B$8:$B$352,B268,$C$8:$C$352,C268,$H$8:$H$352,"Serviço"),IF(H268="SUBETAPA",SUMIFS($N$8:$N$352,$B$8:$B$352,B268,$C$8:$C$352,C268,$D$8:$D$352,D268,$H$8:$H$352,"Serviço"),0))))</f>
        <v>267848</v>
      </c>
      <c r="O268" s="252"/>
      <c r="P268" s="253" t="s">
        <v>366</v>
      </c>
      <c r="Q268" s="293"/>
    </row>
    <row r="269" spans="1:17" ht="11.25" hidden="1" customHeight="1" outlineLevel="1" x14ac:dyDescent="0.2">
      <c r="A269" s="233">
        <f t="shared" ca="1" si="59"/>
        <v>0</v>
      </c>
      <c r="B269" s="233">
        <f t="shared" ca="1" si="60"/>
        <v>17</v>
      </c>
      <c r="C269" s="233">
        <f t="shared" ca="1" si="61"/>
        <v>1</v>
      </c>
      <c r="D269" s="234">
        <f t="shared" ca="1" si="29"/>
        <v>4</v>
      </c>
      <c r="E269" s="234">
        <f t="shared" ca="1" si="4"/>
        <v>0</v>
      </c>
      <c r="F269" s="244"/>
      <c r="G269" s="245"/>
      <c r="H269" s="246" t="s">
        <v>244</v>
      </c>
      <c r="I269" s="247" t="str">
        <f t="shared" ca="1" si="5"/>
        <v>17.001.004</v>
      </c>
      <c r="J269" s="248" t="s">
        <v>526</v>
      </c>
      <c r="K269" s="249"/>
      <c r="L269" s="301"/>
      <c r="M269" s="250"/>
      <c r="N269" s="251">
        <f ca="1">IF(H269="Serviço",M269*L269,IF(H269="CÉLULA CONSTRUTIVA",SUMIFS($N$8:$N$352,$B$8:$B$352,B269,$H$8:$H$352,"Serviço"),IF(H269="ETAPA",SUMIFS($N$8:$N$352,$B$8:$B$352,B269,$C$8:$C$352,C269,$H$8:$H$352,"Serviço"),IF(H269="SUBETAPA",SUMIFS($N$8:$N$352,$B$8:$B$352,B269,$C$8:$C$352,C269,$D$8:$D$352,D269,$H$8:$H$352,"Serviço"),0))))</f>
        <v>120519.38980000002</v>
      </c>
      <c r="O269" s="252"/>
      <c r="P269" s="253"/>
      <c r="Q269" s="293"/>
    </row>
    <row r="270" spans="1:17" ht="13.5" hidden="1" customHeight="1" outlineLevel="2" x14ac:dyDescent="0.2">
      <c r="A270" s="233">
        <f t="shared" ca="1" si="59"/>
        <v>0</v>
      </c>
      <c r="B270" s="233">
        <f t="shared" ca="1" si="60"/>
        <v>17</v>
      </c>
      <c r="C270" s="233">
        <f t="shared" ca="1" si="61"/>
        <v>1</v>
      </c>
      <c r="D270" s="234">
        <f t="shared" ca="1" si="29"/>
        <v>4</v>
      </c>
      <c r="E270" s="234">
        <f t="shared" ca="1" si="4"/>
        <v>1</v>
      </c>
      <c r="F270" s="244"/>
      <c r="G270" s="245"/>
      <c r="H270" s="246" t="s">
        <v>246</v>
      </c>
      <c r="I270" s="247" t="str">
        <f t="shared" ca="1" si="5"/>
        <v>17.001.004.001</v>
      </c>
      <c r="J270" s="248" t="s">
        <v>526</v>
      </c>
      <c r="K270" s="249" t="s">
        <v>92</v>
      </c>
      <c r="L270" s="301">
        <f>Arquitetura!I1548</f>
        <v>9.02</v>
      </c>
      <c r="M270" s="250">
        <v>1533.99</v>
      </c>
      <c r="N270" s="251">
        <f>IF(H270="Serviço",M270*L270,IF(H270="CÉLULA CONSTRUTIVA",SUMIFS($N$8:$N$352,$B$8:$B$352,B270,$H$8:$H$352,"Serviço"),IF(H270="ETAPA",SUMIFS($N$8:$N$352,$B$8:$B$352,B270,$C$8:$C$352,C270,$H$8:$H$352,"Serviço"),IF(H270="SUBETAPA",SUMIFS($N$8:$N$352,$B$8:$B$352,B270,$C$8:$C$352,C270,$D$8:$D$352,D270,$H$8:$H$352,"Serviço"),0))))</f>
        <v>13836.5898</v>
      </c>
      <c r="O270" s="252"/>
      <c r="P270" s="253" t="s">
        <v>366</v>
      </c>
      <c r="Q270" s="293"/>
    </row>
    <row r="271" spans="1:17" ht="13.5" hidden="1" customHeight="1" outlineLevel="2" x14ac:dyDescent="0.2">
      <c r="A271" s="233">
        <f t="shared" ca="1" si="59"/>
        <v>0</v>
      </c>
      <c r="B271" s="233">
        <f t="shared" ca="1" si="60"/>
        <v>17</v>
      </c>
      <c r="C271" s="233">
        <f t="shared" ca="1" si="61"/>
        <v>1</v>
      </c>
      <c r="D271" s="234">
        <f t="shared" ca="1" si="29"/>
        <v>4</v>
      </c>
      <c r="E271" s="234">
        <f t="shared" ca="1" si="4"/>
        <v>2</v>
      </c>
      <c r="F271" s="244"/>
      <c r="G271" s="245"/>
      <c r="H271" s="246" t="s">
        <v>246</v>
      </c>
      <c r="I271" s="247" t="str">
        <f t="shared" ca="1" si="5"/>
        <v>17.001.004.002</v>
      </c>
      <c r="J271" s="965" t="s">
        <v>5392</v>
      </c>
      <c r="K271" s="249" t="s">
        <v>92</v>
      </c>
      <c r="L271" s="250">
        <f>Arquitetura!I3041</f>
        <v>108.86000000000001</v>
      </c>
      <c r="M271" s="1011">
        <v>980</v>
      </c>
      <c r="N271" s="251">
        <f>IF(H271="Serviço",M271*L271,IF(H271="CÉLULA CONSTRUTIVA",SUMIFS($N$8:$N$352,$B$8:$B$352,B271,$H$8:$H$352,"Serviço"),IF(H271="ETAPA",SUMIFS($N$8:$N$352,$B$8:$B$352,B271,$C$8:$C$352,C271,$H$8:$H$352,"Serviço"),IF(H271="SUBETAPA",SUMIFS($N$8:$N$352,$B$8:$B$352,B271,$C$8:$C$352,C271,$D$8:$D$352,D271,$H$8:$H$352,"Serviço"),0))))</f>
        <v>106682.80000000002</v>
      </c>
      <c r="O271" s="252"/>
      <c r="P271" s="253" t="s">
        <v>366</v>
      </c>
      <c r="Q271" s="293"/>
    </row>
    <row r="272" spans="1:17" ht="13.5" hidden="1" customHeight="1" outlineLevel="1" x14ac:dyDescent="0.2">
      <c r="A272" s="233">
        <f t="shared" ca="1" si="59"/>
        <v>0</v>
      </c>
      <c r="B272" s="233">
        <f t="shared" ca="1" si="60"/>
        <v>17</v>
      </c>
      <c r="C272" s="233">
        <f t="shared" ca="1" si="61"/>
        <v>1</v>
      </c>
      <c r="D272" s="234">
        <f t="shared" ca="1" si="29"/>
        <v>5</v>
      </c>
      <c r="E272" s="234">
        <f t="shared" ca="1" si="4"/>
        <v>0</v>
      </c>
      <c r="F272" s="244"/>
      <c r="G272" s="245"/>
      <c r="H272" s="246" t="s">
        <v>244</v>
      </c>
      <c r="I272" s="247" t="str">
        <f t="shared" ca="1" si="5"/>
        <v>17.001.005</v>
      </c>
      <c r="J272" s="248" t="s">
        <v>527</v>
      </c>
      <c r="K272" s="249"/>
      <c r="L272" s="301"/>
      <c r="M272" s="250"/>
      <c r="N272" s="251">
        <f ca="1">IF(H272="Serviço",M272*L272,IF(H272="CÉLULA CONSTRUTIVA",SUMIFS($N$8:$N$352,$B$8:$B$352,B272,$H$8:$H$352,"Serviço"),IF(H272="ETAPA",SUMIFS($N$8:$N$352,$B$8:$B$352,B272,$C$8:$C$352,C272,$H$8:$H$352,"Serviço"),IF(H272="SUBETAPA",SUMIFS($N$8:$N$352,$B$8:$B$352,B272,$C$8:$C$352,C272,$D$8:$D$352,D272,$H$8:$H$352,"Serviço"),0))))</f>
        <v>402498.26780000003</v>
      </c>
      <c r="O272" s="252"/>
      <c r="P272" s="253"/>
      <c r="Q272" s="293"/>
    </row>
    <row r="273" spans="1:17" ht="13.5" hidden="1" customHeight="1" outlineLevel="2" x14ac:dyDescent="0.2">
      <c r="A273" s="233">
        <f t="shared" ca="1" si="59"/>
        <v>0</v>
      </c>
      <c r="B273" s="233">
        <f t="shared" ca="1" si="60"/>
        <v>17</v>
      </c>
      <c r="C273" s="233">
        <f t="shared" ca="1" si="61"/>
        <v>1</v>
      </c>
      <c r="D273" s="234">
        <f t="shared" ca="1" si="29"/>
        <v>5</v>
      </c>
      <c r="E273" s="234">
        <f t="shared" ref="E273:E525" ca="1" si="65">IF(H273="Subetapa",0,IF(H273="serviço",OFFSET(E273,-1,0)+1,OFFSET(E273,-1,0)))</f>
        <v>1</v>
      </c>
      <c r="F273" s="244"/>
      <c r="G273" s="245"/>
      <c r="H273" s="246" t="s">
        <v>246</v>
      </c>
      <c r="I273" s="247" t="str">
        <f t="shared" ref="I273:I347" ca="1" si="66">IF(H273="Unidade Construtiva",TEXT(A273,"00"),IF(H273="Célula Construtiva",TEXT(B273,"00"),IF(H273="Etapa",CONCATENATE(TEXT(B273,"00"),".",TEXT(C273,"000")),IF(H273="Subetapa",CONCATENATE(TEXT(B273,"00"),".",TEXT(C273,"000"),".",TEXT(D273,"000")),IF(H273="Serviço",CONCATENATE(TEXT(B273,"00"),".",TEXT(C273,"000"),".",TEXT(D273,"000"),".",TEXT(E273,"000")),"")))))</f>
        <v>17.001.005.001</v>
      </c>
      <c r="J273" s="248" t="s">
        <v>528</v>
      </c>
      <c r="K273" s="249" t="s">
        <v>92</v>
      </c>
      <c r="L273" s="301">
        <f>Arquitetura!I1547</f>
        <v>57.97</v>
      </c>
      <c r="M273" s="250">
        <v>1716.65</v>
      </c>
      <c r="N273" s="251">
        <f>IF(H273="Serviço",M273*L273,IF(H273="CÉLULA CONSTRUTIVA",SUMIFS($N$8:$N$352,$B$8:$B$352,B273,$H$8:$H$352,"Serviço"),IF(H273="ETAPA",SUMIFS($N$8:$N$352,$B$8:$B$352,B273,$C$8:$C$352,C273,$H$8:$H$352,"Serviço"),IF(H273="SUBETAPA",SUMIFS($N$8:$N$352,$B$8:$B$352,B273,$C$8:$C$352,C273,$D$8:$D$352,D273,$H$8:$H$352,"Serviço"),0))))</f>
        <v>99514.200500000006</v>
      </c>
      <c r="O273" s="252"/>
      <c r="P273" s="253" t="s">
        <v>366</v>
      </c>
      <c r="Q273" s="293"/>
    </row>
    <row r="274" spans="1:17" ht="13.5" hidden="1" customHeight="1" outlineLevel="2" x14ac:dyDescent="0.2">
      <c r="A274" s="233">
        <f t="shared" ca="1" si="59"/>
        <v>0</v>
      </c>
      <c r="B274" s="233">
        <f t="shared" ca="1" si="60"/>
        <v>17</v>
      </c>
      <c r="C274" s="233">
        <f t="shared" ca="1" si="61"/>
        <v>1</v>
      </c>
      <c r="D274" s="234">
        <f t="shared" ref="D274" ca="1" si="67">IF(H274="ETAPA",0,IF(H274="SUBETAPA",OFFSET(D274,-1,0)+1,OFFSET(D274,-1,0)))</f>
        <v>5</v>
      </c>
      <c r="E274" s="234">
        <f t="shared" ref="E274" ca="1" si="68">IF(H274="Subetapa",0,IF(H274="serviço",OFFSET(E274,-1,0)+1,OFFSET(E274,-1,0)))</f>
        <v>2</v>
      </c>
      <c r="F274" s="244"/>
      <c r="G274" s="245"/>
      <c r="H274" s="246" t="s">
        <v>246</v>
      </c>
      <c r="I274" s="247" t="str">
        <f t="shared" ref="I274" ca="1" si="69">IF(H274="Unidade Construtiva",TEXT(A274,"00"),IF(H274="Célula Construtiva",TEXT(B274,"00"),IF(H274="Etapa",CONCATENATE(TEXT(B274,"00"),".",TEXT(C274,"000")),IF(H274="Subetapa",CONCATENATE(TEXT(B274,"00"),".",TEXT(C274,"000"),".",TEXT(D274,"000")),IF(H274="Serviço",CONCATENATE(TEXT(B274,"00"),".",TEXT(C274,"000"),".",TEXT(D274,"000"),".",TEXT(E274,"000")),"")))))</f>
        <v>17.001.005.002</v>
      </c>
      <c r="J274" s="248" t="s">
        <v>5330</v>
      </c>
      <c r="K274" s="249" t="s">
        <v>92</v>
      </c>
      <c r="L274" s="301">
        <f>Arquitetura!I1568</f>
        <v>296.43</v>
      </c>
      <c r="M274" s="250">
        <v>1022.11</v>
      </c>
      <c r="N274" s="251">
        <f>IF(H274="Serviço",M274*L274,IF(H274="CÉLULA CONSTRUTIVA",SUMIFS($N$8:$N$352,$B$8:$B$352,B274,$H$8:$H$352,"Serviço"),IF(H274="ETAPA",SUMIFS($N$8:$N$352,$B$8:$B$352,B274,$C$8:$C$352,C274,$H$8:$H$352,"Serviço"),IF(H274="SUBETAPA",SUMIFS($N$8:$N$352,$B$8:$B$352,B274,$C$8:$C$352,C274,$D$8:$D$352,D274,$H$8:$H$352,"Serviço"),0))))</f>
        <v>302984.0673</v>
      </c>
      <c r="O274" s="252"/>
      <c r="P274" s="253" t="s">
        <v>366</v>
      </c>
      <c r="Q274" s="293"/>
    </row>
    <row r="275" spans="1:17" ht="13.5" hidden="1" customHeight="1" outlineLevel="1" x14ac:dyDescent="0.2">
      <c r="A275" s="233">
        <f t="shared" ca="1" si="59"/>
        <v>0</v>
      </c>
      <c r="B275" s="233">
        <f t="shared" ca="1" si="60"/>
        <v>17</v>
      </c>
      <c r="C275" s="233">
        <f t="shared" ca="1" si="61"/>
        <v>2</v>
      </c>
      <c r="D275" s="234">
        <f t="shared" ca="1" si="29"/>
        <v>0</v>
      </c>
      <c r="E275" s="234">
        <f t="shared" ca="1" si="65"/>
        <v>2</v>
      </c>
      <c r="F275" s="244"/>
      <c r="G275" s="245"/>
      <c r="H275" s="246" t="s">
        <v>37</v>
      </c>
      <c r="I275" s="247" t="str">
        <f t="shared" ca="1" si="66"/>
        <v>17.002</v>
      </c>
      <c r="J275" s="248" t="s">
        <v>529</v>
      </c>
      <c r="K275" s="249"/>
      <c r="L275" s="250"/>
      <c r="M275" s="250"/>
      <c r="N275" s="251">
        <f ca="1">IF(H275="Serviço",M275*L275,IF(H275="CÉLULA CONSTRUTIVA",SUMIFS($N$8:$N$352,$B$8:$B$352,B275,$H$8:$H$352,"Serviço"),IF(H275="ETAPA",SUMIFS($N$8:$N$352,$B$8:$B$352,B275,$C$8:$C$352,C275,$H$8:$H$352,"Serviço"),IF(H275="SUBETAPA",SUMIFS($N$8:$N$352,$B$8:$B$352,B275,$C$8:$C$352,C275,$D$8:$D$352,D275,$H$8:$H$352,"Serviço"),0))))</f>
        <v>468243.57699999999</v>
      </c>
      <c r="O275" s="252"/>
      <c r="P275" s="253"/>
      <c r="Q275" s="293"/>
    </row>
    <row r="276" spans="1:17" ht="11.25" hidden="1" customHeight="1" outlineLevel="1" x14ac:dyDescent="0.2">
      <c r="A276" s="233">
        <f t="shared" ca="1" si="59"/>
        <v>0</v>
      </c>
      <c r="B276" s="233">
        <f t="shared" ca="1" si="60"/>
        <v>17</v>
      </c>
      <c r="C276" s="233">
        <f t="shared" ca="1" si="61"/>
        <v>2</v>
      </c>
      <c r="D276" s="234">
        <f t="shared" ref="D276:D337" ca="1" si="70">IF(H276="ETAPA",0,IF(H276="SUBETAPA",OFFSET(D276,-1,0)+1,OFFSET(D276,-1,0)))</f>
        <v>1</v>
      </c>
      <c r="E276" s="234">
        <f t="shared" ca="1" si="65"/>
        <v>0</v>
      </c>
      <c r="F276" s="244"/>
      <c r="G276" s="245"/>
      <c r="H276" s="246" t="s">
        <v>244</v>
      </c>
      <c r="I276" s="247" t="str">
        <f t="shared" ca="1" si="66"/>
        <v>17.002.001</v>
      </c>
      <c r="J276" s="248" t="s">
        <v>530</v>
      </c>
      <c r="K276" s="249"/>
      <c r="L276" s="301"/>
      <c r="M276" s="250"/>
      <c r="N276" s="251">
        <f ca="1">IF(H276="Serviço",M276*L276,IF(H276="CÉLULA CONSTRUTIVA",SUMIFS($N$8:$N$352,$B$8:$B$352,B276,$H$8:$H$352,"Serviço"),IF(H276="ETAPA",SUMIFS($N$8:$N$352,$B$8:$B$352,B276,$C$8:$C$352,C276,$H$8:$H$352,"Serviço"),IF(H276="SUBETAPA",SUMIFS($N$8:$N$352,$B$8:$B$352,B276,$C$8:$C$352,C276,$D$8:$D$352,D276,$H$8:$H$352,"Serviço"),0))))</f>
        <v>287385.04000000004</v>
      </c>
      <c r="O276" s="252"/>
      <c r="P276" s="253"/>
      <c r="Q276" s="293"/>
    </row>
    <row r="277" spans="1:17" ht="13.5" hidden="1" customHeight="1" outlineLevel="2" x14ac:dyDescent="0.2">
      <c r="A277" s="233">
        <f t="shared" ca="1" si="59"/>
        <v>0</v>
      </c>
      <c r="B277" s="233">
        <f t="shared" ca="1" si="60"/>
        <v>17</v>
      </c>
      <c r="C277" s="233">
        <f t="shared" ca="1" si="61"/>
        <v>2</v>
      </c>
      <c r="D277" s="234">
        <f t="shared" ca="1" si="70"/>
        <v>1</v>
      </c>
      <c r="E277" s="234">
        <f t="shared" ca="1" si="65"/>
        <v>1</v>
      </c>
      <c r="F277" s="244"/>
      <c r="G277" s="245"/>
      <c r="H277" s="246" t="s">
        <v>246</v>
      </c>
      <c r="I277" s="247" t="str">
        <f t="shared" ca="1" si="66"/>
        <v>17.002.001.001</v>
      </c>
      <c r="J277" s="248" t="s">
        <v>531</v>
      </c>
      <c r="K277" s="249" t="s">
        <v>88</v>
      </c>
      <c r="L277" s="250">
        <f>Arquitetura!I1550</f>
        <v>42</v>
      </c>
      <c r="M277" s="250">
        <v>1237.1099999999999</v>
      </c>
      <c r="N277" s="251">
        <f>IF(H277="Serviço",M277*L277,IF(H277="CÉLULA CONSTRUTIVA",SUMIFS($N$8:$N$352,$B$8:$B$352,B277,$H$8:$H$352,"Serviço"),IF(H277="ETAPA",SUMIFS($N$8:$N$352,$B$8:$B$352,B277,$C$8:$C$352,C277,$H$8:$H$352,"Serviço"),IF(H277="SUBETAPA",SUMIFS($N$8:$N$352,$B$8:$B$352,B277,$C$8:$C$352,C277,$D$8:$D$352,D277,$H$8:$H$352,"Serviço"),0))))</f>
        <v>51958.619999999995</v>
      </c>
      <c r="O277" s="252"/>
      <c r="P277" s="253" t="s">
        <v>366</v>
      </c>
      <c r="Q277" s="293"/>
    </row>
    <row r="278" spans="1:17" ht="12.75" hidden="1" customHeight="1" outlineLevel="2" x14ac:dyDescent="0.2">
      <c r="A278" s="233">
        <f t="shared" ca="1" si="59"/>
        <v>0</v>
      </c>
      <c r="B278" s="233">
        <f t="shared" ca="1" si="60"/>
        <v>17</v>
      </c>
      <c r="C278" s="233">
        <f t="shared" ca="1" si="61"/>
        <v>2</v>
      </c>
      <c r="D278" s="234">
        <f t="shared" ca="1" si="70"/>
        <v>1</v>
      </c>
      <c r="E278" s="234">
        <f t="shared" ca="1" si="65"/>
        <v>2</v>
      </c>
      <c r="F278" s="244"/>
      <c r="G278" s="245"/>
      <c r="H278" s="246" t="s">
        <v>246</v>
      </c>
      <c r="I278" s="247" t="str">
        <f t="shared" ca="1" si="66"/>
        <v>17.002.001.002</v>
      </c>
      <c r="J278" s="248" t="s">
        <v>532</v>
      </c>
      <c r="K278" s="249" t="s">
        <v>88</v>
      </c>
      <c r="L278" s="250">
        <f>Arquitetura!I1551</f>
        <v>35</v>
      </c>
      <c r="M278" s="250">
        <v>1237.1099999999999</v>
      </c>
      <c r="N278" s="251">
        <f>IF(H278="Serviço",M278*L278,IF(H278="CÉLULA CONSTRUTIVA",SUMIFS($N$8:$N$352,$B$8:$B$352,B278,$H$8:$H$352,"Serviço"),IF(H278="ETAPA",SUMIFS($N$8:$N$352,$B$8:$B$352,B278,$C$8:$C$352,C278,$H$8:$H$352,"Serviço"),IF(H278="SUBETAPA",SUMIFS($N$8:$N$352,$B$8:$B$352,B278,$C$8:$C$352,C278,$D$8:$D$352,D278,$H$8:$H$352,"Serviço"),0))))</f>
        <v>43298.85</v>
      </c>
      <c r="O278" s="252"/>
      <c r="P278" s="253" t="s">
        <v>366</v>
      </c>
      <c r="Q278" s="293"/>
    </row>
    <row r="279" spans="1:17" ht="12.75" hidden="1" customHeight="1" outlineLevel="2" x14ac:dyDescent="0.2">
      <c r="A279" s="233">
        <f t="shared" ca="1" si="59"/>
        <v>0</v>
      </c>
      <c r="B279" s="233">
        <f t="shared" ca="1" si="60"/>
        <v>17</v>
      </c>
      <c r="C279" s="233">
        <f t="shared" ca="1" si="61"/>
        <v>2</v>
      </c>
      <c r="D279" s="234">
        <f t="shared" ca="1" si="70"/>
        <v>1</v>
      </c>
      <c r="E279" s="234">
        <f t="shared" ca="1" si="65"/>
        <v>3</v>
      </c>
      <c r="F279" s="244"/>
      <c r="G279" s="245"/>
      <c r="H279" s="246" t="s">
        <v>246</v>
      </c>
      <c r="I279" s="247" t="str">
        <f t="shared" ca="1" si="66"/>
        <v>17.002.001.003</v>
      </c>
      <c r="J279" s="248" t="s">
        <v>533</v>
      </c>
      <c r="K279" s="249" t="s">
        <v>88</v>
      </c>
      <c r="L279" s="250">
        <f>Arquitetura!I1552</f>
        <v>89</v>
      </c>
      <c r="M279" s="250">
        <v>1324.75</v>
      </c>
      <c r="N279" s="251">
        <f>IF(H279="Serviço",M279*L279,IF(H279="CÉLULA CONSTRUTIVA",SUMIFS($N$8:$N$352,$B$8:$B$352,B279,$H$8:$H$352,"Serviço"),IF(H279="ETAPA",SUMIFS($N$8:$N$352,$B$8:$B$352,B279,$C$8:$C$352,C279,$H$8:$H$352,"Serviço"),IF(H279="SUBETAPA",SUMIFS($N$8:$N$352,$B$8:$B$352,B279,$C$8:$C$352,C279,$D$8:$D$352,D279,$H$8:$H$352,"Serviço"),0))))</f>
        <v>117902.75</v>
      </c>
      <c r="O279" s="252"/>
      <c r="P279" s="253" t="s">
        <v>366</v>
      </c>
      <c r="Q279" s="293"/>
    </row>
    <row r="280" spans="1:17" ht="12.75" hidden="1" customHeight="1" outlineLevel="2" x14ac:dyDescent="0.2">
      <c r="A280" s="233">
        <f t="shared" ca="1" si="59"/>
        <v>0</v>
      </c>
      <c r="B280" s="233">
        <f t="shared" ca="1" si="60"/>
        <v>17</v>
      </c>
      <c r="C280" s="233">
        <f t="shared" ca="1" si="61"/>
        <v>2</v>
      </c>
      <c r="D280" s="234">
        <f t="shared" ca="1" si="70"/>
        <v>1</v>
      </c>
      <c r="E280" s="234">
        <f t="shared" ca="1" si="65"/>
        <v>4</v>
      </c>
      <c r="F280" s="244"/>
      <c r="G280" s="245"/>
      <c r="H280" s="246" t="s">
        <v>246</v>
      </c>
      <c r="I280" s="247" t="str">
        <f t="shared" ca="1" si="66"/>
        <v>17.002.001.004</v>
      </c>
      <c r="J280" s="248" t="s">
        <v>534</v>
      </c>
      <c r="K280" s="249" t="s">
        <v>88</v>
      </c>
      <c r="L280" s="250">
        <f>Arquitetura!I1549</f>
        <v>71</v>
      </c>
      <c r="M280" s="250">
        <v>1045.42</v>
      </c>
      <c r="N280" s="251">
        <f>IF(H280="Serviço",M280*L280,IF(H280="CÉLULA CONSTRUTIVA",SUMIFS($N$8:$N$352,$B$8:$B$352,B280,$H$8:$H$352,"Serviço"),IF(H280="ETAPA",SUMIFS($N$8:$N$352,$B$8:$B$352,B280,$C$8:$C$352,C280,$H$8:$H$352,"Serviço"),IF(H280="SUBETAPA",SUMIFS($N$8:$N$352,$B$8:$B$352,B280,$C$8:$C$352,C280,$D$8:$D$352,D280,$H$8:$H$352,"Serviço"),0))))</f>
        <v>74224.820000000007</v>
      </c>
      <c r="O280" s="252"/>
      <c r="P280" s="253" t="s">
        <v>366</v>
      </c>
      <c r="Q280" s="293"/>
    </row>
    <row r="281" spans="1:17" ht="13.5" hidden="1" customHeight="1" outlineLevel="1" x14ac:dyDescent="0.2">
      <c r="A281" s="233">
        <f t="shared" ca="1" si="59"/>
        <v>0</v>
      </c>
      <c r="B281" s="233">
        <f t="shared" ca="1" si="60"/>
        <v>17</v>
      </c>
      <c r="C281" s="233">
        <f t="shared" ca="1" si="61"/>
        <v>2</v>
      </c>
      <c r="D281" s="234">
        <f t="shared" ca="1" si="70"/>
        <v>2</v>
      </c>
      <c r="E281" s="234">
        <f t="shared" ca="1" si="65"/>
        <v>0</v>
      </c>
      <c r="F281" s="244"/>
      <c r="G281" s="245"/>
      <c r="H281" s="246" t="s">
        <v>244</v>
      </c>
      <c r="I281" s="247" t="str">
        <f t="shared" ca="1" si="66"/>
        <v>17.002.002</v>
      </c>
      <c r="J281" s="248" t="s">
        <v>535</v>
      </c>
      <c r="K281" s="249"/>
      <c r="L281" s="301"/>
      <c r="M281" s="250"/>
      <c r="N281" s="251">
        <f ca="1">IF(H281="Serviço",M281*L281,IF(H281="CÉLULA CONSTRUTIVA",SUMIFS($N$8:$N$352,$B$8:$B$352,B281,$H$8:$H$352,"Serviço"),IF(H281="ETAPA",SUMIFS($N$8:$N$352,$B$8:$B$352,B281,$C$8:$C$352,C281,$H$8:$H$352,"Serviço"),IF(H281="SUBETAPA",SUMIFS($N$8:$N$352,$B$8:$B$352,B281,$C$8:$C$352,C281,$D$8:$D$352,D281,$H$8:$H$352,"Serviço"),0))))</f>
        <v>31609.736999999994</v>
      </c>
      <c r="O281" s="252"/>
      <c r="P281" s="253"/>
      <c r="Q281" s="293"/>
    </row>
    <row r="282" spans="1:17" ht="13.5" hidden="1" customHeight="1" outlineLevel="2" x14ac:dyDescent="0.2">
      <c r="A282" s="233">
        <f t="shared" ca="1" si="59"/>
        <v>0</v>
      </c>
      <c r="B282" s="233">
        <f t="shared" ca="1" si="60"/>
        <v>17</v>
      </c>
      <c r="C282" s="233">
        <f t="shared" ca="1" si="61"/>
        <v>2</v>
      </c>
      <c r="D282" s="234">
        <f t="shared" ca="1" si="70"/>
        <v>2</v>
      </c>
      <c r="E282" s="234">
        <f t="shared" ca="1" si="65"/>
        <v>1</v>
      </c>
      <c r="F282" s="244"/>
      <c r="G282" s="245"/>
      <c r="H282" s="246" t="s">
        <v>246</v>
      </c>
      <c r="I282" s="247" t="str">
        <f t="shared" ca="1" si="66"/>
        <v>17.002.002.001</v>
      </c>
      <c r="J282" s="248" t="s">
        <v>536</v>
      </c>
      <c r="K282" s="249" t="s">
        <v>79</v>
      </c>
      <c r="L282" s="250">
        <f>Arquitetura!I1553</f>
        <v>204.65999999999997</v>
      </c>
      <c r="M282" s="250">
        <v>154.44999999999999</v>
      </c>
      <c r="N282" s="251">
        <f>IF(H282="Serviço",M282*L282,IF(H282="CÉLULA CONSTRUTIVA",SUMIFS($N$8:$N$352,$B$8:$B$352,B282,$H$8:$H$352,"Serviço"),IF(H282="ETAPA",SUMIFS($N$8:$N$352,$B$8:$B$352,B282,$C$8:$C$352,C282,$H$8:$H$352,"Serviço"),IF(H282="SUBETAPA",SUMIFS($N$8:$N$352,$B$8:$B$352,B282,$C$8:$C$352,C282,$D$8:$D$352,D282,$H$8:$H$352,"Serviço"),0))))</f>
        <v>31609.736999999994</v>
      </c>
      <c r="O282" s="252"/>
      <c r="P282" s="253" t="s">
        <v>366</v>
      </c>
      <c r="Q282" s="293"/>
    </row>
    <row r="283" spans="1:17" ht="13.5" hidden="1" customHeight="1" outlineLevel="1" x14ac:dyDescent="0.2">
      <c r="A283" s="233">
        <f t="shared" ca="1" si="59"/>
        <v>0</v>
      </c>
      <c r="B283" s="233">
        <f t="shared" ca="1" si="60"/>
        <v>17</v>
      </c>
      <c r="C283" s="233">
        <f t="shared" ca="1" si="61"/>
        <v>2</v>
      </c>
      <c r="D283" s="234">
        <f t="shared" ca="1" si="70"/>
        <v>3</v>
      </c>
      <c r="E283" s="234">
        <f t="shared" ca="1" si="65"/>
        <v>0</v>
      </c>
      <c r="F283" s="244"/>
      <c r="G283" s="245"/>
      <c r="H283" s="246" t="s">
        <v>244</v>
      </c>
      <c r="I283" s="247" t="str">
        <f t="shared" ca="1" si="66"/>
        <v>17.002.003</v>
      </c>
      <c r="J283" s="248" t="s">
        <v>537</v>
      </c>
      <c r="K283" s="249"/>
      <c r="L283" s="301"/>
      <c r="M283" s="250"/>
      <c r="N283" s="251">
        <f ca="1">IF(H283="Serviço",M283*L283,IF(H283="CÉLULA CONSTRUTIVA",SUMIFS($N$8:$N$352,$B$8:$B$352,B283,$H$8:$H$352,"Serviço"),IF(H283="ETAPA",SUMIFS($N$8:$N$352,$B$8:$B$352,B283,$C$8:$C$352,C283,$H$8:$H$352,"Serviço"),IF(H283="SUBETAPA",SUMIFS($N$8:$N$352,$B$8:$B$352,B283,$C$8:$C$352,C283,$D$8:$D$352,D283,$H$8:$H$352,"Serviço"),0))))</f>
        <v>78148.800000000003</v>
      </c>
      <c r="O283" s="301"/>
      <c r="P283" s="253"/>
      <c r="Q283" s="293"/>
    </row>
    <row r="284" spans="1:17" ht="13.5" hidden="1" customHeight="1" outlineLevel="2" x14ac:dyDescent="0.2">
      <c r="A284" s="233">
        <f t="shared" ca="1" si="59"/>
        <v>0</v>
      </c>
      <c r="B284" s="233">
        <f t="shared" ca="1" si="60"/>
        <v>17</v>
      </c>
      <c r="C284" s="233">
        <f t="shared" ca="1" si="61"/>
        <v>2</v>
      </c>
      <c r="D284" s="234">
        <f t="shared" ca="1" si="70"/>
        <v>3</v>
      </c>
      <c r="E284" s="234">
        <f t="shared" ca="1" si="65"/>
        <v>1</v>
      </c>
      <c r="F284" s="244"/>
      <c r="G284" s="245"/>
      <c r="H284" s="246" t="s">
        <v>246</v>
      </c>
      <c r="I284" s="247" t="str">
        <f t="shared" ca="1" si="66"/>
        <v>17.002.003.001</v>
      </c>
      <c r="J284" s="248" t="s">
        <v>538</v>
      </c>
      <c r="K284" s="249" t="s">
        <v>88</v>
      </c>
      <c r="L284" s="250">
        <f>'Obra '!E10</f>
        <v>81</v>
      </c>
      <c r="M284" s="250">
        <v>964.8</v>
      </c>
      <c r="N284" s="251">
        <f>IF(H284="Serviço",M284*L284,IF(H284="CÉLULA CONSTRUTIVA",SUMIFS($N$8:$N$352,$B$8:$B$352,B284,$H$8:$H$352,"Serviço"),IF(H284="ETAPA",SUMIFS($N$8:$N$352,$B$8:$B$352,B284,$C$8:$C$352,C284,$H$8:$H$352,"Serviço"),IF(H284="SUBETAPA",SUMIFS($N$8:$N$352,$B$8:$B$352,B284,$C$8:$C$352,C284,$D$8:$D$352,D284,$H$8:$H$352,"Serviço"),0))))</f>
        <v>78148.800000000003</v>
      </c>
      <c r="O284" s="252"/>
      <c r="P284" s="253" t="s">
        <v>366</v>
      </c>
      <c r="Q284" s="293"/>
    </row>
    <row r="285" spans="1:17" ht="13.5" hidden="1" customHeight="1" outlineLevel="1" x14ac:dyDescent="0.2">
      <c r="A285" s="233">
        <f t="shared" ca="1" si="59"/>
        <v>0</v>
      </c>
      <c r="B285" s="233">
        <f t="shared" ca="1" si="60"/>
        <v>17</v>
      </c>
      <c r="C285" s="233">
        <f t="shared" ca="1" si="61"/>
        <v>2</v>
      </c>
      <c r="D285" s="234">
        <f t="shared" ca="1" si="70"/>
        <v>4</v>
      </c>
      <c r="E285" s="234">
        <f t="shared" ca="1" si="65"/>
        <v>0</v>
      </c>
      <c r="F285" s="244"/>
      <c r="G285" s="245"/>
      <c r="H285" s="246" t="s">
        <v>244</v>
      </c>
      <c r="I285" s="247" t="str">
        <f t="shared" ca="1" si="66"/>
        <v>17.002.004</v>
      </c>
      <c r="J285" s="248" t="s">
        <v>405</v>
      </c>
      <c r="K285" s="249"/>
      <c r="L285" s="301"/>
      <c r="M285" s="250"/>
      <c r="N285" s="251">
        <f ca="1">IF(H285="Serviço",M285*L285,IF(H285="CÉLULA CONSTRUTIVA",SUMIFS($N$8:$N$352,$B$8:$B$352,B285,$H$8:$H$352,"Serviço"),IF(H285="ETAPA",SUMIFS($N$8:$N$352,$B$8:$B$352,B285,$C$8:$C$352,C285,$H$8:$H$352,"Serviço"),IF(H285="SUBETAPA",SUMIFS($N$8:$N$352,$B$8:$B$352,B285,$C$8:$C$352,C285,$D$8:$D$352,D285,$H$8:$H$352,"Serviço"),0))))</f>
        <v>71100</v>
      </c>
      <c r="O285" s="252"/>
      <c r="P285" s="253"/>
      <c r="Q285" s="293"/>
    </row>
    <row r="286" spans="1:17" ht="13.5" hidden="1" customHeight="1" outlineLevel="2" x14ac:dyDescent="0.2">
      <c r="A286" s="233">
        <f t="shared" ca="1" si="59"/>
        <v>0</v>
      </c>
      <c r="B286" s="233">
        <f t="shared" ca="1" si="60"/>
        <v>17</v>
      </c>
      <c r="C286" s="233">
        <f t="shared" ca="1" si="61"/>
        <v>2</v>
      </c>
      <c r="D286" s="234">
        <f t="shared" ca="1" si="70"/>
        <v>4</v>
      </c>
      <c r="E286" s="234">
        <f t="shared" ca="1" si="65"/>
        <v>1</v>
      </c>
      <c r="F286" s="244"/>
      <c r="G286" s="245"/>
      <c r="H286" s="246" t="s">
        <v>246</v>
      </c>
      <c r="I286" s="247" t="str">
        <f t="shared" ca="1" si="66"/>
        <v>17.002.004.001</v>
      </c>
      <c r="J286" s="248" t="s">
        <v>539</v>
      </c>
      <c r="K286" s="249" t="s">
        <v>88</v>
      </c>
      <c r="L286" s="250">
        <f>SUM(L277:L280)</f>
        <v>237</v>
      </c>
      <c r="M286" s="250">
        <v>300</v>
      </c>
      <c r="N286" s="251">
        <f>IF(H286="Serviço",M286*L286,IF(H286="CÉLULA CONSTRUTIVA",SUMIFS($N$8:$N$352,$B$8:$B$352,B286,$H$8:$H$352,"Serviço"),IF(H286="ETAPA",SUMIFS($N$8:$N$352,$B$8:$B$352,B286,$C$8:$C$352,C286,$H$8:$H$352,"Serviço"),IF(H286="SUBETAPA",SUMIFS($N$8:$N$352,$B$8:$B$352,B286,$C$8:$C$352,C286,$D$8:$D$352,D286,$H$8:$H$352,"Serviço"),0))))</f>
        <v>71100</v>
      </c>
      <c r="O286" s="252"/>
      <c r="P286" s="253" t="s">
        <v>366</v>
      </c>
      <c r="Q286" s="293"/>
    </row>
    <row r="287" spans="1:17" ht="13.5" hidden="1" customHeight="1" outlineLevel="1" x14ac:dyDescent="0.2">
      <c r="A287" s="233">
        <f t="shared" ca="1" si="59"/>
        <v>0</v>
      </c>
      <c r="B287" s="233">
        <f t="shared" ca="1" si="60"/>
        <v>17</v>
      </c>
      <c r="C287" s="233">
        <f t="shared" ca="1" si="61"/>
        <v>3</v>
      </c>
      <c r="D287" s="234">
        <f t="shared" ca="1" si="70"/>
        <v>0</v>
      </c>
      <c r="E287" s="234">
        <f t="shared" ca="1" si="65"/>
        <v>1</v>
      </c>
      <c r="F287" s="244"/>
      <c r="G287" s="245"/>
      <c r="H287" s="246" t="s">
        <v>37</v>
      </c>
      <c r="I287" s="247" t="str">
        <f t="shared" ca="1" si="66"/>
        <v>17.003</v>
      </c>
      <c r="J287" s="248" t="s">
        <v>540</v>
      </c>
      <c r="K287" s="249"/>
      <c r="L287" s="250"/>
      <c r="M287" s="250"/>
      <c r="N287" s="251">
        <f ca="1">IF(H287="Serviço",M287*L287,IF(H287="CÉLULA CONSTRUTIVA",SUMIFS($N$8:$N$352,$B$8:$B$352,B287,$H$8:$H$352,"Serviço"),IF(H287="ETAPA",SUMIFS($N$8:$N$352,$B$8:$B$352,B287,$C$8:$C$352,C287,$H$8:$H$352,"Serviço"),IF(H287="SUBETAPA",SUMIFS($N$8:$N$352,$B$8:$B$352,B287,$C$8:$C$352,C287,$D$8:$D$352,D287,$H$8:$H$352,"Serviço"),0))))</f>
        <v>80024.244999999995</v>
      </c>
      <c r="O287" s="252"/>
      <c r="P287" s="253"/>
      <c r="Q287" s="293"/>
    </row>
    <row r="288" spans="1:17" ht="11.25" hidden="1" customHeight="1" outlineLevel="1" x14ac:dyDescent="0.2">
      <c r="A288" s="233">
        <f t="shared" ca="1" si="59"/>
        <v>0</v>
      </c>
      <c r="B288" s="233">
        <f t="shared" ca="1" si="60"/>
        <v>17</v>
      </c>
      <c r="C288" s="233">
        <f t="shared" ca="1" si="61"/>
        <v>3</v>
      </c>
      <c r="D288" s="234">
        <f t="shared" ca="1" si="70"/>
        <v>1</v>
      </c>
      <c r="E288" s="234">
        <f t="shared" ca="1" si="65"/>
        <v>0</v>
      </c>
      <c r="F288" s="244"/>
      <c r="G288" s="245"/>
      <c r="H288" s="246" t="s">
        <v>244</v>
      </c>
      <c r="I288" s="247" t="str">
        <f t="shared" ca="1" si="66"/>
        <v>17.003.001</v>
      </c>
      <c r="J288" s="248" t="s">
        <v>520</v>
      </c>
      <c r="K288" s="249"/>
      <c r="L288" s="301"/>
      <c r="M288" s="250"/>
      <c r="N288" s="251">
        <f ca="1">IF(H288="Serviço",M288*L288,IF(H288="CÉLULA CONSTRUTIVA",SUMIFS($N$8:$N$352,$B$8:$B$352,B288,$H$8:$H$352,"Serviço"),IF(H288="ETAPA",SUMIFS($N$8:$N$352,$B$8:$B$352,B288,$C$8:$C$352,C288,$H$8:$H$352,"Serviço"),IF(H288="SUBETAPA",SUMIFS($N$8:$N$352,$B$8:$B$352,B288,$C$8:$C$352,C288,$D$8:$D$352,D288,$H$8:$H$352,"Serviço"),0))))</f>
        <v>5074.2450000000008</v>
      </c>
      <c r="O288" s="252"/>
      <c r="P288" s="253"/>
      <c r="Q288" s="293"/>
    </row>
    <row r="289" spans="1:17" ht="13.5" hidden="1" customHeight="1" outlineLevel="2" x14ac:dyDescent="0.2">
      <c r="A289" s="233">
        <f t="shared" ca="1" si="59"/>
        <v>0</v>
      </c>
      <c r="B289" s="233">
        <f t="shared" ca="1" si="60"/>
        <v>17</v>
      </c>
      <c r="C289" s="233">
        <f t="shared" ca="1" si="61"/>
        <v>3</v>
      </c>
      <c r="D289" s="234">
        <f t="shared" ca="1" si="70"/>
        <v>1</v>
      </c>
      <c r="E289" s="234">
        <f t="shared" ca="1" si="65"/>
        <v>1</v>
      </c>
      <c r="F289" s="244"/>
      <c r="G289" s="245"/>
      <c r="H289" s="246" t="s">
        <v>246</v>
      </c>
      <c r="I289" s="247" t="str">
        <f t="shared" ca="1" si="66"/>
        <v>17.003.001.001</v>
      </c>
      <c r="J289" s="248" t="s">
        <v>541</v>
      </c>
      <c r="K289" s="249" t="s">
        <v>79</v>
      </c>
      <c r="L289" s="250">
        <f>Arquitetura!I1567</f>
        <v>137.70000000000002</v>
      </c>
      <c r="M289" s="250">
        <v>36.85</v>
      </c>
      <c r="N289" s="251">
        <f>IF(H289="Serviço",M289*L289,IF(H289="CÉLULA CONSTRUTIVA",SUMIFS($N$8:$N$352,$B$8:$B$352,B289,$H$8:$H$352,"Serviço"),IF(H289="ETAPA",SUMIFS($N$8:$N$352,$B$8:$B$352,B289,$C$8:$C$352,C289,$H$8:$H$352,"Serviço"),IF(H289="SUBETAPA",SUMIFS($N$8:$N$352,$B$8:$B$352,B289,$C$8:$C$352,C289,$D$8:$D$352,D289,$H$8:$H$352,"Serviço"),0))))</f>
        <v>5074.2450000000008</v>
      </c>
      <c r="O289" s="252"/>
      <c r="P289" s="253" t="s">
        <v>366</v>
      </c>
      <c r="Q289" s="293"/>
    </row>
    <row r="290" spans="1:17" ht="13.5" hidden="1" customHeight="1" outlineLevel="1" x14ac:dyDescent="0.2">
      <c r="A290" s="233">
        <f t="shared" ca="1" si="59"/>
        <v>0</v>
      </c>
      <c r="B290" s="233">
        <f t="shared" ca="1" si="60"/>
        <v>17</v>
      </c>
      <c r="C290" s="233">
        <f t="shared" ca="1" si="61"/>
        <v>3</v>
      </c>
      <c r="D290" s="234">
        <f t="shared" ca="1" si="70"/>
        <v>2</v>
      </c>
      <c r="E290" s="234">
        <f t="shared" ca="1" si="65"/>
        <v>0</v>
      </c>
      <c r="F290" s="244"/>
      <c r="G290" s="245"/>
      <c r="H290" s="246" t="s">
        <v>244</v>
      </c>
      <c r="I290" s="247" t="str">
        <f t="shared" ca="1" si="66"/>
        <v>17.003.002</v>
      </c>
      <c r="J290" s="248" t="s">
        <v>542</v>
      </c>
      <c r="K290" s="249"/>
      <c r="L290" s="301"/>
      <c r="M290" s="250"/>
      <c r="N290" s="251">
        <f ca="1">IF(H290="Serviço",M290*L290,IF(H290="CÉLULA CONSTRUTIVA",SUMIFS($N$8:$N$352,$B$8:$B$352,B290,$H$8:$H$352,"Serviço"),IF(H290="ETAPA",SUMIFS($N$8:$N$352,$B$8:$B$352,B290,$C$8:$C$352,C290,$H$8:$H$352,"Serviço"),IF(H290="SUBETAPA",SUMIFS($N$8:$N$352,$B$8:$B$352,B290,$C$8:$C$352,C290,$D$8:$D$352,D290,$H$8:$H$352,"Serviço"),0))))</f>
        <v>52650</v>
      </c>
      <c r="O290" s="252"/>
      <c r="P290" s="253"/>
      <c r="Q290" s="293"/>
    </row>
    <row r="291" spans="1:17" ht="12.75" hidden="1" customHeight="1" outlineLevel="2" x14ac:dyDescent="0.2">
      <c r="A291" s="233">
        <f t="shared" ca="1" si="59"/>
        <v>0</v>
      </c>
      <c r="B291" s="233">
        <f t="shared" ca="1" si="60"/>
        <v>17</v>
      </c>
      <c r="C291" s="233">
        <f t="shared" ca="1" si="61"/>
        <v>3</v>
      </c>
      <c r="D291" s="234">
        <f t="shared" ca="1" si="70"/>
        <v>2</v>
      </c>
      <c r="E291" s="234">
        <f t="shared" ca="1" si="65"/>
        <v>1</v>
      </c>
      <c r="F291" s="244"/>
      <c r="G291" s="245"/>
      <c r="H291" s="246" t="s">
        <v>246</v>
      </c>
      <c r="I291" s="247" t="str">
        <f t="shared" ca="1" si="66"/>
        <v>17.003.002.001</v>
      </c>
      <c r="J291" s="248" t="s">
        <v>5333</v>
      </c>
      <c r="K291" s="249" t="s">
        <v>88</v>
      </c>
      <c r="L291" s="250">
        <f>Arquitetura!I1570</f>
        <v>27</v>
      </c>
      <c r="M291" s="250">
        <v>1950</v>
      </c>
      <c r="N291" s="251">
        <f>IF(H291="Serviço",M291*L291,IF(H291="CÉLULA CONSTRUTIVA",SUMIFS($N$8:$N$352,$B$8:$B$352,B291,$H$8:$H$352,"Serviço"),IF(H291="ETAPA",SUMIFS($N$8:$N$352,$B$8:$B$352,B291,$C$8:$C$352,C291,$H$8:$H$352,"Serviço"),IF(H291="SUBETAPA",SUMIFS($N$8:$N$352,$B$8:$B$352,B291,$C$8:$C$352,C291,$D$8:$D$352,D291,$H$8:$H$352,"Serviço"),0))))</f>
        <v>52650</v>
      </c>
      <c r="O291" s="252"/>
      <c r="P291" s="253" t="s">
        <v>366</v>
      </c>
      <c r="Q291" s="293"/>
    </row>
    <row r="292" spans="1:17" ht="13.5" hidden="1" customHeight="1" outlineLevel="1" x14ac:dyDescent="0.2">
      <c r="A292" s="233">
        <f t="shared" ca="1" si="59"/>
        <v>0</v>
      </c>
      <c r="B292" s="233">
        <f t="shared" ca="1" si="60"/>
        <v>17</v>
      </c>
      <c r="C292" s="233">
        <f t="shared" ca="1" si="61"/>
        <v>3</v>
      </c>
      <c r="D292" s="234">
        <f t="shared" ca="1" si="70"/>
        <v>3</v>
      </c>
      <c r="E292" s="234">
        <f t="shared" ca="1" si="65"/>
        <v>0</v>
      </c>
      <c r="F292" s="244"/>
      <c r="G292" s="245"/>
      <c r="H292" s="246" t="s">
        <v>244</v>
      </c>
      <c r="I292" s="247" t="str">
        <f t="shared" ca="1" si="66"/>
        <v>17.003.003</v>
      </c>
      <c r="J292" s="248" t="s">
        <v>543</v>
      </c>
      <c r="K292" s="249"/>
      <c r="L292" s="301"/>
      <c r="M292" s="250"/>
      <c r="N292" s="251">
        <f ca="1">IF(H292="Serviço",M292*L292,IF(H292="CÉLULA CONSTRUTIVA",SUMIFS($N$8:$N$352,$B$8:$B$352,B292,$H$8:$H$352,"Serviço"),IF(H292="ETAPA",SUMIFS($N$8:$N$352,$B$8:$B$352,B292,$C$8:$C$352,C292,$H$8:$H$352,"Serviço"),IF(H292="SUBETAPA",SUMIFS($N$8:$N$352,$B$8:$B$352,B292,$C$8:$C$352,C292,$D$8:$D$352,D292,$H$8:$H$352,"Serviço"),0))))</f>
        <v>14200</v>
      </c>
      <c r="O292" s="252"/>
      <c r="P292" s="253"/>
      <c r="Q292" s="293"/>
    </row>
    <row r="293" spans="1:17" ht="13.5" hidden="1" customHeight="1" outlineLevel="2" x14ac:dyDescent="0.2">
      <c r="A293" s="233">
        <f t="shared" ca="1" si="59"/>
        <v>0</v>
      </c>
      <c r="B293" s="233">
        <f t="shared" ca="1" si="60"/>
        <v>17</v>
      </c>
      <c r="C293" s="233">
        <f t="shared" ca="1" si="61"/>
        <v>3</v>
      </c>
      <c r="D293" s="234">
        <f t="shared" ca="1" si="70"/>
        <v>3</v>
      </c>
      <c r="E293" s="234">
        <f t="shared" ca="1" si="65"/>
        <v>1</v>
      </c>
      <c r="F293" s="244"/>
      <c r="G293" s="245"/>
      <c r="H293" s="246" t="s">
        <v>246</v>
      </c>
      <c r="I293" s="247" t="str">
        <f t="shared" ca="1" si="66"/>
        <v>17.003.003.001</v>
      </c>
      <c r="J293" s="248" t="s">
        <v>544</v>
      </c>
      <c r="K293" s="249" t="s">
        <v>88</v>
      </c>
      <c r="L293" s="250">
        <v>1</v>
      </c>
      <c r="M293" s="250">
        <v>14200</v>
      </c>
      <c r="N293" s="251">
        <f>IF(H293="Serviço",M293*L293,IF(H293="CÉLULA CONSTRUTIVA",SUMIFS($N$8:$N$352,$B$8:$B$352,B293,$H$8:$H$352,"Serviço"),IF(H293="ETAPA",SUMIFS($N$8:$N$352,$B$8:$B$352,B293,$C$8:$C$352,C293,$H$8:$H$352,"Serviço"),IF(H293="SUBETAPA",SUMIFS($N$8:$N$352,$B$8:$B$352,B293,$C$8:$C$352,C293,$D$8:$D$352,D293,$H$8:$H$352,"Serviço"),0))))</f>
        <v>14200</v>
      </c>
      <c r="O293" s="252"/>
      <c r="P293" s="253" t="s">
        <v>366</v>
      </c>
      <c r="Q293" s="293"/>
    </row>
    <row r="294" spans="1:17" ht="13.5" hidden="1" customHeight="1" outlineLevel="1" x14ac:dyDescent="0.2">
      <c r="A294" s="233">
        <f t="shared" ca="1" si="59"/>
        <v>0</v>
      </c>
      <c r="B294" s="233">
        <f t="shared" ca="1" si="60"/>
        <v>17</v>
      </c>
      <c r="C294" s="233">
        <f t="shared" ca="1" si="61"/>
        <v>3</v>
      </c>
      <c r="D294" s="234">
        <f t="shared" ca="1" si="70"/>
        <v>4</v>
      </c>
      <c r="E294" s="234">
        <f t="shared" ca="1" si="65"/>
        <v>0</v>
      </c>
      <c r="F294" s="244"/>
      <c r="G294" s="245"/>
      <c r="H294" s="246" t="s">
        <v>244</v>
      </c>
      <c r="I294" s="247" t="str">
        <f t="shared" ca="1" si="66"/>
        <v>17.003.004</v>
      </c>
      <c r="J294" s="248" t="s">
        <v>405</v>
      </c>
      <c r="K294" s="249"/>
      <c r="L294" s="301"/>
      <c r="M294" s="250"/>
      <c r="N294" s="251">
        <f ca="1">IF(H294="Serviço",M294*L294,IF(H294="CÉLULA CONSTRUTIVA",SUMIFS($N$8:$N$352,$B$8:$B$352,B294,$H$8:$H$352,"Serviço"),IF(H294="ETAPA",SUMIFS($N$8:$N$352,$B$8:$B$352,B294,$C$8:$C$352,C294,$H$8:$H$352,"Serviço"),IF(H294="SUBETAPA",SUMIFS($N$8:$N$352,$B$8:$B$352,B294,$C$8:$C$352,C294,$D$8:$D$352,D294,$H$8:$H$352,"Serviço"),0))))</f>
        <v>8100</v>
      </c>
      <c r="O294" s="252"/>
      <c r="P294" s="253"/>
      <c r="Q294" s="293"/>
    </row>
    <row r="295" spans="1:17" ht="13.5" hidden="1" customHeight="1" outlineLevel="2" x14ac:dyDescent="0.2">
      <c r="A295" s="233">
        <f t="shared" ca="1" si="59"/>
        <v>0</v>
      </c>
      <c r="B295" s="233">
        <f t="shared" ca="1" si="60"/>
        <v>17</v>
      </c>
      <c r="C295" s="233">
        <f t="shared" ca="1" si="61"/>
        <v>3</v>
      </c>
      <c r="D295" s="234">
        <f t="shared" ca="1" si="70"/>
        <v>4</v>
      </c>
      <c r="E295" s="234">
        <f t="shared" ca="1" si="65"/>
        <v>1</v>
      </c>
      <c r="F295" s="244"/>
      <c r="G295" s="245"/>
      <c r="H295" s="246" t="s">
        <v>246</v>
      </c>
      <c r="I295" s="247" t="str">
        <f t="shared" ca="1" si="66"/>
        <v>17.003.004.001</v>
      </c>
      <c r="J295" s="248" t="s">
        <v>545</v>
      </c>
      <c r="K295" s="249" t="s">
        <v>88</v>
      </c>
      <c r="L295" s="250">
        <f>SUM(L291:L291)</f>
        <v>27</v>
      </c>
      <c r="M295" s="250">
        <v>300</v>
      </c>
      <c r="N295" s="251">
        <f>IF(H295="Serviço",M295*L295,IF(H295="CÉLULA CONSTRUTIVA",SUMIFS($N$8:$N$352,$B$8:$B$352,B295,$H$8:$H$352,"Serviço"),IF(H295="ETAPA",SUMIFS($N$8:$N$352,$B$8:$B$352,B295,$C$8:$C$352,C295,$H$8:$H$352,"Serviço"),IF(H295="SUBETAPA",SUMIFS($N$8:$N$352,$B$8:$B$352,B295,$C$8:$C$352,C295,$D$8:$D$352,D295,$H$8:$H$352,"Serviço"),0))))</f>
        <v>8100</v>
      </c>
      <c r="O295" s="252"/>
      <c r="P295" s="253" t="s">
        <v>366</v>
      </c>
      <c r="Q295" s="293"/>
    </row>
    <row r="296" spans="1:17" ht="13.5" customHeight="1" collapsed="1" x14ac:dyDescent="0.2">
      <c r="A296" s="233">
        <f t="shared" ca="1" si="59"/>
        <v>0</v>
      </c>
      <c r="B296" s="233">
        <f t="shared" ca="1" si="60"/>
        <v>18</v>
      </c>
      <c r="C296" s="233">
        <f t="shared" ca="1" si="61"/>
        <v>0</v>
      </c>
      <c r="D296" s="234">
        <f t="shared" ca="1" si="70"/>
        <v>4</v>
      </c>
      <c r="E296" s="234">
        <f t="shared" ca="1" si="65"/>
        <v>1</v>
      </c>
      <c r="F296" s="1012"/>
      <c r="G296" s="245"/>
      <c r="H296" s="246" t="s">
        <v>241</v>
      </c>
      <c r="I296" s="247" t="str">
        <f t="shared" ca="1" si="66"/>
        <v>18</v>
      </c>
      <c r="J296" s="248" t="s">
        <v>55</v>
      </c>
      <c r="K296" s="249"/>
      <c r="L296" s="250"/>
      <c r="M296" s="250"/>
      <c r="N296" s="251">
        <f ca="1">IF(H296="Serviço",M296*L296,IF(H296="CÉLULA CONSTRUTIVA",SUMIFS($N$8:$N$352,$B$8:$B$352,B296,$H$8:$H$352,"Serviço"),IF(H296="ETAPA",SUMIFS($N$8:$N$352,$B$8:$B$352,B296,$C$8:$C$352,C296,$H$8:$H$352,"Serviço"),IF(H296="SUBETAPA",SUMIFS($N$8:$N$352,$B$8:$B$352,B296,$C$8:$C$352,C296,$D$8:$D$352,D296,$H$8:$H$352,"Serviço"),0))))</f>
        <v>251275.30900000001</v>
      </c>
      <c r="O296" s="252">
        <f ca="1">N296/'Obra '!$E$9</f>
        <v>32.752085364518436</v>
      </c>
      <c r="P296" s="253"/>
      <c r="Q296" s="293"/>
    </row>
    <row r="297" spans="1:17" ht="13.5" hidden="1" customHeight="1" outlineLevel="1" x14ac:dyDescent="0.2">
      <c r="A297" s="233">
        <f t="shared" ca="1" si="59"/>
        <v>0</v>
      </c>
      <c r="B297" s="233">
        <f t="shared" ca="1" si="60"/>
        <v>18</v>
      </c>
      <c r="C297" s="233">
        <f t="shared" ca="1" si="61"/>
        <v>1</v>
      </c>
      <c r="D297" s="234">
        <f t="shared" ca="1" si="70"/>
        <v>0</v>
      </c>
      <c r="E297" s="234">
        <f t="shared" ca="1" si="65"/>
        <v>1</v>
      </c>
      <c r="F297" s="244"/>
      <c r="G297" s="245"/>
      <c r="H297" s="246" t="s">
        <v>37</v>
      </c>
      <c r="I297" s="247" t="str">
        <f t="shared" ca="1" si="66"/>
        <v>18.001</v>
      </c>
      <c r="J297" s="248" t="s">
        <v>55</v>
      </c>
      <c r="K297" s="249"/>
      <c r="L297" s="250"/>
      <c r="M297" s="250"/>
      <c r="N297" s="251">
        <f ca="1">IF(H297="Serviço",M297*L297,IF(H297="CÉLULA CONSTRUTIVA",SUMIFS($N$8:$N$352,$B$8:$B$352,B297,$H$8:$H$352,"Serviço"),IF(H297="ETAPA",SUMIFS($N$8:$N$352,$B$8:$B$352,B297,$C$8:$C$352,C297,$H$8:$H$352,"Serviço"),IF(H297="SUBETAPA",SUMIFS($N$8:$N$352,$B$8:$B$352,B297,$C$8:$C$352,C297,$D$8:$D$352,D297,$H$8:$H$352,"Serviço"),0))))</f>
        <v>251275.30900000001</v>
      </c>
      <c r="O297" s="252"/>
      <c r="P297" s="253"/>
      <c r="Q297" s="293"/>
    </row>
    <row r="298" spans="1:17" ht="13.5" hidden="1" customHeight="1" outlineLevel="1" x14ac:dyDescent="0.2">
      <c r="A298" s="233">
        <f t="shared" ca="1" si="59"/>
        <v>0</v>
      </c>
      <c r="B298" s="233">
        <f t="shared" ca="1" si="60"/>
        <v>18</v>
      </c>
      <c r="C298" s="233">
        <f t="shared" ca="1" si="61"/>
        <v>1</v>
      </c>
      <c r="D298" s="234">
        <f t="shared" ca="1" si="70"/>
        <v>1</v>
      </c>
      <c r="E298" s="234">
        <f t="shared" ca="1" si="65"/>
        <v>0</v>
      </c>
      <c r="F298" s="244"/>
      <c r="G298" s="245"/>
      <c r="H298" s="246" t="s">
        <v>244</v>
      </c>
      <c r="I298" s="247" t="str">
        <f t="shared" ca="1" si="66"/>
        <v>18.001.001</v>
      </c>
      <c r="J298" s="248" t="s">
        <v>546</v>
      </c>
      <c r="K298" s="249"/>
      <c r="L298" s="301"/>
      <c r="M298" s="250"/>
      <c r="N298" s="251">
        <f ca="1">IF(H298="Serviço",M298*L298,IF(H298="CÉLULA CONSTRUTIVA",SUMIFS($N$8:$N$352,$B$8:$B$352,B298,$H$8:$H$352,"Serviço"),IF(H298="ETAPA",SUMIFS($N$8:$N$352,$B$8:$B$352,B298,$C$8:$C$352,C298,$H$8:$H$352,"Serviço"),IF(H298="SUBETAPA",SUMIFS($N$8:$N$352,$B$8:$B$352,B298,$C$8:$C$352,C298,$D$8:$D$352,D298,$H$8:$H$352,"Serviço"),0))))</f>
        <v>130606.374</v>
      </c>
      <c r="O298" s="252"/>
      <c r="P298" s="253"/>
      <c r="Q298" s="293"/>
    </row>
    <row r="299" spans="1:17" ht="13.5" hidden="1" customHeight="1" outlineLevel="2" x14ac:dyDescent="0.2">
      <c r="A299" s="233">
        <f t="shared" ca="1" si="59"/>
        <v>0</v>
      </c>
      <c r="B299" s="233">
        <f t="shared" ca="1" si="60"/>
        <v>18</v>
      </c>
      <c r="C299" s="233">
        <f t="shared" ca="1" si="61"/>
        <v>1</v>
      </c>
      <c r="D299" s="234">
        <f t="shared" ca="1" si="70"/>
        <v>1</v>
      </c>
      <c r="E299" s="234">
        <f t="shared" ca="1" si="65"/>
        <v>1</v>
      </c>
      <c r="F299" s="244"/>
      <c r="G299" s="245"/>
      <c r="H299" s="246" t="s">
        <v>246</v>
      </c>
      <c r="I299" s="247" t="str">
        <f t="shared" ca="1" si="66"/>
        <v>18.001.001.001</v>
      </c>
      <c r="J299" s="248" t="s">
        <v>547</v>
      </c>
      <c r="K299" s="249" t="s">
        <v>175</v>
      </c>
      <c r="L299" s="250">
        <v>1</v>
      </c>
      <c r="M299" s="250">
        <f>'LOUÇAS E METAIS'!Q49</f>
        <v>130606.374</v>
      </c>
      <c r="N299" s="251">
        <f>IF(H299="Serviço",M299*L299,IF(H299="CÉLULA CONSTRUTIVA",SUMIFS($N$8:$N$352,$B$8:$B$352,B299,$H$8:$H$352,"Serviço"),IF(H299="ETAPA",SUMIFS($N$8:$N$352,$B$8:$B$352,B299,$C$8:$C$352,C299,$H$8:$H$352,"Serviço"),IF(H299="SUBETAPA",SUMIFS($N$8:$N$352,$B$8:$B$352,B299,$C$8:$C$352,C299,$D$8:$D$352,D299,$H$8:$H$352,"Serviço"),0))))</f>
        <v>130606.374</v>
      </c>
      <c r="O299" s="252"/>
      <c r="P299" s="253" t="s">
        <v>366</v>
      </c>
      <c r="Q299" s="293"/>
    </row>
    <row r="300" spans="1:17" ht="13.5" hidden="1" customHeight="1" outlineLevel="1" x14ac:dyDescent="0.2">
      <c r="A300" s="233">
        <f t="shared" ca="1" si="59"/>
        <v>0</v>
      </c>
      <c r="B300" s="233">
        <f t="shared" ca="1" si="60"/>
        <v>18</v>
      </c>
      <c r="C300" s="233">
        <f t="shared" ca="1" si="61"/>
        <v>1</v>
      </c>
      <c r="D300" s="234">
        <f t="shared" ca="1" si="70"/>
        <v>2</v>
      </c>
      <c r="E300" s="234">
        <f t="shared" ca="1" si="65"/>
        <v>0</v>
      </c>
      <c r="F300" s="244"/>
      <c r="G300" s="245"/>
      <c r="H300" s="246" t="s">
        <v>244</v>
      </c>
      <c r="I300" s="247" t="str">
        <f t="shared" ca="1" si="66"/>
        <v>18.001.002</v>
      </c>
      <c r="J300" s="248" t="s">
        <v>548</v>
      </c>
      <c r="K300" s="249"/>
      <c r="L300" s="250"/>
      <c r="M300" s="250"/>
      <c r="N300" s="251">
        <f ca="1">IF(H300="Serviço",M300*L300,IF(H300="CÉLULA CONSTRUTIVA",SUMIFS($N$8:$N$352,$B$8:$B$352,B300,$H$8:$H$352,"Serviço"),IF(H300="ETAPA",SUMIFS($N$8:$N$352,$B$8:$B$352,B300,$C$8:$C$352,C300,$H$8:$H$352,"Serviço"),IF(H300="SUBETAPA",SUMIFS($N$8:$N$352,$B$8:$B$352,B300,$C$8:$C$352,C300,$D$8:$D$352,D300,$H$8:$H$352,"Serviço"),0))))</f>
        <v>68096.679999999993</v>
      </c>
      <c r="O300" s="252"/>
      <c r="P300" s="253"/>
      <c r="Q300" s="293"/>
    </row>
    <row r="301" spans="1:17" ht="13.5" hidden="1" customHeight="1" outlineLevel="2" x14ac:dyDescent="0.2">
      <c r="A301" s="233">
        <f t="shared" ca="1" si="59"/>
        <v>0</v>
      </c>
      <c r="B301" s="233">
        <f t="shared" ca="1" si="60"/>
        <v>18</v>
      </c>
      <c r="C301" s="233">
        <f t="shared" ca="1" si="61"/>
        <v>1</v>
      </c>
      <c r="D301" s="234">
        <f t="shared" ca="1" si="70"/>
        <v>2</v>
      </c>
      <c r="E301" s="234">
        <f t="shared" ca="1" si="65"/>
        <v>1</v>
      </c>
      <c r="F301" s="244"/>
      <c r="G301" s="245"/>
      <c r="H301" s="246" t="s">
        <v>246</v>
      </c>
      <c r="I301" s="247" t="str">
        <f t="shared" ca="1" si="66"/>
        <v>18.001.002.001</v>
      </c>
      <c r="J301" s="248" t="s">
        <v>549</v>
      </c>
      <c r="K301" s="249" t="s">
        <v>175</v>
      </c>
      <c r="L301" s="250">
        <v>1</v>
      </c>
      <c r="M301" s="250">
        <f>'LOUÇAS E METAIS'!Q50</f>
        <v>68096.679999999993</v>
      </c>
      <c r="N301" s="251">
        <f>IF(H301="Serviço",M301*L301,IF(H301="CÉLULA CONSTRUTIVA",SUMIFS($N$8:$N$352,$B$8:$B$352,B301,$H$8:$H$352,"Serviço"),IF(H301="ETAPA",SUMIFS($N$8:$N$352,$B$8:$B$352,B301,$C$8:$C$352,C301,$H$8:$H$352,"Serviço"),IF(H301="SUBETAPA",SUMIFS($N$8:$N$352,$B$8:$B$352,B301,$C$8:$C$352,C301,$D$8:$D$352,D301,$H$8:$H$352,"Serviço"),0))))</f>
        <v>68096.679999999993</v>
      </c>
      <c r="O301" s="252"/>
      <c r="P301" s="253" t="s">
        <v>366</v>
      </c>
      <c r="Q301" s="293"/>
    </row>
    <row r="302" spans="1:17" ht="13.5" hidden="1" customHeight="1" outlineLevel="1" x14ac:dyDescent="0.2">
      <c r="A302" s="233">
        <f t="shared" ca="1" si="59"/>
        <v>0</v>
      </c>
      <c r="B302" s="233">
        <f t="shared" ca="1" si="60"/>
        <v>18</v>
      </c>
      <c r="C302" s="233">
        <f t="shared" ca="1" si="61"/>
        <v>1</v>
      </c>
      <c r="D302" s="234">
        <f t="shared" ca="1" si="70"/>
        <v>3</v>
      </c>
      <c r="E302" s="234">
        <f t="shared" ca="1" si="65"/>
        <v>0</v>
      </c>
      <c r="F302" s="244"/>
      <c r="G302" s="245"/>
      <c r="H302" s="246" t="s">
        <v>244</v>
      </c>
      <c r="I302" s="247" t="str">
        <f t="shared" ca="1" si="66"/>
        <v>18.001.003</v>
      </c>
      <c r="J302" s="248" t="s">
        <v>550</v>
      </c>
      <c r="K302" s="249"/>
      <c r="L302" s="250"/>
      <c r="M302" s="250"/>
      <c r="N302" s="251">
        <f ca="1">IF(H302="Serviço",M302*L302,IF(H302="CÉLULA CONSTRUTIVA",SUMIFS($N$8:$N$352,$B$8:$B$352,B302,$H$8:$H$352,"Serviço"),IF(H302="ETAPA",SUMIFS($N$8:$N$352,$B$8:$B$352,B302,$C$8:$C$352,C302,$H$8:$H$352,"Serviço"),IF(H302="SUBETAPA",SUMIFS($N$8:$N$352,$B$8:$B$352,B302,$C$8:$C$352,C302,$D$8:$D$352,D302,$H$8:$H$352,"Serviço"),0))))</f>
        <v>14212.055</v>
      </c>
      <c r="O302" s="252"/>
      <c r="P302" s="253"/>
      <c r="Q302" s="293"/>
    </row>
    <row r="303" spans="1:17" ht="13.5" hidden="1" customHeight="1" outlineLevel="2" x14ac:dyDescent="0.2">
      <c r="A303" s="233">
        <f t="shared" ca="1" si="59"/>
        <v>0</v>
      </c>
      <c r="B303" s="233">
        <f t="shared" ca="1" si="60"/>
        <v>18</v>
      </c>
      <c r="C303" s="233">
        <f t="shared" ca="1" si="61"/>
        <v>1</v>
      </c>
      <c r="D303" s="234">
        <f t="shared" ca="1" si="70"/>
        <v>3</v>
      </c>
      <c r="E303" s="234">
        <f t="shared" ca="1" si="65"/>
        <v>1</v>
      </c>
      <c r="F303" s="244"/>
      <c r="G303" s="245"/>
      <c r="H303" s="246" t="s">
        <v>246</v>
      </c>
      <c r="I303" s="247" t="str">
        <f t="shared" ca="1" si="66"/>
        <v>18.001.003.001</v>
      </c>
      <c r="J303" s="248" t="s">
        <v>551</v>
      </c>
      <c r="K303" s="249" t="s">
        <v>175</v>
      </c>
      <c r="L303" s="250">
        <v>1</v>
      </c>
      <c r="M303" s="250">
        <f>'LOUÇAS E METAIS'!Q51</f>
        <v>14212.055</v>
      </c>
      <c r="N303" s="251">
        <f>IF(H303="Serviço",M303*L303,IF(H303="CÉLULA CONSTRUTIVA",SUMIFS($N$8:$N$352,$B$8:$B$352,B303,$H$8:$H$352,"Serviço"),IF(H303="ETAPA",SUMIFS($N$8:$N$352,$B$8:$B$352,B303,$C$8:$C$352,C303,$H$8:$H$352,"Serviço"),IF(H303="SUBETAPA",SUMIFS($N$8:$N$352,$B$8:$B$352,B303,$C$8:$C$352,C303,$D$8:$D$352,D303,$H$8:$H$352,"Serviço"),0))))</f>
        <v>14212.055</v>
      </c>
      <c r="O303" s="252"/>
      <c r="P303" s="253" t="s">
        <v>366</v>
      </c>
      <c r="Q303" s="293"/>
    </row>
    <row r="304" spans="1:17" ht="13.5" hidden="1" customHeight="1" outlineLevel="1" x14ac:dyDescent="0.2">
      <c r="A304" s="233">
        <f t="shared" ca="1" si="59"/>
        <v>0</v>
      </c>
      <c r="B304" s="233">
        <f t="shared" ca="1" si="60"/>
        <v>18</v>
      </c>
      <c r="C304" s="233">
        <f t="shared" ca="1" si="61"/>
        <v>1</v>
      </c>
      <c r="D304" s="234">
        <f t="shared" ca="1" si="70"/>
        <v>4</v>
      </c>
      <c r="E304" s="234">
        <f t="shared" ca="1" si="65"/>
        <v>0</v>
      </c>
      <c r="F304" s="244"/>
      <c r="G304" s="245"/>
      <c r="H304" s="246" t="s">
        <v>244</v>
      </c>
      <c r="I304" s="247" t="str">
        <f t="shared" ca="1" si="66"/>
        <v>18.001.004</v>
      </c>
      <c r="J304" s="248" t="s">
        <v>405</v>
      </c>
      <c r="K304" s="249"/>
      <c r="L304" s="301"/>
      <c r="M304" s="250"/>
      <c r="N304" s="251">
        <f ca="1">IF(H304="Serviço",M304*L304,IF(H304="CÉLULA CONSTRUTIVA",SUMIFS($N$8:$N$352,$B$8:$B$352,B304,$H$8:$H$352,"Serviço"),IF(H304="ETAPA",SUMIFS($N$8:$N$352,$B$8:$B$352,B304,$C$8:$C$352,C304,$H$8:$H$352,"Serviço"),IF(H304="SUBETAPA",SUMIFS($N$8:$N$352,$B$8:$B$352,B304,$C$8:$C$352,C304,$D$8:$D$352,D304,$H$8:$H$352,"Serviço"),0))))</f>
        <v>38360.199999999997</v>
      </c>
      <c r="O304" s="252"/>
      <c r="P304" s="253"/>
      <c r="Q304" s="293"/>
    </row>
    <row r="305" spans="1:17" ht="13.5" hidden="1" customHeight="1" outlineLevel="2" x14ac:dyDescent="0.2">
      <c r="A305" s="233">
        <f t="shared" ca="1" si="59"/>
        <v>0</v>
      </c>
      <c r="B305" s="233">
        <f t="shared" ca="1" si="60"/>
        <v>18</v>
      </c>
      <c r="C305" s="233">
        <f t="shared" ca="1" si="61"/>
        <v>1</v>
      </c>
      <c r="D305" s="234">
        <f t="shared" ca="1" si="70"/>
        <v>4</v>
      </c>
      <c r="E305" s="234">
        <f t="shared" ca="1" si="65"/>
        <v>1</v>
      </c>
      <c r="F305" s="244"/>
      <c r="G305" s="245"/>
      <c r="H305" s="246" t="s">
        <v>246</v>
      </c>
      <c r="I305" s="247" t="str">
        <f t="shared" ca="1" si="66"/>
        <v>18.001.004.001</v>
      </c>
      <c r="J305" s="248" t="s">
        <v>552</v>
      </c>
      <c r="K305" s="249" t="s">
        <v>175</v>
      </c>
      <c r="L305" s="250">
        <v>1</v>
      </c>
      <c r="M305" s="250">
        <f>5*'Obra '!E9</f>
        <v>38360.199999999997</v>
      </c>
      <c r="N305" s="251">
        <f>IF(H305="Serviço",M305*L305,IF(H305="CÉLULA CONSTRUTIVA",SUMIFS($N$8:$N$352,$B$8:$B$352,B305,$H$8:$H$352,"Serviço"),IF(H305="ETAPA",SUMIFS($N$8:$N$352,$B$8:$B$352,B305,$C$8:$C$352,C305,$H$8:$H$352,"Serviço"),IF(H305="SUBETAPA",SUMIFS($N$8:$N$352,$B$8:$B$352,B305,$C$8:$C$352,C305,$D$8:$D$352,D305,$H$8:$H$352,"Serviço"),0))))</f>
        <v>38360.199999999997</v>
      </c>
      <c r="O305" s="252"/>
      <c r="P305" s="253" t="s">
        <v>366</v>
      </c>
      <c r="Q305" s="293"/>
    </row>
    <row r="306" spans="1:17" ht="13.5" customHeight="1" collapsed="1" x14ac:dyDescent="0.2">
      <c r="A306" s="233">
        <f t="shared" ca="1" si="59"/>
        <v>0</v>
      </c>
      <c r="B306" s="233">
        <f t="shared" ca="1" si="60"/>
        <v>19</v>
      </c>
      <c r="C306" s="233">
        <f t="shared" ca="1" si="61"/>
        <v>0</v>
      </c>
      <c r="D306" s="234">
        <f t="shared" ca="1" si="70"/>
        <v>4</v>
      </c>
      <c r="E306" s="234">
        <f t="shared" ca="1" si="65"/>
        <v>1</v>
      </c>
      <c r="F306" s="1012"/>
      <c r="G306" s="245"/>
      <c r="H306" s="246" t="s">
        <v>241</v>
      </c>
      <c r="I306" s="247" t="str">
        <f t="shared" ca="1" si="66"/>
        <v>19</v>
      </c>
      <c r="J306" s="248" t="s">
        <v>56</v>
      </c>
      <c r="K306" s="249"/>
      <c r="L306" s="250"/>
      <c r="M306" s="250"/>
      <c r="N306" s="251">
        <f ca="1">IF(H306="Serviço",M306*L306,IF(H306="CÉLULA CONSTRUTIVA",SUMIFS($N$8:$N$352,$B$8:$B$352,B306,$H$8:$H$352,"Serviço"),IF(H306="ETAPA",SUMIFS($N$8:$N$352,$B$8:$B$352,B306,$C$8:$C$352,C306,$H$8:$H$352,"Serviço"),IF(H306="SUBETAPA",SUMIFS($N$8:$N$352,$B$8:$B$352,B306,$C$8:$C$352,C306,$D$8:$D$352,D306,$H$8:$H$352,"Serviço"),0))))</f>
        <v>2820993.0087383687</v>
      </c>
      <c r="O306" s="252"/>
      <c r="P306" s="253"/>
      <c r="Q306" s="293"/>
    </row>
    <row r="307" spans="1:17" ht="13.5" hidden="1" customHeight="1" outlineLevel="1" x14ac:dyDescent="0.2">
      <c r="A307" s="233">
        <f t="shared" ca="1" si="59"/>
        <v>0</v>
      </c>
      <c r="B307" s="233">
        <f t="shared" ca="1" si="60"/>
        <v>19</v>
      </c>
      <c r="C307" s="233">
        <f t="shared" ca="1" si="61"/>
        <v>1</v>
      </c>
      <c r="D307" s="234">
        <f t="shared" ca="1" si="70"/>
        <v>0</v>
      </c>
      <c r="E307" s="234">
        <f t="shared" ca="1" si="65"/>
        <v>1</v>
      </c>
      <c r="F307" s="244"/>
      <c r="G307" s="245"/>
      <c r="H307" s="246" t="s">
        <v>37</v>
      </c>
      <c r="I307" s="247" t="str">
        <f t="shared" ca="1" si="66"/>
        <v>19.001</v>
      </c>
      <c r="J307" s="248" t="s">
        <v>56</v>
      </c>
      <c r="K307" s="249"/>
      <c r="L307" s="250"/>
      <c r="M307" s="250"/>
      <c r="N307" s="251">
        <f ca="1">IF(H307="Serviço",M307*L307,IF(H307="CÉLULA CONSTRUTIVA",SUMIFS($N$8:$N$352,$B$8:$B$352,B307,$H$8:$H$352,"Serviço"),IF(H307="ETAPA",SUMIFS($N$8:$N$352,$B$8:$B$352,B307,$C$8:$C$352,C307,$H$8:$H$352,"Serviço"),IF(H307="SUBETAPA",SUMIFS($N$8:$N$352,$B$8:$B$352,B307,$C$8:$C$352,C307,$D$8:$D$352,D307,$H$8:$H$352,"Serviço"),0))))</f>
        <v>2820993.0087383687</v>
      </c>
      <c r="O307" s="252"/>
      <c r="P307" s="253"/>
      <c r="Q307" s="293"/>
    </row>
    <row r="308" spans="1:17" ht="13.5" hidden="1" customHeight="1" outlineLevel="1" x14ac:dyDescent="0.2">
      <c r="A308" s="233">
        <f t="shared" ca="1" si="59"/>
        <v>0</v>
      </c>
      <c r="B308" s="233">
        <f t="shared" ca="1" si="60"/>
        <v>19</v>
      </c>
      <c r="C308" s="233">
        <f t="shared" ca="1" si="61"/>
        <v>1</v>
      </c>
      <c r="D308" s="234">
        <f t="shared" ca="1" si="70"/>
        <v>1</v>
      </c>
      <c r="E308" s="234">
        <f t="shared" ca="1" si="65"/>
        <v>0</v>
      </c>
      <c r="F308" s="244"/>
      <c r="G308" s="245"/>
      <c r="H308" s="246" t="s">
        <v>244</v>
      </c>
      <c r="I308" s="247" t="str">
        <f t="shared" ca="1" si="66"/>
        <v>19.001.001</v>
      </c>
      <c r="J308" s="248" t="s">
        <v>553</v>
      </c>
      <c r="K308" s="249"/>
      <c r="L308" s="250"/>
      <c r="M308" s="250"/>
      <c r="N308" s="251">
        <f ca="1">IF(H308="Serviço",M308*L308,IF(H308="CÉLULA CONSTRUTIVA",SUMIFS($N$8:$N$352,$B$8:$B$352,B308,$H$8:$H$352,"Serviço"),IF(H308="ETAPA",SUMIFS($N$8:$N$352,$B$8:$B$352,B308,$C$8:$C$352,C308,$H$8:$H$352,"Serviço"),IF(H308="SUBETAPA",SUMIFS($N$8:$N$352,$B$8:$B$352,B308,$C$8:$C$352,C308,$D$8:$D$352,D308,$H$8:$H$352,"Serviço"),0))))</f>
        <v>87711.943652368704</v>
      </c>
      <c r="O308" s="252"/>
      <c r="P308" s="253"/>
      <c r="Q308" s="293"/>
    </row>
    <row r="309" spans="1:17" ht="13.5" hidden="1" customHeight="1" outlineLevel="2" x14ac:dyDescent="0.2">
      <c r="A309" s="233">
        <f t="shared" ca="1" si="59"/>
        <v>0</v>
      </c>
      <c r="B309" s="233">
        <f t="shared" ca="1" si="60"/>
        <v>19</v>
      </c>
      <c r="C309" s="233">
        <f t="shared" ca="1" si="61"/>
        <v>1</v>
      </c>
      <c r="D309" s="234">
        <f t="shared" ca="1" si="70"/>
        <v>1</v>
      </c>
      <c r="E309" s="234">
        <f t="shared" ca="1" si="65"/>
        <v>1</v>
      </c>
      <c r="F309" s="244"/>
      <c r="G309" s="245"/>
      <c r="H309" s="246" t="s">
        <v>246</v>
      </c>
      <c r="I309" s="247" t="str">
        <f t="shared" ca="1" si="66"/>
        <v>19.001.001.001</v>
      </c>
      <c r="J309" s="248" t="s">
        <v>554</v>
      </c>
      <c r="K309" s="249" t="s">
        <v>92</v>
      </c>
      <c r="L309" s="250">
        <f>Arquitetura!I3011</f>
        <v>1774.9500000000012</v>
      </c>
      <c r="M309" s="250">
        <f>IFERROR(VLOOKUP(J309,CPU!$D$2:$H$6171,5,FALSE),0)</f>
        <v>12.49845</v>
      </c>
      <c r="N309" s="251">
        <f>IF(H309="Serviço",M309*L309,IF(H309="CÉLULA CONSTRUTIVA",SUMIFS($N$8:$N$352,$B$8:$B$352,B309,$H$8:$H$352,"Serviço"),IF(H309="ETAPA",SUMIFS($N$8:$N$352,$B$8:$B$352,B309,$C$8:$C$352,C309,$H$8:$H$352,"Serviço"),IF(H309="SUBETAPA",SUMIFS($N$8:$N$352,$B$8:$B$352,B309,$C$8:$C$352,C309,$D$8:$D$352,D309,$H$8:$H$352,"Serviço"),0))))</f>
        <v>22184.123827500014</v>
      </c>
      <c r="O309" s="252"/>
      <c r="P309" s="253" t="s">
        <v>366</v>
      </c>
      <c r="Q309" s="293"/>
    </row>
    <row r="310" spans="1:17" ht="13.5" hidden="1" customHeight="1" outlineLevel="2" x14ac:dyDescent="0.2">
      <c r="A310" s="233">
        <f t="shared" ca="1" si="59"/>
        <v>0</v>
      </c>
      <c r="B310" s="233">
        <f t="shared" ca="1" si="60"/>
        <v>19</v>
      </c>
      <c r="C310" s="233">
        <f t="shared" ca="1" si="61"/>
        <v>1</v>
      </c>
      <c r="D310" s="234">
        <f t="shared" ca="1" si="70"/>
        <v>1</v>
      </c>
      <c r="E310" s="234">
        <f t="shared" ca="1" si="65"/>
        <v>2</v>
      </c>
      <c r="F310" s="244"/>
      <c r="G310" s="245"/>
      <c r="H310" s="246" t="s">
        <v>246</v>
      </c>
      <c r="I310" s="247" t="str">
        <f t="shared" ca="1" si="66"/>
        <v>19.001.001.002</v>
      </c>
      <c r="J310" s="248" t="s">
        <v>555</v>
      </c>
      <c r="K310" s="249" t="s">
        <v>92</v>
      </c>
      <c r="L310" s="250">
        <f>Arquitetura!I3010</f>
        <v>1180.4099999999999</v>
      </c>
      <c r="M310" s="250">
        <f>IFERROR(VLOOKUP(J310,CPU!$D$2:$H$6171,5,FALSE),0)</f>
        <v>4</v>
      </c>
      <c r="N310" s="251">
        <f>IF(H310="Serviço",M310*L310,IF(H310="CÉLULA CONSTRUTIVA",SUMIFS($N$8:$N$352,$B$8:$B$352,B310,$H$8:$H$352,"Serviço"),IF(H310="ETAPA",SUMIFS($N$8:$N$352,$B$8:$B$352,B310,$C$8:$C$352,C310,$H$8:$H$352,"Serviço"),IF(H310="SUBETAPA",SUMIFS($N$8:$N$352,$B$8:$B$352,B310,$C$8:$C$352,C310,$D$8:$D$352,D310,$H$8:$H$352,"Serviço"),0))))</f>
        <v>4721.6399999999994</v>
      </c>
      <c r="O310" s="252"/>
      <c r="P310" s="253" t="s">
        <v>366</v>
      </c>
      <c r="Q310" s="293"/>
    </row>
    <row r="311" spans="1:17" ht="13.5" hidden="1" customHeight="1" outlineLevel="2" x14ac:dyDescent="0.2">
      <c r="A311" s="233">
        <f t="shared" ca="1" si="59"/>
        <v>0</v>
      </c>
      <c r="B311" s="233">
        <f t="shared" ca="1" si="60"/>
        <v>19</v>
      </c>
      <c r="C311" s="233">
        <f t="shared" ca="1" si="61"/>
        <v>1</v>
      </c>
      <c r="D311" s="234">
        <f t="shared" ca="1" si="70"/>
        <v>1</v>
      </c>
      <c r="E311" s="234">
        <f t="shared" ca="1" si="65"/>
        <v>3</v>
      </c>
      <c r="F311" s="244"/>
      <c r="G311" s="245"/>
      <c r="H311" s="246" t="s">
        <v>246</v>
      </c>
      <c r="I311" s="247" t="str">
        <f t="shared" ca="1" si="66"/>
        <v>19.001.001.003</v>
      </c>
      <c r="J311" s="965" t="s">
        <v>5335</v>
      </c>
      <c r="K311" s="249" t="s">
        <v>92</v>
      </c>
      <c r="L311" s="250">
        <f>Arquitetura!I3012</f>
        <v>3359.0400000000036</v>
      </c>
      <c r="M311" s="250">
        <f>IFERROR(VLOOKUP(J311,CPU!$D$2:$H$6171,5,FALSE),0)</f>
        <v>16.904999999999998</v>
      </c>
      <c r="N311" s="251">
        <f>IF(H311="Serviço",M311*L311,IF(H311="CÉLULA CONSTRUTIVA",SUMIFS($N$8:$N$352,$B$8:$B$352,B311,$H$8:$H$352,"Serviço"),IF(H311="ETAPA",SUMIFS($N$8:$N$352,$B$8:$B$352,B311,$C$8:$C$352,C311,$H$8:$H$352,"Serviço"),IF(H311="SUBETAPA",SUMIFS($N$8:$N$352,$B$8:$B$352,B311,$C$8:$C$352,C311,$D$8:$D$352,D311,$H$8:$H$352,"Serviço"),0))))</f>
        <v>56784.571200000049</v>
      </c>
      <c r="O311" s="252"/>
      <c r="P311" s="253" t="s">
        <v>366</v>
      </c>
      <c r="Q311" s="293"/>
    </row>
    <row r="312" spans="1:17" ht="13.5" hidden="1" customHeight="1" outlineLevel="2" x14ac:dyDescent="0.2">
      <c r="A312" s="233">
        <f t="shared" ca="1" si="59"/>
        <v>0</v>
      </c>
      <c r="B312" s="233">
        <f t="shared" ca="1" si="60"/>
        <v>19</v>
      </c>
      <c r="C312" s="233">
        <f t="shared" ca="1" si="61"/>
        <v>1</v>
      </c>
      <c r="D312" s="234">
        <f t="shared" ref="D312" ca="1" si="71">IF(H312="ETAPA",0,IF(H312="SUBETAPA",OFFSET(D312,-1,0)+1,OFFSET(D312,-1,0)))</f>
        <v>1</v>
      </c>
      <c r="E312" s="234">
        <f t="shared" ref="E312" ca="1" si="72">IF(H312="Subetapa",0,IF(H312="serviço",OFFSET(E312,-1,0)+1,OFFSET(E312,-1,0)))</f>
        <v>4</v>
      </c>
      <c r="F312" s="244"/>
      <c r="G312" s="245"/>
      <c r="H312" s="246" t="s">
        <v>246</v>
      </c>
      <c r="I312" s="247" t="str">
        <f t="shared" ref="I312" ca="1" si="73">IF(H312="Unidade Construtiva",TEXT(A312,"00"),IF(H312="Célula Construtiva",TEXT(B312,"00"),IF(H312="Etapa",CONCATENATE(TEXT(B312,"00"),".",TEXT(C312,"000")),IF(H312="Subetapa",CONCATENATE(TEXT(B312,"00"),".",TEXT(C312,"000"),".",TEXT(D312,"000")),IF(H312="Serviço",CONCATENATE(TEXT(B312,"00"),".",TEXT(C312,"000"),".",TEXT(D312,"000"),".",TEXT(E312,"000")),"")))))</f>
        <v>19.001.001.004</v>
      </c>
      <c r="J312" s="248" t="s">
        <v>563</v>
      </c>
      <c r="K312" s="249" t="s">
        <v>92</v>
      </c>
      <c r="L312" s="250">
        <f>Arquitetura!I3013+Arquitetura!I3014</f>
        <v>788.1</v>
      </c>
      <c r="M312" s="250">
        <f>IFERROR(VLOOKUP(J312,CPU!$D$2:$H$6171,5,FALSE),0)</f>
        <v>5.1029166664999996</v>
      </c>
      <c r="N312" s="251">
        <f>IF(H312="Serviço",M312*L312,IF(H312="CÉLULA CONSTRUTIVA",SUMIFS($N$8:$N$352,$B$8:$B$352,B312,$H$8:$H$352,"Serviço"),IF(H312="ETAPA",SUMIFS($N$8:$N$352,$B$8:$B$352,B312,$C$8:$C$352,C312,$H$8:$H$352,"Serviço"),IF(H312="SUBETAPA",SUMIFS($N$8:$N$352,$B$8:$B$352,B312,$C$8:$C$352,C312,$D$8:$D$352,D312,$H$8:$H$352,"Serviço"),0))))</f>
        <v>4021.6086248686497</v>
      </c>
      <c r="O312" s="252"/>
      <c r="P312" s="253" t="s">
        <v>366</v>
      </c>
      <c r="Q312" s="293"/>
    </row>
    <row r="313" spans="1:17" ht="13.5" hidden="1" customHeight="1" outlineLevel="1" x14ac:dyDescent="0.2">
      <c r="A313" s="233">
        <f t="shared" ca="1" si="59"/>
        <v>0</v>
      </c>
      <c r="B313" s="233">
        <f t="shared" ca="1" si="60"/>
        <v>19</v>
      </c>
      <c r="C313" s="233">
        <f t="shared" ca="1" si="61"/>
        <v>1</v>
      </c>
      <c r="D313" s="234">
        <f t="shared" ca="1" si="70"/>
        <v>2</v>
      </c>
      <c r="E313" s="234">
        <f t="shared" ca="1" si="65"/>
        <v>0</v>
      </c>
      <c r="F313" s="244"/>
      <c r="G313" s="245"/>
      <c r="H313" s="246" t="s">
        <v>244</v>
      </c>
      <c r="I313" s="247" t="str">
        <f t="shared" ca="1" si="66"/>
        <v>19.001.002</v>
      </c>
      <c r="J313" s="248" t="s">
        <v>556</v>
      </c>
      <c r="K313" s="249"/>
      <c r="L313" s="250"/>
      <c r="M313" s="250"/>
      <c r="N313" s="251">
        <f ca="1">IF(H313="Serviço",M313*L313,IF(H313="CÉLULA CONSTRUTIVA",SUMIFS($N$8:$N$352,$B$8:$B$352,B313,$H$8:$H$352,"Serviço"),IF(H313="ETAPA",SUMIFS($N$8:$N$352,$B$8:$B$352,B313,$C$8:$C$352,C313,$H$8:$H$352,"Serviço"),IF(H313="SUBETAPA",SUMIFS($N$8:$N$352,$B$8:$B$352,B313,$C$8:$C$352,C313,$D$8:$D$352,D313,$H$8:$H$352,"Serviço"),0))))</f>
        <v>15458.478687999997</v>
      </c>
      <c r="O313" s="252"/>
      <c r="P313" s="253"/>
      <c r="Q313" s="293"/>
    </row>
    <row r="314" spans="1:17" ht="13.5" hidden="1" customHeight="1" outlineLevel="2" x14ac:dyDescent="0.2">
      <c r="A314" s="233">
        <f t="shared" ca="1" si="59"/>
        <v>0</v>
      </c>
      <c r="B314" s="233">
        <f t="shared" ca="1" si="60"/>
        <v>19</v>
      </c>
      <c r="C314" s="233">
        <f t="shared" ca="1" si="61"/>
        <v>1</v>
      </c>
      <c r="D314" s="234">
        <f t="shared" ca="1" si="70"/>
        <v>2</v>
      </c>
      <c r="E314" s="234">
        <f t="shared" ca="1" si="65"/>
        <v>1</v>
      </c>
      <c r="F314" s="244"/>
      <c r="G314" s="245"/>
      <c r="H314" s="246" t="s">
        <v>246</v>
      </c>
      <c r="I314" s="247" t="str">
        <f t="shared" ca="1" si="66"/>
        <v>19.001.002.001</v>
      </c>
      <c r="J314" s="248" t="s">
        <v>557</v>
      </c>
      <c r="K314" s="249" t="s">
        <v>79</v>
      </c>
      <c r="L314" s="250">
        <f>EPCs!M22</f>
        <v>1527.8799999999999</v>
      </c>
      <c r="M314" s="250">
        <v>10.117599999999999</v>
      </c>
      <c r="N314" s="251">
        <f>IF(H314="Serviço",M314*L314,IF(H314="CÉLULA CONSTRUTIVA",SUMIFS($N$8:$N$352,$B$8:$B$352,B314,$H$8:$H$352,"Serviço"),IF(H314="ETAPA",SUMIFS($N$8:$N$352,$B$8:$B$352,B314,$C$8:$C$352,C314,$H$8:$H$352,"Serviço"),IF(H314="SUBETAPA",SUMIFS($N$8:$N$352,$B$8:$B$352,B314,$C$8:$C$352,C314,$D$8:$D$352,D314,$H$8:$H$352,"Serviço"),0))))</f>
        <v>15458.478687999997</v>
      </c>
      <c r="O314" s="252"/>
      <c r="P314" s="253" t="s">
        <v>366</v>
      </c>
      <c r="Q314" s="293"/>
    </row>
    <row r="315" spans="1:17" ht="13.5" hidden="1" customHeight="1" outlineLevel="1" x14ac:dyDescent="0.2">
      <c r="A315" s="233">
        <f t="shared" ca="1" si="59"/>
        <v>0</v>
      </c>
      <c r="B315" s="233">
        <f t="shared" ca="1" si="60"/>
        <v>19</v>
      </c>
      <c r="C315" s="233">
        <f t="shared" ca="1" si="61"/>
        <v>1</v>
      </c>
      <c r="D315" s="234">
        <f t="shared" ca="1" si="70"/>
        <v>3</v>
      </c>
      <c r="E315" s="234">
        <f t="shared" ca="1" si="65"/>
        <v>0</v>
      </c>
      <c r="F315" s="244"/>
      <c r="G315" s="245"/>
      <c r="H315" s="246" t="s">
        <v>244</v>
      </c>
      <c r="I315" s="247" t="str">
        <f t="shared" ca="1" si="66"/>
        <v>19.001.003</v>
      </c>
      <c r="J315" s="248" t="s">
        <v>558</v>
      </c>
      <c r="K315" s="249"/>
      <c r="L315" s="250"/>
      <c r="M315" s="250"/>
      <c r="N315" s="251">
        <f ca="1">IF(H315="Serviço",M315*L315,IF(H315="CÉLULA CONSTRUTIVA",SUMIFS($N$8:$N$352,$B$8:$B$352,B315,$H$8:$H$352,"Serviço"),IF(H315="ETAPA",SUMIFS($N$8:$N$352,$B$8:$B$352,B315,$C$8:$C$352,C315,$H$8:$H$352,"Serviço"),IF(H315="SUBETAPA",SUMIFS($N$8:$N$352,$B$8:$B$352,B315,$C$8:$C$352,C315,$D$8:$D$352,D315,$H$8:$H$352,"Serviço"),0))))</f>
        <v>132898.25959800012</v>
      </c>
      <c r="O315" s="252"/>
      <c r="P315" s="253"/>
      <c r="Q315" s="293"/>
    </row>
    <row r="316" spans="1:17" ht="13.5" hidden="1" customHeight="1" outlineLevel="2" x14ac:dyDescent="0.2">
      <c r="A316" s="233">
        <f t="shared" ca="1" si="59"/>
        <v>0</v>
      </c>
      <c r="B316" s="233">
        <f t="shared" ca="1" si="60"/>
        <v>19</v>
      </c>
      <c r="C316" s="233">
        <f t="shared" ca="1" si="61"/>
        <v>1</v>
      </c>
      <c r="D316" s="234">
        <f t="shared" ca="1" si="70"/>
        <v>3</v>
      </c>
      <c r="E316" s="234">
        <f t="shared" ca="1" si="65"/>
        <v>1</v>
      </c>
      <c r="F316" s="244"/>
      <c r="G316" s="245"/>
      <c r="H316" s="246" t="s">
        <v>246</v>
      </c>
      <c r="I316" s="247" t="str">
        <f t="shared" ca="1" si="66"/>
        <v>19.001.003.001</v>
      </c>
      <c r="J316" s="248" t="s">
        <v>559</v>
      </c>
      <c r="K316" s="249" t="s">
        <v>92</v>
      </c>
      <c r="L316" s="250">
        <f>L317</f>
        <v>3290.0400000000031</v>
      </c>
      <c r="M316" s="250">
        <f>IFERROR(VLOOKUP(J316,CPU!$D$2:$H$6171,5,FALSE),0)</f>
        <v>2.7766666666666668</v>
      </c>
      <c r="N316" s="251">
        <f>IF(H316="Serviço",M316*L316,IF(H316="CÉLULA CONSTRUTIVA",SUMIFS($N$8:$N$352,$B$8:$B$352,B316,$H$8:$H$352,"Serviço"),IF(H316="ETAPA",SUMIFS($N$8:$N$352,$B$8:$B$352,B316,$C$8:$C$352,C316,$H$8:$H$352,"Serviço"),IF(H316="SUBETAPA",SUMIFS($N$8:$N$352,$B$8:$B$352,B316,$C$8:$C$352,C316,$D$8:$D$352,D316,$H$8:$H$352,"Serviço"),0))))</f>
        <v>9135.344400000009</v>
      </c>
      <c r="O316" s="252"/>
      <c r="P316" s="253" t="s">
        <v>366</v>
      </c>
      <c r="Q316" s="293"/>
    </row>
    <row r="317" spans="1:17" ht="13.5" hidden="1" customHeight="1" outlineLevel="2" x14ac:dyDescent="0.2">
      <c r="A317" s="233">
        <f t="shared" ca="1" si="59"/>
        <v>0</v>
      </c>
      <c r="B317" s="233">
        <f t="shared" ca="1" si="60"/>
        <v>19</v>
      </c>
      <c r="C317" s="233">
        <f t="shared" ca="1" si="61"/>
        <v>1</v>
      </c>
      <c r="D317" s="234">
        <f t="shared" ca="1" si="70"/>
        <v>3</v>
      </c>
      <c r="E317" s="234">
        <f t="shared" ca="1" si="65"/>
        <v>2</v>
      </c>
      <c r="F317" s="244"/>
      <c r="G317" s="245"/>
      <c r="H317" s="246" t="s">
        <v>246</v>
      </c>
      <c r="I317" s="247" t="str">
        <f t="shared" ca="1" si="66"/>
        <v>19.001.003.002</v>
      </c>
      <c r="J317" s="248" t="s">
        <v>560</v>
      </c>
      <c r="K317" s="249" t="s">
        <v>92</v>
      </c>
      <c r="L317" s="250">
        <f>Arquitetura!I3024+Arquitetura!I3025</f>
        <v>3290.0400000000031</v>
      </c>
      <c r="M317" s="250">
        <f>IFERROR(VLOOKUP(J317,CPU!$D$2:$H$6171,5,FALSE),0)</f>
        <v>24</v>
      </c>
      <c r="N317" s="251">
        <f>IF(H317="Serviço",M317*L317,IF(H317="CÉLULA CONSTRUTIVA",SUMIFS($N$8:$N$352,$B$8:$B$352,B317,$H$8:$H$352,"Serviço"),IF(H317="ETAPA",SUMIFS($N$8:$N$352,$B$8:$B$352,B317,$C$8:$C$352,C317,$H$8:$H$352,"Serviço"),IF(H317="SUBETAPA",SUMIFS($N$8:$N$352,$B$8:$B$352,B317,$C$8:$C$352,C317,$D$8:$D$352,D317,$H$8:$H$352,"Serviço"),0))))</f>
        <v>78960.960000000079</v>
      </c>
      <c r="O317" s="252"/>
      <c r="P317" s="253" t="s">
        <v>366</v>
      </c>
      <c r="Q317" s="293"/>
    </row>
    <row r="318" spans="1:17" ht="13.5" hidden="1" customHeight="1" outlineLevel="2" x14ac:dyDescent="0.2">
      <c r="A318" s="233">
        <f t="shared" ca="1" si="59"/>
        <v>0</v>
      </c>
      <c r="B318" s="233">
        <f t="shared" ref="B318" ca="1" si="74">IF(H318="UNIDADE CONSTRUTIVA",0,IF(H318="CÉLULA CONSTRUTIVA",OFFSET(B318,-1,0)+1,OFFSET(B318,-1,0)))</f>
        <v>19</v>
      </c>
      <c r="C318" s="233">
        <f t="shared" ref="C318" ca="1" si="75">IF(H318="CÉLULA CONSTRUTIVA",0,IF(H318="ETAPA",OFFSET(C318,-1,0)+1,OFFSET(C318,-1,0)))</f>
        <v>1</v>
      </c>
      <c r="D318" s="234">
        <f t="shared" ref="D318" ca="1" si="76">IF(H318="ETAPA",0,IF(H318="SUBETAPA",OFFSET(D318,-1,0)+1,OFFSET(D318,-1,0)))</f>
        <v>3</v>
      </c>
      <c r="E318" s="234">
        <f t="shared" ref="E318" ca="1" si="77">IF(H318="Subetapa",0,IF(H318="serviço",OFFSET(E318,-1,0)+1,OFFSET(E318,-1,0)))</f>
        <v>3</v>
      </c>
      <c r="F318" s="244"/>
      <c r="G318" s="245"/>
      <c r="H318" s="246" t="s">
        <v>246</v>
      </c>
      <c r="I318" s="247" t="str">
        <f t="shared" ref="I318" ca="1" si="78">IF(H318="Unidade Construtiva",TEXT(A318,"00"),IF(H318="Célula Construtiva",TEXT(B318,"00"),IF(H318="Etapa",CONCATENATE(TEXT(B318,"00"),".",TEXT(C318,"000")),IF(H318="Subetapa",CONCATENATE(TEXT(B318,"00"),".",TEXT(C318,"000"),".",TEXT(D318,"000")),IF(H318="Serviço",CONCATENATE(TEXT(B318,"00"),".",TEXT(C318,"000"),".",TEXT(D318,"000"),".",TEXT(E318,"000")),"")))))</f>
        <v>19.001.003.003</v>
      </c>
      <c r="J318" s="248" t="s">
        <v>5326</v>
      </c>
      <c r="K318" s="249" t="s">
        <v>92</v>
      </c>
      <c r="L318" s="250">
        <f>L317</f>
        <v>3290.0400000000031</v>
      </c>
      <c r="M318" s="250">
        <f>IFERROR(VLOOKUP(J318,CPU!$D$2:$H$6171,5,FALSE),0)</f>
        <v>13.61745</v>
      </c>
      <c r="N318" s="251">
        <f>IF(H318="Serviço",M318*L318,IF(H318="CÉLULA CONSTRUTIVA",SUMIFS($N$8:$N$352,$B$8:$B$352,B318,$H$8:$H$352,"Serviço"),IF(H318="ETAPA",SUMIFS($N$8:$N$352,$B$8:$B$352,B318,$C$8:$C$352,C318,$H$8:$H$352,"Serviço"),IF(H318="SUBETAPA",SUMIFS($N$8:$N$352,$B$8:$B$352,B318,$C$8:$C$352,C318,$D$8:$D$352,D318,$H$8:$H$352,"Serviço"),0))))</f>
        <v>44801.95519800004</v>
      </c>
      <c r="O318" s="252"/>
      <c r="P318" s="253" t="s">
        <v>366</v>
      </c>
      <c r="Q318" s="293"/>
    </row>
    <row r="319" spans="1:17" ht="13.5" hidden="1" customHeight="1" outlineLevel="1" x14ac:dyDescent="0.2">
      <c r="A319" s="233">
        <f ca="1">IF($H319="UNIDADE CONSTRUTIVA",OFFSET(A319,-1,0)+1,LARGE(A$3:A317,1))</f>
        <v>0</v>
      </c>
      <c r="B319" s="233">
        <f t="shared" ca="1" si="60"/>
        <v>19</v>
      </c>
      <c r="C319" s="233">
        <f t="shared" ca="1" si="61"/>
        <v>1</v>
      </c>
      <c r="D319" s="234">
        <f t="shared" ca="1" si="70"/>
        <v>4</v>
      </c>
      <c r="E319" s="234">
        <f t="shared" ca="1" si="65"/>
        <v>0</v>
      </c>
      <c r="F319" s="244"/>
      <c r="G319" s="245"/>
      <c r="H319" s="246" t="s">
        <v>244</v>
      </c>
      <c r="I319" s="247" t="str">
        <f t="shared" ca="1" si="66"/>
        <v>19.001.004</v>
      </c>
      <c r="J319" s="248" t="s">
        <v>561</v>
      </c>
      <c r="K319" s="249"/>
      <c r="L319" s="250"/>
      <c r="M319" s="250"/>
      <c r="N319" s="251">
        <f ca="1">IF(H319="Serviço",M319*L319,IF(H319="CÉLULA CONSTRUTIVA",SUMIFS($N$8:$N$352,$B$8:$B$352,B319,$H$8:$H$352,"Serviço"),IF(H319="ETAPA",SUMIFS($N$8:$N$352,$B$8:$B$352,B319,$C$8:$C$352,C319,$H$8:$H$352,"Serviço"),IF(H319="SUBETAPA",SUMIFS($N$8:$N$352,$B$8:$B$352,B319,$C$8:$C$352,C319,$D$8:$D$352,D319,$H$8:$H$352,"Serviço"),0))))</f>
        <v>2213160</v>
      </c>
      <c r="O319" s="252"/>
      <c r="P319" s="253"/>
      <c r="Q319" s="293"/>
    </row>
    <row r="320" spans="1:17" ht="13.5" hidden="1" customHeight="1" outlineLevel="2" x14ac:dyDescent="0.2">
      <c r="A320" s="233">
        <f t="shared" ca="1" si="59"/>
        <v>0</v>
      </c>
      <c r="B320" s="233">
        <f t="shared" ca="1" si="60"/>
        <v>19</v>
      </c>
      <c r="C320" s="233">
        <f t="shared" ca="1" si="61"/>
        <v>1</v>
      </c>
      <c r="D320" s="234">
        <f t="shared" ca="1" si="70"/>
        <v>4</v>
      </c>
      <c r="E320" s="234">
        <f t="shared" ca="1" si="65"/>
        <v>1</v>
      </c>
      <c r="F320" s="244"/>
      <c r="G320" s="245"/>
      <c r="H320" s="246" t="s">
        <v>246</v>
      </c>
      <c r="I320" s="247" t="str">
        <f t="shared" ca="1" si="66"/>
        <v>19.001.004.001</v>
      </c>
      <c r="J320" s="248" t="s">
        <v>562</v>
      </c>
      <c r="K320" s="249" t="s">
        <v>92</v>
      </c>
      <c r="L320" s="250">
        <f>Arquitetura!I3021+Arquitetura!I3022+Arquitetura!I3023</f>
        <v>2767.8</v>
      </c>
      <c r="M320" s="250">
        <v>680</v>
      </c>
      <c r="N320" s="251">
        <f>IF(H320="Serviço",M320*L320,IF(H320="CÉLULA CONSTRUTIVA",SUMIFS($N$8:$N$352,$B$8:$B$352,B320,$H$8:$H$352,"Serviço"),IF(H320="ETAPA",SUMIFS($N$8:$N$352,$B$8:$B$352,B320,$C$8:$C$352,C320,$H$8:$H$352,"Serviço"),IF(H320="SUBETAPA",SUMIFS($N$8:$N$352,$B$8:$B$352,B320,$C$8:$C$352,C320,$D$8:$D$352,D320,$H$8:$H$352,"Serviço"),0))))</f>
        <v>1882104.0000000002</v>
      </c>
      <c r="O320" s="252"/>
      <c r="P320" s="253" t="s">
        <v>366</v>
      </c>
      <c r="Q320" s="293"/>
    </row>
    <row r="321" spans="1:17" ht="13.5" hidden="1" customHeight="1" outlineLevel="2" x14ac:dyDescent="0.2">
      <c r="A321" s="233">
        <f t="shared" ca="1" si="59"/>
        <v>0</v>
      </c>
      <c r="B321" s="233">
        <f t="shared" ca="1" si="60"/>
        <v>19</v>
      </c>
      <c r="C321" s="233">
        <f t="shared" ca="1" si="61"/>
        <v>1</v>
      </c>
      <c r="D321" s="234">
        <f t="shared" ca="1" si="70"/>
        <v>4</v>
      </c>
      <c r="E321" s="234">
        <f t="shared" ca="1" si="65"/>
        <v>2</v>
      </c>
      <c r="F321" s="244"/>
      <c r="G321" s="245"/>
      <c r="H321" s="246" t="s">
        <v>246</v>
      </c>
      <c r="I321" s="247" t="str">
        <f t="shared" ca="1" si="66"/>
        <v>19.001.004.002</v>
      </c>
      <c r="J321" s="965" t="s">
        <v>5389</v>
      </c>
      <c r="K321" s="249" t="s">
        <v>92</v>
      </c>
      <c r="L321" s="250">
        <f>Arquitetura!I3028</f>
        <v>145.19999999999999</v>
      </c>
      <c r="M321" s="250">
        <f>600*3.8</f>
        <v>2280</v>
      </c>
      <c r="N321" s="251">
        <f>IF(H321="Serviço",M321*L321,IF(H321="CÉLULA CONSTRUTIVA",SUMIFS($N$8:$N$352,$B$8:$B$352,B321,$H$8:$H$352,"Serviço"),IF(H321="ETAPA",SUMIFS($N$8:$N$352,$B$8:$B$352,B321,$C$8:$C$352,C321,$H$8:$H$352,"Serviço"),IF(H321="SUBETAPA",SUMIFS($N$8:$N$352,$B$8:$B$352,B321,$C$8:$C$352,C321,$D$8:$D$352,D321,$H$8:$H$352,"Serviço"),0))))</f>
        <v>331056</v>
      </c>
      <c r="O321" s="252"/>
      <c r="P321" s="253" t="s">
        <v>366</v>
      </c>
      <c r="Q321" s="293"/>
    </row>
    <row r="322" spans="1:17" ht="13.5" hidden="1" customHeight="1" outlineLevel="1" x14ac:dyDescent="0.2">
      <c r="A322" s="233">
        <f t="shared" ref="A322:A385" ca="1" si="79">IF($H322="UNIDADE CONSTRUTIVA",OFFSET(A322,-1,0)+1,LARGE(A$3:A321,1))</f>
        <v>0</v>
      </c>
      <c r="B322" s="233">
        <f t="shared" ca="1" si="60"/>
        <v>19</v>
      </c>
      <c r="C322" s="233">
        <f t="shared" ca="1" si="61"/>
        <v>1</v>
      </c>
      <c r="D322" s="234">
        <f t="shared" ca="1" si="70"/>
        <v>5</v>
      </c>
      <c r="E322" s="234">
        <f t="shared" ca="1" si="65"/>
        <v>0</v>
      </c>
      <c r="F322" s="244"/>
      <c r="G322" s="245"/>
      <c r="H322" s="246" t="s">
        <v>244</v>
      </c>
      <c r="I322" s="247" t="str">
        <f t="shared" ca="1" si="66"/>
        <v>19.001.005</v>
      </c>
      <c r="J322" s="248" t="s">
        <v>405</v>
      </c>
      <c r="K322" s="249"/>
      <c r="L322" s="250"/>
      <c r="M322" s="250"/>
      <c r="N322" s="251">
        <f ca="1">IF(H322="Serviço",M322*L322,IF(H322="CÉLULA CONSTRUTIVA",SUMIFS($N$8:$N$352,$B$8:$B$352,B322,$H$8:$H$352,"Serviço"),IF(H322="ETAPA",SUMIFS($N$8:$N$352,$B$8:$B$352,B322,$C$8:$C$352,C322,$H$8:$H$352,"Serviço"),IF(H322="SUBETAPA",SUMIFS($N$8:$N$352,$B$8:$B$352,B322,$C$8:$C$352,C322,$D$8:$D$352,D322,$H$8:$H$352,"Serviço"),0))))</f>
        <v>371764.32680000004</v>
      </c>
      <c r="O322" s="252"/>
      <c r="P322" s="253"/>
      <c r="Q322" s="293"/>
    </row>
    <row r="323" spans="1:17" ht="13.5" hidden="1" customHeight="1" outlineLevel="2" x14ac:dyDescent="0.2">
      <c r="A323" s="233">
        <f t="shared" ca="1" si="79"/>
        <v>0</v>
      </c>
      <c r="B323" s="233">
        <f t="shared" ref="B323:B386" ca="1" si="80">IF(H323="UNIDADE CONSTRUTIVA",0,IF(H323="CÉLULA CONSTRUTIVA",OFFSET(B323,-1,0)+1,OFFSET(B323,-1,0)))</f>
        <v>19</v>
      </c>
      <c r="C323" s="233">
        <f t="shared" ref="C323:C386" ca="1" si="81">IF(H323="CÉLULA CONSTRUTIVA",0,IF(H323="ETAPA",OFFSET(C323,-1,0)+1,OFFSET(C323,-1,0)))</f>
        <v>1</v>
      </c>
      <c r="D323" s="234">
        <f t="shared" ca="1" si="70"/>
        <v>5</v>
      </c>
      <c r="E323" s="234">
        <f t="shared" ca="1" si="65"/>
        <v>1</v>
      </c>
      <c r="F323" s="244"/>
      <c r="G323" s="245"/>
      <c r="H323" s="246" t="s">
        <v>246</v>
      </c>
      <c r="I323" s="247" t="str">
        <f t="shared" ca="1" si="66"/>
        <v>19.001.005.001</v>
      </c>
      <c r="J323" s="248" t="s">
        <v>564</v>
      </c>
      <c r="K323" s="249" t="s">
        <v>92</v>
      </c>
      <c r="L323" s="250">
        <f>SUM(Arquitetura!D3110:D3203)</f>
        <v>3636.639999999999</v>
      </c>
      <c r="M323" s="250">
        <v>58</v>
      </c>
      <c r="N323" s="251">
        <f>IF(H323="Serviço",M323*L323,IF(H323="CÉLULA CONSTRUTIVA",SUMIFS($N$8:$N$352,$B$8:$B$352,B323,$H$8:$H$352,"Serviço"),IF(H323="ETAPA",SUMIFS($N$8:$N$352,$B$8:$B$352,B323,$C$8:$C$352,C323,$H$8:$H$352,"Serviço"),IF(H323="SUBETAPA",SUMIFS($N$8:$N$352,$B$8:$B$352,B323,$C$8:$C$352,C323,$D$8:$D$352,D323,$H$8:$H$352,"Serviço"),0))))</f>
        <v>210925.11999999994</v>
      </c>
      <c r="O323" s="960" t="s">
        <v>5092</v>
      </c>
      <c r="P323" s="253" t="s">
        <v>366</v>
      </c>
      <c r="Q323" s="293"/>
    </row>
    <row r="324" spans="1:17" ht="13.5" hidden="1" customHeight="1" outlineLevel="2" x14ac:dyDescent="0.2">
      <c r="A324" s="233">
        <f t="shared" ca="1" si="79"/>
        <v>0</v>
      </c>
      <c r="B324" s="233">
        <f t="shared" ca="1" si="80"/>
        <v>19</v>
      </c>
      <c r="C324" s="233">
        <f t="shared" ca="1" si="81"/>
        <v>1</v>
      </c>
      <c r="D324" s="234">
        <f t="shared" ca="1" si="70"/>
        <v>5</v>
      </c>
      <c r="E324" s="234">
        <f t="shared" ca="1" si="65"/>
        <v>2</v>
      </c>
      <c r="F324" s="244"/>
      <c r="G324" s="245"/>
      <c r="H324" s="246" t="s">
        <v>246</v>
      </c>
      <c r="I324" s="247" t="str">
        <f t="shared" ca="1" si="66"/>
        <v>19.001.005.002</v>
      </c>
      <c r="J324" s="248" t="s">
        <v>565</v>
      </c>
      <c r="K324" s="249" t="s">
        <v>92</v>
      </c>
      <c r="L324" s="250">
        <f>L317</f>
        <v>3290.0400000000031</v>
      </c>
      <c r="M324" s="250">
        <v>38.67</v>
      </c>
      <c r="N324" s="251">
        <f>IF(H324="Serviço",M324*L324,IF(H324="CÉLULA CONSTRUTIVA",SUMIFS($N$8:$N$352,$B$8:$B$352,B324,$H$8:$H$352,"Serviço"),IF(H324="ETAPA",SUMIFS($N$8:$N$352,$B$8:$B$352,B324,$C$8:$C$352,C324,$H$8:$H$352,"Serviço"),IF(H324="SUBETAPA",SUMIFS($N$8:$N$352,$B$8:$B$352,B324,$C$8:$C$352,C324,$D$8:$D$352,D324,$H$8:$H$352,"Serviço"),0))))</f>
        <v>127225.84680000013</v>
      </c>
      <c r="O324" s="252"/>
      <c r="P324" s="253" t="s">
        <v>366</v>
      </c>
      <c r="Q324" s="293"/>
    </row>
    <row r="325" spans="1:17" ht="13.5" hidden="1" customHeight="1" outlineLevel="2" x14ac:dyDescent="0.2">
      <c r="A325" s="233">
        <f t="shared" ca="1" si="79"/>
        <v>0</v>
      </c>
      <c r="B325" s="233">
        <f t="shared" ca="1" si="80"/>
        <v>19</v>
      </c>
      <c r="C325" s="233">
        <f t="shared" ca="1" si="81"/>
        <v>1</v>
      </c>
      <c r="D325" s="234">
        <f t="shared" ca="1" si="70"/>
        <v>5</v>
      </c>
      <c r="E325" s="234">
        <f t="shared" ca="1" si="65"/>
        <v>3</v>
      </c>
      <c r="F325" s="244"/>
      <c r="G325" s="245"/>
      <c r="H325" s="246" t="s">
        <v>246</v>
      </c>
      <c r="I325" s="247" t="str">
        <f t="shared" ca="1" si="66"/>
        <v>19.001.005.003</v>
      </c>
      <c r="J325" s="248" t="s">
        <v>566</v>
      </c>
      <c r="K325" s="973" t="s">
        <v>79</v>
      </c>
      <c r="L325" s="250">
        <f>L314</f>
        <v>1527.8799999999999</v>
      </c>
      <c r="M325" s="250">
        <v>22</v>
      </c>
      <c r="N325" s="251">
        <f>IF(H325="Serviço",M325*L325,IF(H325="CÉLULA CONSTRUTIVA",SUMIFS($N$8:$N$352,$B$8:$B$352,B325,$H$8:$H$352,"Serviço"),IF(H325="ETAPA",SUMIFS($N$8:$N$352,$B$8:$B$352,B325,$C$8:$C$352,C325,$H$8:$H$352,"Serviço"),IF(H325="SUBETAPA",SUMIFS($N$8:$N$352,$B$8:$B$352,B325,$C$8:$C$352,C325,$D$8:$D$352,D325,$H$8:$H$352,"Serviço"),0))))</f>
        <v>33613.360000000001</v>
      </c>
      <c r="O325" s="252"/>
      <c r="P325" s="253" t="s">
        <v>366</v>
      </c>
      <c r="Q325" s="293"/>
    </row>
    <row r="326" spans="1:17" ht="13.5" customHeight="1" collapsed="1" x14ac:dyDescent="0.2">
      <c r="A326" s="233">
        <f t="shared" ca="1" si="79"/>
        <v>0</v>
      </c>
      <c r="B326" s="233">
        <f t="shared" ca="1" si="80"/>
        <v>20</v>
      </c>
      <c r="C326" s="233">
        <f t="shared" ca="1" si="81"/>
        <v>0</v>
      </c>
      <c r="D326" s="234">
        <f t="shared" ca="1" si="70"/>
        <v>5</v>
      </c>
      <c r="E326" s="234">
        <f t="shared" ca="1" si="65"/>
        <v>3</v>
      </c>
      <c r="F326" s="1012"/>
      <c r="G326" s="245"/>
      <c r="H326" s="246" t="s">
        <v>241</v>
      </c>
      <c r="I326" s="247" t="str">
        <f t="shared" ca="1" si="66"/>
        <v>20</v>
      </c>
      <c r="J326" s="248" t="s">
        <v>57</v>
      </c>
      <c r="K326" s="249"/>
      <c r="L326" s="250"/>
      <c r="M326" s="250"/>
      <c r="N326" s="251">
        <f ca="1">IF(H326="Serviço",M326*L326,IF(H326="CÉLULA CONSTRUTIVA",SUMIFS($N$8:$N$352,$B$8:$B$352,B326,$H$8:$H$352,"Serviço"),IF(H326="ETAPA",SUMIFS($N$8:$N$352,$B$8:$B$352,B326,$C$8:$C$352,C326,$H$8:$H$352,"Serviço"),IF(H326="SUBETAPA",SUMIFS($N$8:$N$352,$B$8:$B$352,B326,$C$8:$C$352,C326,$D$8:$D$352,D326,$H$8:$H$352,"Serviço"),0))))</f>
        <v>935038.96270000015</v>
      </c>
      <c r="O326" s="252"/>
      <c r="P326" s="253"/>
      <c r="Q326" s="293"/>
    </row>
    <row r="327" spans="1:17" ht="13.5" hidden="1" customHeight="1" outlineLevel="1" x14ac:dyDescent="0.2">
      <c r="A327" s="233">
        <f t="shared" ca="1" si="79"/>
        <v>0</v>
      </c>
      <c r="B327" s="233">
        <f t="shared" ca="1" si="80"/>
        <v>20</v>
      </c>
      <c r="C327" s="233">
        <f t="shared" ca="1" si="81"/>
        <v>1</v>
      </c>
      <c r="D327" s="234">
        <f t="shared" ca="1" si="70"/>
        <v>0</v>
      </c>
      <c r="E327" s="234">
        <f t="shared" ca="1" si="65"/>
        <v>3</v>
      </c>
      <c r="F327" s="244"/>
      <c r="G327" s="245"/>
      <c r="H327" s="246" t="s">
        <v>37</v>
      </c>
      <c r="I327" s="247" t="str">
        <f t="shared" ca="1" si="66"/>
        <v>20.001</v>
      </c>
      <c r="J327" s="248" t="s">
        <v>567</v>
      </c>
      <c r="K327" s="249"/>
      <c r="L327" s="250"/>
      <c r="M327" s="250"/>
      <c r="N327" s="251">
        <f ca="1">IF(H327="Serviço",M327*L327,IF(H327="CÉLULA CONSTRUTIVA",SUMIFS($N$8:$N$352,$B$8:$B$352,B327,$H$8:$H$352,"Serviço"),IF(H327="ETAPA",SUMIFS($N$8:$N$352,$B$8:$B$352,B327,$C$8:$C$352,C327,$H$8:$H$352,"Serviço"),IF(H327="SUBETAPA",SUMIFS($N$8:$N$352,$B$8:$B$352,B327,$C$8:$C$352,C327,$D$8:$D$352,D327,$H$8:$H$352,"Serviço"),0))))</f>
        <v>35102.592700000001</v>
      </c>
      <c r="O327" s="252"/>
      <c r="P327" s="253"/>
      <c r="Q327" s="293"/>
    </row>
    <row r="328" spans="1:17" ht="13.5" hidden="1" customHeight="1" outlineLevel="1" x14ac:dyDescent="0.2">
      <c r="A328" s="233">
        <f t="shared" ca="1" si="79"/>
        <v>0</v>
      </c>
      <c r="B328" s="233">
        <f t="shared" ca="1" si="80"/>
        <v>20</v>
      </c>
      <c r="C328" s="233">
        <f t="shared" ca="1" si="81"/>
        <v>1</v>
      </c>
      <c r="D328" s="234">
        <f t="shared" ca="1" si="70"/>
        <v>1</v>
      </c>
      <c r="E328" s="234">
        <f t="shared" ca="1" si="65"/>
        <v>0</v>
      </c>
      <c r="F328" s="244"/>
      <c r="G328" s="245"/>
      <c r="H328" s="246" t="s">
        <v>244</v>
      </c>
      <c r="I328" s="247" t="str">
        <f t="shared" ca="1" si="66"/>
        <v>20.001.001</v>
      </c>
      <c r="J328" s="248" t="s">
        <v>568</v>
      </c>
      <c r="K328" s="249"/>
      <c r="L328" s="250"/>
      <c r="M328" s="250"/>
      <c r="N328" s="251">
        <f ca="1">IF(H328="Serviço",M328*L328,IF(H328="CÉLULA CONSTRUTIVA",SUMIFS($N$8:$N$352,$B$8:$B$352,B328,$H$8:$H$352,"Serviço"),IF(H328="ETAPA",SUMIFS($N$8:$N$352,$B$8:$B$352,B328,$C$8:$C$352,C328,$H$8:$H$352,"Serviço"),IF(H328="SUBETAPA",SUMIFS($N$8:$N$352,$B$8:$B$352,B328,$C$8:$C$352,C328,$D$8:$D$352,D328,$H$8:$H$352,"Serviço"),0))))</f>
        <v>35102.592700000001</v>
      </c>
      <c r="O328" s="252"/>
      <c r="P328" s="253"/>
      <c r="Q328" s="293"/>
    </row>
    <row r="329" spans="1:17" ht="13.5" hidden="1" customHeight="1" outlineLevel="2" x14ac:dyDescent="0.2">
      <c r="A329" s="233">
        <f t="shared" ca="1" si="79"/>
        <v>0</v>
      </c>
      <c r="B329" s="233">
        <f t="shared" ca="1" si="80"/>
        <v>20</v>
      </c>
      <c r="C329" s="233">
        <f t="shared" ca="1" si="81"/>
        <v>1</v>
      </c>
      <c r="D329" s="234">
        <f t="shared" ca="1" si="70"/>
        <v>1</v>
      </c>
      <c r="E329" s="234">
        <f t="shared" ca="1" si="65"/>
        <v>1</v>
      </c>
      <c r="F329" s="244"/>
      <c r="G329" s="245"/>
      <c r="H329" s="246" t="s">
        <v>246</v>
      </c>
      <c r="I329" s="247" t="str">
        <f t="shared" ca="1" si="66"/>
        <v>20.001.001.001</v>
      </c>
      <c r="J329" s="300" t="s">
        <v>569</v>
      </c>
      <c r="K329" s="249" t="s">
        <v>92</v>
      </c>
      <c r="L329" s="250">
        <f>Arquitetura!I3038</f>
        <v>7.98</v>
      </c>
      <c r="M329" s="250">
        <v>77.56</v>
      </c>
      <c r="N329" s="251">
        <f>IF(H329="Serviço",M329*L329,IF(H329="CÉLULA CONSTRUTIVA",SUMIFS($N$8:$N$352,$B$8:$B$352,B329,$H$8:$H$352,"Serviço"),IF(H329="ETAPA",SUMIFS($N$8:$N$352,$B$8:$B$352,B329,$C$8:$C$352,C329,$H$8:$H$352,"Serviço"),IF(H329="SUBETAPA",SUMIFS($N$8:$N$352,$B$8:$B$352,B329,$C$8:$C$352,C329,$D$8:$D$352,D329,$H$8:$H$352,"Serviço"),0))))</f>
        <v>618.92880000000002</v>
      </c>
      <c r="O329" s="252"/>
      <c r="P329" s="253" t="s">
        <v>366</v>
      </c>
      <c r="Q329" s="293"/>
    </row>
    <row r="330" spans="1:17" ht="13.5" hidden="1" customHeight="1" outlineLevel="2" x14ac:dyDescent="0.2">
      <c r="A330" s="233">
        <f t="shared" ca="1" si="79"/>
        <v>0</v>
      </c>
      <c r="B330" s="233">
        <f t="shared" ca="1" si="80"/>
        <v>20</v>
      </c>
      <c r="C330" s="233">
        <f t="shared" ca="1" si="81"/>
        <v>1</v>
      </c>
      <c r="D330" s="234">
        <f t="shared" ca="1" si="70"/>
        <v>1</v>
      </c>
      <c r="E330" s="234">
        <f t="shared" ca="1" si="65"/>
        <v>2</v>
      </c>
      <c r="F330" s="244"/>
      <c r="G330" s="245"/>
      <c r="H330" s="246" t="s">
        <v>246</v>
      </c>
      <c r="I330" s="247" t="str">
        <f t="shared" ca="1" si="66"/>
        <v>20.001.001.002</v>
      </c>
      <c r="J330" s="300" t="s">
        <v>570</v>
      </c>
      <c r="K330" s="249" t="s">
        <v>92</v>
      </c>
      <c r="L330" s="250">
        <f>Arquitetura!I933</f>
        <v>238.79000000000002</v>
      </c>
      <c r="M330" s="250">
        <v>116.41</v>
      </c>
      <c r="N330" s="251">
        <f>IF(H330="Serviço",M330*L330,IF(H330="CÉLULA CONSTRUTIVA",SUMIFS($N$8:$N$352,$B$8:$B$352,B330,$H$8:$H$352,"Serviço"),IF(H330="ETAPA",SUMIFS($N$8:$N$352,$B$8:$B$352,B330,$C$8:$C$352,C330,$H$8:$H$352,"Serviço"),IF(H330="SUBETAPA",SUMIFS($N$8:$N$352,$B$8:$B$352,B330,$C$8:$C$352,C330,$D$8:$D$352,D330,$H$8:$H$352,"Serviço"),0))))</f>
        <v>27797.543900000001</v>
      </c>
      <c r="O330" s="252"/>
      <c r="P330" s="253" t="s">
        <v>366</v>
      </c>
      <c r="Q330" s="293"/>
    </row>
    <row r="331" spans="1:17" ht="13.5" hidden="1" customHeight="1" outlineLevel="2" x14ac:dyDescent="0.2">
      <c r="A331" s="233">
        <f t="shared" ca="1" si="79"/>
        <v>0</v>
      </c>
      <c r="B331" s="233">
        <f t="shared" ca="1" si="80"/>
        <v>20</v>
      </c>
      <c r="C331" s="233">
        <f t="shared" ca="1" si="81"/>
        <v>1</v>
      </c>
      <c r="D331" s="234">
        <f t="shared" ca="1" si="70"/>
        <v>1</v>
      </c>
      <c r="E331" s="234">
        <f t="shared" ca="1" si="65"/>
        <v>3</v>
      </c>
      <c r="F331" s="244"/>
      <c r="G331" s="245"/>
      <c r="H331" s="246" t="s">
        <v>246</v>
      </c>
      <c r="I331" s="247" t="str">
        <f t="shared" ca="1" si="66"/>
        <v>20.001.001.003</v>
      </c>
      <c r="J331" s="248" t="s">
        <v>571</v>
      </c>
      <c r="K331" s="249" t="s">
        <v>92</v>
      </c>
      <c r="L331" s="250">
        <f>L330</f>
        <v>238.79000000000002</v>
      </c>
      <c r="M331" s="250">
        <v>28</v>
      </c>
      <c r="N331" s="251">
        <f>IF(H331="Serviço",M331*L331,IF(H331="CÉLULA CONSTRUTIVA",SUMIFS($N$8:$N$352,$B$8:$B$352,B331,$H$8:$H$352,"Serviço"),IF(H331="ETAPA",SUMIFS($N$8:$N$352,$B$8:$B$352,B331,$C$8:$C$352,C331,$H$8:$H$352,"Serviço"),IF(H331="SUBETAPA",SUMIFS($N$8:$N$352,$B$8:$B$352,B331,$C$8:$C$352,C331,$D$8:$D$352,D331,$H$8:$H$352,"Serviço"),0))))</f>
        <v>6686.1200000000008</v>
      </c>
      <c r="O331" s="252"/>
      <c r="P331" s="253" t="s">
        <v>366</v>
      </c>
      <c r="Q331" s="293"/>
    </row>
    <row r="332" spans="1:17" ht="13.5" hidden="1" customHeight="1" outlineLevel="1" x14ac:dyDescent="0.2">
      <c r="A332" s="233">
        <f t="shared" ca="1" si="79"/>
        <v>0</v>
      </c>
      <c r="B332" s="233">
        <f t="shared" ca="1" si="80"/>
        <v>20</v>
      </c>
      <c r="C332" s="233">
        <f t="shared" ca="1" si="81"/>
        <v>2</v>
      </c>
      <c r="D332" s="234">
        <f t="shared" ca="1" si="70"/>
        <v>0</v>
      </c>
      <c r="E332" s="234">
        <f t="shared" ca="1" si="65"/>
        <v>3</v>
      </c>
      <c r="F332" s="244"/>
      <c r="G332" s="245"/>
      <c r="H332" s="246" t="s">
        <v>37</v>
      </c>
      <c r="I332" s="247" t="str">
        <f t="shared" ca="1" si="66"/>
        <v>20.002</v>
      </c>
      <c r="J332" s="248" t="s">
        <v>57</v>
      </c>
      <c r="K332" s="249"/>
      <c r="L332" s="250"/>
      <c r="M332" s="250"/>
      <c r="N332" s="251">
        <f ca="1">IF(H332="Serviço",M332*L332,IF(H332="CÉLULA CONSTRUTIVA",SUMIFS($N$8:$N$352,$B$8:$B$352,B332,$H$8:$H$352,"Serviço"),IF(H332="ETAPA",SUMIFS($N$8:$N$352,$B$8:$B$352,B332,$C$8:$C$352,C332,$H$8:$H$352,"Serviço"),IF(H332="SUBETAPA",SUMIFS($N$8:$N$352,$B$8:$B$352,B332,$C$8:$C$352,C332,$D$8:$D$352,D332,$H$8:$H$352,"Serviço"),0))))</f>
        <v>899936.37</v>
      </c>
      <c r="O332" s="252"/>
      <c r="P332" s="253"/>
      <c r="Q332" s="293"/>
    </row>
    <row r="333" spans="1:17" ht="13.5" hidden="1" customHeight="1" outlineLevel="1" x14ac:dyDescent="0.2">
      <c r="A333" s="233">
        <f t="shared" ca="1" si="79"/>
        <v>0</v>
      </c>
      <c r="B333" s="233">
        <f t="shared" ca="1" si="80"/>
        <v>20</v>
      </c>
      <c r="C333" s="233">
        <f t="shared" ca="1" si="81"/>
        <v>2</v>
      </c>
      <c r="D333" s="234">
        <f t="shared" ca="1" si="70"/>
        <v>1</v>
      </c>
      <c r="E333" s="234">
        <f t="shared" ca="1" si="65"/>
        <v>0</v>
      </c>
      <c r="F333" s="244"/>
      <c r="G333" s="245"/>
      <c r="H333" s="246" t="s">
        <v>244</v>
      </c>
      <c r="I333" s="247" t="str">
        <f t="shared" ca="1" si="66"/>
        <v>20.002.001</v>
      </c>
      <c r="J333" s="248" t="s">
        <v>572</v>
      </c>
      <c r="K333" s="249"/>
      <c r="L333" s="250"/>
      <c r="M333" s="250"/>
      <c r="N333" s="251">
        <f ca="1">IF(H333="Serviço",M333*L333,IF(H333="CÉLULA CONSTRUTIVA",SUMIFS($N$8:$N$352,$B$8:$B$352,B333,$H$8:$H$352,"Serviço"),IF(H333="ETAPA",SUMIFS($N$8:$N$352,$B$8:$B$352,B333,$C$8:$C$352,C333,$H$8:$H$352,"Serviço"),IF(H333="SUBETAPA",SUMIFS($N$8:$N$352,$B$8:$B$352,B333,$C$8:$C$352,C333,$D$8:$D$352,D333,$H$8:$H$352,"Serviço"),0))))</f>
        <v>393581.73000000021</v>
      </c>
      <c r="O333" s="252"/>
      <c r="P333" s="253"/>
      <c r="Q333" s="293"/>
    </row>
    <row r="334" spans="1:17" ht="13.5" hidden="1" customHeight="1" outlineLevel="2" x14ac:dyDescent="0.2">
      <c r="A334" s="233">
        <f t="shared" ca="1" si="79"/>
        <v>0</v>
      </c>
      <c r="B334" s="233">
        <f t="shared" ca="1" si="80"/>
        <v>20</v>
      </c>
      <c r="C334" s="233">
        <f t="shared" ca="1" si="81"/>
        <v>2</v>
      </c>
      <c r="D334" s="234">
        <f t="shared" ca="1" si="70"/>
        <v>1</v>
      </c>
      <c r="E334" s="234">
        <f t="shared" ca="1" si="65"/>
        <v>1</v>
      </c>
      <c r="F334" s="244"/>
      <c r="G334" s="245"/>
      <c r="H334" s="246" t="s">
        <v>246</v>
      </c>
      <c r="I334" s="247" t="str">
        <f t="shared" ca="1" si="66"/>
        <v>20.002.001.001</v>
      </c>
      <c r="J334" s="248" t="s">
        <v>572</v>
      </c>
      <c r="K334" s="249" t="s">
        <v>175</v>
      </c>
      <c r="L334" s="250">
        <v>1</v>
      </c>
      <c r="M334" s="250">
        <f>MOBILIÁRIO!C6</f>
        <v>393581.73000000021</v>
      </c>
      <c r="N334" s="251">
        <f>IF(H334="Serviço",M334*L334,IF(H334="CÉLULA CONSTRUTIVA",SUMIFS($N$8:$N$352,$B$8:$B$352,B334,$H$8:$H$352,"Serviço"),IF(H334="ETAPA",SUMIFS($N$8:$N$352,$B$8:$B$352,B334,$C$8:$C$352,C334,$H$8:$H$352,"Serviço"),IF(H334="SUBETAPA",SUMIFS($N$8:$N$352,$B$8:$B$352,B334,$C$8:$C$352,C334,$D$8:$D$352,D334,$H$8:$H$352,"Serviço"),0))))</f>
        <v>393581.73000000021</v>
      </c>
      <c r="O334" s="252"/>
      <c r="P334" s="253" t="s">
        <v>366</v>
      </c>
      <c r="Q334" s="293"/>
    </row>
    <row r="335" spans="1:17" ht="13.5" hidden="1" customHeight="1" outlineLevel="1" x14ac:dyDescent="0.2">
      <c r="A335" s="233">
        <f t="shared" ca="1" si="79"/>
        <v>0</v>
      </c>
      <c r="B335" s="233">
        <f t="shared" ca="1" si="80"/>
        <v>20</v>
      </c>
      <c r="C335" s="233">
        <f t="shared" ca="1" si="81"/>
        <v>2</v>
      </c>
      <c r="D335" s="234">
        <f t="shared" ca="1" si="70"/>
        <v>2</v>
      </c>
      <c r="E335" s="234">
        <f t="shared" ca="1" si="65"/>
        <v>0</v>
      </c>
      <c r="F335" s="244"/>
      <c r="G335" s="245"/>
      <c r="H335" s="246" t="s">
        <v>244</v>
      </c>
      <c r="I335" s="247" t="str">
        <f t="shared" ca="1" si="66"/>
        <v>20.002.002</v>
      </c>
      <c r="J335" s="248" t="s">
        <v>573</v>
      </c>
      <c r="K335" s="249"/>
      <c r="L335" s="250"/>
      <c r="M335" s="250"/>
      <c r="N335" s="251">
        <f ca="1">IF(H335="Serviço",M335*L335,IF(H335="CÉLULA CONSTRUTIVA",SUMIFS($N$8:$N$352,$B$8:$B$352,B335,$H$8:$H$352,"Serviço"),IF(H335="ETAPA",SUMIFS($N$8:$N$352,$B$8:$B$352,B335,$C$8:$C$352,C335,$H$8:$H$352,"Serviço"),IF(H335="SUBETAPA",SUMIFS($N$8:$N$352,$B$8:$B$352,B335,$C$8:$C$352,C335,$D$8:$D$352,D335,$H$8:$H$352,"Serviço"),0))))</f>
        <v>230161.2</v>
      </c>
      <c r="O335" s="252"/>
      <c r="P335" s="253"/>
      <c r="Q335" s="293"/>
    </row>
    <row r="336" spans="1:17" ht="13.5" hidden="1" customHeight="1" outlineLevel="2" x14ac:dyDescent="0.2">
      <c r="A336" s="233">
        <f t="shared" ca="1" si="79"/>
        <v>0</v>
      </c>
      <c r="B336" s="233">
        <f t="shared" ca="1" si="80"/>
        <v>20</v>
      </c>
      <c r="C336" s="233">
        <f t="shared" ca="1" si="81"/>
        <v>2</v>
      </c>
      <c r="D336" s="234">
        <f t="shared" ca="1" si="70"/>
        <v>2</v>
      </c>
      <c r="E336" s="234">
        <f t="shared" ca="1" si="65"/>
        <v>1</v>
      </c>
      <c r="F336" s="244"/>
      <c r="G336" s="245"/>
      <c r="H336" s="246" t="s">
        <v>246</v>
      </c>
      <c r="I336" s="247" t="str">
        <f t="shared" ca="1" si="66"/>
        <v>20.002.002.001</v>
      </c>
      <c r="J336" s="248" t="s">
        <v>574</v>
      </c>
      <c r="K336" s="249" t="s">
        <v>175</v>
      </c>
      <c r="L336" s="250">
        <v>1</v>
      </c>
      <c r="M336" s="250">
        <f>30*'Obra '!E9</f>
        <v>230161.2</v>
      </c>
      <c r="N336" s="251">
        <f>IF(H336="Serviço",M336*L336,IF(H336="CÉLULA CONSTRUTIVA",SUMIFS($N$8:$N$352,$B$8:$B$352,B336,$H$8:$H$352,"Serviço"),IF(H336="ETAPA",SUMIFS($N$8:$N$352,$B$8:$B$352,B336,$C$8:$C$352,C336,$H$8:$H$352,"Serviço"),IF(H336="SUBETAPA",SUMIFS($N$8:$N$352,$B$8:$B$352,B336,$C$8:$C$352,C336,$D$8:$D$352,D336,$H$8:$H$352,"Serviço"),0))))</f>
        <v>230161.2</v>
      </c>
      <c r="O336" s="252"/>
      <c r="P336" s="253" t="s">
        <v>366</v>
      </c>
      <c r="Q336" s="293"/>
    </row>
    <row r="337" spans="1:17" ht="13.5" hidden="1" customHeight="1" outlineLevel="1" x14ac:dyDescent="0.2">
      <c r="A337" s="233">
        <f t="shared" ca="1" si="79"/>
        <v>0</v>
      </c>
      <c r="B337" s="233">
        <f t="shared" ca="1" si="80"/>
        <v>20</v>
      </c>
      <c r="C337" s="233">
        <f t="shared" ca="1" si="81"/>
        <v>2</v>
      </c>
      <c r="D337" s="234">
        <f t="shared" ca="1" si="70"/>
        <v>3</v>
      </c>
      <c r="E337" s="234">
        <f t="shared" ca="1" si="65"/>
        <v>0</v>
      </c>
      <c r="F337" s="244"/>
      <c r="G337" s="245"/>
      <c r="H337" s="246" t="s">
        <v>244</v>
      </c>
      <c r="I337" s="247" t="str">
        <f t="shared" ca="1" si="66"/>
        <v>20.002.003</v>
      </c>
      <c r="J337" s="248" t="s">
        <v>575</v>
      </c>
      <c r="K337" s="249"/>
      <c r="L337" s="250"/>
      <c r="M337" s="250"/>
      <c r="N337" s="251">
        <f ca="1">IF(H337="Serviço",M337*L337,IF(H337="CÉLULA CONSTRUTIVA",SUMIFS($N$8:$N$352,$B$8:$B$352,B337,$H$8:$H$352,"Serviço"),IF(H337="ETAPA",SUMIFS($N$8:$N$352,$B$8:$B$352,B337,$C$8:$C$352,C337,$H$8:$H$352,"Serviço"),IF(H337="SUBETAPA",SUMIFS($N$8:$N$352,$B$8:$B$352,B337,$C$8:$C$352,C337,$D$8:$D$352,D337,$H$8:$H$352,"Serviço"),0))))</f>
        <v>92064.48</v>
      </c>
      <c r="O337" s="252"/>
      <c r="P337" s="253"/>
      <c r="Q337" s="293"/>
    </row>
    <row r="338" spans="1:17" ht="13.5" hidden="1" customHeight="1" outlineLevel="2" x14ac:dyDescent="0.2">
      <c r="A338" s="233">
        <f t="shared" ca="1" si="79"/>
        <v>0</v>
      </c>
      <c r="B338" s="233">
        <f t="shared" ca="1" si="80"/>
        <v>20</v>
      </c>
      <c r="C338" s="233">
        <f t="shared" ca="1" si="81"/>
        <v>2</v>
      </c>
      <c r="D338" s="234">
        <f t="shared" ref="D338:D400" ca="1" si="82">IF(H338="ETAPA",0,IF(H338="SUBETAPA",OFFSET(D338,-1,0)+1,OFFSET(D338,-1,0)))</f>
        <v>3</v>
      </c>
      <c r="E338" s="234">
        <f t="shared" ca="1" si="65"/>
        <v>1</v>
      </c>
      <c r="F338" s="244"/>
      <c r="G338" s="245"/>
      <c r="H338" s="246" t="s">
        <v>246</v>
      </c>
      <c r="I338" s="247" t="str">
        <f t="shared" ca="1" si="66"/>
        <v>20.002.003.001</v>
      </c>
      <c r="J338" s="248" t="s">
        <v>575</v>
      </c>
      <c r="K338" s="249" t="s">
        <v>175</v>
      </c>
      <c r="L338" s="250">
        <v>1</v>
      </c>
      <c r="M338" s="250">
        <f>12*'Obra '!E9</f>
        <v>92064.48</v>
      </c>
      <c r="N338" s="251">
        <f>IF(H338="Serviço",M338*L338,IF(H338="CÉLULA CONSTRUTIVA",SUMIFS($N$8:$N$352,$B$8:$B$352,B338,$H$8:$H$352,"Serviço"),IF(H338="ETAPA",SUMIFS($N$8:$N$352,$B$8:$B$352,B338,$C$8:$C$352,C338,$H$8:$H$352,"Serviço"),IF(H338="SUBETAPA",SUMIFS($N$8:$N$352,$B$8:$B$352,B338,$C$8:$C$352,C338,$D$8:$D$352,D338,$H$8:$H$352,"Serviço"),0))))</f>
        <v>92064.48</v>
      </c>
      <c r="O338" s="252"/>
      <c r="P338" s="253" t="s">
        <v>366</v>
      </c>
      <c r="Q338" s="293"/>
    </row>
    <row r="339" spans="1:17" ht="13.5" hidden="1" customHeight="1" outlineLevel="1" x14ac:dyDescent="0.2">
      <c r="A339" s="233">
        <f t="shared" ca="1" si="79"/>
        <v>0</v>
      </c>
      <c r="B339" s="233">
        <f t="shared" ca="1" si="80"/>
        <v>20</v>
      </c>
      <c r="C339" s="233">
        <f t="shared" ca="1" si="81"/>
        <v>2</v>
      </c>
      <c r="D339" s="234">
        <f t="shared" ca="1" si="82"/>
        <v>4</v>
      </c>
      <c r="E339" s="234">
        <f t="shared" ca="1" si="65"/>
        <v>0</v>
      </c>
      <c r="F339" s="244"/>
      <c r="G339" s="245"/>
      <c r="H339" s="246" t="s">
        <v>244</v>
      </c>
      <c r="I339" s="247" t="str">
        <f t="shared" ca="1" si="66"/>
        <v>20.002.004</v>
      </c>
      <c r="J339" s="248" t="s">
        <v>576</v>
      </c>
      <c r="K339" s="249"/>
      <c r="L339" s="250"/>
      <c r="M339" s="250"/>
      <c r="N339" s="251">
        <f ca="1">IF(H339="Serviço",M339*L339,IF(H339="CÉLULA CONSTRUTIVA",SUMIFS($N$8:$N$352,$B$8:$B$352,B339,$H$8:$H$352,"Serviço"),IF(H339="ETAPA",SUMIFS($N$8:$N$352,$B$8:$B$352,B339,$C$8:$C$352,C339,$H$8:$H$352,"Serviço"),IF(H339="SUBETAPA",SUMIFS($N$8:$N$352,$B$8:$B$352,B339,$C$8:$C$352,C339,$D$8:$D$352,D339,$H$8:$H$352,"Serviço"),0))))</f>
        <v>168784.87999999998</v>
      </c>
      <c r="O339" s="252"/>
      <c r="P339" s="253"/>
      <c r="Q339" s="293"/>
    </row>
    <row r="340" spans="1:17" ht="12.75" hidden="1" customHeight="1" outlineLevel="2" x14ac:dyDescent="0.2">
      <c r="A340" s="233">
        <f t="shared" ca="1" si="79"/>
        <v>0</v>
      </c>
      <c r="B340" s="233">
        <f t="shared" ca="1" si="80"/>
        <v>20</v>
      </c>
      <c r="C340" s="233">
        <f t="shared" ca="1" si="81"/>
        <v>2</v>
      </c>
      <c r="D340" s="234">
        <f t="shared" ca="1" si="82"/>
        <v>4</v>
      </c>
      <c r="E340" s="234">
        <f t="shared" ca="1" si="65"/>
        <v>1</v>
      </c>
      <c r="F340" s="244"/>
      <c r="G340" s="245"/>
      <c r="H340" s="246" t="s">
        <v>246</v>
      </c>
      <c r="I340" s="247" t="str">
        <f t="shared" ca="1" si="66"/>
        <v>20.002.004.001</v>
      </c>
      <c r="J340" s="248" t="s">
        <v>577</v>
      </c>
      <c r="K340" s="249" t="s">
        <v>175</v>
      </c>
      <c r="L340" s="250">
        <v>1</v>
      </c>
      <c r="M340" s="250">
        <f>2*'Obra '!$E$9</f>
        <v>15344.08</v>
      </c>
      <c r="N340" s="251">
        <f>IF(H340="Serviço",M340*L340,IF(H340="CÉLULA CONSTRUTIVA",SUMIFS($N$8:$N$352,$B$8:$B$352,B340,$H$8:$H$352,"Serviço"),IF(H340="ETAPA",SUMIFS($N$8:$N$352,$B$8:$B$352,B340,$C$8:$C$352,C340,$H$8:$H$352,"Serviço"),IF(H340="SUBETAPA",SUMIFS($N$8:$N$352,$B$8:$B$352,B340,$C$8:$C$352,C340,$D$8:$D$352,D340,$H$8:$H$352,"Serviço"),0))))</f>
        <v>15344.08</v>
      </c>
      <c r="O340" s="252"/>
      <c r="P340" s="253" t="s">
        <v>366</v>
      </c>
      <c r="Q340" s="293"/>
    </row>
    <row r="341" spans="1:17" ht="13.5" hidden="1" customHeight="1" outlineLevel="2" x14ac:dyDescent="0.2">
      <c r="A341" s="233">
        <f t="shared" ca="1" si="79"/>
        <v>0</v>
      </c>
      <c r="B341" s="233">
        <f t="shared" ca="1" si="80"/>
        <v>20</v>
      </c>
      <c r="C341" s="233">
        <f t="shared" ca="1" si="81"/>
        <v>2</v>
      </c>
      <c r="D341" s="234">
        <f t="shared" ca="1" si="82"/>
        <v>4</v>
      </c>
      <c r="E341" s="234">
        <f t="shared" ca="1" si="65"/>
        <v>2</v>
      </c>
      <c r="F341" s="244"/>
      <c r="G341" s="245"/>
      <c r="H341" s="246" t="s">
        <v>246</v>
      </c>
      <c r="I341" s="247" t="str">
        <f t="shared" ca="1" si="66"/>
        <v>20.002.004.002</v>
      </c>
      <c r="J341" s="248" t="s">
        <v>578</v>
      </c>
      <c r="K341" s="249" t="s">
        <v>175</v>
      </c>
      <c r="L341" s="250">
        <v>1</v>
      </c>
      <c r="M341" s="250">
        <f>20*'Obra '!$E$9</f>
        <v>153440.79999999999</v>
      </c>
      <c r="N341" s="251">
        <f>IF(H341="Serviço",M341*L341,IF(H341="CÉLULA CONSTRUTIVA",SUMIFS($N$8:$N$352,$B$8:$B$352,B341,$H$8:$H$352,"Serviço"),IF(H341="ETAPA",SUMIFS($N$8:$N$352,$B$8:$B$352,B341,$C$8:$C$352,C341,$H$8:$H$352,"Serviço"),IF(H341="SUBETAPA",SUMIFS($N$8:$N$352,$B$8:$B$352,B341,$C$8:$C$352,C341,$D$8:$D$352,D341,$H$8:$H$352,"Serviço"),0))))</f>
        <v>153440.79999999999</v>
      </c>
      <c r="O341" s="252"/>
      <c r="P341" s="253" t="s">
        <v>366</v>
      </c>
      <c r="Q341" s="293"/>
    </row>
    <row r="342" spans="1:17" ht="13.5" hidden="1" customHeight="1" outlineLevel="1" x14ac:dyDescent="0.2">
      <c r="A342" s="233">
        <f t="shared" ca="1" si="79"/>
        <v>0</v>
      </c>
      <c r="B342" s="233">
        <f t="shared" ca="1" si="80"/>
        <v>20</v>
      </c>
      <c r="C342" s="233">
        <f t="shared" ca="1" si="81"/>
        <v>2</v>
      </c>
      <c r="D342" s="234">
        <f t="shared" ca="1" si="82"/>
        <v>5</v>
      </c>
      <c r="E342" s="234">
        <f t="shared" ca="1" si="65"/>
        <v>0</v>
      </c>
      <c r="F342" s="244"/>
      <c r="G342" s="245"/>
      <c r="H342" s="246" t="s">
        <v>244</v>
      </c>
      <c r="I342" s="247" t="str">
        <f t="shared" ca="1" si="66"/>
        <v>20.002.005</v>
      </c>
      <c r="J342" s="248" t="s">
        <v>579</v>
      </c>
      <c r="K342" s="249"/>
      <c r="L342" s="250"/>
      <c r="M342" s="250"/>
      <c r="N342" s="251">
        <f ca="1">IF(H342="Serviço",M342*L342,IF(H342="CÉLULA CONSTRUTIVA",SUMIFS($N$8:$N$352,$B$8:$B$352,B342,$H$8:$H$352,"Serviço"),IF(H342="ETAPA",SUMIFS($N$8:$N$352,$B$8:$B$352,B342,$C$8:$C$352,C342,$H$8:$H$352,"Serviço"),IF(H342="SUBETAPA",SUMIFS($N$8:$N$352,$B$8:$B$352,B342,$C$8:$C$352,C342,$D$8:$D$352,D342,$H$8:$H$352,"Serviço"),0))))</f>
        <v>15344.08</v>
      </c>
      <c r="O342" s="252"/>
      <c r="P342" s="253"/>
      <c r="Q342" s="293"/>
    </row>
    <row r="343" spans="1:17" ht="12.75" hidden="1" customHeight="1" outlineLevel="2" x14ac:dyDescent="0.2">
      <c r="A343" s="233">
        <f t="shared" ca="1" si="79"/>
        <v>0</v>
      </c>
      <c r="B343" s="233">
        <f t="shared" ca="1" si="80"/>
        <v>20</v>
      </c>
      <c r="C343" s="233">
        <f t="shared" ca="1" si="81"/>
        <v>2</v>
      </c>
      <c r="D343" s="234">
        <f t="shared" ca="1" si="82"/>
        <v>5</v>
      </c>
      <c r="E343" s="234">
        <f t="shared" ca="1" si="65"/>
        <v>1</v>
      </c>
      <c r="F343" s="244"/>
      <c r="G343" s="245"/>
      <c r="H343" s="246" t="s">
        <v>246</v>
      </c>
      <c r="I343" s="247" t="str">
        <f t="shared" ca="1" si="66"/>
        <v>20.002.005.001</v>
      </c>
      <c r="J343" s="248" t="s">
        <v>579</v>
      </c>
      <c r="K343" s="249" t="s">
        <v>175</v>
      </c>
      <c r="L343" s="250">
        <v>1</v>
      </c>
      <c r="M343" s="250">
        <f>2*'Obra '!$E$9</f>
        <v>15344.08</v>
      </c>
      <c r="N343" s="251">
        <f>IF(H343="Serviço",M343*L343,IF(H343="CÉLULA CONSTRUTIVA",SUMIFS($N$8:$N$352,$B$8:$B$352,B343,$H$8:$H$352,"Serviço"),IF(H343="ETAPA",SUMIFS($N$8:$N$352,$B$8:$B$352,B343,$C$8:$C$352,C343,$H$8:$H$352,"Serviço"),IF(H343="SUBETAPA",SUMIFS($N$8:$N$352,$B$8:$B$352,B343,$C$8:$C$352,C343,$D$8:$D$352,D343,$H$8:$H$352,"Serviço"),0))))</f>
        <v>15344.08</v>
      </c>
      <c r="O343" s="252"/>
      <c r="P343" s="253" t="s">
        <v>366</v>
      </c>
      <c r="Q343" s="293"/>
    </row>
    <row r="344" spans="1:17" ht="13.5" customHeight="1" collapsed="1" x14ac:dyDescent="0.2">
      <c r="A344" s="233">
        <f t="shared" ca="1" si="79"/>
        <v>0</v>
      </c>
      <c r="B344" s="233">
        <f t="shared" ca="1" si="80"/>
        <v>21</v>
      </c>
      <c r="C344" s="233">
        <f t="shared" ca="1" si="81"/>
        <v>0</v>
      </c>
      <c r="D344" s="234">
        <f t="shared" ca="1" si="82"/>
        <v>5</v>
      </c>
      <c r="E344" s="234">
        <f t="shared" ca="1" si="65"/>
        <v>1</v>
      </c>
      <c r="F344" s="1012"/>
      <c r="G344" s="245"/>
      <c r="H344" s="246" t="s">
        <v>241</v>
      </c>
      <c r="I344" s="247" t="str">
        <f t="shared" ca="1" si="66"/>
        <v>21</v>
      </c>
      <c r="J344" s="248" t="s">
        <v>68</v>
      </c>
      <c r="K344" s="249"/>
      <c r="L344" s="250"/>
      <c r="M344" s="250"/>
      <c r="N344" s="251">
        <f ca="1">IF(H344="Serviço",M344*L344,IF(H344="CÉLULA CONSTRUTIVA",SUMIFS($N$8:$N$352,$B$8:$B$352,B344,$H$8:$H$352,"Serviço"),IF(H344="ETAPA",SUMIFS($N$8:$N$352,$B$8:$B$352,B344,$C$8:$C$352,C344,$H$8:$H$352,"Serviço"),IF(H344="SUBETAPA",SUMIFS($N$8:$N$352,$B$8:$B$352,B344,$C$8:$C$352,C344,$D$8:$D$352,D344,$H$8:$H$352,"Serviço"),0))))</f>
        <v>380525.88797262026</v>
      </c>
      <c r="O344" s="252"/>
      <c r="P344" s="253"/>
      <c r="Q344" s="293"/>
    </row>
    <row r="345" spans="1:17" ht="13.5" hidden="1" customHeight="1" outlineLevel="1" x14ac:dyDescent="0.2">
      <c r="A345" s="233">
        <f t="shared" ca="1" si="79"/>
        <v>0</v>
      </c>
      <c r="B345" s="233">
        <f t="shared" ca="1" si="80"/>
        <v>21</v>
      </c>
      <c r="C345" s="233">
        <f t="shared" ca="1" si="81"/>
        <v>1</v>
      </c>
      <c r="D345" s="234">
        <f t="shared" ca="1" si="82"/>
        <v>0</v>
      </c>
      <c r="E345" s="234">
        <f t="shared" ca="1" si="65"/>
        <v>1</v>
      </c>
      <c r="F345" s="244"/>
      <c r="G345" s="245"/>
      <c r="H345" s="246" t="s">
        <v>37</v>
      </c>
      <c r="I345" s="247" t="str">
        <f t="shared" ca="1" si="66"/>
        <v>21.001</v>
      </c>
      <c r="J345" s="248" t="s">
        <v>68</v>
      </c>
      <c r="K345" s="249"/>
      <c r="L345" s="250"/>
      <c r="M345" s="250"/>
      <c r="N345" s="251">
        <f ca="1">IF(H345="Serviço",M345*L345,IF(H345="CÉLULA CONSTRUTIVA",SUMIFS($N$8:$N$352,$B$8:$B$352,B345,$H$8:$H$352,"Serviço"),IF(H345="ETAPA",SUMIFS($N$8:$N$352,$B$8:$B$352,B345,$C$8:$C$352,C345,$H$8:$H$352,"Serviço"),IF(H345="SUBETAPA",SUMIFS($N$8:$N$352,$B$8:$B$352,B345,$C$8:$C$352,C345,$D$8:$D$352,D345,$H$8:$H$352,"Serviço"),0))))</f>
        <v>380525.88797262026</v>
      </c>
      <c r="O345" s="252"/>
      <c r="P345" s="253"/>
      <c r="Q345" s="293"/>
    </row>
    <row r="346" spans="1:17" ht="13.5" hidden="1" customHeight="1" outlineLevel="1" x14ac:dyDescent="0.2">
      <c r="A346" s="233">
        <f t="shared" ca="1" si="79"/>
        <v>0</v>
      </c>
      <c r="B346" s="233">
        <f t="shared" ca="1" si="80"/>
        <v>21</v>
      </c>
      <c r="C346" s="233">
        <f t="shared" ca="1" si="81"/>
        <v>1</v>
      </c>
      <c r="D346" s="234">
        <f t="shared" ca="1" si="82"/>
        <v>1</v>
      </c>
      <c r="E346" s="234">
        <f t="shared" ca="1" si="65"/>
        <v>0</v>
      </c>
      <c r="F346" s="244"/>
      <c r="G346" s="245"/>
      <c r="H346" s="246" t="s">
        <v>244</v>
      </c>
      <c r="I346" s="247" t="str">
        <f t="shared" ca="1" si="66"/>
        <v>21.001.001</v>
      </c>
      <c r="J346" s="248" t="s">
        <v>580</v>
      </c>
      <c r="K346" s="249"/>
      <c r="L346" s="250"/>
      <c r="M346" s="250"/>
      <c r="N346" s="251">
        <f ca="1">IF(H346="Serviço",M346*L346,IF(H346="CÉLULA CONSTRUTIVA",SUMIFS($N$8:$N$352,$B$8:$B$352,B346,$H$8:$H$352,"Serviço"),IF(H346="ETAPA",SUMIFS($N$8:$N$352,$B$8:$B$352,B346,$C$8:$C$352,C346,$H$8:$H$352,"Serviço"),IF(H346="SUBETAPA",SUMIFS($N$8:$N$352,$B$8:$B$352,B346,$C$8:$C$352,C346,$D$8:$D$352,D346,$H$8:$H$352,"Serviço"),0))))</f>
        <v>380525.88797262026</v>
      </c>
      <c r="O346" s="252"/>
      <c r="P346" s="253"/>
      <c r="Q346" s="293"/>
    </row>
    <row r="347" spans="1:17" ht="13.5" hidden="1" customHeight="1" outlineLevel="2" x14ac:dyDescent="0.2">
      <c r="A347" s="233">
        <f t="shared" ca="1" si="79"/>
        <v>0</v>
      </c>
      <c r="B347" s="233">
        <f t="shared" ca="1" si="80"/>
        <v>21</v>
      </c>
      <c r="C347" s="233">
        <f t="shared" ca="1" si="81"/>
        <v>1</v>
      </c>
      <c r="D347" s="234">
        <f t="shared" ca="1" si="82"/>
        <v>1</v>
      </c>
      <c r="E347" s="234">
        <f t="shared" ca="1" si="65"/>
        <v>1</v>
      </c>
      <c r="F347" s="244"/>
      <c r="G347" s="245"/>
      <c r="H347" s="246" t="s">
        <v>246</v>
      </c>
      <c r="I347" s="247" t="str">
        <f t="shared" ca="1" si="66"/>
        <v>21.001.001.001</v>
      </c>
      <c r="J347" s="248" t="s">
        <v>580</v>
      </c>
      <c r="K347" s="249" t="s">
        <v>175</v>
      </c>
      <c r="L347" s="250">
        <v>1</v>
      </c>
      <c r="M347" s="250">
        <f ca="1">SUMPRODUCT(M8:M345,L8:L345)*0.015</f>
        <v>380525.88797262026</v>
      </c>
      <c r="N347" s="251">
        <f ca="1">IF(H347="Serviço",M347*L347,IF(H347="CÉLULA CONSTRUTIVA",SUMIFS($N$8:$N$352,$B$8:$B$352,B347,$H$8:$H$352,"Serviço"),IF(H347="ETAPA",SUMIFS($N$8:$N$352,$B$8:$B$352,B347,$C$8:$C$352,C347,$H$8:$H$352,"Serviço"),IF(H347="SUBETAPA",SUMIFS($N$8:$N$352,$B$8:$B$352,B347,$C$8:$C$352,C347,$D$8:$D$352,D347,$H$8:$H$352,"Serviço"),0))))</f>
        <v>380525.88797262026</v>
      </c>
      <c r="O347" s="252" t="s">
        <v>581</v>
      </c>
      <c r="P347" s="253"/>
      <c r="Q347" s="293"/>
    </row>
    <row r="348" spans="1:17" ht="13.5" customHeight="1" x14ac:dyDescent="0.2">
      <c r="A348" s="233">
        <f t="shared" ca="1" si="79"/>
        <v>0</v>
      </c>
      <c r="B348" s="233">
        <f t="shared" ca="1" si="80"/>
        <v>21</v>
      </c>
      <c r="C348" s="233">
        <f t="shared" ca="1" si="81"/>
        <v>1</v>
      </c>
      <c r="D348" s="234">
        <f t="shared" ca="1" si="82"/>
        <v>1</v>
      </c>
      <c r="E348" s="234">
        <f t="shared" ca="1" si="65"/>
        <v>1</v>
      </c>
      <c r="F348" s="244"/>
      <c r="G348" s="269"/>
      <c r="H348" s="269"/>
      <c r="I348" s="269"/>
      <c r="J348" s="270"/>
      <c r="K348" s="271"/>
      <c r="L348" s="272"/>
      <c r="M348" s="277">
        <f ca="1">SUMIFS($N$7:$N$347,$H$7:$H$347,N348)</f>
        <v>25748918.419480648</v>
      </c>
      <c r="N348" s="274" t="s">
        <v>241</v>
      </c>
      <c r="O348" s="270"/>
      <c r="P348" s="275"/>
      <c r="Q348" s="293"/>
    </row>
    <row r="349" spans="1:17" ht="13.5" customHeight="1" x14ac:dyDescent="0.2">
      <c r="A349" s="233">
        <f t="shared" ca="1" si="79"/>
        <v>0</v>
      </c>
      <c r="B349" s="233">
        <f t="shared" ca="1" si="80"/>
        <v>21</v>
      </c>
      <c r="C349" s="233">
        <f t="shared" ca="1" si="81"/>
        <v>1</v>
      </c>
      <c r="D349" s="234">
        <f t="shared" ca="1" si="82"/>
        <v>1</v>
      </c>
      <c r="E349" s="234">
        <f t="shared" ca="1" si="65"/>
        <v>1</v>
      </c>
      <c r="F349" s="244"/>
      <c r="G349" s="269"/>
      <c r="H349" s="269"/>
      <c r="I349" s="269"/>
      <c r="J349" s="270"/>
      <c r="K349" s="271"/>
      <c r="L349" s="272"/>
      <c r="M349" s="277">
        <f ca="1">SUMIFS($N$7:$N$347,$H$7:$H$347,N349)</f>
        <v>25748918.419480648</v>
      </c>
      <c r="N349" s="274" t="s">
        <v>37</v>
      </c>
      <c r="O349" s="270"/>
      <c r="P349" s="275"/>
      <c r="Q349" s="271"/>
    </row>
    <row r="350" spans="1:17" ht="13.5" customHeight="1" x14ac:dyDescent="0.2">
      <c r="A350" s="233">
        <f t="shared" ca="1" si="79"/>
        <v>0</v>
      </c>
      <c r="B350" s="233">
        <f t="shared" ca="1" si="80"/>
        <v>21</v>
      </c>
      <c r="C350" s="233">
        <f t="shared" ca="1" si="81"/>
        <v>1</v>
      </c>
      <c r="D350" s="234">
        <f t="shared" ca="1" si="82"/>
        <v>1</v>
      </c>
      <c r="E350" s="234">
        <f t="shared" ca="1" si="65"/>
        <v>1</v>
      </c>
      <c r="F350" s="244"/>
      <c r="G350" s="269"/>
      <c r="H350" s="269"/>
      <c r="I350" s="269"/>
      <c r="J350" s="270"/>
      <c r="K350" s="271"/>
      <c r="L350" s="272"/>
      <c r="M350" s="277">
        <f ca="1">SUMIFS($N$7:$N$347,$H$7:$H$347,N350)</f>
        <v>25748918.419480648</v>
      </c>
      <c r="N350" s="274" t="s">
        <v>244</v>
      </c>
      <c r="O350" s="270"/>
      <c r="P350" s="275"/>
      <c r="Q350" s="271"/>
    </row>
    <row r="351" spans="1:17" ht="13.5" customHeight="1" x14ac:dyDescent="0.2">
      <c r="A351" s="233">
        <f t="shared" ca="1" si="79"/>
        <v>0</v>
      </c>
      <c r="B351" s="233">
        <f t="shared" ca="1" si="80"/>
        <v>21</v>
      </c>
      <c r="C351" s="233">
        <f t="shared" ca="1" si="81"/>
        <v>1</v>
      </c>
      <c r="D351" s="234">
        <f t="shared" ca="1" si="82"/>
        <v>1</v>
      </c>
      <c r="E351" s="234">
        <f t="shared" ca="1" si="65"/>
        <v>1</v>
      </c>
      <c r="F351" s="244"/>
      <c r="G351" s="269"/>
      <c r="H351" s="269"/>
      <c r="I351" s="269"/>
      <c r="J351" s="270"/>
      <c r="K351" s="271"/>
      <c r="L351" s="272"/>
      <c r="M351" s="277">
        <f ca="1">SUMIFS($N$7:$N$347,$H$7:$H$347,N351)</f>
        <v>25748918.419480637</v>
      </c>
      <c r="N351" s="274" t="s">
        <v>246</v>
      </c>
      <c r="O351" s="270"/>
      <c r="P351" s="275"/>
      <c r="Q351" s="271"/>
    </row>
    <row r="352" spans="1:17" ht="13.5" customHeight="1" x14ac:dyDescent="0.2">
      <c r="A352" s="233">
        <f t="shared" ca="1" si="79"/>
        <v>0</v>
      </c>
      <c r="B352" s="233">
        <f t="shared" ca="1" si="80"/>
        <v>21</v>
      </c>
      <c r="C352" s="233">
        <f t="shared" ca="1" si="81"/>
        <v>1</v>
      </c>
      <c r="D352" s="234">
        <f t="shared" ca="1" si="82"/>
        <v>1</v>
      </c>
      <c r="E352" s="234">
        <f t="shared" ca="1" si="65"/>
        <v>1</v>
      </c>
      <c r="F352" s="244"/>
      <c r="G352" s="269"/>
      <c r="H352" s="269"/>
      <c r="I352" s="269"/>
      <c r="J352" s="270"/>
      <c r="K352" s="271"/>
      <c r="L352" s="272"/>
      <c r="M352" s="277">
        <f ca="1">'Obra '!C53</f>
        <v>30937354.019231901</v>
      </c>
      <c r="N352" s="274" t="s">
        <v>361</v>
      </c>
      <c r="O352" s="270"/>
      <c r="P352" s="275"/>
      <c r="Q352" s="271"/>
    </row>
    <row r="353" spans="1:17" ht="13.5" customHeight="1" x14ac:dyDescent="0.2">
      <c r="A353" s="233">
        <f t="shared" ca="1" si="79"/>
        <v>0</v>
      </c>
      <c r="B353" s="233">
        <f t="shared" ca="1" si="80"/>
        <v>21</v>
      </c>
      <c r="C353" s="233">
        <f t="shared" ca="1" si="81"/>
        <v>1</v>
      </c>
      <c r="D353" s="234">
        <f t="shared" ca="1" si="82"/>
        <v>1</v>
      </c>
      <c r="E353" s="234">
        <f t="shared" ca="1" si="65"/>
        <v>1</v>
      </c>
      <c r="F353" s="244"/>
      <c r="G353" s="269"/>
      <c r="H353" s="269"/>
      <c r="I353" s="269"/>
      <c r="J353" s="270"/>
      <c r="K353" s="271"/>
      <c r="L353" s="272"/>
      <c r="M353" s="272"/>
      <c r="N353" s="278"/>
      <c r="O353" s="270"/>
      <c r="P353" s="275"/>
      <c r="Q353" s="271"/>
    </row>
    <row r="354" spans="1:17" ht="13.5" customHeight="1" x14ac:dyDescent="0.2">
      <c r="A354" s="233">
        <f t="shared" ca="1" si="79"/>
        <v>0</v>
      </c>
      <c r="B354" s="233">
        <f t="shared" ca="1" si="80"/>
        <v>21</v>
      </c>
      <c r="C354" s="233">
        <f t="shared" ca="1" si="81"/>
        <v>1</v>
      </c>
      <c r="D354" s="234">
        <f t="shared" ca="1" si="82"/>
        <v>1</v>
      </c>
      <c r="E354" s="234">
        <f t="shared" ca="1" si="65"/>
        <v>1</v>
      </c>
      <c r="F354" s="244"/>
      <c r="G354" s="269"/>
      <c r="H354" s="269"/>
      <c r="I354" s="269"/>
      <c r="J354" s="270"/>
      <c r="K354" s="271"/>
      <c r="L354" s="272"/>
      <c r="M354" s="272"/>
      <c r="N354" s="278"/>
      <c r="O354" s="270"/>
      <c r="P354" s="275"/>
      <c r="Q354" s="271"/>
    </row>
    <row r="355" spans="1:17" ht="13.5" customHeight="1" x14ac:dyDescent="0.2">
      <c r="A355" s="233">
        <f t="shared" ca="1" si="79"/>
        <v>0</v>
      </c>
      <c r="B355" s="233">
        <f t="shared" ca="1" si="80"/>
        <v>21</v>
      </c>
      <c r="C355" s="233">
        <f t="shared" ca="1" si="81"/>
        <v>1</v>
      </c>
      <c r="D355" s="234">
        <f t="shared" ca="1" si="82"/>
        <v>1</v>
      </c>
      <c r="E355" s="234">
        <f t="shared" ca="1" si="65"/>
        <v>1</v>
      </c>
      <c r="F355" s="244"/>
      <c r="G355" s="269"/>
      <c r="H355" s="269"/>
      <c r="I355" s="269"/>
      <c r="J355" s="270"/>
      <c r="K355" s="271"/>
      <c r="L355" s="272"/>
      <c r="M355" s="272"/>
      <c r="N355" s="278"/>
      <c r="O355" s="270"/>
      <c r="P355" s="275"/>
      <c r="Q355" s="271"/>
    </row>
    <row r="356" spans="1:17" ht="13.5" customHeight="1" x14ac:dyDescent="0.2">
      <c r="A356" s="233">
        <f t="shared" ca="1" si="79"/>
        <v>0</v>
      </c>
      <c r="B356" s="233">
        <f t="shared" ca="1" si="80"/>
        <v>21</v>
      </c>
      <c r="C356" s="233">
        <f t="shared" ca="1" si="81"/>
        <v>1</v>
      </c>
      <c r="D356" s="234">
        <f t="shared" ca="1" si="82"/>
        <v>1</v>
      </c>
      <c r="E356" s="234">
        <f t="shared" ca="1" si="65"/>
        <v>1</v>
      </c>
      <c r="F356" s="244"/>
      <c r="G356" s="269"/>
      <c r="H356" s="269"/>
      <c r="I356" s="269"/>
      <c r="J356" s="270"/>
      <c r="K356" s="271"/>
      <c r="L356" s="272"/>
      <c r="M356" s="277">
        <v>31079835.161600735</v>
      </c>
      <c r="N356" s="278"/>
      <c r="O356" s="270"/>
      <c r="P356" s="275"/>
      <c r="Q356" s="271"/>
    </row>
    <row r="357" spans="1:17" ht="13.5" customHeight="1" x14ac:dyDescent="0.2">
      <c r="A357" s="233">
        <f t="shared" ca="1" si="79"/>
        <v>0</v>
      </c>
      <c r="B357" s="233">
        <f t="shared" ca="1" si="80"/>
        <v>21</v>
      </c>
      <c r="C357" s="233">
        <f t="shared" ca="1" si="81"/>
        <v>1</v>
      </c>
      <c r="D357" s="234">
        <f t="shared" ca="1" si="82"/>
        <v>1</v>
      </c>
      <c r="E357" s="234">
        <f t="shared" ca="1" si="65"/>
        <v>1</v>
      </c>
      <c r="F357" s="244"/>
      <c r="G357" s="269"/>
      <c r="H357" s="269"/>
      <c r="I357" s="269"/>
      <c r="J357" s="270"/>
      <c r="K357" s="271"/>
      <c r="L357" s="272"/>
      <c r="M357" s="272"/>
      <c r="N357" s="278"/>
      <c r="O357" s="270"/>
      <c r="P357" s="275"/>
      <c r="Q357" s="271"/>
    </row>
    <row r="358" spans="1:17" ht="13.5" customHeight="1" x14ac:dyDescent="0.2">
      <c r="A358" s="233">
        <f t="shared" ca="1" si="79"/>
        <v>0</v>
      </c>
      <c r="B358" s="233">
        <f t="shared" ca="1" si="80"/>
        <v>21</v>
      </c>
      <c r="C358" s="233">
        <f t="shared" ca="1" si="81"/>
        <v>1</v>
      </c>
      <c r="D358" s="234">
        <f t="shared" ca="1" si="82"/>
        <v>1</v>
      </c>
      <c r="E358" s="234">
        <f t="shared" ca="1" si="65"/>
        <v>1</v>
      </c>
      <c r="F358" s="244"/>
      <c r="G358" s="269"/>
      <c r="H358" s="269"/>
      <c r="I358" s="269"/>
      <c r="J358" s="270"/>
      <c r="K358" s="271"/>
      <c r="L358" s="272"/>
      <c r="M358" s="272"/>
      <c r="N358" s="278"/>
      <c r="O358" s="270"/>
      <c r="P358" s="275"/>
      <c r="Q358" s="271"/>
    </row>
    <row r="359" spans="1:17" ht="13.5" customHeight="1" x14ac:dyDescent="0.2">
      <c r="A359" s="233">
        <f t="shared" ca="1" si="79"/>
        <v>0</v>
      </c>
      <c r="B359" s="233">
        <f t="shared" ca="1" si="80"/>
        <v>21</v>
      </c>
      <c r="C359" s="233">
        <f t="shared" ca="1" si="81"/>
        <v>1</v>
      </c>
      <c r="D359" s="234">
        <f t="shared" ca="1" si="82"/>
        <v>1</v>
      </c>
      <c r="E359" s="234">
        <f t="shared" ca="1" si="65"/>
        <v>1</v>
      </c>
      <c r="F359" s="244"/>
      <c r="G359" s="269"/>
      <c r="H359" s="269"/>
      <c r="I359" s="269"/>
      <c r="J359" s="270"/>
      <c r="K359" s="271"/>
      <c r="L359" s="272"/>
      <c r="M359" s="272"/>
      <c r="N359" s="278"/>
      <c r="O359" s="270"/>
      <c r="P359" s="275"/>
      <c r="Q359" s="271"/>
    </row>
    <row r="360" spans="1:17" ht="13.5" customHeight="1" x14ac:dyDescent="0.2">
      <c r="A360" s="233">
        <f t="shared" ca="1" si="79"/>
        <v>0</v>
      </c>
      <c r="B360" s="233">
        <f t="shared" ca="1" si="80"/>
        <v>21</v>
      </c>
      <c r="C360" s="233">
        <f t="shared" ca="1" si="81"/>
        <v>1</v>
      </c>
      <c r="D360" s="234">
        <f t="shared" ca="1" si="82"/>
        <v>1</v>
      </c>
      <c r="E360" s="234">
        <f t="shared" ca="1" si="65"/>
        <v>1</v>
      </c>
      <c r="F360" s="244"/>
      <c r="G360" s="269"/>
      <c r="H360" s="269"/>
      <c r="I360" s="269"/>
      <c r="J360" s="270"/>
      <c r="K360" s="271"/>
      <c r="L360" s="272"/>
      <c r="M360" s="272"/>
      <c r="N360" s="278"/>
      <c r="O360" s="270"/>
      <c r="P360" s="275"/>
      <c r="Q360" s="271"/>
    </row>
    <row r="361" spans="1:17" ht="13.5" customHeight="1" x14ac:dyDescent="0.2">
      <c r="A361" s="233">
        <f t="shared" ca="1" si="79"/>
        <v>0</v>
      </c>
      <c r="B361" s="233">
        <f t="shared" ca="1" si="80"/>
        <v>21</v>
      </c>
      <c r="C361" s="233">
        <f t="shared" ca="1" si="81"/>
        <v>1</v>
      </c>
      <c r="D361" s="234">
        <f t="shared" ca="1" si="82"/>
        <v>1</v>
      </c>
      <c r="E361" s="234">
        <f t="shared" ca="1" si="65"/>
        <v>1</v>
      </c>
      <c r="F361" s="244"/>
      <c r="G361" s="269"/>
      <c r="H361" s="269"/>
      <c r="I361" s="269"/>
      <c r="J361" s="270"/>
      <c r="K361" s="271"/>
      <c r="L361" s="272"/>
      <c r="M361" s="272"/>
      <c r="N361" s="278"/>
      <c r="O361" s="270"/>
      <c r="P361" s="275"/>
      <c r="Q361" s="271"/>
    </row>
    <row r="362" spans="1:17" ht="13.5" customHeight="1" x14ac:dyDescent="0.2">
      <c r="A362" s="233">
        <f t="shared" ca="1" si="79"/>
        <v>0</v>
      </c>
      <c r="B362" s="233">
        <f t="shared" ca="1" si="80"/>
        <v>21</v>
      </c>
      <c r="C362" s="233">
        <f t="shared" ca="1" si="81"/>
        <v>1</v>
      </c>
      <c r="D362" s="234">
        <f t="shared" ca="1" si="82"/>
        <v>1</v>
      </c>
      <c r="E362" s="234">
        <f t="shared" ca="1" si="65"/>
        <v>1</v>
      </c>
      <c r="F362" s="244"/>
      <c r="G362" s="269"/>
      <c r="H362" s="269"/>
      <c r="I362" s="269"/>
      <c r="J362" s="270"/>
      <c r="K362" s="271"/>
      <c r="L362" s="272"/>
      <c r="M362" s="272"/>
      <c r="N362" s="278"/>
      <c r="O362" s="270"/>
      <c r="P362" s="275"/>
      <c r="Q362" s="271"/>
    </row>
    <row r="363" spans="1:17" ht="13.5" customHeight="1" x14ac:dyDescent="0.2">
      <c r="A363" s="233">
        <f t="shared" ca="1" si="79"/>
        <v>0</v>
      </c>
      <c r="B363" s="233">
        <f t="shared" ca="1" si="80"/>
        <v>21</v>
      </c>
      <c r="C363" s="233">
        <f t="shared" ca="1" si="81"/>
        <v>1</v>
      </c>
      <c r="D363" s="234">
        <f t="shared" ca="1" si="82"/>
        <v>1</v>
      </c>
      <c r="E363" s="234">
        <f t="shared" ca="1" si="65"/>
        <v>1</v>
      </c>
      <c r="F363" s="244"/>
      <c r="G363" s="269"/>
      <c r="H363" s="269"/>
      <c r="I363" s="269"/>
      <c r="J363" s="270"/>
      <c r="K363" s="271"/>
      <c r="L363" s="272"/>
      <c r="M363" s="272"/>
      <c r="N363" s="278"/>
      <c r="O363" s="270"/>
      <c r="P363" s="275"/>
      <c r="Q363" s="271"/>
    </row>
    <row r="364" spans="1:17" ht="13.5" customHeight="1" x14ac:dyDescent="0.2">
      <c r="A364" s="233">
        <f t="shared" ca="1" si="79"/>
        <v>0</v>
      </c>
      <c r="B364" s="233">
        <f t="shared" ca="1" si="80"/>
        <v>21</v>
      </c>
      <c r="C364" s="233">
        <f t="shared" ca="1" si="81"/>
        <v>1</v>
      </c>
      <c r="D364" s="234">
        <f t="shared" ca="1" si="82"/>
        <v>1</v>
      </c>
      <c r="E364" s="234">
        <f t="shared" ca="1" si="65"/>
        <v>1</v>
      </c>
      <c r="F364" s="244"/>
      <c r="G364" s="269"/>
      <c r="H364" s="269"/>
      <c r="I364" s="269"/>
      <c r="J364" s="270"/>
      <c r="K364" s="271"/>
      <c r="L364" s="272"/>
      <c r="M364" s="272"/>
      <c r="N364" s="278"/>
      <c r="O364" s="270"/>
      <c r="P364" s="275"/>
      <c r="Q364" s="271"/>
    </row>
    <row r="365" spans="1:17" ht="13.5" customHeight="1" x14ac:dyDescent="0.2">
      <c r="A365" s="233">
        <f t="shared" ca="1" si="79"/>
        <v>0</v>
      </c>
      <c r="B365" s="233">
        <f t="shared" ca="1" si="80"/>
        <v>21</v>
      </c>
      <c r="C365" s="233">
        <f t="shared" ca="1" si="81"/>
        <v>1</v>
      </c>
      <c r="D365" s="234">
        <f t="shared" ca="1" si="82"/>
        <v>1</v>
      </c>
      <c r="E365" s="234">
        <f t="shared" ca="1" si="65"/>
        <v>1</v>
      </c>
      <c r="F365" s="244"/>
      <c r="G365" s="269"/>
      <c r="H365" s="269"/>
      <c r="I365" s="269"/>
      <c r="J365" s="270"/>
      <c r="K365" s="271"/>
      <c r="L365" s="272"/>
      <c r="M365" s="272"/>
      <c r="N365" s="278"/>
      <c r="O365" s="270"/>
      <c r="P365" s="275"/>
      <c r="Q365" s="271"/>
    </row>
    <row r="366" spans="1:17" ht="13.5" customHeight="1" x14ac:dyDescent="0.2">
      <c r="A366" s="233">
        <f t="shared" ca="1" si="79"/>
        <v>0</v>
      </c>
      <c r="B366" s="233">
        <f t="shared" ca="1" si="80"/>
        <v>21</v>
      </c>
      <c r="C366" s="233">
        <f t="shared" ca="1" si="81"/>
        <v>1</v>
      </c>
      <c r="D366" s="234">
        <f t="shared" ca="1" si="82"/>
        <v>1</v>
      </c>
      <c r="E366" s="234">
        <f t="shared" ca="1" si="65"/>
        <v>1</v>
      </c>
      <c r="F366" s="244"/>
      <c r="G366" s="269"/>
      <c r="H366" s="269"/>
      <c r="I366" s="269"/>
      <c r="J366" s="270"/>
      <c r="K366" s="271"/>
      <c r="L366" s="272"/>
      <c r="M366" s="272"/>
      <c r="N366" s="278"/>
      <c r="O366" s="270"/>
      <c r="P366" s="275"/>
      <c r="Q366" s="271"/>
    </row>
    <row r="367" spans="1:17" ht="13.5" customHeight="1" x14ac:dyDescent="0.2">
      <c r="A367" s="233">
        <f t="shared" ca="1" si="79"/>
        <v>0</v>
      </c>
      <c r="B367" s="233">
        <f t="shared" ca="1" si="80"/>
        <v>21</v>
      </c>
      <c r="C367" s="233">
        <f t="shared" ca="1" si="81"/>
        <v>1</v>
      </c>
      <c r="D367" s="234">
        <f t="shared" ca="1" si="82"/>
        <v>1</v>
      </c>
      <c r="E367" s="234">
        <f t="shared" ca="1" si="65"/>
        <v>1</v>
      </c>
      <c r="F367" s="244"/>
      <c r="G367" s="269"/>
      <c r="H367" s="269"/>
      <c r="I367" s="269"/>
      <c r="J367" s="270"/>
      <c r="K367" s="271"/>
      <c r="L367" s="272"/>
      <c r="M367" s="272"/>
      <c r="N367" s="278"/>
      <c r="O367" s="270"/>
      <c r="P367" s="275"/>
      <c r="Q367" s="271"/>
    </row>
    <row r="368" spans="1:17" ht="13.5" customHeight="1" x14ac:dyDescent="0.2">
      <c r="A368" s="233">
        <f t="shared" ca="1" si="79"/>
        <v>0</v>
      </c>
      <c r="B368" s="233">
        <f t="shared" ca="1" si="80"/>
        <v>21</v>
      </c>
      <c r="C368" s="233">
        <f t="shared" ca="1" si="81"/>
        <v>1</v>
      </c>
      <c r="D368" s="234">
        <f t="shared" ca="1" si="82"/>
        <v>1</v>
      </c>
      <c r="E368" s="234">
        <f t="shared" ca="1" si="65"/>
        <v>1</v>
      </c>
      <c r="F368" s="244"/>
      <c r="G368" s="269"/>
      <c r="H368" s="269"/>
      <c r="I368" s="269"/>
      <c r="J368" s="270"/>
      <c r="K368" s="271"/>
      <c r="L368" s="272"/>
      <c r="M368" s="272"/>
      <c r="N368" s="278"/>
      <c r="O368" s="270"/>
      <c r="P368" s="275"/>
      <c r="Q368" s="271"/>
    </row>
    <row r="369" spans="1:17" ht="13.5" customHeight="1" x14ac:dyDescent="0.2">
      <c r="A369" s="233">
        <f t="shared" ca="1" si="79"/>
        <v>0</v>
      </c>
      <c r="B369" s="233">
        <f t="shared" ca="1" si="80"/>
        <v>21</v>
      </c>
      <c r="C369" s="233">
        <f t="shared" ca="1" si="81"/>
        <v>1</v>
      </c>
      <c r="D369" s="234">
        <f t="shared" ca="1" si="82"/>
        <v>1</v>
      </c>
      <c r="E369" s="234">
        <f t="shared" ca="1" si="65"/>
        <v>1</v>
      </c>
      <c r="F369" s="244"/>
      <c r="G369" s="269"/>
      <c r="H369" s="269"/>
      <c r="I369" s="269"/>
      <c r="J369" s="270"/>
      <c r="K369" s="271"/>
      <c r="L369" s="272"/>
      <c r="M369" s="272"/>
      <c r="N369" s="278"/>
      <c r="O369" s="270"/>
      <c r="P369" s="275"/>
      <c r="Q369" s="271"/>
    </row>
    <row r="370" spans="1:17" ht="13.5" customHeight="1" x14ac:dyDescent="0.2">
      <c r="A370" s="233">
        <f t="shared" ca="1" si="79"/>
        <v>0</v>
      </c>
      <c r="B370" s="233">
        <f t="shared" ca="1" si="80"/>
        <v>21</v>
      </c>
      <c r="C370" s="233">
        <f t="shared" ca="1" si="81"/>
        <v>1</v>
      </c>
      <c r="D370" s="234">
        <f t="shared" ca="1" si="82"/>
        <v>1</v>
      </c>
      <c r="E370" s="234">
        <f t="shared" ca="1" si="65"/>
        <v>1</v>
      </c>
      <c r="F370" s="244"/>
      <c r="G370" s="269"/>
      <c r="H370" s="269"/>
      <c r="I370" s="269"/>
      <c r="J370" s="270"/>
      <c r="K370" s="271"/>
      <c r="L370" s="272"/>
      <c r="M370" s="272"/>
      <c r="N370" s="278"/>
      <c r="O370" s="270"/>
      <c r="P370" s="275"/>
      <c r="Q370" s="271"/>
    </row>
    <row r="371" spans="1:17" ht="13.5" customHeight="1" x14ac:dyDescent="0.2">
      <c r="A371" s="233">
        <f t="shared" ca="1" si="79"/>
        <v>0</v>
      </c>
      <c r="B371" s="233">
        <f t="shared" ca="1" si="80"/>
        <v>21</v>
      </c>
      <c r="C371" s="233">
        <f t="shared" ca="1" si="81"/>
        <v>1</v>
      </c>
      <c r="D371" s="234">
        <f t="shared" ca="1" si="82"/>
        <v>1</v>
      </c>
      <c r="E371" s="234">
        <f t="shared" ca="1" si="65"/>
        <v>1</v>
      </c>
      <c r="F371" s="244"/>
      <c r="G371" s="269"/>
      <c r="H371" s="269"/>
      <c r="I371" s="269"/>
      <c r="J371" s="270"/>
      <c r="K371" s="271"/>
      <c r="L371" s="272"/>
      <c r="M371" s="272"/>
      <c r="N371" s="278"/>
      <c r="O371" s="270"/>
      <c r="P371" s="275"/>
      <c r="Q371" s="271"/>
    </row>
    <row r="372" spans="1:17" ht="13.5" customHeight="1" x14ac:dyDescent="0.2">
      <c r="A372" s="233">
        <f t="shared" ca="1" si="79"/>
        <v>0</v>
      </c>
      <c r="B372" s="233">
        <f t="shared" ca="1" si="80"/>
        <v>21</v>
      </c>
      <c r="C372" s="233">
        <f t="shared" ca="1" si="81"/>
        <v>1</v>
      </c>
      <c r="D372" s="234">
        <f t="shared" ca="1" si="82"/>
        <v>1</v>
      </c>
      <c r="E372" s="234">
        <f t="shared" ca="1" si="65"/>
        <v>1</v>
      </c>
      <c r="F372" s="244"/>
      <c r="G372" s="269"/>
      <c r="H372" s="269"/>
      <c r="I372" s="269"/>
      <c r="J372" s="270"/>
      <c r="K372" s="271"/>
      <c r="L372" s="272"/>
      <c r="M372" s="272"/>
      <c r="N372" s="278"/>
      <c r="O372" s="270"/>
      <c r="P372" s="275"/>
      <c r="Q372" s="271"/>
    </row>
    <row r="373" spans="1:17" ht="13.5" customHeight="1" x14ac:dyDescent="0.2">
      <c r="A373" s="233">
        <f t="shared" ca="1" si="79"/>
        <v>0</v>
      </c>
      <c r="B373" s="233">
        <f t="shared" ca="1" si="80"/>
        <v>21</v>
      </c>
      <c r="C373" s="233">
        <f t="shared" ca="1" si="81"/>
        <v>1</v>
      </c>
      <c r="D373" s="234">
        <f t="shared" ca="1" si="82"/>
        <v>1</v>
      </c>
      <c r="E373" s="234">
        <f t="shared" ca="1" si="65"/>
        <v>1</v>
      </c>
      <c r="F373" s="244"/>
      <c r="G373" s="269"/>
      <c r="H373" s="269"/>
      <c r="I373" s="269"/>
      <c r="J373" s="270"/>
      <c r="K373" s="271"/>
      <c r="L373" s="272"/>
      <c r="M373" s="272"/>
      <c r="N373" s="278"/>
      <c r="O373" s="270"/>
      <c r="P373" s="275"/>
      <c r="Q373" s="271"/>
    </row>
    <row r="374" spans="1:17" ht="13.5" customHeight="1" x14ac:dyDescent="0.2">
      <c r="A374" s="233">
        <f t="shared" ca="1" si="79"/>
        <v>0</v>
      </c>
      <c r="B374" s="233">
        <f t="shared" ca="1" si="80"/>
        <v>21</v>
      </c>
      <c r="C374" s="233">
        <f t="shared" ca="1" si="81"/>
        <v>1</v>
      </c>
      <c r="D374" s="234">
        <f t="shared" ca="1" si="82"/>
        <v>1</v>
      </c>
      <c r="E374" s="234">
        <f t="shared" ca="1" si="65"/>
        <v>1</v>
      </c>
      <c r="F374" s="244"/>
      <c r="G374" s="269"/>
      <c r="H374" s="269"/>
      <c r="I374" s="269"/>
      <c r="J374" s="270"/>
      <c r="K374" s="271"/>
      <c r="L374" s="272"/>
      <c r="M374" s="272"/>
      <c r="N374" s="278"/>
      <c r="O374" s="270"/>
      <c r="P374" s="275"/>
      <c r="Q374" s="271"/>
    </row>
    <row r="375" spans="1:17" ht="13.5" customHeight="1" x14ac:dyDescent="0.2">
      <c r="A375" s="233">
        <f t="shared" ca="1" si="79"/>
        <v>0</v>
      </c>
      <c r="B375" s="233">
        <f t="shared" ca="1" si="80"/>
        <v>21</v>
      </c>
      <c r="C375" s="233">
        <f t="shared" ca="1" si="81"/>
        <v>1</v>
      </c>
      <c r="D375" s="234">
        <f t="shared" ca="1" si="82"/>
        <v>1</v>
      </c>
      <c r="E375" s="234">
        <f t="shared" ca="1" si="65"/>
        <v>1</v>
      </c>
      <c r="F375" s="244"/>
      <c r="G375" s="269"/>
      <c r="H375" s="269"/>
      <c r="I375" s="269"/>
      <c r="J375" s="270"/>
      <c r="K375" s="271"/>
      <c r="L375" s="272"/>
      <c r="M375" s="272"/>
      <c r="N375" s="278"/>
      <c r="O375" s="270"/>
      <c r="P375" s="275"/>
      <c r="Q375" s="271"/>
    </row>
    <row r="376" spans="1:17" ht="13.5" customHeight="1" x14ac:dyDescent="0.2">
      <c r="A376" s="233">
        <f t="shared" ca="1" si="79"/>
        <v>0</v>
      </c>
      <c r="B376" s="233">
        <f t="shared" ca="1" si="80"/>
        <v>21</v>
      </c>
      <c r="C376" s="233">
        <f t="shared" ca="1" si="81"/>
        <v>1</v>
      </c>
      <c r="D376" s="234">
        <f t="shared" ca="1" si="82"/>
        <v>1</v>
      </c>
      <c r="E376" s="234">
        <f t="shared" ca="1" si="65"/>
        <v>1</v>
      </c>
      <c r="F376" s="244"/>
      <c r="G376" s="269"/>
      <c r="H376" s="269"/>
      <c r="I376" s="269"/>
      <c r="J376" s="270"/>
      <c r="K376" s="271"/>
      <c r="L376" s="272"/>
      <c r="M376" s="272"/>
      <c r="N376" s="278"/>
      <c r="O376" s="270"/>
      <c r="P376" s="275"/>
      <c r="Q376" s="271"/>
    </row>
    <row r="377" spans="1:17" ht="13.5" customHeight="1" x14ac:dyDescent="0.2">
      <c r="A377" s="233">
        <f t="shared" ca="1" si="79"/>
        <v>0</v>
      </c>
      <c r="B377" s="233">
        <f t="shared" ca="1" si="80"/>
        <v>21</v>
      </c>
      <c r="C377" s="233">
        <f t="shared" ca="1" si="81"/>
        <v>1</v>
      </c>
      <c r="D377" s="234">
        <f t="shared" ca="1" si="82"/>
        <v>1</v>
      </c>
      <c r="E377" s="234">
        <f t="shared" ca="1" si="65"/>
        <v>1</v>
      </c>
      <c r="F377" s="244"/>
      <c r="G377" s="269"/>
      <c r="H377" s="269"/>
      <c r="I377" s="269"/>
      <c r="J377" s="270"/>
      <c r="K377" s="271"/>
      <c r="L377" s="272"/>
      <c r="M377" s="272"/>
      <c r="N377" s="278"/>
      <c r="O377" s="270"/>
      <c r="P377" s="275"/>
      <c r="Q377" s="271"/>
    </row>
    <row r="378" spans="1:17" ht="13.5" customHeight="1" x14ac:dyDescent="0.2">
      <c r="A378" s="233">
        <f t="shared" ca="1" si="79"/>
        <v>0</v>
      </c>
      <c r="B378" s="233">
        <f t="shared" ca="1" si="80"/>
        <v>21</v>
      </c>
      <c r="C378" s="233">
        <f t="shared" ca="1" si="81"/>
        <v>1</v>
      </c>
      <c r="D378" s="234">
        <f t="shared" ca="1" si="82"/>
        <v>1</v>
      </c>
      <c r="E378" s="234">
        <f t="shared" ca="1" si="65"/>
        <v>1</v>
      </c>
      <c r="F378" s="244"/>
      <c r="G378" s="269"/>
      <c r="H378" s="269"/>
      <c r="I378" s="269"/>
      <c r="J378" s="270"/>
      <c r="K378" s="271"/>
      <c r="L378" s="272"/>
      <c r="M378" s="272"/>
      <c r="N378" s="278"/>
      <c r="O378" s="270"/>
      <c r="P378" s="275"/>
      <c r="Q378" s="271"/>
    </row>
    <row r="379" spans="1:17" ht="13.5" customHeight="1" x14ac:dyDescent="0.2">
      <c r="A379" s="233">
        <f t="shared" ca="1" si="79"/>
        <v>0</v>
      </c>
      <c r="B379" s="233">
        <f t="shared" ca="1" si="80"/>
        <v>21</v>
      </c>
      <c r="C379" s="233">
        <f t="shared" ca="1" si="81"/>
        <v>1</v>
      </c>
      <c r="D379" s="234">
        <f t="shared" ca="1" si="82"/>
        <v>1</v>
      </c>
      <c r="E379" s="234">
        <f t="shared" ca="1" si="65"/>
        <v>1</v>
      </c>
      <c r="F379" s="244"/>
      <c r="G379" s="269"/>
      <c r="H379" s="269"/>
      <c r="I379" s="269"/>
      <c r="J379" s="270"/>
      <c r="K379" s="271"/>
      <c r="L379" s="272"/>
      <c r="M379" s="272"/>
      <c r="N379" s="278"/>
      <c r="O379" s="270"/>
      <c r="P379" s="275"/>
      <c r="Q379" s="271"/>
    </row>
    <row r="380" spans="1:17" ht="13.5" customHeight="1" x14ac:dyDescent="0.2">
      <c r="A380" s="233">
        <f t="shared" ca="1" si="79"/>
        <v>0</v>
      </c>
      <c r="B380" s="233">
        <f t="shared" ca="1" si="80"/>
        <v>21</v>
      </c>
      <c r="C380" s="233">
        <f t="shared" ca="1" si="81"/>
        <v>1</v>
      </c>
      <c r="D380" s="234">
        <f t="shared" ca="1" si="82"/>
        <v>1</v>
      </c>
      <c r="E380" s="234">
        <f t="shared" ca="1" si="65"/>
        <v>1</v>
      </c>
      <c r="F380" s="244"/>
      <c r="G380" s="269"/>
      <c r="H380" s="269"/>
      <c r="I380" s="269"/>
      <c r="J380" s="270"/>
      <c r="K380" s="271"/>
      <c r="L380" s="272"/>
      <c r="M380" s="272"/>
      <c r="N380" s="278"/>
      <c r="O380" s="270"/>
      <c r="P380" s="275"/>
      <c r="Q380" s="271"/>
    </row>
    <row r="381" spans="1:17" ht="13.5" customHeight="1" x14ac:dyDescent="0.2">
      <c r="A381" s="233">
        <f t="shared" ca="1" si="79"/>
        <v>0</v>
      </c>
      <c r="B381" s="233">
        <f t="shared" ca="1" si="80"/>
        <v>21</v>
      </c>
      <c r="C381" s="233">
        <f t="shared" ca="1" si="81"/>
        <v>1</v>
      </c>
      <c r="D381" s="234">
        <f t="shared" ca="1" si="82"/>
        <v>1</v>
      </c>
      <c r="E381" s="234">
        <f t="shared" ca="1" si="65"/>
        <v>1</v>
      </c>
      <c r="F381" s="244"/>
      <c r="G381" s="269"/>
      <c r="H381" s="269"/>
      <c r="I381" s="269"/>
      <c r="J381" s="270"/>
      <c r="K381" s="271"/>
      <c r="L381" s="272"/>
      <c r="M381" s="272"/>
      <c r="N381" s="278"/>
      <c r="O381" s="270"/>
      <c r="P381" s="275"/>
      <c r="Q381" s="271"/>
    </row>
    <row r="382" spans="1:17" ht="13.5" customHeight="1" x14ac:dyDescent="0.2">
      <c r="A382" s="233">
        <f t="shared" ca="1" si="79"/>
        <v>0</v>
      </c>
      <c r="B382" s="233">
        <f t="shared" ca="1" si="80"/>
        <v>21</v>
      </c>
      <c r="C382" s="233">
        <f t="shared" ca="1" si="81"/>
        <v>1</v>
      </c>
      <c r="D382" s="234">
        <f t="shared" ca="1" si="82"/>
        <v>1</v>
      </c>
      <c r="E382" s="234">
        <f t="shared" ca="1" si="65"/>
        <v>1</v>
      </c>
      <c r="F382" s="244"/>
      <c r="G382" s="269"/>
      <c r="H382" s="269"/>
      <c r="I382" s="269"/>
      <c r="J382" s="270"/>
      <c r="K382" s="271"/>
      <c r="L382" s="272"/>
      <c r="M382" s="272"/>
      <c r="N382" s="278"/>
      <c r="O382" s="270"/>
      <c r="P382" s="275"/>
      <c r="Q382" s="271"/>
    </row>
    <row r="383" spans="1:17" ht="13.5" customHeight="1" x14ac:dyDescent="0.2">
      <c r="A383" s="233">
        <f t="shared" ca="1" si="79"/>
        <v>0</v>
      </c>
      <c r="B383" s="233">
        <f t="shared" ca="1" si="80"/>
        <v>21</v>
      </c>
      <c r="C383" s="233">
        <f t="shared" ca="1" si="81"/>
        <v>1</v>
      </c>
      <c r="D383" s="234">
        <f t="shared" ca="1" si="82"/>
        <v>1</v>
      </c>
      <c r="E383" s="234">
        <f t="shared" ca="1" si="65"/>
        <v>1</v>
      </c>
      <c r="F383" s="244"/>
      <c r="G383" s="269"/>
      <c r="H383" s="269"/>
      <c r="I383" s="269"/>
      <c r="J383" s="270"/>
      <c r="K383" s="271"/>
      <c r="L383" s="272"/>
      <c r="M383" s="272"/>
      <c r="N383" s="278"/>
      <c r="O383" s="270"/>
      <c r="P383" s="275"/>
      <c r="Q383" s="271"/>
    </row>
    <row r="384" spans="1:17" ht="13.5" customHeight="1" x14ac:dyDescent="0.2">
      <c r="A384" s="233">
        <f t="shared" ca="1" si="79"/>
        <v>0</v>
      </c>
      <c r="B384" s="233">
        <f t="shared" ca="1" si="80"/>
        <v>21</v>
      </c>
      <c r="C384" s="233">
        <f t="shared" ca="1" si="81"/>
        <v>1</v>
      </c>
      <c r="D384" s="234">
        <f t="shared" ca="1" si="82"/>
        <v>1</v>
      </c>
      <c r="E384" s="234">
        <f t="shared" ca="1" si="65"/>
        <v>1</v>
      </c>
      <c r="F384" s="244"/>
      <c r="G384" s="269"/>
      <c r="H384" s="269"/>
      <c r="I384" s="269"/>
      <c r="J384" s="270"/>
      <c r="K384" s="271"/>
      <c r="L384" s="272"/>
      <c r="M384" s="272"/>
      <c r="N384" s="278"/>
      <c r="O384" s="270"/>
      <c r="P384" s="275"/>
      <c r="Q384" s="271"/>
    </row>
    <row r="385" spans="1:17" ht="13.5" customHeight="1" x14ac:dyDescent="0.2">
      <c r="A385" s="233">
        <f t="shared" ca="1" si="79"/>
        <v>0</v>
      </c>
      <c r="B385" s="233">
        <f t="shared" ca="1" si="80"/>
        <v>21</v>
      </c>
      <c r="C385" s="233">
        <f t="shared" ca="1" si="81"/>
        <v>1</v>
      </c>
      <c r="D385" s="234">
        <f t="shared" ca="1" si="82"/>
        <v>1</v>
      </c>
      <c r="E385" s="234">
        <f t="shared" ca="1" si="65"/>
        <v>1</v>
      </c>
      <c r="F385" s="244"/>
      <c r="G385" s="269"/>
      <c r="H385" s="269"/>
      <c r="I385" s="269"/>
      <c r="J385" s="270"/>
      <c r="K385" s="271"/>
      <c r="L385" s="272"/>
      <c r="M385" s="272"/>
      <c r="N385" s="278"/>
      <c r="O385" s="270"/>
      <c r="P385" s="275"/>
      <c r="Q385" s="271"/>
    </row>
    <row r="386" spans="1:17" ht="13.5" customHeight="1" x14ac:dyDescent="0.2">
      <c r="A386" s="233">
        <f t="shared" ref="A386:A449" ca="1" si="83">IF($H386="UNIDADE CONSTRUTIVA",OFFSET(A386,-1,0)+1,LARGE(A$3:A385,1))</f>
        <v>0</v>
      </c>
      <c r="B386" s="233">
        <f t="shared" ca="1" si="80"/>
        <v>21</v>
      </c>
      <c r="C386" s="233">
        <f t="shared" ca="1" si="81"/>
        <v>1</v>
      </c>
      <c r="D386" s="234">
        <f t="shared" ca="1" si="82"/>
        <v>1</v>
      </c>
      <c r="E386" s="234">
        <f t="shared" ca="1" si="65"/>
        <v>1</v>
      </c>
      <c r="F386" s="244"/>
      <c r="G386" s="269"/>
      <c r="H386" s="269"/>
      <c r="I386" s="269"/>
      <c r="J386" s="270"/>
      <c r="K386" s="271"/>
      <c r="L386" s="272"/>
      <c r="M386" s="272"/>
      <c r="N386" s="278"/>
      <c r="O386" s="270"/>
      <c r="P386" s="275"/>
      <c r="Q386" s="271"/>
    </row>
    <row r="387" spans="1:17" ht="13.5" customHeight="1" x14ac:dyDescent="0.2">
      <c r="A387" s="233">
        <f t="shared" ca="1" si="83"/>
        <v>0</v>
      </c>
      <c r="B387" s="233">
        <f t="shared" ref="B387:B450" ca="1" si="84">IF(H387="UNIDADE CONSTRUTIVA",0,IF(H387="CÉLULA CONSTRUTIVA",OFFSET(B387,-1,0)+1,OFFSET(B387,-1,0)))</f>
        <v>21</v>
      </c>
      <c r="C387" s="233">
        <f t="shared" ref="C387:C450" ca="1" si="85">IF(H387="CÉLULA CONSTRUTIVA",0,IF(H387="ETAPA",OFFSET(C387,-1,0)+1,OFFSET(C387,-1,0)))</f>
        <v>1</v>
      </c>
      <c r="D387" s="234">
        <f t="shared" ca="1" si="82"/>
        <v>1</v>
      </c>
      <c r="E387" s="234">
        <f t="shared" ca="1" si="65"/>
        <v>1</v>
      </c>
      <c r="F387" s="244"/>
      <c r="G387" s="269"/>
      <c r="H387" s="269"/>
      <c r="I387" s="269"/>
      <c r="J387" s="270"/>
      <c r="K387" s="271"/>
      <c r="L387" s="272"/>
      <c r="M387" s="272"/>
      <c r="N387" s="278"/>
      <c r="O387" s="270"/>
      <c r="P387" s="275"/>
      <c r="Q387" s="271"/>
    </row>
    <row r="388" spans="1:17" ht="13.5" customHeight="1" x14ac:dyDescent="0.2">
      <c r="A388" s="233">
        <f t="shared" ca="1" si="83"/>
        <v>0</v>
      </c>
      <c r="B388" s="233">
        <f t="shared" ca="1" si="84"/>
        <v>21</v>
      </c>
      <c r="C388" s="233">
        <f t="shared" ca="1" si="85"/>
        <v>1</v>
      </c>
      <c r="D388" s="234">
        <f t="shared" ca="1" si="82"/>
        <v>1</v>
      </c>
      <c r="E388" s="234">
        <f t="shared" ca="1" si="65"/>
        <v>1</v>
      </c>
      <c r="F388" s="244"/>
      <c r="G388" s="269"/>
      <c r="H388" s="269"/>
      <c r="I388" s="269"/>
      <c r="J388" s="270"/>
      <c r="K388" s="271"/>
      <c r="L388" s="272"/>
      <c r="M388" s="272"/>
      <c r="N388" s="278"/>
      <c r="O388" s="270"/>
      <c r="P388" s="275"/>
      <c r="Q388" s="271"/>
    </row>
    <row r="389" spans="1:17" ht="13.5" customHeight="1" x14ac:dyDescent="0.2">
      <c r="A389" s="233">
        <f t="shared" ca="1" si="83"/>
        <v>0</v>
      </c>
      <c r="B389" s="233">
        <f t="shared" ca="1" si="84"/>
        <v>21</v>
      </c>
      <c r="C389" s="233">
        <f t="shared" ca="1" si="85"/>
        <v>1</v>
      </c>
      <c r="D389" s="234">
        <f t="shared" ca="1" si="82"/>
        <v>1</v>
      </c>
      <c r="E389" s="234">
        <f t="shared" ca="1" si="65"/>
        <v>1</v>
      </c>
      <c r="F389" s="244"/>
      <c r="G389" s="269"/>
      <c r="H389" s="269"/>
      <c r="I389" s="269"/>
      <c r="J389" s="270"/>
      <c r="K389" s="271"/>
      <c r="L389" s="272"/>
      <c r="M389" s="272"/>
      <c r="N389" s="278"/>
      <c r="O389" s="270"/>
      <c r="P389" s="275"/>
      <c r="Q389" s="271"/>
    </row>
    <row r="390" spans="1:17" ht="13.5" customHeight="1" x14ac:dyDescent="0.2">
      <c r="A390" s="233">
        <f t="shared" ca="1" si="83"/>
        <v>0</v>
      </c>
      <c r="B390" s="233">
        <f t="shared" ca="1" si="84"/>
        <v>21</v>
      </c>
      <c r="C390" s="233">
        <f t="shared" ca="1" si="85"/>
        <v>1</v>
      </c>
      <c r="D390" s="234">
        <f t="shared" ca="1" si="82"/>
        <v>1</v>
      </c>
      <c r="E390" s="234">
        <f t="shared" ca="1" si="65"/>
        <v>1</v>
      </c>
      <c r="F390" s="244"/>
      <c r="G390" s="269"/>
      <c r="H390" s="269"/>
      <c r="I390" s="269"/>
      <c r="J390" s="270"/>
      <c r="K390" s="271"/>
      <c r="L390" s="272"/>
      <c r="M390" s="272"/>
      <c r="N390" s="278"/>
      <c r="O390" s="270"/>
      <c r="P390" s="275"/>
      <c r="Q390" s="271"/>
    </row>
    <row r="391" spans="1:17" ht="13.5" customHeight="1" x14ac:dyDescent="0.2">
      <c r="A391" s="233">
        <f t="shared" ca="1" si="83"/>
        <v>0</v>
      </c>
      <c r="B391" s="233">
        <f t="shared" ca="1" si="84"/>
        <v>21</v>
      </c>
      <c r="C391" s="233">
        <f t="shared" ca="1" si="85"/>
        <v>1</v>
      </c>
      <c r="D391" s="234">
        <f t="shared" ca="1" si="82"/>
        <v>1</v>
      </c>
      <c r="E391" s="234">
        <f t="shared" ca="1" si="65"/>
        <v>1</v>
      </c>
      <c r="F391" s="244"/>
      <c r="G391" s="269"/>
      <c r="H391" s="269"/>
      <c r="I391" s="269"/>
      <c r="J391" s="270"/>
      <c r="K391" s="271"/>
      <c r="L391" s="272"/>
      <c r="M391" s="272"/>
      <c r="N391" s="278"/>
      <c r="O391" s="270"/>
      <c r="P391" s="275"/>
      <c r="Q391" s="271"/>
    </row>
    <row r="392" spans="1:17" ht="13.5" customHeight="1" x14ac:dyDescent="0.2">
      <c r="A392" s="233">
        <f t="shared" ca="1" si="83"/>
        <v>0</v>
      </c>
      <c r="B392" s="233">
        <f t="shared" ca="1" si="84"/>
        <v>21</v>
      </c>
      <c r="C392" s="233">
        <f t="shared" ca="1" si="85"/>
        <v>1</v>
      </c>
      <c r="D392" s="234">
        <f t="shared" ca="1" si="82"/>
        <v>1</v>
      </c>
      <c r="E392" s="234">
        <f t="shared" ca="1" si="65"/>
        <v>1</v>
      </c>
      <c r="F392" s="244"/>
      <c r="G392" s="269"/>
      <c r="H392" s="269"/>
      <c r="I392" s="269"/>
      <c r="J392" s="270"/>
      <c r="K392" s="271"/>
      <c r="L392" s="272"/>
      <c r="M392" s="272"/>
      <c r="N392" s="278"/>
      <c r="O392" s="270"/>
      <c r="P392" s="275"/>
      <c r="Q392" s="271"/>
    </row>
    <row r="393" spans="1:17" ht="13.5" customHeight="1" x14ac:dyDescent="0.2">
      <c r="A393" s="233">
        <f t="shared" ca="1" si="83"/>
        <v>0</v>
      </c>
      <c r="B393" s="233">
        <f t="shared" ca="1" si="84"/>
        <v>21</v>
      </c>
      <c r="C393" s="233">
        <f t="shared" ca="1" si="85"/>
        <v>1</v>
      </c>
      <c r="D393" s="234">
        <f t="shared" ca="1" si="82"/>
        <v>1</v>
      </c>
      <c r="E393" s="234">
        <f t="shared" ca="1" si="65"/>
        <v>1</v>
      </c>
      <c r="F393" s="244"/>
      <c r="G393" s="269"/>
      <c r="H393" s="269"/>
      <c r="I393" s="269"/>
      <c r="J393" s="270"/>
      <c r="K393" s="271"/>
      <c r="L393" s="272"/>
      <c r="M393" s="272"/>
      <c r="N393" s="278"/>
      <c r="O393" s="270"/>
      <c r="P393" s="275"/>
      <c r="Q393" s="271"/>
    </row>
    <row r="394" spans="1:17" ht="13.5" customHeight="1" x14ac:dyDescent="0.2">
      <c r="A394" s="233">
        <f t="shared" ca="1" si="83"/>
        <v>0</v>
      </c>
      <c r="B394" s="233">
        <f t="shared" ca="1" si="84"/>
        <v>21</v>
      </c>
      <c r="C394" s="233">
        <f t="shared" ca="1" si="85"/>
        <v>1</v>
      </c>
      <c r="D394" s="234">
        <f t="shared" ca="1" si="82"/>
        <v>1</v>
      </c>
      <c r="E394" s="234">
        <f t="shared" ca="1" si="65"/>
        <v>1</v>
      </c>
      <c r="F394" s="244"/>
      <c r="G394" s="269"/>
      <c r="H394" s="269"/>
      <c r="I394" s="269"/>
      <c r="J394" s="270"/>
      <c r="K394" s="271"/>
      <c r="L394" s="272"/>
      <c r="M394" s="272"/>
      <c r="N394" s="278"/>
      <c r="O394" s="270"/>
      <c r="P394" s="275"/>
      <c r="Q394" s="271"/>
    </row>
    <row r="395" spans="1:17" ht="13.5" customHeight="1" x14ac:dyDescent="0.2">
      <c r="A395" s="233">
        <f t="shared" ca="1" si="83"/>
        <v>0</v>
      </c>
      <c r="B395" s="233">
        <f t="shared" ca="1" si="84"/>
        <v>21</v>
      </c>
      <c r="C395" s="233">
        <f t="shared" ca="1" si="85"/>
        <v>1</v>
      </c>
      <c r="D395" s="234">
        <f t="shared" ca="1" si="82"/>
        <v>1</v>
      </c>
      <c r="E395" s="234">
        <f t="shared" ca="1" si="65"/>
        <v>1</v>
      </c>
      <c r="F395" s="244"/>
      <c r="G395" s="269"/>
      <c r="H395" s="269"/>
      <c r="I395" s="269"/>
      <c r="J395" s="270"/>
      <c r="K395" s="271"/>
      <c r="L395" s="272"/>
      <c r="M395" s="272"/>
      <c r="N395" s="278"/>
      <c r="O395" s="270"/>
      <c r="P395" s="275"/>
      <c r="Q395" s="271"/>
    </row>
    <row r="396" spans="1:17" ht="13.5" customHeight="1" x14ac:dyDescent="0.2">
      <c r="A396" s="233">
        <f t="shared" ca="1" si="83"/>
        <v>0</v>
      </c>
      <c r="B396" s="233">
        <f t="shared" ca="1" si="84"/>
        <v>21</v>
      </c>
      <c r="C396" s="233">
        <f t="shared" ca="1" si="85"/>
        <v>1</v>
      </c>
      <c r="D396" s="234">
        <f t="shared" ca="1" si="82"/>
        <v>1</v>
      </c>
      <c r="E396" s="234">
        <f t="shared" ca="1" si="65"/>
        <v>1</v>
      </c>
      <c r="F396" s="244"/>
      <c r="G396" s="269"/>
      <c r="H396" s="269"/>
      <c r="I396" s="269"/>
      <c r="J396" s="270"/>
      <c r="K396" s="271"/>
      <c r="L396" s="272"/>
      <c r="M396" s="272"/>
      <c r="N396" s="278"/>
      <c r="O396" s="270"/>
      <c r="P396" s="275"/>
      <c r="Q396" s="271"/>
    </row>
    <row r="397" spans="1:17" ht="13.5" customHeight="1" x14ac:dyDescent="0.2">
      <c r="A397" s="233">
        <f t="shared" ca="1" si="83"/>
        <v>0</v>
      </c>
      <c r="B397" s="233">
        <f t="shared" ca="1" si="84"/>
        <v>21</v>
      </c>
      <c r="C397" s="233">
        <f t="shared" ca="1" si="85"/>
        <v>1</v>
      </c>
      <c r="D397" s="234">
        <f t="shared" ca="1" si="82"/>
        <v>1</v>
      </c>
      <c r="E397" s="234">
        <f t="shared" ca="1" si="65"/>
        <v>1</v>
      </c>
      <c r="F397" s="244"/>
      <c r="G397" s="269"/>
      <c r="H397" s="269"/>
      <c r="I397" s="269"/>
      <c r="J397" s="270"/>
      <c r="K397" s="271"/>
      <c r="L397" s="272"/>
      <c r="M397" s="272"/>
      <c r="N397" s="278"/>
      <c r="O397" s="270"/>
      <c r="P397" s="275"/>
      <c r="Q397" s="271"/>
    </row>
    <row r="398" spans="1:17" ht="13.5" customHeight="1" x14ac:dyDescent="0.2">
      <c r="A398" s="233">
        <f t="shared" ca="1" si="83"/>
        <v>0</v>
      </c>
      <c r="B398" s="233">
        <f t="shared" ca="1" si="84"/>
        <v>21</v>
      </c>
      <c r="C398" s="233">
        <f t="shared" ca="1" si="85"/>
        <v>1</v>
      </c>
      <c r="D398" s="234">
        <f t="shared" ca="1" si="82"/>
        <v>1</v>
      </c>
      <c r="E398" s="234">
        <f t="shared" ca="1" si="65"/>
        <v>1</v>
      </c>
      <c r="F398" s="244"/>
      <c r="G398" s="269"/>
      <c r="H398" s="269"/>
      <c r="I398" s="269"/>
      <c r="J398" s="270"/>
      <c r="K398" s="271"/>
      <c r="L398" s="272"/>
      <c r="M398" s="272"/>
      <c r="N398" s="278"/>
      <c r="O398" s="270"/>
      <c r="P398" s="275"/>
      <c r="Q398" s="271"/>
    </row>
    <row r="399" spans="1:17" ht="13.5" customHeight="1" x14ac:dyDescent="0.2">
      <c r="A399" s="233">
        <f t="shared" ca="1" si="83"/>
        <v>0</v>
      </c>
      <c r="B399" s="233">
        <f t="shared" ca="1" si="84"/>
        <v>21</v>
      </c>
      <c r="C399" s="233">
        <f t="shared" ca="1" si="85"/>
        <v>1</v>
      </c>
      <c r="D399" s="234">
        <f t="shared" ca="1" si="82"/>
        <v>1</v>
      </c>
      <c r="E399" s="234">
        <f t="shared" ca="1" si="65"/>
        <v>1</v>
      </c>
      <c r="F399" s="244"/>
      <c r="G399" s="269"/>
      <c r="H399" s="269"/>
      <c r="I399" s="269"/>
      <c r="J399" s="270"/>
      <c r="K399" s="271"/>
      <c r="L399" s="272"/>
      <c r="M399" s="272"/>
      <c r="N399" s="278"/>
      <c r="O399" s="270"/>
      <c r="P399" s="275"/>
      <c r="Q399" s="271"/>
    </row>
    <row r="400" spans="1:17" ht="13.5" customHeight="1" x14ac:dyDescent="0.2">
      <c r="A400" s="233">
        <f t="shared" ca="1" si="83"/>
        <v>0</v>
      </c>
      <c r="B400" s="233">
        <f t="shared" ca="1" si="84"/>
        <v>21</v>
      </c>
      <c r="C400" s="233">
        <f t="shared" ca="1" si="85"/>
        <v>1</v>
      </c>
      <c r="D400" s="234">
        <f t="shared" ca="1" si="82"/>
        <v>1</v>
      </c>
      <c r="E400" s="234">
        <f t="shared" ca="1" si="65"/>
        <v>1</v>
      </c>
      <c r="F400" s="244"/>
      <c r="G400" s="269"/>
      <c r="H400" s="269"/>
      <c r="I400" s="269"/>
      <c r="J400" s="270"/>
      <c r="K400" s="271"/>
      <c r="L400" s="272"/>
      <c r="M400" s="272"/>
      <c r="N400" s="278"/>
      <c r="O400" s="270"/>
      <c r="P400" s="275"/>
      <c r="Q400" s="271"/>
    </row>
    <row r="401" spans="1:17" ht="13.5" customHeight="1" x14ac:dyDescent="0.2">
      <c r="A401" s="233">
        <f t="shared" ca="1" si="83"/>
        <v>0</v>
      </c>
      <c r="B401" s="233">
        <f t="shared" ca="1" si="84"/>
        <v>21</v>
      </c>
      <c r="C401" s="233">
        <f t="shared" ca="1" si="85"/>
        <v>1</v>
      </c>
      <c r="D401" s="234">
        <f t="shared" ref="D401:D464" ca="1" si="86">IF(H401="ETAPA",0,IF(H401="SUBETAPA",OFFSET(D401,-1,0)+1,OFFSET(D401,-1,0)))</f>
        <v>1</v>
      </c>
      <c r="E401" s="234">
        <f t="shared" ca="1" si="65"/>
        <v>1</v>
      </c>
      <c r="F401" s="244"/>
      <c r="G401" s="269"/>
      <c r="H401" s="269"/>
      <c r="I401" s="269"/>
      <c r="J401" s="270"/>
      <c r="K401" s="271"/>
      <c r="L401" s="272"/>
      <c r="M401" s="272"/>
      <c r="N401" s="278"/>
      <c r="O401" s="270"/>
      <c r="P401" s="275"/>
      <c r="Q401" s="271"/>
    </row>
    <row r="402" spans="1:17" ht="13.5" customHeight="1" x14ac:dyDescent="0.2">
      <c r="A402" s="233">
        <f t="shared" ca="1" si="83"/>
        <v>0</v>
      </c>
      <c r="B402" s="233">
        <f t="shared" ca="1" si="84"/>
        <v>21</v>
      </c>
      <c r="C402" s="233">
        <f t="shared" ca="1" si="85"/>
        <v>1</v>
      </c>
      <c r="D402" s="234">
        <f t="shared" ca="1" si="86"/>
        <v>1</v>
      </c>
      <c r="E402" s="234">
        <f t="shared" ca="1" si="65"/>
        <v>1</v>
      </c>
      <c r="F402" s="244"/>
      <c r="G402" s="269"/>
      <c r="H402" s="269"/>
      <c r="I402" s="269"/>
      <c r="J402" s="270"/>
      <c r="K402" s="271"/>
      <c r="L402" s="272"/>
      <c r="M402" s="272"/>
      <c r="N402" s="278"/>
      <c r="O402" s="270"/>
      <c r="P402" s="275"/>
      <c r="Q402" s="271"/>
    </row>
    <row r="403" spans="1:17" ht="13.5" customHeight="1" x14ac:dyDescent="0.2">
      <c r="A403" s="233">
        <f t="shared" ca="1" si="83"/>
        <v>0</v>
      </c>
      <c r="B403" s="233">
        <f t="shared" ca="1" si="84"/>
        <v>21</v>
      </c>
      <c r="C403" s="233">
        <f t="shared" ca="1" si="85"/>
        <v>1</v>
      </c>
      <c r="D403" s="234">
        <f t="shared" ca="1" si="86"/>
        <v>1</v>
      </c>
      <c r="E403" s="234">
        <f t="shared" ca="1" si="65"/>
        <v>1</v>
      </c>
      <c r="F403" s="244"/>
      <c r="G403" s="269"/>
      <c r="H403" s="269"/>
      <c r="I403" s="269"/>
      <c r="J403" s="270"/>
      <c r="K403" s="271"/>
      <c r="L403" s="272"/>
      <c r="M403" s="272"/>
      <c r="N403" s="278"/>
      <c r="O403" s="270"/>
      <c r="P403" s="275"/>
      <c r="Q403" s="271"/>
    </row>
    <row r="404" spans="1:17" ht="13.5" customHeight="1" x14ac:dyDescent="0.2">
      <c r="A404" s="233">
        <f t="shared" ca="1" si="83"/>
        <v>0</v>
      </c>
      <c r="B404" s="233">
        <f t="shared" ca="1" si="84"/>
        <v>21</v>
      </c>
      <c r="C404" s="233">
        <f t="shared" ca="1" si="85"/>
        <v>1</v>
      </c>
      <c r="D404" s="234">
        <f t="shared" ca="1" si="86"/>
        <v>1</v>
      </c>
      <c r="E404" s="234">
        <f t="shared" ca="1" si="65"/>
        <v>1</v>
      </c>
      <c r="F404" s="244"/>
      <c r="G404" s="269"/>
      <c r="H404" s="269"/>
      <c r="I404" s="269"/>
      <c r="J404" s="270"/>
      <c r="K404" s="271"/>
      <c r="L404" s="272"/>
      <c r="M404" s="272"/>
      <c r="N404" s="278"/>
      <c r="O404" s="270"/>
      <c r="P404" s="275"/>
      <c r="Q404" s="271"/>
    </row>
    <row r="405" spans="1:17" ht="13.5" customHeight="1" x14ac:dyDescent="0.2">
      <c r="A405" s="233">
        <f t="shared" ca="1" si="83"/>
        <v>0</v>
      </c>
      <c r="B405" s="233">
        <f t="shared" ca="1" si="84"/>
        <v>21</v>
      </c>
      <c r="C405" s="233">
        <f t="shared" ca="1" si="85"/>
        <v>1</v>
      </c>
      <c r="D405" s="234">
        <f t="shared" ca="1" si="86"/>
        <v>1</v>
      </c>
      <c r="E405" s="234">
        <f t="shared" ca="1" si="65"/>
        <v>1</v>
      </c>
      <c r="F405" s="244"/>
      <c r="G405" s="269"/>
      <c r="H405" s="269"/>
      <c r="I405" s="269"/>
      <c r="J405" s="270"/>
      <c r="K405" s="271"/>
      <c r="L405" s="272"/>
      <c r="M405" s="272"/>
      <c r="N405" s="278"/>
      <c r="O405" s="270"/>
      <c r="P405" s="275"/>
      <c r="Q405" s="271"/>
    </row>
    <row r="406" spans="1:17" ht="13.5" customHeight="1" x14ac:dyDescent="0.2">
      <c r="A406" s="233">
        <f t="shared" ca="1" si="83"/>
        <v>0</v>
      </c>
      <c r="B406" s="233">
        <f t="shared" ca="1" si="84"/>
        <v>21</v>
      </c>
      <c r="C406" s="233">
        <f t="shared" ca="1" si="85"/>
        <v>1</v>
      </c>
      <c r="D406" s="234">
        <f t="shared" ca="1" si="86"/>
        <v>1</v>
      </c>
      <c r="E406" s="234">
        <f t="shared" ca="1" si="65"/>
        <v>1</v>
      </c>
      <c r="F406" s="244"/>
      <c r="G406" s="269"/>
      <c r="H406" s="269"/>
      <c r="I406" s="269"/>
      <c r="J406" s="270"/>
      <c r="K406" s="271"/>
      <c r="L406" s="272"/>
      <c r="M406" s="272"/>
      <c r="N406" s="278"/>
      <c r="O406" s="270"/>
      <c r="P406" s="275"/>
      <c r="Q406" s="271"/>
    </row>
    <row r="407" spans="1:17" ht="13.5" customHeight="1" x14ac:dyDescent="0.2">
      <c r="A407" s="233">
        <f t="shared" ca="1" si="83"/>
        <v>0</v>
      </c>
      <c r="B407" s="233">
        <f t="shared" ca="1" si="84"/>
        <v>21</v>
      </c>
      <c r="C407" s="233">
        <f t="shared" ca="1" si="85"/>
        <v>1</v>
      </c>
      <c r="D407" s="234">
        <f t="shared" ca="1" si="86"/>
        <v>1</v>
      </c>
      <c r="E407" s="234">
        <f t="shared" ca="1" si="65"/>
        <v>1</v>
      </c>
      <c r="F407" s="244"/>
      <c r="G407" s="269"/>
      <c r="H407" s="269"/>
      <c r="I407" s="269"/>
      <c r="J407" s="270"/>
      <c r="K407" s="271"/>
      <c r="L407" s="272"/>
      <c r="M407" s="272"/>
      <c r="N407" s="278"/>
      <c r="O407" s="270"/>
      <c r="P407" s="275"/>
      <c r="Q407" s="271"/>
    </row>
    <row r="408" spans="1:17" ht="13.5" customHeight="1" x14ac:dyDescent="0.2">
      <c r="A408" s="233">
        <f t="shared" ca="1" si="83"/>
        <v>0</v>
      </c>
      <c r="B408" s="233">
        <f t="shared" ca="1" si="84"/>
        <v>21</v>
      </c>
      <c r="C408" s="233">
        <f t="shared" ca="1" si="85"/>
        <v>1</v>
      </c>
      <c r="D408" s="234">
        <f t="shared" ca="1" si="86"/>
        <v>1</v>
      </c>
      <c r="E408" s="234">
        <f t="shared" ca="1" si="65"/>
        <v>1</v>
      </c>
      <c r="F408" s="244"/>
      <c r="G408" s="269"/>
      <c r="H408" s="269"/>
      <c r="I408" s="269"/>
      <c r="J408" s="270"/>
      <c r="K408" s="271"/>
      <c r="L408" s="272"/>
      <c r="M408" s="272"/>
      <c r="N408" s="278"/>
      <c r="O408" s="270"/>
      <c r="P408" s="275"/>
      <c r="Q408" s="271"/>
    </row>
    <row r="409" spans="1:17" ht="13.5" customHeight="1" x14ac:dyDescent="0.2">
      <c r="A409" s="233">
        <f t="shared" ca="1" si="83"/>
        <v>0</v>
      </c>
      <c r="B409" s="233">
        <f t="shared" ca="1" si="84"/>
        <v>21</v>
      </c>
      <c r="C409" s="233">
        <f t="shared" ca="1" si="85"/>
        <v>1</v>
      </c>
      <c r="D409" s="234">
        <f t="shared" ca="1" si="86"/>
        <v>1</v>
      </c>
      <c r="E409" s="234">
        <f t="shared" ca="1" si="65"/>
        <v>1</v>
      </c>
      <c r="F409" s="244"/>
      <c r="G409" s="269"/>
      <c r="H409" s="269"/>
      <c r="I409" s="269"/>
      <c r="J409" s="270"/>
      <c r="K409" s="271"/>
      <c r="L409" s="272"/>
      <c r="M409" s="272"/>
      <c r="N409" s="278"/>
      <c r="O409" s="270"/>
      <c r="P409" s="275"/>
      <c r="Q409" s="271"/>
    </row>
    <row r="410" spans="1:17" ht="13.5" customHeight="1" x14ac:dyDescent="0.2">
      <c r="A410" s="233">
        <f t="shared" ca="1" si="83"/>
        <v>0</v>
      </c>
      <c r="B410" s="233">
        <f t="shared" ca="1" si="84"/>
        <v>21</v>
      </c>
      <c r="C410" s="233">
        <f t="shared" ca="1" si="85"/>
        <v>1</v>
      </c>
      <c r="D410" s="234">
        <f t="shared" ca="1" si="86"/>
        <v>1</v>
      </c>
      <c r="E410" s="234">
        <f t="shared" ca="1" si="65"/>
        <v>1</v>
      </c>
      <c r="F410" s="244"/>
      <c r="G410" s="269"/>
      <c r="H410" s="269"/>
      <c r="I410" s="269"/>
      <c r="J410" s="270"/>
      <c r="K410" s="271"/>
      <c r="L410" s="272"/>
      <c r="M410" s="272"/>
      <c r="N410" s="278"/>
      <c r="O410" s="270"/>
      <c r="P410" s="275"/>
      <c r="Q410" s="271"/>
    </row>
    <row r="411" spans="1:17" ht="13.5" customHeight="1" x14ac:dyDescent="0.2">
      <c r="A411" s="233">
        <f t="shared" ca="1" si="83"/>
        <v>0</v>
      </c>
      <c r="B411" s="233">
        <f t="shared" ca="1" si="84"/>
        <v>21</v>
      </c>
      <c r="C411" s="233">
        <f t="shared" ca="1" si="85"/>
        <v>1</v>
      </c>
      <c r="D411" s="234">
        <f t="shared" ca="1" si="86"/>
        <v>1</v>
      </c>
      <c r="E411" s="234">
        <f t="shared" ca="1" si="65"/>
        <v>1</v>
      </c>
      <c r="F411" s="244"/>
      <c r="G411" s="269"/>
      <c r="H411" s="269"/>
      <c r="I411" s="269"/>
      <c r="J411" s="270"/>
      <c r="K411" s="271"/>
      <c r="L411" s="272"/>
      <c r="M411" s="272"/>
      <c r="N411" s="278"/>
      <c r="O411" s="270"/>
      <c r="P411" s="275"/>
      <c r="Q411" s="271"/>
    </row>
    <row r="412" spans="1:17" ht="13.5" customHeight="1" x14ac:dyDescent="0.2">
      <c r="A412" s="233">
        <f t="shared" ca="1" si="83"/>
        <v>0</v>
      </c>
      <c r="B412" s="233">
        <f t="shared" ca="1" si="84"/>
        <v>21</v>
      </c>
      <c r="C412" s="233">
        <f t="shared" ca="1" si="85"/>
        <v>1</v>
      </c>
      <c r="D412" s="234">
        <f t="shared" ca="1" si="86"/>
        <v>1</v>
      </c>
      <c r="E412" s="234">
        <f t="shared" ca="1" si="65"/>
        <v>1</v>
      </c>
      <c r="F412" s="244"/>
      <c r="G412" s="269"/>
      <c r="H412" s="269"/>
      <c r="I412" s="269"/>
      <c r="J412" s="270"/>
      <c r="K412" s="271"/>
      <c r="L412" s="272"/>
      <c r="M412" s="272"/>
      <c r="N412" s="278"/>
      <c r="O412" s="270"/>
      <c r="P412" s="275"/>
      <c r="Q412" s="271"/>
    </row>
    <row r="413" spans="1:17" ht="13.5" customHeight="1" x14ac:dyDescent="0.2">
      <c r="A413" s="233">
        <f t="shared" ca="1" si="83"/>
        <v>0</v>
      </c>
      <c r="B413" s="233">
        <f t="shared" ca="1" si="84"/>
        <v>21</v>
      </c>
      <c r="C413" s="233">
        <f t="shared" ca="1" si="85"/>
        <v>1</v>
      </c>
      <c r="D413" s="234">
        <f t="shared" ca="1" si="86"/>
        <v>1</v>
      </c>
      <c r="E413" s="234">
        <f t="shared" ca="1" si="65"/>
        <v>1</v>
      </c>
      <c r="F413" s="244"/>
      <c r="G413" s="269"/>
      <c r="H413" s="269"/>
      <c r="I413" s="269"/>
      <c r="J413" s="270"/>
      <c r="K413" s="271"/>
      <c r="L413" s="272"/>
      <c r="M413" s="272"/>
      <c r="N413" s="278"/>
      <c r="O413" s="270"/>
      <c r="P413" s="275"/>
      <c r="Q413" s="271"/>
    </row>
    <row r="414" spans="1:17" ht="13.5" customHeight="1" x14ac:dyDescent="0.2">
      <c r="A414" s="233">
        <f t="shared" ca="1" si="83"/>
        <v>0</v>
      </c>
      <c r="B414" s="233">
        <f t="shared" ca="1" si="84"/>
        <v>21</v>
      </c>
      <c r="C414" s="233">
        <f t="shared" ca="1" si="85"/>
        <v>1</v>
      </c>
      <c r="D414" s="234">
        <f t="shared" ca="1" si="86"/>
        <v>1</v>
      </c>
      <c r="E414" s="234">
        <f t="shared" ca="1" si="65"/>
        <v>1</v>
      </c>
      <c r="F414" s="244"/>
      <c r="G414" s="269"/>
      <c r="H414" s="269"/>
      <c r="I414" s="269"/>
      <c r="J414" s="270"/>
      <c r="K414" s="271"/>
      <c r="L414" s="272"/>
      <c r="M414" s="272"/>
      <c r="N414" s="278"/>
      <c r="O414" s="270"/>
      <c r="P414" s="275"/>
      <c r="Q414" s="271"/>
    </row>
    <row r="415" spans="1:17" ht="13.5" customHeight="1" x14ac:dyDescent="0.2">
      <c r="A415" s="233">
        <f t="shared" ca="1" si="83"/>
        <v>0</v>
      </c>
      <c r="B415" s="233">
        <f t="shared" ca="1" si="84"/>
        <v>21</v>
      </c>
      <c r="C415" s="233">
        <f t="shared" ca="1" si="85"/>
        <v>1</v>
      </c>
      <c r="D415" s="234">
        <f t="shared" ca="1" si="86"/>
        <v>1</v>
      </c>
      <c r="E415" s="234">
        <f t="shared" ca="1" si="65"/>
        <v>1</v>
      </c>
      <c r="F415" s="244"/>
      <c r="G415" s="269"/>
      <c r="H415" s="269"/>
      <c r="I415" s="269"/>
      <c r="J415" s="270"/>
      <c r="K415" s="271"/>
      <c r="L415" s="272"/>
      <c r="M415" s="272"/>
      <c r="N415" s="278"/>
      <c r="O415" s="270"/>
      <c r="P415" s="275"/>
      <c r="Q415" s="271"/>
    </row>
    <row r="416" spans="1:17" ht="13.5" customHeight="1" x14ac:dyDescent="0.2">
      <c r="A416" s="233">
        <f t="shared" ca="1" si="83"/>
        <v>0</v>
      </c>
      <c r="B416" s="233">
        <f t="shared" ca="1" si="84"/>
        <v>21</v>
      </c>
      <c r="C416" s="233">
        <f t="shared" ca="1" si="85"/>
        <v>1</v>
      </c>
      <c r="D416" s="234">
        <f t="shared" ca="1" si="86"/>
        <v>1</v>
      </c>
      <c r="E416" s="234">
        <f t="shared" ca="1" si="65"/>
        <v>1</v>
      </c>
      <c r="F416" s="244"/>
      <c r="G416" s="269"/>
      <c r="H416" s="269"/>
      <c r="I416" s="269"/>
      <c r="J416" s="270"/>
      <c r="K416" s="271"/>
      <c r="L416" s="272"/>
      <c r="M416" s="272"/>
      <c r="N416" s="278"/>
      <c r="O416" s="270"/>
      <c r="P416" s="275"/>
      <c r="Q416" s="271"/>
    </row>
    <row r="417" spans="1:17" ht="13.5" customHeight="1" x14ac:dyDescent="0.2">
      <c r="A417" s="233">
        <f t="shared" ca="1" si="83"/>
        <v>0</v>
      </c>
      <c r="B417" s="233">
        <f t="shared" ca="1" si="84"/>
        <v>21</v>
      </c>
      <c r="C417" s="233">
        <f t="shared" ca="1" si="85"/>
        <v>1</v>
      </c>
      <c r="D417" s="234">
        <f t="shared" ca="1" si="86"/>
        <v>1</v>
      </c>
      <c r="E417" s="234">
        <f t="shared" ca="1" si="65"/>
        <v>1</v>
      </c>
      <c r="F417" s="244"/>
      <c r="G417" s="269"/>
      <c r="H417" s="269"/>
      <c r="I417" s="269"/>
      <c r="J417" s="270"/>
      <c r="K417" s="271"/>
      <c r="L417" s="272"/>
      <c r="M417" s="272"/>
      <c r="N417" s="278"/>
      <c r="O417" s="270"/>
      <c r="P417" s="275"/>
      <c r="Q417" s="271"/>
    </row>
    <row r="418" spans="1:17" ht="13.5" customHeight="1" x14ac:dyDescent="0.2">
      <c r="A418" s="233">
        <f t="shared" ca="1" si="83"/>
        <v>0</v>
      </c>
      <c r="B418" s="233">
        <f t="shared" ca="1" si="84"/>
        <v>21</v>
      </c>
      <c r="C418" s="233">
        <f t="shared" ca="1" si="85"/>
        <v>1</v>
      </c>
      <c r="D418" s="234">
        <f t="shared" ca="1" si="86"/>
        <v>1</v>
      </c>
      <c r="E418" s="234">
        <f t="shared" ca="1" si="65"/>
        <v>1</v>
      </c>
      <c r="F418" s="244"/>
      <c r="G418" s="269"/>
      <c r="H418" s="269"/>
      <c r="I418" s="269"/>
      <c r="J418" s="270"/>
      <c r="K418" s="271"/>
      <c r="L418" s="272"/>
      <c r="M418" s="272"/>
      <c r="N418" s="278"/>
      <c r="O418" s="270"/>
      <c r="P418" s="275"/>
      <c r="Q418" s="271"/>
    </row>
    <row r="419" spans="1:17" ht="13.5" customHeight="1" x14ac:dyDescent="0.2">
      <c r="A419" s="233">
        <f t="shared" ca="1" si="83"/>
        <v>0</v>
      </c>
      <c r="B419" s="233">
        <f t="shared" ca="1" si="84"/>
        <v>21</v>
      </c>
      <c r="C419" s="233">
        <f t="shared" ca="1" si="85"/>
        <v>1</v>
      </c>
      <c r="D419" s="234">
        <f t="shared" ca="1" si="86"/>
        <v>1</v>
      </c>
      <c r="E419" s="234">
        <f t="shared" ca="1" si="65"/>
        <v>1</v>
      </c>
      <c r="F419" s="244"/>
      <c r="G419" s="269"/>
      <c r="H419" s="269"/>
      <c r="I419" s="269"/>
      <c r="J419" s="270"/>
      <c r="K419" s="271"/>
      <c r="L419" s="272"/>
      <c r="M419" s="272"/>
      <c r="N419" s="278"/>
      <c r="O419" s="270"/>
      <c r="P419" s="275"/>
      <c r="Q419" s="271"/>
    </row>
    <row r="420" spans="1:17" ht="13.5" customHeight="1" x14ac:dyDescent="0.2">
      <c r="A420" s="233">
        <f t="shared" ca="1" si="83"/>
        <v>0</v>
      </c>
      <c r="B420" s="233">
        <f t="shared" ca="1" si="84"/>
        <v>21</v>
      </c>
      <c r="C420" s="233">
        <f t="shared" ca="1" si="85"/>
        <v>1</v>
      </c>
      <c r="D420" s="234">
        <f t="shared" ca="1" si="86"/>
        <v>1</v>
      </c>
      <c r="E420" s="234">
        <f t="shared" ca="1" si="65"/>
        <v>1</v>
      </c>
      <c r="F420" s="244"/>
      <c r="G420" s="269"/>
      <c r="H420" s="269"/>
      <c r="I420" s="269"/>
      <c r="J420" s="270"/>
      <c r="K420" s="271"/>
      <c r="L420" s="272"/>
      <c r="M420" s="272"/>
      <c r="N420" s="278"/>
      <c r="O420" s="270"/>
      <c r="P420" s="275"/>
      <c r="Q420" s="271"/>
    </row>
    <row r="421" spans="1:17" ht="13.5" customHeight="1" x14ac:dyDescent="0.2">
      <c r="A421" s="233">
        <f t="shared" ca="1" si="83"/>
        <v>0</v>
      </c>
      <c r="B421" s="233">
        <f t="shared" ca="1" si="84"/>
        <v>21</v>
      </c>
      <c r="C421" s="233">
        <f t="shared" ca="1" si="85"/>
        <v>1</v>
      </c>
      <c r="D421" s="234">
        <f t="shared" ca="1" si="86"/>
        <v>1</v>
      </c>
      <c r="E421" s="234">
        <f t="shared" ca="1" si="65"/>
        <v>1</v>
      </c>
      <c r="F421" s="244"/>
      <c r="G421" s="269"/>
      <c r="H421" s="269"/>
      <c r="I421" s="269"/>
      <c r="J421" s="270"/>
      <c r="K421" s="271"/>
      <c r="L421" s="272"/>
      <c r="M421" s="272"/>
      <c r="N421" s="278"/>
      <c r="O421" s="270"/>
      <c r="P421" s="275"/>
      <c r="Q421" s="271"/>
    </row>
    <row r="422" spans="1:17" ht="13.5" customHeight="1" x14ac:dyDescent="0.2">
      <c r="A422" s="233">
        <f t="shared" ca="1" si="83"/>
        <v>0</v>
      </c>
      <c r="B422" s="233">
        <f t="shared" ca="1" si="84"/>
        <v>21</v>
      </c>
      <c r="C422" s="233">
        <f t="shared" ca="1" si="85"/>
        <v>1</v>
      </c>
      <c r="D422" s="234">
        <f t="shared" ca="1" si="86"/>
        <v>1</v>
      </c>
      <c r="E422" s="234">
        <f t="shared" ca="1" si="65"/>
        <v>1</v>
      </c>
      <c r="F422" s="244"/>
      <c r="G422" s="269"/>
      <c r="H422" s="269"/>
      <c r="I422" s="269"/>
      <c r="J422" s="270"/>
      <c r="K422" s="271"/>
      <c r="L422" s="272"/>
      <c r="M422" s="272"/>
      <c r="N422" s="278"/>
      <c r="O422" s="270"/>
      <c r="P422" s="275"/>
      <c r="Q422" s="271"/>
    </row>
    <row r="423" spans="1:17" ht="13.5" customHeight="1" x14ac:dyDescent="0.2">
      <c r="A423" s="233">
        <f t="shared" ca="1" si="83"/>
        <v>0</v>
      </c>
      <c r="B423" s="233">
        <f t="shared" ca="1" si="84"/>
        <v>21</v>
      </c>
      <c r="C423" s="233">
        <f t="shared" ca="1" si="85"/>
        <v>1</v>
      </c>
      <c r="D423" s="234">
        <f t="shared" ca="1" si="86"/>
        <v>1</v>
      </c>
      <c r="E423" s="234">
        <f t="shared" ca="1" si="65"/>
        <v>1</v>
      </c>
      <c r="F423" s="244"/>
      <c r="G423" s="269"/>
      <c r="H423" s="269"/>
      <c r="I423" s="269"/>
      <c r="J423" s="270"/>
      <c r="K423" s="271"/>
      <c r="L423" s="272"/>
      <c r="M423" s="272"/>
      <c r="N423" s="278"/>
      <c r="O423" s="270"/>
      <c r="P423" s="275"/>
      <c r="Q423" s="271"/>
    </row>
    <row r="424" spans="1:17" ht="13.5" customHeight="1" x14ac:dyDescent="0.2">
      <c r="A424" s="233">
        <f t="shared" ca="1" si="83"/>
        <v>0</v>
      </c>
      <c r="B424" s="233">
        <f t="shared" ca="1" si="84"/>
        <v>21</v>
      </c>
      <c r="C424" s="233">
        <f t="shared" ca="1" si="85"/>
        <v>1</v>
      </c>
      <c r="D424" s="234">
        <f t="shared" ca="1" si="86"/>
        <v>1</v>
      </c>
      <c r="E424" s="234">
        <f t="shared" ca="1" si="65"/>
        <v>1</v>
      </c>
      <c r="F424" s="244"/>
      <c r="G424" s="269"/>
      <c r="H424" s="269"/>
      <c r="I424" s="269"/>
      <c r="J424" s="270"/>
      <c r="K424" s="271"/>
      <c r="L424" s="272"/>
      <c r="M424" s="272"/>
      <c r="N424" s="278"/>
      <c r="O424" s="270"/>
      <c r="P424" s="275"/>
      <c r="Q424" s="271"/>
    </row>
    <row r="425" spans="1:17" ht="13.5" customHeight="1" x14ac:dyDescent="0.2">
      <c r="A425" s="233">
        <f t="shared" ca="1" si="83"/>
        <v>0</v>
      </c>
      <c r="B425" s="233">
        <f t="shared" ca="1" si="84"/>
        <v>21</v>
      </c>
      <c r="C425" s="233">
        <f t="shared" ca="1" si="85"/>
        <v>1</v>
      </c>
      <c r="D425" s="234">
        <f t="shared" ca="1" si="86"/>
        <v>1</v>
      </c>
      <c r="E425" s="234">
        <f t="shared" ca="1" si="65"/>
        <v>1</v>
      </c>
      <c r="F425" s="244"/>
      <c r="G425" s="269"/>
      <c r="H425" s="269"/>
      <c r="I425" s="269"/>
      <c r="J425" s="270"/>
      <c r="K425" s="271"/>
      <c r="L425" s="272"/>
      <c r="M425" s="272"/>
      <c r="N425" s="278"/>
      <c r="O425" s="270"/>
      <c r="P425" s="275"/>
      <c r="Q425" s="271"/>
    </row>
    <row r="426" spans="1:17" ht="13.5" customHeight="1" x14ac:dyDescent="0.2">
      <c r="A426" s="233">
        <f t="shared" ca="1" si="83"/>
        <v>0</v>
      </c>
      <c r="B426" s="233">
        <f t="shared" ca="1" si="84"/>
        <v>21</v>
      </c>
      <c r="C426" s="233">
        <f t="shared" ca="1" si="85"/>
        <v>1</v>
      </c>
      <c r="D426" s="234">
        <f t="shared" ca="1" si="86"/>
        <v>1</v>
      </c>
      <c r="E426" s="234">
        <f t="shared" ca="1" si="65"/>
        <v>1</v>
      </c>
      <c r="F426" s="244"/>
      <c r="G426" s="269"/>
      <c r="H426" s="269"/>
      <c r="I426" s="269"/>
      <c r="J426" s="270"/>
      <c r="K426" s="271"/>
      <c r="L426" s="272"/>
      <c r="M426" s="272"/>
      <c r="N426" s="278"/>
      <c r="O426" s="270"/>
      <c r="P426" s="275"/>
      <c r="Q426" s="271"/>
    </row>
    <row r="427" spans="1:17" ht="13.5" customHeight="1" x14ac:dyDescent="0.2">
      <c r="A427" s="233">
        <f t="shared" ca="1" si="83"/>
        <v>0</v>
      </c>
      <c r="B427" s="233">
        <f t="shared" ca="1" si="84"/>
        <v>21</v>
      </c>
      <c r="C427" s="233">
        <f t="shared" ca="1" si="85"/>
        <v>1</v>
      </c>
      <c r="D427" s="234">
        <f t="shared" ca="1" si="86"/>
        <v>1</v>
      </c>
      <c r="E427" s="234">
        <f t="shared" ca="1" si="65"/>
        <v>1</v>
      </c>
      <c r="F427" s="244"/>
      <c r="G427" s="269"/>
      <c r="H427" s="269"/>
      <c r="I427" s="269"/>
      <c r="J427" s="270"/>
      <c r="K427" s="271"/>
      <c r="L427" s="272"/>
      <c r="M427" s="272"/>
      <c r="N427" s="278"/>
      <c r="O427" s="270"/>
      <c r="P427" s="275"/>
      <c r="Q427" s="271"/>
    </row>
    <row r="428" spans="1:17" ht="13.5" customHeight="1" x14ac:dyDescent="0.2">
      <c r="A428" s="233">
        <f t="shared" ca="1" si="83"/>
        <v>0</v>
      </c>
      <c r="B428" s="233">
        <f t="shared" ca="1" si="84"/>
        <v>21</v>
      </c>
      <c r="C428" s="233">
        <f t="shared" ca="1" si="85"/>
        <v>1</v>
      </c>
      <c r="D428" s="234">
        <f t="shared" ca="1" si="86"/>
        <v>1</v>
      </c>
      <c r="E428" s="234">
        <f t="shared" ca="1" si="65"/>
        <v>1</v>
      </c>
      <c r="F428" s="244"/>
      <c r="G428" s="269"/>
      <c r="H428" s="269"/>
      <c r="I428" s="269"/>
      <c r="J428" s="270"/>
      <c r="K428" s="271"/>
      <c r="L428" s="272"/>
      <c r="M428" s="272"/>
      <c r="N428" s="278"/>
      <c r="O428" s="270"/>
      <c r="P428" s="275"/>
      <c r="Q428" s="271"/>
    </row>
    <row r="429" spans="1:17" ht="13.5" customHeight="1" x14ac:dyDescent="0.2">
      <c r="A429" s="233">
        <f t="shared" ca="1" si="83"/>
        <v>0</v>
      </c>
      <c r="B429" s="233">
        <f t="shared" ca="1" si="84"/>
        <v>21</v>
      </c>
      <c r="C429" s="233">
        <f t="shared" ca="1" si="85"/>
        <v>1</v>
      </c>
      <c r="D429" s="234">
        <f t="shared" ca="1" si="86"/>
        <v>1</v>
      </c>
      <c r="E429" s="234">
        <f t="shared" ca="1" si="65"/>
        <v>1</v>
      </c>
      <c r="F429" s="244"/>
      <c r="G429" s="269"/>
      <c r="H429" s="269"/>
      <c r="I429" s="269"/>
      <c r="J429" s="270"/>
      <c r="K429" s="271"/>
      <c r="L429" s="272"/>
      <c r="M429" s="272"/>
      <c r="N429" s="278"/>
      <c r="O429" s="270"/>
      <c r="P429" s="275"/>
      <c r="Q429" s="271"/>
    </row>
    <row r="430" spans="1:17" ht="13.5" customHeight="1" x14ac:dyDescent="0.2">
      <c r="A430" s="233">
        <f t="shared" ca="1" si="83"/>
        <v>0</v>
      </c>
      <c r="B430" s="233">
        <f t="shared" ca="1" si="84"/>
        <v>21</v>
      </c>
      <c r="C430" s="233">
        <f t="shared" ca="1" si="85"/>
        <v>1</v>
      </c>
      <c r="D430" s="234">
        <f t="shared" ca="1" si="86"/>
        <v>1</v>
      </c>
      <c r="E430" s="234">
        <f t="shared" ca="1" si="65"/>
        <v>1</v>
      </c>
      <c r="F430" s="244"/>
      <c r="G430" s="269"/>
      <c r="H430" s="269"/>
      <c r="I430" s="269"/>
      <c r="J430" s="270"/>
      <c r="K430" s="271"/>
      <c r="L430" s="272"/>
      <c r="M430" s="272"/>
      <c r="N430" s="278"/>
      <c r="O430" s="270"/>
      <c r="P430" s="275"/>
      <c r="Q430" s="271"/>
    </row>
    <row r="431" spans="1:17" ht="13.5" customHeight="1" x14ac:dyDescent="0.2">
      <c r="A431" s="233">
        <f t="shared" ca="1" si="83"/>
        <v>0</v>
      </c>
      <c r="B431" s="233">
        <f t="shared" ca="1" si="84"/>
        <v>21</v>
      </c>
      <c r="C431" s="233">
        <f t="shared" ca="1" si="85"/>
        <v>1</v>
      </c>
      <c r="D431" s="234">
        <f t="shared" ca="1" si="86"/>
        <v>1</v>
      </c>
      <c r="E431" s="234">
        <f t="shared" ca="1" si="65"/>
        <v>1</v>
      </c>
      <c r="F431" s="244"/>
      <c r="G431" s="269"/>
      <c r="H431" s="269"/>
      <c r="I431" s="269"/>
      <c r="J431" s="270"/>
      <c r="K431" s="271"/>
      <c r="L431" s="272"/>
      <c r="M431" s="272"/>
      <c r="N431" s="278"/>
      <c r="O431" s="270"/>
      <c r="P431" s="275"/>
      <c r="Q431" s="271"/>
    </row>
    <row r="432" spans="1:17" ht="13.5" customHeight="1" x14ac:dyDescent="0.2">
      <c r="A432" s="233">
        <f t="shared" ca="1" si="83"/>
        <v>0</v>
      </c>
      <c r="B432" s="233">
        <f t="shared" ca="1" si="84"/>
        <v>21</v>
      </c>
      <c r="C432" s="233">
        <f t="shared" ca="1" si="85"/>
        <v>1</v>
      </c>
      <c r="D432" s="234">
        <f t="shared" ca="1" si="86"/>
        <v>1</v>
      </c>
      <c r="E432" s="234">
        <f t="shared" ca="1" si="65"/>
        <v>1</v>
      </c>
      <c r="F432" s="244"/>
      <c r="G432" s="269"/>
      <c r="H432" s="269"/>
      <c r="I432" s="269"/>
      <c r="J432" s="270"/>
      <c r="K432" s="271"/>
      <c r="L432" s="272"/>
      <c r="M432" s="272"/>
      <c r="N432" s="278"/>
      <c r="O432" s="270"/>
      <c r="P432" s="275"/>
      <c r="Q432" s="271"/>
    </row>
    <row r="433" spans="1:17" ht="13.5" customHeight="1" x14ac:dyDescent="0.2">
      <c r="A433" s="233">
        <f t="shared" ca="1" si="83"/>
        <v>0</v>
      </c>
      <c r="B433" s="233">
        <f t="shared" ca="1" si="84"/>
        <v>21</v>
      </c>
      <c r="C433" s="233">
        <f t="shared" ca="1" si="85"/>
        <v>1</v>
      </c>
      <c r="D433" s="234">
        <f t="shared" ca="1" si="86"/>
        <v>1</v>
      </c>
      <c r="E433" s="234">
        <f t="shared" ca="1" si="65"/>
        <v>1</v>
      </c>
      <c r="F433" s="244"/>
      <c r="G433" s="269"/>
      <c r="H433" s="269"/>
      <c r="I433" s="269"/>
      <c r="J433" s="270"/>
      <c r="K433" s="271"/>
      <c r="L433" s="272"/>
      <c r="M433" s="272"/>
      <c r="N433" s="278"/>
      <c r="O433" s="270"/>
      <c r="P433" s="275"/>
      <c r="Q433" s="271"/>
    </row>
    <row r="434" spans="1:17" ht="13.5" customHeight="1" x14ac:dyDescent="0.2">
      <c r="A434" s="233">
        <f t="shared" ca="1" si="83"/>
        <v>0</v>
      </c>
      <c r="B434" s="233">
        <f t="shared" ca="1" si="84"/>
        <v>21</v>
      </c>
      <c r="C434" s="233">
        <f t="shared" ca="1" si="85"/>
        <v>1</v>
      </c>
      <c r="D434" s="234">
        <f t="shared" ca="1" si="86"/>
        <v>1</v>
      </c>
      <c r="E434" s="234">
        <f t="shared" ca="1" si="65"/>
        <v>1</v>
      </c>
      <c r="F434" s="244"/>
      <c r="G434" s="269"/>
      <c r="H434" s="269"/>
      <c r="I434" s="269"/>
      <c r="J434" s="270"/>
      <c r="K434" s="271"/>
      <c r="L434" s="272"/>
      <c r="M434" s="272"/>
      <c r="N434" s="278"/>
      <c r="O434" s="270"/>
      <c r="P434" s="275"/>
      <c r="Q434" s="271"/>
    </row>
    <row r="435" spans="1:17" ht="13.5" customHeight="1" x14ac:dyDescent="0.2">
      <c r="A435" s="233">
        <f t="shared" ca="1" si="83"/>
        <v>0</v>
      </c>
      <c r="B435" s="233">
        <f t="shared" ca="1" si="84"/>
        <v>21</v>
      </c>
      <c r="C435" s="233">
        <f t="shared" ca="1" si="85"/>
        <v>1</v>
      </c>
      <c r="D435" s="234">
        <f t="shared" ca="1" si="86"/>
        <v>1</v>
      </c>
      <c r="E435" s="234">
        <f t="shared" ca="1" si="65"/>
        <v>1</v>
      </c>
      <c r="F435" s="244"/>
      <c r="G435" s="269"/>
      <c r="H435" s="269"/>
      <c r="I435" s="269"/>
      <c r="J435" s="270"/>
      <c r="K435" s="271"/>
      <c r="L435" s="272"/>
      <c r="M435" s="272"/>
      <c r="N435" s="278"/>
      <c r="O435" s="270"/>
      <c r="P435" s="275"/>
      <c r="Q435" s="271"/>
    </row>
    <row r="436" spans="1:17" ht="13.5" customHeight="1" x14ac:dyDescent="0.2">
      <c r="A436" s="233">
        <f t="shared" ca="1" si="83"/>
        <v>0</v>
      </c>
      <c r="B436" s="233">
        <f t="shared" ca="1" si="84"/>
        <v>21</v>
      </c>
      <c r="C436" s="233">
        <f t="shared" ca="1" si="85"/>
        <v>1</v>
      </c>
      <c r="D436" s="234">
        <f t="shared" ca="1" si="86"/>
        <v>1</v>
      </c>
      <c r="E436" s="234">
        <f t="shared" ca="1" si="65"/>
        <v>1</v>
      </c>
      <c r="F436" s="244"/>
      <c r="G436" s="269"/>
      <c r="H436" s="269"/>
      <c r="I436" s="269"/>
      <c r="J436" s="270"/>
      <c r="K436" s="271"/>
      <c r="L436" s="272"/>
      <c r="M436" s="272"/>
      <c r="N436" s="278"/>
      <c r="O436" s="270"/>
      <c r="P436" s="275"/>
      <c r="Q436" s="271"/>
    </row>
    <row r="437" spans="1:17" ht="13.5" customHeight="1" x14ac:dyDescent="0.2">
      <c r="A437" s="233">
        <f t="shared" ca="1" si="83"/>
        <v>0</v>
      </c>
      <c r="B437" s="233">
        <f t="shared" ca="1" si="84"/>
        <v>21</v>
      </c>
      <c r="C437" s="233">
        <f t="shared" ca="1" si="85"/>
        <v>1</v>
      </c>
      <c r="D437" s="234">
        <f t="shared" ca="1" si="86"/>
        <v>1</v>
      </c>
      <c r="E437" s="234">
        <f t="shared" ca="1" si="65"/>
        <v>1</v>
      </c>
      <c r="F437" s="244"/>
      <c r="G437" s="269"/>
      <c r="H437" s="269"/>
      <c r="I437" s="269"/>
      <c r="J437" s="270"/>
      <c r="K437" s="271"/>
      <c r="L437" s="272"/>
      <c r="M437" s="272"/>
      <c r="N437" s="278"/>
      <c r="O437" s="270"/>
      <c r="P437" s="275"/>
      <c r="Q437" s="271"/>
    </row>
    <row r="438" spans="1:17" ht="13.5" customHeight="1" x14ac:dyDescent="0.2">
      <c r="A438" s="233">
        <f t="shared" ca="1" si="83"/>
        <v>0</v>
      </c>
      <c r="B438" s="233">
        <f t="shared" ca="1" si="84"/>
        <v>21</v>
      </c>
      <c r="C438" s="233">
        <f t="shared" ca="1" si="85"/>
        <v>1</v>
      </c>
      <c r="D438" s="234">
        <f t="shared" ca="1" si="86"/>
        <v>1</v>
      </c>
      <c r="E438" s="234">
        <f t="shared" ca="1" si="65"/>
        <v>1</v>
      </c>
      <c r="F438" s="244"/>
      <c r="G438" s="269"/>
      <c r="H438" s="269"/>
      <c r="I438" s="269"/>
      <c r="J438" s="270"/>
      <c r="K438" s="271"/>
      <c r="L438" s="272"/>
      <c r="M438" s="272"/>
      <c r="N438" s="278"/>
      <c r="O438" s="270"/>
      <c r="P438" s="275"/>
      <c r="Q438" s="271"/>
    </row>
    <row r="439" spans="1:17" ht="13.5" customHeight="1" x14ac:dyDescent="0.2">
      <c r="A439" s="233">
        <f t="shared" ca="1" si="83"/>
        <v>0</v>
      </c>
      <c r="B439" s="233">
        <f t="shared" ca="1" si="84"/>
        <v>21</v>
      </c>
      <c r="C439" s="233">
        <f t="shared" ca="1" si="85"/>
        <v>1</v>
      </c>
      <c r="D439" s="234">
        <f t="shared" ca="1" si="86"/>
        <v>1</v>
      </c>
      <c r="E439" s="234">
        <f t="shared" ca="1" si="65"/>
        <v>1</v>
      </c>
      <c r="F439" s="244"/>
      <c r="G439" s="269"/>
      <c r="H439" s="269"/>
      <c r="I439" s="269"/>
      <c r="J439" s="270"/>
      <c r="K439" s="271"/>
      <c r="L439" s="272"/>
      <c r="M439" s="272"/>
      <c r="N439" s="278"/>
      <c r="O439" s="270"/>
      <c r="P439" s="275"/>
      <c r="Q439" s="271"/>
    </row>
    <row r="440" spans="1:17" ht="13.5" customHeight="1" x14ac:dyDescent="0.2">
      <c r="A440" s="233">
        <f t="shared" ca="1" si="83"/>
        <v>0</v>
      </c>
      <c r="B440" s="233">
        <f t="shared" ca="1" si="84"/>
        <v>21</v>
      </c>
      <c r="C440" s="233">
        <f t="shared" ca="1" si="85"/>
        <v>1</v>
      </c>
      <c r="D440" s="234">
        <f t="shared" ca="1" si="86"/>
        <v>1</v>
      </c>
      <c r="E440" s="234">
        <f t="shared" ca="1" si="65"/>
        <v>1</v>
      </c>
      <c r="F440" s="244"/>
      <c r="G440" s="269"/>
      <c r="H440" s="269"/>
      <c r="I440" s="269"/>
      <c r="J440" s="270"/>
      <c r="K440" s="271"/>
      <c r="L440" s="272"/>
      <c r="M440" s="272"/>
      <c r="N440" s="278"/>
      <c r="O440" s="270"/>
      <c r="P440" s="275"/>
      <c r="Q440" s="271"/>
    </row>
    <row r="441" spans="1:17" ht="13.5" customHeight="1" x14ac:dyDescent="0.2">
      <c r="A441" s="233">
        <f t="shared" ca="1" si="83"/>
        <v>0</v>
      </c>
      <c r="B441" s="233">
        <f t="shared" ca="1" si="84"/>
        <v>21</v>
      </c>
      <c r="C441" s="233">
        <f t="shared" ca="1" si="85"/>
        <v>1</v>
      </c>
      <c r="D441" s="234">
        <f t="shared" ca="1" si="86"/>
        <v>1</v>
      </c>
      <c r="E441" s="234">
        <f t="shared" ca="1" si="65"/>
        <v>1</v>
      </c>
      <c r="F441" s="244"/>
      <c r="G441" s="269"/>
      <c r="H441" s="269"/>
      <c r="I441" s="269"/>
      <c r="J441" s="270"/>
      <c r="K441" s="271"/>
      <c r="L441" s="272"/>
      <c r="M441" s="272"/>
      <c r="N441" s="278"/>
      <c r="O441" s="270"/>
      <c r="P441" s="275"/>
      <c r="Q441" s="271"/>
    </row>
    <row r="442" spans="1:17" ht="13.5" customHeight="1" x14ac:dyDescent="0.2">
      <c r="A442" s="233">
        <f t="shared" ca="1" si="83"/>
        <v>0</v>
      </c>
      <c r="B442" s="233">
        <f t="shared" ca="1" si="84"/>
        <v>21</v>
      </c>
      <c r="C442" s="233">
        <f t="shared" ca="1" si="85"/>
        <v>1</v>
      </c>
      <c r="D442" s="234">
        <f t="shared" ca="1" si="86"/>
        <v>1</v>
      </c>
      <c r="E442" s="234">
        <f t="shared" ca="1" si="65"/>
        <v>1</v>
      </c>
      <c r="F442" s="244"/>
      <c r="G442" s="269"/>
      <c r="H442" s="269"/>
      <c r="I442" s="269"/>
      <c r="J442" s="270"/>
      <c r="K442" s="271"/>
      <c r="L442" s="272"/>
      <c r="M442" s="272"/>
      <c r="N442" s="278"/>
      <c r="O442" s="270"/>
      <c r="P442" s="275"/>
      <c r="Q442" s="271"/>
    </row>
    <row r="443" spans="1:17" ht="13.5" customHeight="1" x14ac:dyDescent="0.2">
      <c r="A443" s="233">
        <f t="shared" ca="1" si="83"/>
        <v>0</v>
      </c>
      <c r="B443" s="233">
        <f t="shared" ca="1" si="84"/>
        <v>21</v>
      </c>
      <c r="C443" s="233">
        <f t="shared" ca="1" si="85"/>
        <v>1</v>
      </c>
      <c r="D443" s="234">
        <f t="shared" ca="1" si="86"/>
        <v>1</v>
      </c>
      <c r="E443" s="234">
        <f t="shared" ca="1" si="65"/>
        <v>1</v>
      </c>
      <c r="F443" s="244"/>
      <c r="G443" s="269"/>
      <c r="H443" s="269"/>
      <c r="I443" s="269"/>
      <c r="J443" s="270"/>
      <c r="K443" s="271"/>
      <c r="L443" s="272"/>
      <c r="M443" s="272"/>
      <c r="N443" s="278"/>
      <c r="O443" s="270"/>
      <c r="P443" s="275"/>
      <c r="Q443" s="271"/>
    </row>
    <row r="444" spans="1:17" ht="13.5" customHeight="1" x14ac:dyDescent="0.2">
      <c r="A444" s="233">
        <f t="shared" ca="1" si="83"/>
        <v>0</v>
      </c>
      <c r="B444" s="233">
        <f t="shared" ca="1" si="84"/>
        <v>21</v>
      </c>
      <c r="C444" s="233">
        <f t="shared" ca="1" si="85"/>
        <v>1</v>
      </c>
      <c r="D444" s="234">
        <f t="shared" ca="1" si="86"/>
        <v>1</v>
      </c>
      <c r="E444" s="234">
        <f t="shared" ca="1" si="65"/>
        <v>1</v>
      </c>
      <c r="F444" s="244"/>
      <c r="G444" s="269"/>
      <c r="H444" s="269"/>
      <c r="I444" s="269"/>
      <c r="J444" s="270"/>
      <c r="K444" s="271"/>
      <c r="L444" s="272"/>
      <c r="M444" s="272"/>
      <c r="N444" s="278"/>
      <c r="O444" s="270"/>
      <c r="P444" s="275"/>
      <c r="Q444" s="271"/>
    </row>
    <row r="445" spans="1:17" ht="13.5" customHeight="1" x14ac:dyDescent="0.2">
      <c r="A445" s="233">
        <f t="shared" ca="1" si="83"/>
        <v>0</v>
      </c>
      <c r="B445" s="233">
        <f t="shared" ca="1" si="84"/>
        <v>21</v>
      </c>
      <c r="C445" s="233">
        <f t="shared" ca="1" si="85"/>
        <v>1</v>
      </c>
      <c r="D445" s="234">
        <f t="shared" ca="1" si="86"/>
        <v>1</v>
      </c>
      <c r="E445" s="234">
        <f t="shared" ca="1" si="65"/>
        <v>1</v>
      </c>
      <c r="F445" s="244"/>
      <c r="G445" s="269"/>
      <c r="H445" s="269"/>
      <c r="I445" s="269"/>
      <c r="J445" s="270"/>
      <c r="K445" s="271"/>
      <c r="L445" s="272"/>
      <c r="M445" s="272"/>
      <c r="N445" s="278"/>
      <c r="O445" s="270"/>
      <c r="P445" s="275"/>
      <c r="Q445" s="271"/>
    </row>
    <row r="446" spans="1:17" ht="13.5" customHeight="1" x14ac:dyDescent="0.2">
      <c r="A446" s="233">
        <f t="shared" ca="1" si="83"/>
        <v>0</v>
      </c>
      <c r="B446" s="233">
        <f t="shared" ca="1" si="84"/>
        <v>21</v>
      </c>
      <c r="C446" s="233">
        <f t="shared" ca="1" si="85"/>
        <v>1</v>
      </c>
      <c r="D446" s="234">
        <f t="shared" ca="1" si="86"/>
        <v>1</v>
      </c>
      <c r="E446" s="234">
        <f t="shared" ca="1" si="65"/>
        <v>1</v>
      </c>
      <c r="F446" s="244"/>
      <c r="G446" s="269"/>
      <c r="H446" s="269"/>
      <c r="I446" s="269"/>
      <c r="J446" s="270"/>
      <c r="K446" s="271"/>
      <c r="L446" s="272"/>
      <c r="M446" s="272"/>
      <c r="N446" s="278"/>
      <c r="O446" s="270"/>
      <c r="P446" s="275"/>
      <c r="Q446" s="271"/>
    </row>
    <row r="447" spans="1:17" ht="13.5" customHeight="1" x14ac:dyDescent="0.2">
      <c r="A447" s="233">
        <f t="shared" ca="1" si="83"/>
        <v>0</v>
      </c>
      <c r="B447" s="233">
        <f t="shared" ca="1" si="84"/>
        <v>21</v>
      </c>
      <c r="C447" s="233">
        <f t="shared" ca="1" si="85"/>
        <v>1</v>
      </c>
      <c r="D447" s="234">
        <f t="shared" ca="1" si="86"/>
        <v>1</v>
      </c>
      <c r="E447" s="234">
        <f t="shared" ca="1" si="65"/>
        <v>1</v>
      </c>
      <c r="F447" s="244"/>
      <c r="G447" s="269"/>
      <c r="H447" s="269"/>
      <c r="I447" s="269"/>
      <c r="J447" s="270"/>
      <c r="K447" s="271"/>
      <c r="L447" s="272"/>
      <c r="M447" s="272"/>
      <c r="N447" s="278"/>
      <c r="O447" s="270"/>
      <c r="P447" s="275"/>
      <c r="Q447" s="271"/>
    </row>
    <row r="448" spans="1:17" ht="13.5" customHeight="1" x14ac:dyDescent="0.2">
      <c r="A448" s="233">
        <f t="shared" ca="1" si="83"/>
        <v>0</v>
      </c>
      <c r="B448" s="233">
        <f t="shared" ca="1" si="84"/>
        <v>21</v>
      </c>
      <c r="C448" s="233">
        <f t="shared" ca="1" si="85"/>
        <v>1</v>
      </c>
      <c r="D448" s="234">
        <f t="shared" ca="1" si="86"/>
        <v>1</v>
      </c>
      <c r="E448" s="234">
        <f t="shared" ca="1" si="65"/>
        <v>1</v>
      </c>
      <c r="F448" s="244"/>
      <c r="G448" s="269"/>
      <c r="H448" s="269"/>
      <c r="I448" s="269"/>
      <c r="J448" s="270"/>
      <c r="K448" s="271"/>
      <c r="L448" s="272"/>
      <c r="M448" s="272"/>
      <c r="N448" s="278"/>
      <c r="O448" s="270"/>
      <c r="P448" s="275"/>
      <c r="Q448" s="271"/>
    </row>
    <row r="449" spans="1:17" ht="13.5" customHeight="1" x14ac:dyDescent="0.2">
      <c r="A449" s="233">
        <f t="shared" ca="1" si="83"/>
        <v>0</v>
      </c>
      <c r="B449" s="233">
        <f t="shared" ca="1" si="84"/>
        <v>21</v>
      </c>
      <c r="C449" s="233">
        <f t="shared" ca="1" si="85"/>
        <v>1</v>
      </c>
      <c r="D449" s="234">
        <f t="shared" ca="1" si="86"/>
        <v>1</v>
      </c>
      <c r="E449" s="234">
        <f t="shared" ca="1" si="65"/>
        <v>1</v>
      </c>
      <c r="F449" s="244"/>
      <c r="G449" s="269"/>
      <c r="H449" s="269"/>
      <c r="I449" s="269"/>
      <c r="J449" s="270"/>
      <c r="K449" s="271"/>
      <c r="L449" s="272"/>
      <c r="M449" s="272"/>
      <c r="N449" s="278"/>
      <c r="O449" s="270"/>
      <c r="P449" s="275"/>
      <c r="Q449" s="271"/>
    </row>
    <row r="450" spans="1:17" ht="13.5" customHeight="1" x14ac:dyDescent="0.2">
      <c r="A450" s="233">
        <f t="shared" ref="A450:A513" ca="1" si="87">IF($H450="UNIDADE CONSTRUTIVA",OFFSET(A450,-1,0)+1,LARGE(A$3:A449,1))</f>
        <v>0</v>
      </c>
      <c r="B450" s="233">
        <f t="shared" ca="1" si="84"/>
        <v>21</v>
      </c>
      <c r="C450" s="233">
        <f t="shared" ca="1" si="85"/>
        <v>1</v>
      </c>
      <c r="D450" s="234">
        <f t="shared" ca="1" si="86"/>
        <v>1</v>
      </c>
      <c r="E450" s="234">
        <f t="shared" ca="1" si="65"/>
        <v>1</v>
      </c>
      <c r="F450" s="244"/>
      <c r="G450" s="269"/>
      <c r="H450" s="269"/>
      <c r="I450" s="269"/>
      <c r="J450" s="270"/>
      <c r="K450" s="271"/>
      <c r="L450" s="272"/>
      <c r="M450" s="272"/>
      <c r="N450" s="278"/>
      <c r="O450" s="270"/>
      <c r="P450" s="275"/>
      <c r="Q450" s="271"/>
    </row>
    <row r="451" spans="1:17" ht="13.5" customHeight="1" x14ac:dyDescent="0.2">
      <c r="A451" s="233">
        <f t="shared" ca="1" si="87"/>
        <v>0</v>
      </c>
      <c r="B451" s="233">
        <f t="shared" ref="B451:B514" ca="1" si="88">IF(H451="UNIDADE CONSTRUTIVA",0,IF(H451="CÉLULA CONSTRUTIVA",OFFSET(B451,-1,0)+1,OFFSET(B451,-1,0)))</f>
        <v>21</v>
      </c>
      <c r="C451" s="233">
        <f t="shared" ref="C451:C514" ca="1" si="89">IF(H451="CÉLULA CONSTRUTIVA",0,IF(H451="ETAPA",OFFSET(C451,-1,0)+1,OFFSET(C451,-1,0)))</f>
        <v>1</v>
      </c>
      <c r="D451" s="234">
        <f t="shared" ca="1" si="86"/>
        <v>1</v>
      </c>
      <c r="E451" s="234">
        <f t="shared" ca="1" si="65"/>
        <v>1</v>
      </c>
      <c r="F451" s="244"/>
      <c r="G451" s="269"/>
      <c r="H451" s="269"/>
      <c r="I451" s="269"/>
      <c r="J451" s="270"/>
      <c r="K451" s="271"/>
      <c r="L451" s="272"/>
      <c r="M451" s="272"/>
      <c r="N451" s="278"/>
      <c r="O451" s="270"/>
      <c r="P451" s="275"/>
      <c r="Q451" s="271"/>
    </row>
    <row r="452" spans="1:17" ht="13.5" customHeight="1" x14ac:dyDescent="0.2">
      <c r="A452" s="233">
        <f t="shared" ca="1" si="87"/>
        <v>0</v>
      </c>
      <c r="B452" s="233">
        <f t="shared" ca="1" si="88"/>
        <v>21</v>
      </c>
      <c r="C452" s="233">
        <f t="shared" ca="1" si="89"/>
        <v>1</v>
      </c>
      <c r="D452" s="234">
        <f t="shared" ca="1" si="86"/>
        <v>1</v>
      </c>
      <c r="E452" s="234">
        <f t="shared" ca="1" si="65"/>
        <v>1</v>
      </c>
      <c r="F452" s="244"/>
      <c r="G452" s="269"/>
      <c r="H452" s="269"/>
      <c r="I452" s="269"/>
      <c r="J452" s="270"/>
      <c r="K452" s="271"/>
      <c r="L452" s="272"/>
      <c r="M452" s="272"/>
      <c r="N452" s="278"/>
      <c r="O452" s="270"/>
      <c r="P452" s="275"/>
      <c r="Q452" s="271"/>
    </row>
    <row r="453" spans="1:17" ht="13.5" customHeight="1" x14ac:dyDescent="0.2">
      <c r="A453" s="233">
        <f t="shared" ca="1" si="87"/>
        <v>0</v>
      </c>
      <c r="B453" s="233">
        <f t="shared" ca="1" si="88"/>
        <v>21</v>
      </c>
      <c r="C453" s="233">
        <f t="shared" ca="1" si="89"/>
        <v>1</v>
      </c>
      <c r="D453" s="234">
        <f t="shared" ca="1" si="86"/>
        <v>1</v>
      </c>
      <c r="E453" s="234">
        <f t="shared" ca="1" si="65"/>
        <v>1</v>
      </c>
      <c r="F453" s="244"/>
      <c r="G453" s="269"/>
      <c r="H453" s="269"/>
      <c r="I453" s="269"/>
      <c r="J453" s="270"/>
      <c r="K453" s="271"/>
      <c r="L453" s="272"/>
      <c r="M453" s="272"/>
      <c r="N453" s="278"/>
      <c r="O453" s="270"/>
      <c r="P453" s="275"/>
      <c r="Q453" s="271"/>
    </row>
    <row r="454" spans="1:17" ht="13.5" customHeight="1" x14ac:dyDescent="0.2">
      <c r="A454" s="233">
        <f t="shared" ca="1" si="87"/>
        <v>0</v>
      </c>
      <c r="B454" s="233">
        <f t="shared" ca="1" si="88"/>
        <v>21</v>
      </c>
      <c r="C454" s="233">
        <f t="shared" ca="1" si="89"/>
        <v>1</v>
      </c>
      <c r="D454" s="234">
        <f t="shared" ca="1" si="86"/>
        <v>1</v>
      </c>
      <c r="E454" s="234">
        <f t="shared" ca="1" si="65"/>
        <v>1</v>
      </c>
      <c r="F454" s="244"/>
      <c r="G454" s="269"/>
      <c r="H454" s="269"/>
      <c r="I454" s="269"/>
      <c r="J454" s="270"/>
      <c r="K454" s="271"/>
      <c r="L454" s="272"/>
      <c r="M454" s="272"/>
      <c r="N454" s="278"/>
      <c r="O454" s="270"/>
      <c r="P454" s="275"/>
      <c r="Q454" s="271"/>
    </row>
    <row r="455" spans="1:17" ht="13.5" customHeight="1" x14ac:dyDescent="0.2">
      <c r="A455" s="233">
        <f t="shared" ca="1" si="87"/>
        <v>0</v>
      </c>
      <c r="B455" s="233">
        <f t="shared" ca="1" si="88"/>
        <v>21</v>
      </c>
      <c r="C455" s="233">
        <f t="shared" ca="1" si="89"/>
        <v>1</v>
      </c>
      <c r="D455" s="234">
        <f t="shared" ca="1" si="86"/>
        <v>1</v>
      </c>
      <c r="E455" s="234">
        <f t="shared" ca="1" si="65"/>
        <v>1</v>
      </c>
      <c r="F455" s="244"/>
      <c r="G455" s="269"/>
      <c r="H455" s="269"/>
      <c r="I455" s="269"/>
      <c r="J455" s="270"/>
      <c r="K455" s="271"/>
      <c r="L455" s="272"/>
      <c r="M455" s="272"/>
      <c r="N455" s="278"/>
      <c r="O455" s="270"/>
      <c r="P455" s="275"/>
      <c r="Q455" s="271"/>
    </row>
    <row r="456" spans="1:17" ht="13.5" customHeight="1" x14ac:dyDescent="0.2">
      <c r="A456" s="233">
        <f t="shared" ca="1" si="87"/>
        <v>0</v>
      </c>
      <c r="B456" s="233">
        <f t="shared" ca="1" si="88"/>
        <v>21</v>
      </c>
      <c r="C456" s="233">
        <f t="shared" ca="1" si="89"/>
        <v>1</v>
      </c>
      <c r="D456" s="234">
        <f t="shared" ca="1" si="86"/>
        <v>1</v>
      </c>
      <c r="E456" s="234">
        <f t="shared" ca="1" si="65"/>
        <v>1</v>
      </c>
      <c r="F456" s="244"/>
      <c r="G456" s="269"/>
      <c r="H456" s="269"/>
      <c r="I456" s="269"/>
      <c r="J456" s="270"/>
      <c r="K456" s="271"/>
      <c r="L456" s="272"/>
      <c r="M456" s="272"/>
      <c r="N456" s="278"/>
      <c r="O456" s="270"/>
      <c r="P456" s="275"/>
      <c r="Q456" s="271"/>
    </row>
    <row r="457" spans="1:17" ht="13.5" customHeight="1" x14ac:dyDescent="0.2">
      <c r="A457" s="233">
        <f t="shared" ca="1" si="87"/>
        <v>0</v>
      </c>
      <c r="B457" s="233">
        <f t="shared" ca="1" si="88"/>
        <v>21</v>
      </c>
      <c r="C457" s="233">
        <f t="shared" ca="1" si="89"/>
        <v>1</v>
      </c>
      <c r="D457" s="234">
        <f t="shared" ca="1" si="86"/>
        <v>1</v>
      </c>
      <c r="E457" s="234">
        <f t="shared" ca="1" si="65"/>
        <v>1</v>
      </c>
      <c r="F457" s="244"/>
      <c r="G457" s="269"/>
      <c r="H457" s="269"/>
      <c r="I457" s="269"/>
      <c r="J457" s="270"/>
      <c r="K457" s="271"/>
      <c r="L457" s="272"/>
      <c r="M457" s="272"/>
      <c r="N457" s="278"/>
      <c r="O457" s="270"/>
      <c r="P457" s="275"/>
      <c r="Q457" s="271"/>
    </row>
    <row r="458" spans="1:17" ht="13.5" customHeight="1" x14ac:dyDescent="0.2">
      <c r="A458" s="233">
        <f t="shared" ca="1" si="87"/>
        <v>0</v>
      </c>
      <c r="B458" s="233">
        <f t="shared" ca="1" si="88"/>
        <v>21</v>
      </c>
      <c r="C458" s="233">
        <f t="shared" ca="1" si="89"/>
        <v>1</v>
      </c>
      <c r="D458" s="234">
        <f t="shared" ca="1" si="86"/>
        <v>1</v>
      </c>
      <c r="E458" s="234">
        <f t="shared" ca="1" si="65"/>
        <v>1</v>
      </c>
      <c r="F458" s="244"/>
      <c r="G458" s="269"/>
      <c r="H458" s="269"/>
      <c r="I458" s="269"/>
      <c r="J458" s="270"/>
      <c r="K458" s="271"/>
      <c r="L458" s="272"/>
      <c r="M458" s="272"/>
      <c r="N458" s="278"/>
      <c r="O458" s="270"/>
      <c r="P458" s="275"/>
      <c r="Q458" s="271"/>
    </row>
    <row r="459" spans="1:17" ht="13.5" customHeight="1" x14ac:dyDescent="0.2">
      <c r="A459" s="233">
        <f t="shared" ca="1" si="87"/>
        <v>0</v>
      </c>
      <c r="B459" s="233">
        <f t="shared" ca="1" si="88"/>
        <v>21</v>
      </c>
      <c r="C459" s="233">
        <f t="shared" ca="1" si="89"/>
        <v>1</v>
      </c>
      <c r="D459" s="234">
        <f t="shared" ca="1" si="86"/>
        <v>1</v>
      </c>
      <c r="E459" s="234">
        <f t="shared" ca="1" si="65"/>
        <v>1</v>
      </c>
      <c r="F459" s="244"/>
      <c r="G459" s="269"/>
      <c r="H459" s="269"/>
      <c r="I459" s="269"/>
      <c r="J459" s="270"/>
      <c r="K459" s="271"/>
      <c r="L459" s="272"/>
      <c r="M459" s="272"/>
      <c r="N459" s="278"/>
      <c r="O459" s="270"/>
      <c r="P459" s="275"/>
      <c r="Q459" s="271"/>
    </row>
    <row r="460" spans="1:17" ht="13.5" customHeight="1" x14ac:dyDescent="0.2">
      <c r="A460" s="233">
        <f t="shared" ca="1" si="87"/>
        <v>0</v>
      </c>
      <c r="B460" s="233">
        <f t="shared" ca="1" si="88"/>
        <v>21</v>
      </c>
      <c r="C460" s="233">
        <f t="shared" ca="1" si="89"/>
        <v>1</v>
      </c>
      <c r="D460" s="234">
        <f t="shared" ca="1" si="86"/>
        <v>1</v>
      </c>
      <c r="E460" s="234">
        <f t="shared" ca="1" si="65"/>
        <v>1</v>
      </c>
      <c r="F460" s="244"/>
      <c r="G460" s="269"/>
      <c r="H460" s="269"/>
      <c r="I460" s="269"/>
      <c r="J460" s="270"/>
      <c r="K460" s="271"/>
      <c r="L460" s="272"/>
      <c r="M460" s="272"/>
      <c r="N460" s="278"/>
      <c r="O460" s="270"/>
      <c r="P460" s="275"/>
      <c r="Q460" s="271"/>
    </row>
    <row r="461" spans="1:17" ht="13.5" customHeight="1" x14ac:dyDescent="0.2">
      <c r="A461" s="233">
        <f t="shared" ca="1" si="87"/>
        <v>0</v>
      </c>
      <c r="B461" s="233">
        <f t="shared" ca="1" si="88"/>
        <v>21</v>
      </c>
      <c r="C461" s="233">
        <f t="shared" ca="1" si="89"/>
        <v>1</v>
      </c>
      <c r="D461" s="234">
        <f t="shared" ca="1" si="86"/>
        <v>1</v>
      </c>
      <c r="E461" s="234">
        <f t="shared" ca="1" si="65"/>
        <v>1</v>
      </c>
      <c r="F461" s="244"/>
      <c r="G461" s="269"/>
      <c r="H461" s="269"/>
      <c r="I461" s="269"/>
      <c r="J461" s="270"/>
      <c r="K461" s="271"/>
      <c r="L461" s="272"/>
      <c r="M461" s="272"/>
      <c r="N461" s="278"/>
      <c r="O461" s="270"/>
      <c r="P461" s="275"/>
      <c r="Q461" s="271"/>
    </row>
    <row r="462" spans="1:17" ht="13.5" customHeight="1" x14ac:dyDescent="0.2">
      <c r="A462" s="233">
        <f t="shared" ca="1" si="87"/>
        <v>0</v>
      </c>
      <c r="B462" s="233">
        <f t="shared" ca="1" si="88"/>
        <v>21</v>
      </c>
      <c r="C462" s="233">
        <f t="shared" ca="1" si="89"/>
        <v>1</v>
      </c>
      <c r="D462" s="234">
        <f t="shared" ca="1" si="86"/>
        <v>1</v>
      </c>
      <c r="E462" s="234">
        <f t="shared" ca="1" si="65"/>
        <v>1</v>
      </c>
      <c r="F462" s="244"/>
      <c r="G462" s="269"/>
      <c r="H462" s="269"/>
      <c r="I462" s="269"/>
      <c r="J462" s="270"/>
      <c r="K462" s="271"/>
      <c r="L462" s="272"/>
      <c r="M462" s="272"/>
      <c r="N462" s="278"/>
      <c r="O462" s="270"/>
      <c r="P462" s="275"/>
      <c r="Q462" s="271"/>
    </row>
    <row r="463" spans="1:17" ht="13.5" customHeight="1" x14ac:dyDescent="0.2">
      <c r="A463" s="233">
        <f t="shared" ca="1" si="87"/>
        <v>0</v>
      </c>
      <c r="B463" s="233">
        <f t="shared" ca="1" si="88"/>
        <v>21</v>
      </c>
      <c r="C463" s="233">
        <f t="shared" ca="1" si="89"/>
        <v>1</v>
      </c>
      <c r="D463" s="234">
        <f t="shared" ca="1" si="86"/>
        <v>1</v>
      </c>
      <c r="E463" s="234">
        <f t="shared" ca="1" si="65"/>
        <v>1</v>
      </c>
      <c r="F463" s="244"/>
      <c r="G463" s="269"/>
      <c r="H463" s="269"/>
      <c r="I463" s="269"/>
      <c r="J463" s="270"/>
      <c r="K463" s="271"/>
      <c r="L463" s="272"/>
      <c r="M463" s="272"/>
      <c r="N463" s="278"/>
      <c r="O463" s="270"/>
      <c r="P463" s="275"/>
      <c r="Q463" s="271"/>
    </row>
    <row r="464" spans="1:17" ht="13.5" customHeight="1" x14ac:dyDescent="0.2">
      <c r="A464" s="233">
        <f t="shared" ca="1" si="87"/>
        <v>0</v>
      </c>
      <c r="B464" s="233">
        <f t="shared" ca="1" si="88"/>
        <v>21</v>
      </c>
      <c r="C464" s="233">
        <f t="shared" ca="1" si="89"/>
        <v>1</v>
      </c>
      <c r="D464" s="234">
        <f t="shared" ca="1" si="86"/>
        <v>1</v>
      </c>
      <c r="E464" s="234">
        <f t="shared" ca="1" si="65"/>
        <v>1</v>
      </c>
      <c r="F464" s="244"/>
      <c r="G464" s="269"/>
      <c r="H464" s="269"/>
      <c r="I464" s="269"/>
      <c r="J464" s="270"/>
      <c r="K464" s="271"/>
      <c r="L464" s="272"/>
      <c r="M464" s="272"/>
      <c r="N464" s="278"/>
      <c r="O464" s="270"/>
      <c r="P464" s="275"/>
      <c r="Q464" s="271"/>
    </row>
    <row r="465" spans="1:17" ht="13.5" customHeight="1" x14ac:dyDescent="0.2">
      <c r="A465" s="233">
        <f t="shared" ca="1" si="87"/>
        <v>0</v>
      </c>
      <c r="B465" s="233">
        <f t="shared" ca="1" si="88"/>
        <v>21</v>
      </c>
      <c r="C465" s="233">
        <f t="shared" ca="1" si="89"/>
        <v>1</v>
      </c>
      <c r="D465" s="234">
        <f t="shared" ref="D465:D528" ca="1" si="90">IF(H465="ETAPA",0,IF(H465="SUBETAPA",OFFSET(D465,-1,0)+1,OFFSET(D465,-1,0)))</f>
        <v>1</v>
      </c>
      <c r="E465" s="234">
        <f t="shared" ca="1" si="65"/>
        <v>1</v>
      </c>
      <c r="F465" s="244"/>
      <c r="G465" s="269"/>
      <c r="H465" s="269"/>
      <c r="I465" s="269"/>
      <c r="J465" s="270"/>
      <c r="K465" s="271"/>
      <c r="L465" s="272"/>
      <c r="M465" s="272"/>
      <c r="N465" s="278"/>
      <c r="O465" s="270"/>
      <c r="P465" s="275"/>
      <c r="Q465" s="271"/>
    </row>
    <row r="466" spans="1:17" ht="13.5" customHeight="1" x14ac:dyDescent="0.2">
      <c r="A466" s="233">
        <f t="shared" ca="1" si="87"/>
        <v>0</v>
      </c>
      <c r="B466" s="233">
        <f t="shared" ca="1" si="88"/>
        <v>21</v>
      </c>
      <c r="C466" s="233">
        <f t="shared" ca="1" si="89"/>
        <v>1</v>
      </c>
      <c r="D466" s="234">
        <f t="shared" ca="1" si="90"/>
        <v>1</v>
      </c>
      <c r="E466" s="234">
        <f t="shared" ca="1" si="65"/>
        <v>1</v>
      </c>
      <c r="F466" s="244"/>
      <c r="G466" s="269"/>
      <c r="H466" s="269"/>
      <c r="I466" s="269"/>
      <c r="J466" s="270"/>
      <c r="K466" s="271"/>
      <c r="L466" s="272"/>
      <c r="M466" s="272"/>
      <c r="N466" s="278"/>
      <c r="O466" s="270"/>
      <c r="P466" s="275"/>
      <c r="Q466" s="271"/>
    </row>
    <row r="467" spans="1:17" ht="13.5" customHeight="1" x14ac:dyDescent="0.2">
      <c r="A467" s="233">
        <f t="shared" ca="1" si="87"/>
        <v>0</v>
      </c>
      <c r="B467" s="233">
        <f t="shared" ca="1" si="88"/>
        <v>21</v>
      </c>
      <c r="C467" s="233">
        <f t="shared" ca="1" si="89"/>
        <v>1</v>
      </c>
      <c r="D467" s="234">
        <f t="shared" ca="1" si="90"/>
        <v>1</v>
      </c>
      <c r="E467" s="234">
        <f t="shared" ca="1" si="65"/>
        <v>1</v>
      </c>
      <c r="F467" s="244"/>
      <c r="G467" s="269"/>
      <c r="H467" s="269"/>
      <c r="I467" s="269"/>
      <c r="J467" s="270"/>
      <c r="K467" s="271"/>
      <c r="L467" s="272"/>
      <c r="M467" s="272"/>
      <c r="N467" s="278"/>
      <c r="O467" s="270"/>
      <c r="P467" s="275"/>
      <c r="Q467" s="271"/>
    </row>
    <row r="468" spans="1:17" ht="13.5" customHeight="1" x14ac:dyDescent="0.2">
      <c r="A468" s="233">
        <f t="shared" ca="1" si="87"/>
        <v>0</v>
      </c>
      <c r="B468" s="233">
        <f t="shared" ca="1" si="88"/>
        <v>21</v>
      </c>
      <c r="C468" s="233">
        <f t="shared" ca="1" si="89"/>
        <v>1</v>
      </c>
      <c r="D468" s="234">
        <f t="shared" ca="1" si="90"/>
        <v>1</v>
      </c>
      <c r="E468" s="234">
        <f t="shared" ca="1" si="65"/>
        <v>1</v>
      </c>
      <c r="F468" s="244"/>
      <c r="G468" s="269"/>
      <c r="H468" s="269"/>
      <c r="I468" s="269"/>
      <c r="J468" s="270"/>
      <c r="K468" s="271"/>
      <c r="L468" s="272"/>
      <c r="M468" s="272"/>
      <c r="N468" s="278"/>
      <c r="O468" s="270"/>
      <c r="P468" s="275"/>
      <c r="Q468" s="271"/>
    </row>
    <row r="469" spans="1:17" ht="13.5" customHeight="1" x14ac:dyDescent="0.2">
      <c r="A469" s="233">
        <f t="shared" ca="1" si="87"/>
        <v>0</v>
      </c>
      <c r="B469" s="233">
        <f t="shared" ca="1" si="88"/>
        <v>21</v>
      </c>
      <c r="C469" s="233">
        <f t="shared" ca="1" si="89"/>
        <v>1</v>
      </c>
      <c r="D469" s="234">
        <f t="shared" ca="1" si="90"/>
        <v>1</v>
      </c>
      <c r="E469" s="234">
        <f t="shared" ca="1" si="65"/>
        <v>1</v>
      </c>
      <c r="F469" s="244"/>
      <c r="G469" s="269"/>
      <c r="H469" s="269"/>
      <c r="I469" s="269"/>
      <c r="J469" s="270"/>
      <c r="K469" s="271"/>
      <c r="L469" s="272"/>
      <c r="M469" s="272"/>
      <c r="N469" s="278"/>
      <c r="O469" s="270"/>
      <c r="P469" s="275"/>
      <c r="Q469" s="271"/>
    </row>
    <row r="470" spans="1:17" ht="13.5" customHeight="1" x14ac:dyDescent="0.2">
      <c r="A470" s="233">
        <f t="shared" ca="1" si="87"/>
        <v>0</v>
      </c>
      <c r="B470" s="233">
        <f t="shared" ca="1" si="88"/>
        <v>21</v>
      </c>
      <c r="C470" s="233">
        <f t="shared" ca="1" si="89"/>
        <v>1</v>
      </c>
      <c r="D470" s="234">
        <f t="shared" ca="1" si="90"/>
        <v>1</v>
      </c>
      <c r="E470" s="234">
        <f t="shared" ca="1" si="65"/>
        <v>1</v>
      </c>
      <c r="F470" s="244"/>
      <c r="G470" s="269"/>
      <c r="H470" s="269"/>
      <c r="I470" s="269"/>
      <c r="J470" s="270"/>
      <c r="K470" s="271"/>
      <c r="L470" s="272"/>
      <c r="M470" s="272"/>
      <c r="N470" s="278"/>
      <c r="O470" s="270"/>
      <c r="P470" s="275"/>
      <c r="Q470" s="271"/>
    </row>
    <row r="471" spans="1:17" ht="13.5" customHeight="1" x14ac:dyDescent="0.2">
      <c r="A471" s="233">
        <f t="shared" ca="1" si="87"/>
        <v>0</v>
      </c>
      <c r="B471" s="233">
        <f t="shared" ca="1" si="88"/>
        <v>21</v>
      </c>
      <c r="C471" s="233">
        <f t="shared" ca="1" si="89"/>
        <v>1</v>
      </c>
      <c r="D471" s="234">
        <f t="shared" ca="1" si="90"/>
        <v>1</v>
      </c>
      <c r="E471" s="234">
        <f t="shared" ca="1" si="65"/>
        <v>1</v>
      </c>
      <c r="F471" s="244"/>
      <c r="G471" s="269"/>
      <c r="H471" s="269"/>
      <c r="I471" s="269"/>
      <c r="J471" s="270"/>
      <c r="K471" s="271"/>
      <c r="L471" s="272"/>
      <c r="M471" s="272"/>
      <c r="N471" s="278"/>
      <c r="O471" s="270"/>
      <c r="P471" s="275"/>
      <c r="Q471" s="271"/>
    </row>
    <row r="472" spans="1:17" ht="13.5" customHeight="1" x14ac:dyDescent="0.2">
      <c r="A472" s="233">
        <f t="shared" ca="1" si="87"/>
        <v>0</v>
      </c>
      <c r="B472" s="233">
        <f t="shared" ca="1" si="88"/>
        <v>21</v>
      </c>
      <c r="C472" s="233">
        <f t="shared" ca="1" si="89"/>
        <v>1</v>
      </c>
      <c r="D472" s="234">
        <f t="shared" ca="1" si="90"/>
        <v>1</v>
      </c>
      <c r="E472" s="234">
        <f t="shared" ca="1" si="65"/>
        <v>1</v>
      </c>
      <c r="F472" s="244"/>
      <c r="G472" s="269"/>
      <c r="H472" s="269"/>
      <c r="I472" s="269"/>
      <c r="J472" s="270"/>
      <c r="K472" s="271"/>
      <c r="L472" s="272"/>
      <c r="M472" s="272"/>
      <c r="N472" s="278"/>
      <c r="O472" s="270"/>
      <c r="P472" s="275"/>
      <c r="Q472" s="271"/>
    </row>
    <row r="473" spans="1:17" ht="13.5" customHeight="1" x14ac:dyDescent="0.2">
      <c r="A473" s="233">
        <f t="shared" ca="1" si="87"/>
        <v>0</v>
      </c>
      <c r="B473" s="233">
        <f t="shared" ca="1" si="88"/>
        <v>21</v>
      </c>
      <c r="C473" s="233">
        <f t="shared" ca="1" si="89"/>
        <v>1</v>
      </c>
      <c r="D473" s="234">
        <f t="shared" ca="1" si="90"/>
        <v>1</v>
      </c>
      <c r="E473" s="234">
        <f t="shared" ca="1" si="65"/>
        <v>1</v>
      </c>
      <c r="F473" s="244"/>
      <c r="G473" s="269"/>
      <c r="H473" s="269"/>
      <c r="I473" s="269"/>
      <c r="J473" s="270"/>
      <c r="K473" s="271"/>
      <c r="L473" s="272"/>
      <c r="M473" s="272"/>
      <c r="N473" s="278"/>
      <c r="O473" s="270"/>
      <c r="P473" s="275"/>
      <c r="Q473" s="271"/>
    </row>
    <row r="474" spans="1:17" ht="13.5" customHeight="1" x14ac:dyDescent="0.2">
      <c r="A474" s="233">
        <f t="shared" ca="1" si="87"/>
        <v>0</v>
      </c>
      <c r="B474" s="233">
        <f t="shared" ca="1" si="88"/>
        <v>21</v>
      </c>
      <c r="C474" s="233">
        <f t="shared" ca="1" si="89"/>
        <v>1</v>
      </c>
      <c r="D474" s="234">
        <f t="shared" ca="1" si="90"/>
        <v>1</v>
      </c>
      <c r="E474" s="234">
        <f t="shared" ca="1" si="65"/>
        <v>1</v>
      </c>
      <c r="F474" s="244"/>
      <c r="G474" s="269"/>
      <c r="H474" s="269"/>
      <c r="I474" s="269"/>
      <c r="J474" s="270"/>
      <c r="K474" s="271"/>
      <c r="L474" s="272"/>
      <c r="M474" s="272"/>
      <c r="N474" s="278"/>
      <c r="O474" s="270"/>
      <c r="P474" s="275"/>
      <c r="Q474" s="271"/>
    </row>
    <row r="475" spans="1:17" ht="13.5" customHeight="1" x14ac:dyDescent="0.2">
      <c r="A475" s="233">
        <f t="shared" ca="1" si="87"/>
        <v>0</v>
      </c>
      <c r="B475" s="233">
        <f t="shared" ca="1" si="88"/>
        <v>21</v>
      </c>
      <c r="C475" s="233">
        <f t="shared" ca="1" si="89"/>
        <v>1</v>
      </c>
      <c r="D475" s="234">
        <f t="shared" ca="1" si="90"/>
        <v>1</v>
      </c>
      <c r="E475" s="234">
        <f t="shared" ca="1" si="65"/>
        <v>1</v>
      </c>
      <c r="F475" s="244"/>
      <c r="G475" s="269"/>
      <c r="H475" s="269"/>
      <c r="I475" s="269"/>
      <c r="J475" s="270"/>
      <c r="K475" s="271"/>
      <c r="L475" s="272"/>
      <c r="M475" s="272"/>
      <c r="N475" s="278"/>
      <c r="O475" s="270"/>
      <c r="P475" s="275"/>
      <c r="Q475" s="271"/>
    </row>
    <row r="476" spans="1:17" ht="13.5" customHeight="1" x14ac:dyDescent="0.2">
      <c r="A476" s="233">
        <f t="shared" ca="1" si="87"/>
        <v>0</v>
      </c>
      <c r="B476" s="233">
        <f t="shared" ca="1" si="88"/>
        <v>21</v>
      </c>
      <c r="C476" s="233">
        <f t="shared" ca="1" si="89"/>
        <v>1</v>
      </c>
      <c r="D476" s="234">
        <f t="shared" ca="1" si="90"/>
        <v>1</v>
      </c>
      <c r="E476" s="234">
        <f t="shared" ca="1" si="65"/>
        <v>1</v>
      </c>
      <c r="F476" s="244"/>
      <c r="G476" s="269"/>
      <c r="H476" s="269"/>
      <c r="I476" s="269"/>
      <c r="J476" s="270"/>
      <c r="K476" s="271"/>
      <c r="L476" s="272"/>
      <c r="M476" s="272"/>
      <c r="N476" s="278"/>
      <c r="O476" s="270"/>
      <c r="P476" s="275"/>
      <c r="Q476" s="271"/>
    </row>
    <row r="477" spans="1:17" ht="13.5" customHeight="1" x14ac:dyDescent="0.2">
      <c r="A477" s="233">
        <f t="shared" ca="1" si="87"/>
        <v>0</v>
      </c>
      <c r="B477" s="233">
        <f t="shared" ca="1" si="88"/>
        <v>21</v>
      </c>
      <c r="C477" s="233">
        <f t="shared" ca="1" si="89"/>
        <v>1</v>
      </c>
      <c r="D477" s="234">
        <f t="shared" ca="1" si="90"/>
        <v>1</v>
      </c>
      <c r="E477" s="234">
        <f t="shared" ca="1" si="65"/>
        <v>1</v>
      </c>
      <c r="F477" s="244"/>
      <c r="G477" s="269"/>
      <c r="H477" s="269"/>
      <c r="I477" s="269"/>
      <c r="J477" s="270"/>
      <c r="K477" s="271"/>
      <c r="L477" s="272"/>
      <c r="M477" s="272"/>
      <c r="N477" s="278"/>
      <c r="O477" s="270"/>
      <c r="P477" s="275"/>
      <c r="Q477" s="271"/>
    </row>
    <row r="478" spans="1:17" ht="13.5" customHeight="1" x14ac:dyDescent="0.2">
      <c r="A478" s="233">
        <f t="shared" ca="1" si="87"/>
        <v>0</v>
      </c>
      <c r="B478" s="233">
        <f t="shared" ca="1" si="88"/>
        <v>21</v>
      </c>
      <c r="C478" s="233">
        <f t="shared" ca="1" si="89"/>
        <v>1</v>
      </c>
      <c r="D478" s="234">
        <f t="shared" ca="1" si="90"/>
        <v>1</v>
      </c>
      <c r="E478" s="234">
        <f t="shared" ca="1" si="65"/>
        <v>1</v>
      </c>
      <c r="F478" s="244"/>
      <c r="G478" s="269"/>
      <c r="H478" s="269"/>
      <c r="I478" s="269"/>
      <c r="J478" s="270"/>
      <c r="K478" s="271"/>
      <c r="L478" s="272"/>
      <c r="M478" s="272"/>
      <c r="N478" s="278"/>
      <c r="O478" s="270"/>
      <c r="P478" s="275"/>
      <c r="Q478" s="271"/>
    </row>
    <row r="479" spans="1:17" ht="13.5" customHeight="1" x14ac:dyDescent="0.2">
      <c r="A479" s="233">
        <f t="shared" ca="1" si="87"/>
        <v>0</v>
      </c>
      <c r="B479" s="233">
        <f t="shared" ca="1" si="88"/>
        <v>21</v>
      </c>
      <c r="C479" s="233">
        <f t="shared" ca="1" si="89"/>
        <v>1</v>
      </c>
      <c r="D479" s="234">
        <f t="shared" ca="1" si="90"/>
        <v>1</v>
      </c>
      <c r="E479" s="234">
        <f t="shared" ca="1" si="65"/>
        <v>1</v>
      </c>
      <c r="F479" s="244"/>
      <c r="G479" s="269"/>
      <c r="H479" s="269"/>
      <c r="I479" s="269"/>
      <c r="J479" s="270"/>
      <c r="K479" s="271"/>
      <c r="L479" s="272"/>
      <c r="M479" s="272"/>
      <c r="N479" s="278"/>
      <c r="O479" s="270"/>
      <c r="P479" s="275"/>
      <c r="Q479" s="271"/>
    </row>
    <row r="480" spans="1:17" ht="13.5" customHeight="1" x14ac:dyDescent="0.2">
      <c r="A480" s="233">
        <f t="shared" ca="1" si="87"/>
        <v>0</v>
      </c>
      <c r="B480" s="233">
        <f t="shared" ca="1" si="88"/>
        <v>21</v>
      </c>
      <c r="C480" s="233">
        <f t="shared" ca="1" si="89"/>
        <v>1</v>
      </c>
      <c r="D480" s="234">
        <f t="shared" ca="1" si="90"/>
        <v>1</v>
      </c>
      <c r="E480" s="234">
        <f t="shared" ca="1" si="65"/>
        <v>1</v>
      </c>
      <c r="F480" s="244"/>
      <c r="G480" s="269"/>
      <c r="H480" s="269"/>
      <c r="I480" s="269"/>
      <c r="J480" s="270"/>
      <c r="K480" s="271"/>
      <c r="L480" s="272"/>
      <c r="M480" s="272"/>
      <c r="N480" s="278"/>
      <c r="O480" s="270"/>
      <c r="P480" s="275"/>
      <c r="Q480" s="271"/>
    </row>
    <row r="481" spans="1:17" ht="13.5" customHeight="1" x14ac:dyDescent="0.2">
      <c r="A481" s="233">
        <f t="shared" ca="1" si="87"/>
        <v>0</v>
      </c>
      <c r="B481" s="233">
        <f t="shared" ca="1" si="88"/>
        <v>21</v>
      </c>
      <c r="C481" s="233">
        <f t="shared" ca="1" si="89"/>
        <v>1</v>
      </c>
      <c r="D481" s="234">
        <f t="shared" ca="1" si="90"/>
        <v>1</v>
      </c>
      <c r="E481" s="234">
        <f t="shared" ca="1" si="65"/>
        <v>1</v>
      </c>
      <c r="F481" s="244"/>
      <c r="G481" s="269"/>
      <c r="H481" s="269"/>
      <c r="I481" s="269"/>
      <c r="J481" s="270"/>
      <c r="K481" s="271"/>
      <c r="L481" s="272"/>
      <c r="M481" s="272"/>
      <c r="N481" s="278"/>
      <c r="O481" s="270"/>
      <c r="P481" s="275"/>
      <c r="Q481" s="271"/>
    </row>
    <row r="482" spans="1:17" ht="13.5" customHeight="1" x14ac:dyDescent="0.2">
      <c r="A482" s="233">
        <f t="shared" ca="1" si="87"/>
        <v>0</v>
      </c>
      <c r="B482" s="233">
        <f t="shared" ca="1" si="88"/>
        <v>21</v>
      </c>
      <c r="C482" s="233">
        <f t="shared" ca="1" si="89"/>
        <v>1</v>
      </c>
      <c r="D482" s="234">
        <f t="shared" ca="1" si="90"/>
        <v>1</v>
      </c>
      <c r="E482" s="234">
        <f t="shared" ca="1" si="65"/>
        <v>1</v>
      </c>
      <c r="F482" s="244"/>
      <c r="G482" s="269"/>
      <c r="H482" s="269"/>
      <c r="I482" s="269"/>
      <c r="J482" s="270"/>
      <c r="K482" s="271"/>
      <c r="L482" s="272"/>
      <c r="M482" s="272"/>
      <c r="N482" s="278"/>
      <c r="O482" s="270"/>
      <c r="P482" s="275"/>
      <c r="Q482" s="271"/>
    </row>
    <row r="483" spans="1:17" ht="13.5" customHeight="1" x14ac:dyDescent="0.2">
      <c r="A483" s="233">
        <f t="shared" ca="1" si="87"/>
        <v>0</v>
      </c>
      <c r="B483" s="233">
        <f t="shared" ca="1" si="88"/>
        <v>21</v>
      </c>
      <c r="C483" s="233">
        <f t="shared" ca="1" si="89"/>
        <v>1</v>
      </c>
      <c r="D483" s="234">
        <f t="shared" ca="1" si="90"/>
        <v>1</v>
      </c>
      <c r="E483" s="234">
        <f t="shared" ca="1" si="65"/>
        <v>1</v>
      </c>
      <c r="F483" s="244"/>
      <c r="G483" s="269"/>
      <c r="H483" s="269"/>
      <c r="I483" s="269"/>
      <c r="J483" s="270"/>
      <c r="K483" s="271"/>
      <c r="L483" s="272"/>
      <c r="M483" s="272"/>
      <c r="N483" s="278"/>
      <c r="O483" s="270"/>
      <c r="P483" s="275"/>
      <c r="Q483" s="271"/>
    </row>
    <row r="484" spans="1:17" ht="13.5" customHeight="1" x14ac:dyDescent="0.2">
      <c r="A484" s="233">
        <f t="shared" ca="1" si="87"/>
        <v>0</v>
      </c>
      <c r="B484" s="233">
        <f t="shared" ca="1" si="88"/>
        <v>21</v>
      </c>
      <c r="C484" s="233">
        <f t="shared" ca="1" si="89"/>
        <v>1</v>
      </c>
      <c r="D484" s="234">
        <f t="shared" ca="1" si="90"/>
        <v>1</v>
      </c>
      <c r="E484" s="234">
        <f t="shared" ca="1" si="65"/>
        <v>1</v>
      </c>
      <c r="F484" s="244"/>
      <c r="G484" s="269"/>
      <c r="H484" s="269"/>
      <c r="I484" s="269"/>
      <c r="J484" s="270"/>
      <c r="K484" s="271"/>
      <c r="L484" s="272"/>
      <c r="M484" s="272"/>
      <c r="N484" s="278"/>
      <c r="O484" s="270"/>
      <c r="P484" s="275"/>
      <c r="Q484" s="271"/>
    </row>
    <row r="485" spans="1:17" ht="13.5" customHeight="1" x14ac:dyDescent="0.2">
      <c r="A485" s="233">
        <f t="shared" ca="1" si="87"/>
        <v>0</v>
      </c>
      <c r="B485" s="233">
        <f t="shared" ca="1" si="88"/>
        <v>21</v>
      </c>
      <c r="C485" s="233">
        <f t="shared" ca="1" si="89"/>
        <v>1</v>
      </c>
      <c r="D485" s="234">
        <f t="shared" ca="1" si="90"/>
        <v>1</v>
      </c>
      <c r="E485" s="234">
        <f t="shared" ca="1" si="65"/>
        <v>1</v>
      </c>
      <c r="F485" s="244"/>
      <c r="G485" s="269"/>
      <c r="H485" s="269"/>
      <c r="I485" s="269"/>
      <c r="J485" s="270"/>
      <c r="K485" s="271"/>
      <c r="L485" s="272"/>
      <c r="M485" s="272"/>
      <c r="N485" s="278"/>
      <c r="O485" s="270"/>
      <c r="P485" s="275"/>
      <c r="Q485" s="271"/>
    </row>
    <row r="486" spans="1:17" ht="13.5" customHeight="1" x14ac:dyDescent="0.2">
      <c r="A486" s="233">
        <f t="shared" ca="1" si="87"/>
        <v>0</v>
      </c>
      <c r="B486" s="233">
        <f t="shared" ca="1" si="88"/>
        <v>21</v>
      </c>
      <c r="C486" s="233">
        <f t="shared" ca="1" si="89"/>
        <v>1</v>
      </c>
      <c r="D486" s="234">
        <f t="shared" ca="1" si="90"/>
        <v>1</v>
      </c>
      <c r="E486" s="234">
        <f t="shared" ca="1" si="65"/>
        <v>1</v>
      </c>
      <c r="F486" s="244"/>
      <c r="G486" s="269"/>
      <c r="H486" s="269"/>
      <c r="I486" s="269"/>
      <c r="J486" s="270"/>
      <c r="K486" s="271"/>
      <c r="L486" s="272"/>
      <c r="M486" s="272"/>
      <c r="N486" s="278"/>
      <c r="O486" s="270"/>
      <c r="P486" s="275"/>
      <c r="Q486" s="271"/>
    </row>
    <row r="487" spans="1:17" ht="13.5" customHeight="1" x14ac:dyDescent="0.2">
      <c r="A487" s="233">
        <f t="shared" ca="1" si="87"/>
        <v>0</v>
      </c>
      <c r="B487" s="233">
        <f t="shared" ca="1" si="88"/>
        <v>21</v>
      </c>
      <c r="C487" s="233">
        <f t="shared" ca="1" si="89"/>
        <v>1</v>
      </c>
      <c r="D487" s="234">
        <f t="shared" ca="1" si="90"/>
        <v>1</v>
      </c>
      <c r="E487" s="234">
        <f t="shared" ca="1" si="65"/>
        <v>1</v>
      </c>
      <c r="F487" s="244"/>
      <c r="G487" s="269"/>
      <c r="H487" s="269"/>
      <c r="I487" s="269"/>
      <c r="J487" s="270"/>
      <c r="K487" s="271"/>
      <c r="L487" s="272"/>
      <c r="M487" s="272"/>
      <c r="N487" s="278"/>
      <c r="O487" s="270"/>
      <c r="P487" s="275"/>
      <c r="Q487" s="271"/>
    </row>
    <row r="488" spans="1:17" ht="13.5" customHeight="1" x14ac:dyDescent="0.2">
      <c r="A488" s="233">
        <f t="shared" ca="1" si="87"/>
        <v>0</v>
      </c>
      <c r="B488" s="233">
        <f t="shared" ca="1" si="88"/>
        <v>21</v>
      </c>
      <c r="C488" s="233">
        <f t="shared" ca="1" si="89"/>
        <v>1</v>
      </c>
      <c r="D488" s="234">
        <f t="shared" ca="1" si="90"/>
        <v>1</v>
      </c>
      <c r="E488" s="234">
        <f t="shared" ca="1" si="65"/>
        <v>1</v>
      </c>
      <c r="F488" s="244"/>
      <c r="G488" s="269"/>
      <c r="H488" s="269"/>
      <c r="I488" s="269"/>
      <c r="J488" s="270"/>
      <c r="K488" s="271"/>
      <c r="L488" s="272"/>
      <c r="M488" s="272"/>
      <c r="N488" s="278"/>
      <c r="O488" s="270"/>
      <c r="P488" s="275"/>
      <c r="Q488" s="271"/>
    </row>
    <row r="489" spans="1:17" ht="13.5" customHeight="1" x14ac:dyDescent="0.2">
      <c r="A489" s="233">
        <f t="shared" ca="1" si="87"/>
        <v>0</v>
      </c>
      <c r="B489" s="233">
        <f t="shared" ca="1" si="88"/>
        <v>21</v>
      </c>
      <c r="C489" s="233">
        <f t="shared" ca="1" si="89"/>
        <v>1</v>
      </c>
      <c r="D489" s="234">
        <f t="shared" ca="1" si="90"/>
        <v>1</v>
      </c>
      <c r="E489" s="234">
        <f t="shared" ca="1" si="65"/>
        <v>1</v>
      </c>
      <c r="F489" s="244"/>
      <c r="G489" s="269"/>
      <c r="H489" s="269"/>
      <c r="I489" s="269"/>
      <c r="J489" s="270"/>
      <c r="K489" s="271"/>
      <c r="L489" s="272"/>
      <c r="M489" s="272"/>
      <c r="N489" s="278"/>
      <c r="O489" s="270"/>
      <c r="P489" s="275"/>
      <c r="Q489" s="271"/>
    </row>
    <row r="490" spans="1:17" ht="13.5" customHeight="1" x14ac:dyDescent="0.2">
      <c r="A490" s="233">
        <f t="shared" ca="1" si="87"/>
        <v>0</v>
      </c>
      <c r="B490" s="233">
        <f t="shared" ca="1" si="88"/>
        <v>21</v>
      </c>
      <c r="C490" s="233">
        <f t="shared" ca="1" si="89"/>
        <v>1</v>
      </c>
      <c r="D490" s="234">
        <f t="shared" ca="1" si="90"/>
        <v>1</v>
      </c>
      <c r="E490" s="234">
        <f t="shared" ca="1" si="65"/>
        <v>1</v>
      </c>
      <c r="F490" s="244"/>
      <c r="G490" s="269"/>
      <c r="H490" s="269"/>
      <c r="I490" s="269"/>
      <c r="J490" s="270"/>
      <c r="K490" s="271"/>
      <c r="L490" s="272"/>
      <c r="M490" s="272"/>
      <c r="N490" s="278"/>
      <c r="O490" s="270"/>
      <c r="P490" s="275"/>
      <c r="Q490" s="271"/>
    </row>
    <row r="491" spans="1:17" ht="13.5" customHeight="1" x14ac:dyDescent="0.2">
      <c r="A491" s="233">
        <f t="shared" ca="1" si="87"/>
        <v>0</v>
      </c>
      <c r="B491" s="233">
        <f t="shared" ca="1" si="88"/>
        <v>21</v>
      </c>
      <c r="C491" s="233">
        <f t="shared" ca="1" si="89"/>
        <v>1</v>
      </c>
      <c r="D491" s="234">
        <f t="shared" ca="1" si="90"/>
        <v>1</v>
      </c>
      <c r="E491" s="234">
        <f t="shared" ca="1" si="65"/>
        <v>1</v>
      </c>
      <c r="F491" s="244"/>
      <c r="G491" s="269"/>
      <c r="H491" s="269"/>
      <c r="I491" s="269"/>
      <c r="J491" s="270"/>
      <c r="K491" s="271"/>
      <c r="L491" s="272"/>
      <c r="M491" s="272"/>
      <c r="N491" s="278"/>
      <c r="O491" s="270"/>
      <c r="P491" s="275"/>
      <c r="Q491" s="271"/>
    </row>
    <row r="492" spans="1:17" ht="13.5" customHeight="1" x14ac:dyDescent="0.2">
      <c r="A492" s="233">
        <f t="shared" ca="1" si="87"/>
        <v>0</v>
      </c>
      <c r="B492" s="233">
        <f t="shared" ca="1" si="88"/>
        <v>21</v>
      </c>
      <c r="C492" s="233">
        <f t="shared" ca="1" si="89"/>
        <v>1</v>
      </c>
      <c r="D492" s="234">
        <f t="shared" ca="1" si="90"/>
        <v>1</v>
      </c>
      <c r="E492" s="234">
        <f t="shared" ca="1" si="65"/>
        <v>1</v>
      </c>
      <c r="F492" s="244"/>
      <c r="G492" s="269"/>
      <c r="H492" s="269"/>
      <c r="I492" s="269"/>
      <c r="J492" s="270"/>
      <c r="K492" s="271"/>
      <c r="L492" s="272"/>
      <c r="M492" s="272"/>
      <c r="N492" s="278"/>
      <c r="O492" s="270"/>
      <c r="P492" s="275"/>
      <c r="Q492" s="271"/>
    </row>
    <row r="493" spans="1:17" ht="13.5" customHeight="1" x14ac:dyDescent="0.2">
      <c r="A493" s="233">
        <f t="shared" ca="1" si="87"/>
        <v>0</v>
      </c>
      <c r="B493" s="233">
        <f t="shared" ca="1" si="88"/>
        <v>21</v>
      </c>
      <c r="C493" s="233">
        <f t="shared" ca="1" si="89"/>
        <v>1</v>
      </c>
      <c r="D493" s="234">
        <f t="shared" ca="1" si="90"/>
        <v>1</v>
      </c>
      <c r="E493" s="234">
        <f t="shared" ca="1" si="65"/>
        <v>1</v>
      </c>
      <c r="F493" s="244"/>
      <c r="G493" s="269"/>
      <c r="H493" s="269"/>
      <c r="I493" s="269"/>
      <c r="J493" s="270"/>
      <c r="K493" s="271"/>
      <c r="L493" s="272"/>
      <c r="M493" s="272"/>
      <c r="N493" s="278"/>
      <c r="O493" s="270"/>
      <c r="P493" s="275"/>
      <c r="Q493" s="271"/>
    </row>
    <row r="494" spans="1:17" ht="13.5" customHeight="1" x14ac:dyDescent="0.2">
      <c r="A494" s="233">
        <f t="shared" ca="1" si="87"/>
        <v>0</v>
      </c>
      <c r="B494" s="233">
        <f t="shared" ca="1" si="88"/>
        <v>21</v>
      </c>
      <c r="C494" s="233">
        <f t="shared" ca="1" si="89"/>
        <v>1</v>
      </c>
      <c r="D494" s="234">
        <f t="shared" ca="1" si="90"/>
        <v>1</v>
      </c>
      <c r="E494" s="234">
        <f t="shared" ca="1" si="65"/>
        <v>1</v>
      </c>
      <c r="F494" s="244"/>
      <c r="G494" s="269"/>
      <c r="H494" s="269"/>
      <c r="I494" s="269"/>
      <c r="J494" s="270"/>
      <c r="K494" s="271"/>
      <c r="L494" s="272"/>
      <c r="M494" s="272"/>
      <c r="N494" s="278"/>
      <c r="O494" s="270"/>
      <c r="P494" s="275"/>
      <c r="Q494" s="271"/>
    </row>
    <row r="495" spans="1:17" ht="13.5" customHeight="1" x14ac:dyDescent="0.2">
      <c r="A495" s="233">
        <f t="shared" ca="1" si="87"/>
        <v>0</v>
      </c>
      <c r="B495" s="233">
        <f t="shared" ca="1" si="88"/>
        <v>21</v>
      </c>
      <c r="C495" s="233">
        <f t="shared" ca="1" si="89"/>
        <v>1</v>
      </c>
      <c r="D495" s="234">
        <f t="shared" ca="1" si="90"/>
        <v>1</v>
      </c>
      <c r="E495" s="234">
        <f t="shared" ca="1" si="65"/>
        <v>1</v>
      </c>
      <c r="F495" s="244"/>
      <c r="G495" s="269"/>
      <c r="H495" s="269"/>
      <c r="I495" s="269"/>
      <c r="J495" s="270"/>
      <c r="K495" s="271"/>
      <c r="L495" s="272"/>
      <c r="M495" s="272"/>
      <c r="N495" s="278"/>
      <c r="O495" s="270"/>
      <c r="P495" s="275"/>
      <c r="Q495" s="271"/>
    </row>
    <row r="496" spans="1:17" ht="13.5" customHeight="1" x14ac:dyDescent="0.2">
      <c r="A496" s="233">
        <f t="shared" ca="1" si="87"/>
        <v>0</v>
      </c>
      <c r="B496" s="233">
        <f t="shared" ca="1" si="88"/>
        <v>21</v>
      </c>
      <c r="C496" s="233">
        <f t="shared" ca="1" si="89"/>
        <v>1</v>
      </c>
      <c r="D496" s="234">
        <f t="shared" ca="1" si="90"/>
        <v>1</v>
      </c>
      <c r="E496" s="234">
        <f t="shared" ca="1" si="65"/>
        <v>1</v>
      </c>
      <c r="F496" s="244"/>
      <c r="G496" s="269"/>
      <c r="H496" s="269"/>
      <c r="I496" s="269"/>
      <c r="J496" s="270"/>
      <c r="K496" s="271"/>
      <c r="L496" s="272"/>
      <c r="M496" s="272"/>
      <c r="N496" s="278"/>
      <c r="O496" s="270"/>
      <c r="P496" s="275"/>
      <c r="Q496" s="271"/>
    </row>
    <row r="497" spans="1:17" ht="13.5" customHeight="1" x14ac:dyDescent="0.2">
      <c r="A497" s="233">
        <f t="shared" ca="1" si="87"/>
        <v>0</v>
      </c>
      <c r="B497" s="233">
        <f t="shared" ca="1" si="88"/>
        <v>21</v>
      </c>
      <c r="C497" s="233">
        <f t="shared" ca="1" si="89"/>
        <v>1</v>
      </c>
      <c r="D497" s="234">
        <f t="shared" ca="1" si="90"/>
        <v>1</v>
      </c>
      <c r="E497" s="234">
        <f t="shared" ca="1" si="65"/>
        <v>1</v>
      </c>
      <c r="F497" s="244"/>
      <c r="G497" s="269"/>
      <c r="H497" s="269"/>
      <c r="I497" s="269"/>
      <c r="J497" s="270"/>
      <c r="K497" s="271"/>
      <c r="L497" s="272"/>
      <c r="M497" s="272"/>
      <c r="N497" s="278"/>
      <c r="O497" s="270"/>
      <c r="P497" s="275"/>
      <c r="Q497" s="271"/>
    </row>
    <row r="498" spans="1:17" ht="13.5" customHeight="1" x14ac:dyDescent="0.2">
      <c r="A498" s="233">
        <f t="shared" ca="1" si="87"/>
        <v>0</v>
      </c>
      <c r="B498" s="233">
        <f t="shared" ca="1" si="88"/>
        <v>21</v>
      </c>
      <c r="C498" s="233">
        <f t="shared" ca="1" si="89"/>
        <v>1</v>
      </c>
      <c r="D498" s="234">
        <f t="shared" ca="1" si="90"/>
        <v>1</v>
      </c>
      <c r="E498" s="234">
        <f t="shared" ca="1" si="65"/>
        <v>1</v>
      </c>
      <c r="F498" s="244"/>
      <c r="G498" s="269"/>
      <c r="H498" s="269"/>
      <c r="I498" s="269"/>
      <c r="J498" s="270"/>
      <c r="K498" s="271"/>
      <c r="L498" s="272"/>
      <c r="M498" s="272"/>
      <c r="N498" s="278"/>
      <c r="O498" s="270"/>
      <c r="P498" s="275"/>
      <c r="Q498" s="271"/>
    </row>
    <row r="499" spans="1:17" ht="13.5" customHeight="1" x14ac:dyDescent="0.2">
      <c r="A499" s="233">
        <f t="shared" ca="1" si="87"/>
        <v>0</v>
      </c>
      <c r="B499" s="233">
        <f t="shared" ca="1" si="88"/>
        <v>21</v>
      </c>
      <c r="C499" s="233">
        <f t="shared" ca="1" si="89"/>
        <v>1</v>
      </c>
      <c r="D499" s="234">
        <f t="shared" ca="1" si="90"/>
        <v>1</v>
      </c>
      <c r="E499" s="234">
        <f t="shared" ca="1" si="65"/>
        <v>1</v>
      </c>
      <c r="F499" s="244"/>
      <c r="G499" s="269"/>
      <c r="H499" s="269"/>
      <c r="I499" s="269"/>
      <c r="J499" s="270"/>
      <c r="K499" s="271"/>
      <c r="L499" s="272"/>
      <c r="M499" s="272"/>
      <c r="N499" s="278"/>
      <c r="O499" s="270"/>
      <c r="P499" s="275"/>
      <c r="Q499" s="271"/>
    </row>
    <row r="500" spans="1:17" ht="13.5" customHeight="1" x14ac:dyDescent="0.2">
      <c r="A500" s="233">
        <f t="shared" ca="1" si="87"/>
        <v>0</v>
      </c>
      <c r="B500" s="233">
        <f t="shared" ca="1" si="88"/>
        <v>21</v>
      </c>
      <c r="C500" s="233">
        <f t="shared" ca="1" si="89"/>
        <v>1</v>
      </c>
      <c r="D500" s="234">
        <f t="shared" ca="1" si="90"/>
        <v>1</v>
      </c>
      <c r="E500" s="234">
        <f t="shared" ca="1" si="65"/>
        <v>1</v>
      </c>
      <c r="F500" s="244"/>
      <c r="G500" s="269"/>
      <c r="H500" s="269"/>
      <c r="I500" s="269"/>
      <c r="J500" s="270"/>
      <c r="K500" s="271"/>
      <c r="L500" s="272"/>
      <c r="M500" s="272"/>
      <c r="N500" s="278"/>
      <c r="O500" s="270"/>
      <c r="P500" s="275"/>
      <c r="Q500" s="271"/>
    </row>
    <row r="501" spans="1:17" ht="13.5" customHeight="1" x14ac:dyDescent="0.2">
      <c r="A501" s="233">
        <f t="shared" ca="1" si="87"/>
        <v>0</v>
      </c>
      <c r="B501" s="233">
        <f t="shared" ca="1" si="88"/>
        <v>21</v>
      </c>
      <c r="C501" s="233">
        <f t="shared" ca="1" si="89"/>
        <v>1</v>
      </c>
      <c r="D501" s="234">
        <f t="shared" ca="1" si="90"/>
        <v>1</v>
      </c>
      <c r="E501" s="234">
        <f t="shared" ca="1" si="65"/>
        <v>1</v>
      </c>
      <c r="F501" s="244"/>
      <c r="G501" s="269"/>
      <c r="H501" s="269"/>
      <c r="I501" s="269"/>
      <c r="J501" s="270"/>
      <c r="K501" s="271"/>
      <c r="L501" s="272"/>
      <c r="M501" s="272"/>
      <c r="N501" s="278"/>
      <c r="O501" s="270"/>
      <c r="P501" s="275"/>
      <c r="Q501" s="271"/>
    </row>
    <row r="502" spans="1:17" ht="13.5" customHeight="1" x14ac:dyDescent="0.2">
      <c r="A502" s="233">
        <f t="shared" ca="1" si="87"/>
        <v>0</v>
      </c>
      <c r="B502" s="233">
        <f t="shared" ca="1" si="88"/>
        <v>21</v>
      </c>
      <c r="C502" s="233">
        <f t="shared" ca="1" si="89"/>
        <v>1</v>
      </c>
      <c r="D502" s="234">
        <f t="shared" ca="1" si="90"/>
        <v>1</v>
      </c>
      <c r="E502" s="234">
        <f t="shared" ca="1" si="65"/>
        <v>1</v>
      </c>
      <c r="F502" s="244"/>
      <c r="G502" s="269"/>
      <c r="H502" s="269"/>
      <c r="I502" s="269"/>
      <c r="J502" s="270"/>
      <c r="K502" s="271"/>
      <c r="L502" s="272"/>
      <c r="M502" s="272"/>
      <c r="N502" s="278"/>
      <c r="O502" s="270"/>
      <c r="P502" s="275"/>
      <c r="Q502" s="271"/>
    </row>
    <row r="503" spans="1:17" ht="13.5" customHeight="1" x14ac:dyDescent="0.2">
      <c r="A503" s="233">
        <f t="shared" ca="1" si="87"/>
        <v>0</v>
      </c>
      <c r="B503" s="233">
        <f t="shared" ca="1" si="88"/>
        <v>21</v>
      </c>
      <c r="C503" s="233">
        <f t="shared" ca="1" si="89"/>
        <v>1</v>
      </c>
      <c r="D503" s="234">
        <f t="shared" ca="1" si="90"/>
        <v>1</v>
      </c>
      <c r="E503" s="234">
        <f t="shared" ca="1" si="65"/>
        <v>1</v>
      </c>
      <c r="F503" s="244"/>
      <c r="G503" s="269"/>
      <c r="H503" s="269"/>
      <c r="I503" s="269"/>
      <c r="J503" s="270"/>
      <c r="K503" s="271"/>
      <c r="L503" s="272"/>
      <c r="M503" s="272"/>
      <c r="N503" s="278"/>
      <c r="O503" s="270"/>
      <c r="P503" s="275"/>
      <c r="Q503" s="271"/>
    </row>
    <row r="504" spans="1:17" ht="13.5" customHeight="1" x14ac:dyDescent="0.2">
      <c r="A504" s="233">
        <f t="shared" ca="1" si="87"/>
        <v>0</v>
      </c>
      <c r="B504" s="233">
        <f t="shared" ca="1" si="88"/>
        <v>21</v>
      </c>
      <c r="C504" s="233">
        <f t="shared" ca="1" si="89"/>
        <v>1</v>
      </c>
      <c r="D504" s="234">
        <f t="shared" ca="1" si="90"/>
        <v>1</v>
      </c>
      <c r="E504" s="234">
        <f t="shared" ca="1" si="65"/>
        <v>1</v>
      </c>
      <c r="F504" s="244"/>
      <c r="G504" s="269"/>
      <c r="H504" s="269"/>
      <c r="I504" s="269"/>
      <c r="J504" s="270"/>
      <c r="K504" s="271"/>
      <c r="L504" s="272"/>
      <c r="M504" s="272"/>
      <c r="N504" s="278"/>
      <c r="O504" s="270"/>
      <c r="P504" s="275"/>
      <c r="Q504" s="271"/>
    </row>
    <row r="505" spans="1:17" ht="13.5" customHeight="1" x14ac:dyDescent="0.2">
      <c r="A505" s="233">
        <f t="shared" ca="1" si="87"/>
        <v>0</v>
      </c>
      <c r="B505" s="233">
        <f t="shared" ca="1" si="88"/>
        <v>21</v>
      </c>
      <c r="C505" s="233">
        <f t="shared" ca="1" si="89"/>
        <v>1</v>
      </c>
      <c r="D505" s="234">
        <f t="shared" ca="1" si="90"/>
        <v>1</v>
      </c>
      <c r="E505" s="234">
        <f t="shared" ca="1" si="65"/>
        <v>1</v>
      </c>
      <c r="F505" s="244"/>
      <c r="G505" s="269"/>
      <c r="H505" s="269"/>
      <c r="I505" s="269"/>
      <c r="J505" s="270"/>
      <c r="K505" s="271"/>
      <c r="L505" s="272"/>
      <c r="M505" s="272"/>
      <c r="N505" s="278"/>
      <c r="O505" s="270"/>
      <c r="P505" s="275"/>
      <c r="Q505" s="271"/>
    </row>
    <row r="506" spans="1:17" ht="13.5" customHeight="1" x14ac:dyDescent="0.2">
      <c r="A506" s="233">
        <f t="shared" ca="1" si="87"/>
        <v>0</v>
      </c>
      <c r="B506" s="233">
        <f t="shared" ca="1" si="88"/>
        <v>21</v>
      </c>
      <c r="C506" s="233">
        <f t="shared" ca="1" si="89"/>
        <v>1</v>
      </c>
      <c r="D506" s="234">
        <f t="shared" ca="1" si="90"/>
        <v>1</v>
      </c>
      <c r="E506" s="234">
        <f t="shared" ca="1" si="65"/>
        <v>1</v>
      </c>
      <c r="F506" s="244"/>
      <c r="G506" s="269"/>
      <c r="H506" s="269"/>
      <c r="I506" s="269"/>
      <c r="J506" s="270"/>
      <c r="K506" s="271"/>
      <c r="L506" s="272"/>
      <c r="M506" s="272"/>
      <c r="N506" s="278"/>
      <c r="O506" s="270"/>
      <c r="P506" s="275"/>
      <c r="Q506" s="271"/>
    </row>
    <row r="507" spans="1:17" ht="13.5" customHeight="1" x14ac:dyDescent="0.2">
      <c r="A507" s="233">
        <f t="shared" ca="1" si="87"/>
        <v>0</v>
      </c>
      <c r="B507" s="233">
        <f t="shared" ca="1" si="88"/>
        <v>21</v>
      </c>
      <c r="C507" s="233">
        <f t="shared" ca="1" si="89"/>
        <v>1</v>
      </c>
      <c r="D507" s="234">
        <f t="shared" ca="1" si="90"/>
        <v>1</v>
      </c>
      <c r="E507" s="234">
        <f t="shared" ca="1" si="65"/>
        <v>1</v>
      </c>
      <c r="F507" s="244"/>
      <c r="G507" s="269"/>
      <c r="H507" s="269"/>
      <c r="I507" s="269"/>
      <c r="J507" s="270"/>
      <c r="K507" s="271"/>
      <c r="L507" s="272"/>
      <c r="M507" s="272"/>
      <c r="N507" s="278"/>
      <c r="O507" s="270"/>
      <c r="P507" s="275"/>
      <c r="Q507" s="271"/>
    </row>
    <row r="508" spans="1:17" ht="13.5" customHeight="1" x14ac:dyDescent="0.2">
      <c r="A508" s="233">
        <f t="shared" ca="1" si="87"/>
        <v>0</v>
      </c>
      <c r="B508" s="233">
        <f t="shared" ca="1" si="88"/>
        <v>21</v>
      </c>
      <c r="C508" s="233">
        <f t="shared" ca="1" si="89"/>
        <v>1</v>
      </c>
      <c r="D508" s="234">
        <f t="shared" ca="1" si="90"/>
        <v>1</v>
      </c>
      <c r="E508" s="234">
        <f t="shared" ca="1" si="65"/>
        <v>1</v>
      </c>
      <c r="F508" s="244"/>
      <c r="G508" s="269"/>
      <c r="H508" s="269"/>
      <c r="I508" s="269"/>
      <c r="J508" s="270"/>
      <c r="K508" s="271"/>
      <c r="L508" s="272"/>
      <c r="M508" s="272"/>
      <c r="N508" s="278"/>
      <c r="O508" s="270"/>
      <c r="P508" s="275"/>
      <c r="Q508" s="271"/>
    </row>
    <row r="509" spans="1:17" ht="13.5" customHeight="1" x14ac:dyDescent="0.2">
      <c r="A509" s="233">
        <f t="shared" ca="1" si="87"/>
        <v>0</v>
      </c>
      <c r="B509" s="233">
        <f t="shared" ca="1" si="88"/>
        <v>21</v>
      </c>
      <c r="C509" s="233">
        <f t="shared" ca="1" si="89"/>
        <v>1</v>
      </c>
      <c r="D509" s="234">
        <f t="shared" ca="1" si="90"/>
        <v>1</v>
      </c>
      <c r="E509" s="234">
        <f t="shared" ca="1" si="65"/>
        <v>1</v>
      </c>
      <c r="F509" s="244"/>
      <c r="G509" s="269"/>
      <c r="H509" s="269"/>
      <c r="I509" s="269"/>
      <c r="J509" s="270"/>
      <c r="K509" s="271"/>
      <c r="L509" s="272"/>
      <c r="M509" s="272"/>
      <c r="N509" s="278"/>
      <c r="O509" s="270"/>
      <c r="P509" s="275"/>
      <c r="Q509" s="271"/>
    </row>
    <row r="510" spans="1:17" ht="13.5" customHeight="1" x14ac:dyDescent="0.2">
      <c r="A510" s="233">
        <f t="shared" ca="1" si="87"/>
        <v>0</v>
      </c>
      <c r="B510" s="233">
        <f t="shared" ca="1" si="88"/>
        <v>21</v>
      </c>
      <c r="C510" s="233">
        <f t="shared" ca="1" si="89"/>
        <v>1</v>
      </c>
      <c r="D510" s="234">
        <f t="shared" ca="1" si="90"/>
        <v>1</v>
      </c>
      <c r="E510" s="234">
        <f t="shared" ca="1" si="65"/>
        <v>1</v>
      </c>
      <c r="F510" s="244"/>
      <c r="G510" s="269"/>
      <c r="H510" s="269"/>
      <c r="I510" s="269"/>
      <c r="J510" s="270"/>
      <c r="K510" s="271"/>
      <c r="L510" s="272"/>
      <c r="M510" s="272"/>
      <c r="N510" s="278"/>
      <c r="O510" s="270"/>
      <c r="P510" s="275"/>
      <c r="Q510" s="271"/>
    </row>
    <row r="511" spans="1:17" ht="13.5" customHeight="1" x14ac:dyDescent="0.2">
      <c r="A511" s="233">
        <f t="shared" ca="1" si="87"/>
        <v>0</v>
      </c>
      <c r="B511" s="233">
        <f t="shared" ca="1" si="88"/>
        <v>21</v>
      </c>
      <c r="C511" s="233">
        <f t="shared" ca="1" si="89"/>
        <v>1</v>
      </c>
      <c r="D511" s="234">
        <f t="shared" ca="1" si="90"/>
        <v>1</v>
      </c>
      <c r="E511" s="234">
        <f t="shared" ca="1" si="65"/>
        <v>1</v>
      </c>
      <c r="F511" s="244"/>
      <c r="G511" s="269"/>
      <c r="H511" s="269"/>
      <c r="I511" s="269"/>
      <c r="J511" s="270"/>
      <c r="K511" s="271"/>
      <c r="L511" s="272"/>
      <c r="M511" s="272"/>
      <c r="N511" s="278"/>
      <c r="O511" s="270"/>
      <c r="P511" s="275"/>
      <c r="Q511" s="271"/>
    </row>
    <row r="512" spans="1:17" ht="13.5" customHeight="1" x14ac:dyDescent="0.2">
      <c r="A512" s="233">
        <f t="shared" ca="1" si="87"/>
        <v>0</v>
      </c>
      <c r="B512" s="233">
        <f t="shared" ca="1" si="88"/>
        <v>21</v>
      </c>
      <c r="C512" s="233">
        <f t="shared" ca="1" si="89"/>
        <v>1</v>
      </c>
      <c r="D512" s="234">
        <f t="shared" ca="1" si="90"/>
        <v>1</v>
      </c>
      <c r="E512" s="234">
        <f t="shared" ca="1" si="65"/>
        <v>1</v>
      </c>
      <c r="F512" s="244"/>
      <c r="G512" s="269"/>
      <c r="H512" s="269"/>
      <c r="I512" s="269"/>
      <c r="J512" s="270"/>
      <c r="K512" s="271"/>
      <c r="L512" s="272"/>
      <c r="M512" s="272"/>
      <c r="N512" s="278"/>
      <c r="O512" s="270"/>
      <c r="P512" s="275"/>
      <c r="Q512" s="271"/>
    </row>
    <row r="513" spans="1:17" ht="13.5" customHeight="1" x14ac:dyDescent="0.2">
      <c r="A513" s="233">
        <f t="shared" ca="1" si="87"/>
        <v>0</v>
      </c>
      <c r="B513" s="233">
        <f t="shared" ca="1" si="88"/>
        <v>21</v>
      </c>
      <c r="C513" s="233">
        <f t="shared" ca="1" si="89"/>
        <v>1</v>
      </c>
      <c r="D513" s="234">
        <f t="shared" ca="1" si="90"/>
        <v>1</v>
      </c>
      <c r="E513" s="234">
        <f t="shared" ca="1" si="65"/>
        <v>1</v>
      </c>
      <c r="F513" s="244"/>
      <c r="G513" s="269"/>
      <c r="H513" s="269"/>
      <c r="I513" s="269"/>
      <c r="J513" s="270"/>
      <c r="K513" s="271"/>
      <c r="L513" s="272"/>
      <c r="M513" s="272"/>
      <c r="N513" s="278"/>
      <c r="O513" s="270"/>
      <c r="P513" s="275"/>
      <c r="Q513" s="271"/>
    </row>
    <row r="514" spans="1:17" ht="13.5" customHeight="1" x14ac:dyDescent="0.2">
      <c r="A514" s="233">
        <f t="shared" ref="A514:A577" ca="1" si="91">IF($H514="UNIDADE CONSTRUTIVA",OFFSET(A514,-1,0)+1,LARGE(A$3:A513,1))</f>
        <v>0</v>
      </c>
      <c r="B514" s="233">
        <f t="shared" ca="1" si="88"/>
        <v>21</v>
      </c>
      <c r="C514" s="233">
        <f t="shared" ca="1" si="89"/>
        <v>1</v>
      </c>
      <c r="D514" s="234">
        <f t="shared" ca="1" si="90"/>
        <v>1</v>
      </c>
      <c r="E514" s="234">
        <f t="shared" ca="1" si="65"/>
        <v>1</v>
      </c>
      <c r="F514" s="244"/>
      <c r="G514" s="269"/>
      <c r="H514" s="269"/>
      <c r="I514" s="269"/>
      <c r="J514" s="270"/>
      <c r="K514" s="271"/>
      <c r="L514" s="272"/>
      <c r="M514" s="272"/>
      <c r="N514" s="278"/>
      <c r="O514" s="270"/>
      <c r="P514" s="275"/>
      <c r="Q514" s="271"/>
    </row>
    <row r="515" spans="1:17" ht="13.5" customHeight="1" x14ac:dyDescent="0.2">
      <c r="A515" s="233">
        <f t="shared" ca="1" si="91"/>
        <v>0</v>
      </c>
      <c r="B515" s="233">
        <f t="shared" ref="B515:B578" ca="1" si="92">IF(H515="UNIDADE CONSTRUTIVA",0,IF(H515="CÉLULA CONSTRUTIVA",OFFSET(B515,-1,0)+1,OFFSET(B515,-1,0)))</f>
        <v>21</v>
      </c>
      <c r="C515" s="233">
        <f t="shared" ref="C515:C578" ca="1" si="93">IF(H515="CÉLULA CONSTRUTIVA",0,IF(H515="ETAPA",OFFSET(C515,-1,0)+1,OFFSET(C515,-1,0)))</f>
        <v>1</v>
      </c>
      <c r="D515" s="234">
        <f t="shared" ca="1" si="90"/>
        <v>1</v>
      </c>
      <c r="E515" s="234">
        <f t="shared" ca="1" si="65"/>
        <v>1</v>
      </c>
      <c r="F515" s="244"/>
      <c r="G515" s="269"/>
      <c r="H515" s="269"/>
      <c r="I515" s="269"/>
      <c r="J515" s="270"/>
      <c r="K515" s="271"/>
      <c r="L515" s="272"/>
      <c r="M515" s="272"/>
      <c r="N515" s="278"/>
      <c r="O515" s="270"/>
      <c r="P515" s="275"/>
      <c r="Q515" s="271"/>
    </row>
    <row r="516" spans="1:17" ht="13.5" customHeight="1" x14ac:dyDescent="0.2">
      <c r="A516" s="233">
        <f t="shared" ca="1" si="91"/>
        <v>0</v>
      </c>
      <c r="B516" s="233">
        <f t="shared" ca="1" si="92"/>
        <v>21</v>
      </c>
      <c r="C516" s="233">
        <f t="shared" ca="1" si="93"/>
        <v>1</v>
      </c>
      <c r="D516" s="234">
        <f t="shared" ca="1" si="90"/>
        <v>1</v>
      </c>
      <c r="E516" s="234">
        <f t="shared" ca="1" si="65"/>
        <v>1</v>
      </c>
      <c r="F516" s="244"/>
      <c r="G516" s="269"/>
      <c r="H516" s="269"/>
      <c r="I516" s="269"/>
      <c r="J516" s="270"/>
      <c r="K516" s="271"/>
      <c r="L516" s="272"/>
      <c r="M516" s="272"/>
      <c r="N516" s="278"/>
      <c r="O516" s="270"/>
      <c r="P516" s="275"/>
      <c r="Q516" s="271"/>
    </row>
    <row r="517" spans="1:17" ht="13.5" customHeight="1" x14ac:dyDescent="0.2">
      <c r="A517" s="233">
        <f t="shared" ca="1" si="91"/>
        <v>0</v>
      </c>
      <c r="B517" s="233">
        <f t="shared" ca="1" si="92"/>
        <v>21</v>
      </c>
      <c r="C517" s="233">
        <f t="shared" ca="1" si="93"/>
        <v>1</v>
      </c>
      <c r="D517" s="234">
        <f t="shared" ca="1" si="90"/>
        <v>1</v>
      </c>
      <c r="E517" s="234">
        <f t="shared" ca="1" si="65"/>
        <v>1</v>
      </c>
      <c r="F517" s="244"/>
      <c r="G517" s="269"/>
      <c r="H517" s="269"/>
      <c r="I517" s="269"/>
      <c r="J517" s="270"/>
      <c r="K517" s="271"/>
      <c r="L517" s="272"/>
      <c r="M517" s="272"/>
      <c r="N517" s="278"/>
      <c r="O517" s="270"/>
      <c r="P517" s="275"/>
      <c r="Q517" s="271"/>
    </row>
    <row r="518" spans="1:17" ht="13.5" customHeight="1" x14ac:dyDescent="0.2">
      <c r="A518" s="233">
        <f t="shared" ca="1" si="91"/>
        <v>0</v>
      </c>
      <c r="B518" s="233">
        <f t="shared" ca="1" si="92"/>
        <v>21</v>
      </c>
      <c r="C518" s="233">
        <f t="shared" ca="1" si="93"/>
        <v>1</v>
      </c>
      <c r="D518" s="234">
        <f t="shared" ca="1" si="90"/>
        <v>1</v>
      </c>
      <c r="E518" s="234">
        <f t="shared" ca="1" si="65"/>
        <v>1</v>
      </c>
      <c r="F518" s="244"/>
      <c r="G518" s="269"/>
      <c r="H518" s="269"/>
      <c r="I518" s="269"/>
      <c r="J518" s="270"/>
      <c r="K518" s="271"/>
      <c r="L518" s="272"/>
      <c r="M518" s="272"/>
      <c r="N518" s="278"/>
      <c r="O518" s="270"/>
      <c r="P518" s="275"/>
      <c r="Q518" s="271"/>
    </row>
    <row r="519" spans="1:17" ht="13.5" customHeight="1" x14ac:dyDescent="0.2">
      <c r="A519" s="233">
        <f t="shared" ca="1" si="91"/>
        <v>0</v>
      </c>
      <c r="B519" s="233">
        <f t="shared" ca="1" si="92"/>
        <v>21</v>
      </c>
      <c r="C519" s="233">
        <f t="shared" ca="1" si="93"/>
        <v>1</v>
      </c>
      <c r="D519" s="234">
        <f t="shared" ca="1" si="90"/>
        <v>1</v>
      </c>
      <c r="E519" s="234">
        <f t="shared" ca="1" si="65"/>
        <v>1</v>
      </c>
      <c r="F519" s="244"/>
      <c r="G519" s="269"/>
      <c r="H519" s="269"/>
      <c r="I519" s="269"/>
      <c r="J519" s="270"/>
      <c r="K519" s="271"/>
      <c r="L519" s="272"/>
      <c r="M519" s="272"/>
      <c r="N519" s="278"/>
      <c r="O519" s="270"/>
      <c r="P519" s="275"/>
      <c r="Q519" s="271"/>
    </row>
    <row r="520" spans="1:17" ht="13.5" customHeight="1" x14ac:dyDescent="0.2">
      <c r="A520" s="233">
        <f t="shared" ca="1" si="91"/>
        <v>0</v>
      </c>
      <c r="B520" s="233">
        <f t="shared" ca="1" si="92"/>
        <v>21</v>
      </c>
      <c r="C520" s="233">
        <f t="shared" ca="1" si="93"/>
        <v>1</v>
      </c>
      <c r="D520" s="234">
        <f t="shared" ca="1" si="90"/>
        <v>1</v>
      </c>
      <c r="E520" s="234">
        <f t="shared" ca="1" si="65"/>
        <v>1</v>
      </c>
      <c r="F520" s="244"/>
      <c r="G520" s="269"/>
      <c r="H520" s="269"/>
      <c r="I520" s="269"/>
      <c r="J520" s="270"/>
      <c r="K520" s="271"/>
      <c r="L520" s="272"/>
      <c r="M520" s="272"/>
      <c r="N520" s="278"/>
      <c r="O520" s="270"/>
      <c r="P520" s="275"/>
      <c r="Q520" s="271"/>
    </row>
    <row r="521" spans="1:17" ht="13.5" customHeight="1" x14ac:dyDescent="0.2">
      <c r="A521" s="233">
        <f t="shared" ca="1" si="91"/>
        <v>0</v>
      </c>
      <c r="B521" s="233">
        <f t="shared" ca="1" si="92"/>
        <v>21</v>
      </c>
      <c r="C521" s="233">
        <f t="shared" ca="1" si="93"/>
        <v>1</v>
      </c>
      <c r="D521" s="234">
        <f t="shared" ca="1" si="90"/>
        <v>1</v>
      </c>
      <c r="E521" s="234">
        <f t="shared" ca="1" si="65"/>
        <v>1</v>
      </c>
      <c r="F521" s="244"/>
      <c r="G521" s="269"/>
      <c r="H521" s="269"/>
      <c r="I521" s="269"/>
      <c r="J521" s="270"/>
      <c r="K521" s="271"/>
      <c r="L521" s="272"/>
      <c r="M521" s="272"/>
      <c r="N521" s="278"/>
      <c r="O521" s="270"/>
      <c r="P521" s="275"/>
      <c r="Q521" s="271"/>
    </row>
    <row r="522" spans="1:17" ht="13.5" customHeight="1" x14ac:dyDescent="0.2">
      <c r="A522" s="233">
        <f t="shared" ca="1" si="91"/>
        <v>0</v>
      </c>
      <c r="B522" s="233">
        <f t="shared" ca="1" si="92"/>
        <v>21</v>
      </c>
      <c r="C522" s="233">
        <f t="shared" ca="1" si="93"/>
        <v>1</v>
      </c>
      <c r="D522" s="234">
        <f t="shared" ca="1" si="90"/>
        <v>1</v>
      </c>
      <c r="E522" s="234">
        <f t="shared" ca="1" si="65"/>
        <v>1</v>
      </c>
      <c r="F522" s="244"/>
      <c r="G522" s="269"/>
      <c r="H522" s="269"/>
      <c r="I522" s="269"/>
      <c r="J522" s="270"/>
      <c r="K522" s="271"/>
      <c r="L522" s="272"/>
      <c r="M522" s="272"/>
      <c r="N522" s="278"/>
      <c r="O522" s="270"/>
      <c r="P522" s="275"/>
      <c r="Q522" s="271"/>
    </row>
    <row r="523" spans="1:17" ht="13.5" customHeight="1" x14ac:dyDescent="0.2">
      <c r="A523" s="233">
        <f t="shared" ca="1" si="91"/>
        <v>0</v>
      </c>
      <c r="B523" s="233">
        <f t="shared" ca="1" si="92"/>
        <v>21</v>
      </c>
      <c r="C523" s="233">
        <f t="shared" ca="1" si="93"/>
        <v>1</v>
      </c>
      <c r="D523" s="234">
        <f t="shared" ca="1" si="90"/>
        <v>1</v>
      </c>
      <c r="E523" s="234">
        <f t="shared" ca="1" si="65"/>
        <v>1</v>
      </c>
      <c r="F523" s="244"/>
      <c r="G523" s="269"/>
      <c r="H523" s="269"/>
      <c r="I523" s="269"/>
      <c r="J523" s="270"/>
      <c r="K523" s="271"/>
      <c r="L523" s="272"/>
      <c r="M523" s="272"/>
      <c r="N523" s="278"/>
      <c r="O523" s="270"/>
      <c r="P523" s="275"/>
      <c r="Q523" s="271"/>
    </row>
    <row r="524" spans="1:17" ht="13.5" customHeight="1" x14ac:dyDescent="0.2">
      <c r="A524" s="233">
        <f t="shared" ca="1" si="91"/>
        <v>0</v>
      </c>
      <c r="B524" s="233">
        <f t="shared" ca="1" si="92"/>
        <v>21</v>
      </c>
      <c r="C524" s="233">
        <f t="shared" ca="1" si="93"/>
        <v>1</v>
      </c>
      <c r="D524" s="234">
        <f t="shared" ca="1" si="90"/>
        <v>1</v>
      </c>
      <c r="E524" s="234">
        <f t="shared" ca="1" si="65"/>
        <v>1</v>
      </c>
      <c r="F524" s="244"/>
      <c r="G524" s="269"/>
      <c r="H524" s="269"/>
      <c r="I524" s="269"/>
      <c r="J524" s="270"/>
      <c r="K524" s="271"/>
      <c r="L524" s="272"/>
      <c r="M524" s="272"/>
      <c r="N524" s="278"/>
      <c r="O524" s="270"/>
      <c r="P524" s="275"/>
      <c r="Q524" s="271"/>
    </row>
    <row r="525" spans="1:17" ht="13.5" customHeight="1" x14ac:dyDescent="0.2">
      <c r="A525" s="233">
        <f t="shared" ca="1" si="91"/>
        <v>0</v>
      </c>
      <c r="B525" s="233">
        <f t="shared" ca="1" si="92"/>
        <v>21</v>
      </c>
      <c r="C525" s="233">
        <f t="shared" ca="1" si="93"/>
        <v>1</v>
      </c>
      <c r="D525" s="234">
        <f t="shared" ca="1" si="90"/>
        <v>1</v>
      </c>
      <c r="E525" s="234">
        <f t="shared" ca="1" si="65"/>
        <v>1</v>
      </c>
      <c r="F525" s="244"/>
      <c r="G525" s="269"/>
      <c r="H525" s="269"/>
      <c r="I525" s="269"/>
      <c r="J525" s="270"/>
      <c r="K525" s="271"/>
      <c r="L525" s="272"/>
      <c r="M525" s="272"/>
      <c r="N525" s="278"/>
      <c r="O525" s="270"/>
      <c r="P525" s="275"/>
      <c r="Q525" s="271"/>
    </row>
    <row r="526" spans="1:17" ht="13.5" customHeight="1" x14ac:dyDescent="0.2">
      <c r="A526" s="233">
        <f t="shared" ca="1" si="91"/>
        <v>0</v>
      </c>
      <c r="B526" s="233">
        <f t="shared" ca="1" si="92"/>
        <v>21</v>
      </c>
      <c r="C526" s="233">
        <f t="shared" ca="1" si="93"/>
        <v>1</v>
      </c>
      <c r="D526" s="234">
        <f t="shared" ca="1" si="90"/>
        <v>1</v>
      </c>
      <c r="E526" s="234">
        <f t="shared" ref="E526:E780" ca="1" si="94">IF(H526="Subetapa",0,IF(H526="serviço",OFFSET(E526,-1,0)+1,OFFSET(E526,-1,0)))</f>
        <v>1</v>
      </c>
      <c r="F526" s="244"/>
      <c r="G526" s="269"/>
      <c r="H526" s="269"/>
      <c r="I526" s="269"/>
      <c r="J526" s="270"/>
      <c r="K526" s="271"/>
      <c r="L526" s="272"/>
      <c r="M526" s="272"/>
      <c r="N526" s="278"/>
      <c r="O526" s="270"/>
      <c r="P526" s="275"/>
      <c r="Q526" s="271"/>
    </row>
    <row r="527" spans="1:17" ht="13.5" customHeight="1" x14ac:dyDescent="0.2">
      <c r="A527" s="233">
        <f t="shared" ca="1" si="91"/>
        <v>0</v>
      </c>
      <c r="B527" s="233">
        <f t="shared" ca="1" si="92"/>
        <v>21</v>
      </c>
      <c r="C527" s="233">
        <f t="shared" ca="1" si="93"/>
        <v>1</v>
      </c>
      <c r="D527" s="234">
        <f t="shared" ca="1" si="90"/>
        <v>1</v>
      </c>
      <c r="E527" s="234">
        <f t="shared" ca="1" si="94"/>
        <v>1</v>
      </c>
      <c r="F527" s="244"/>
      <c r="G527" s="269"/>
      <c r="H527" s="269"/>
      <c r="I527" s="269"/>
      <c r="J527" s="270"/>
      <c r="K527" s="271"/>
      <c r="L527" s="272"/>
      <c r="M527" s="272"/>
      <c r="N527" s="278"/>
      <c r="O527" s="270"/>
      <c r="P527" s="275"/>
      <c r="Q527" s="271"/>
    </row>
    <row r="528" spans="1:17" ht="13.5" customHeight="1" x14ac:dyDescent="0.2">
      <c r="A528" s="233">
        <f t="shared" ca="1" si="91"/>
        <v>0</v>
      </c>
      <c r="B528" s="233">
        <f t="shared" ca="1" si="92"/>
        <v>21</v>
      </c>
      <c r="C528" s="233">
        <f t="shared" ca="1" si="93"/>
        <v>1</v>
      </c>
      <c r="D528" s="234">
        <f t="shared" ca="1" si="90"/>
        <v>1</v>
      </c>
      <c r="E528" s="234">
        <f t="shared" ca="1" si="94"/>
        <v>1</v>
      </c>
      <c r="F528" s="244"/>
      <c r="G528" s="269"/>
      <c r="H528" s="269"/>
      <c r="I528" s="269"/>
      <c r="J528" s="270"/>
      <c r="K528" s="271"/>
      <c r="L528" s="272"/>
      <c r="M528" s="272"/>
      <c r="N528" s="278"/>
      <c r="O528" s="270"/>
      <c r="P528" s="275"/>
      <c r="Q528" s="271"/>
    </row>
    <row r="529" spans="1:17" ht="13.5" customHeight="1" x14ac:dyDescent="0.2">
      <c r="A529" s="233">
        <f t="shared" ca="1" si="91"/>
        <v>0</v>
      </c>
      <c r="B529" s="233">
        <f t="shared" ca="1" si="92"/>
        <v>21</v>
      </c>
      <c r="C529" s="233">
        <f t="shared" ca="1" si="93"/>
        <v>1</v>
      </c>
      <c r="D529" s="234">
        <f t="shared" ref="D529:D592" ca="1" si="95">IF(H529="ETAPA",0,IF(H529="SUBETAPA",OFFSET(D529,-1,0)+1,OFFSET(D529,-1,0)))</f>
        <v>1</v>
      </c>
      <c r="E529" s="234">
        <f t="shared" ca="1" si="94"/>
        <v>1</v>
      </c>
      <c r="F529" s="244"/>
      <c r="G529" s="269"/>
      <c r="H529" s="269"/>
      <c r="I529" s="269"/>
      <c r="J529" s="270"/>
      <c r="K529" s="271"/>
      <c r="L529" s="272"/>
      <c r="M529" s="272"/>
      <c r="N529" s="278"/>
      <c r="O529" s="270"/>
      <c r="P529" s="275"/>
      <c r="Q529" s="271"/>
    </row>
    <row r="530" spans="1:17" ht="13.5" customHeight="1" x14ac:dyDescent="0.2">
      <c r="A530" s="233">
        <f t="shared" ca="1" si="91"/>
        <v>0</v>
      </c>
      <c r="B530" s="233">
        <f t="shared" ca="1" si="92"/>
        <v>21</v>
      </c>
      <c r="C530" s="233">
        <f t="shared" ca="1" si="93"/>
        <v>1</v>
      </c>
      <c r="D530" s="234">
        <f t="shared" ca="1" si="95"/>
        <v>1</v>
      </c>
      <c r="E530" s="234">
        <f t="shared" ca="1" si="94"/>
        <v>1</v>
      </c>
      <c r="F530" s="244"/>
      <c r="G530" s="269"/>
      <c r="H530" s="269"/>
      <c r="I530" s="269"/>
      <c r="J530" s="270"/>
      <c r="K530" s="271"/>
      <c r="L530" s="272"/>
      <c r="M530" s="272"/>
      <c r="N530" s="278"/>
      <c r="O530" s="270"/>
      <c r="P530" s="275"/>
      <c r="Q530" s="271"/>
    </row>
    <row r="531" spans="1:17" ht="13.5" customHeight="1" x14ac:dyDescent="0.2">
      <c r="A531" s="233">
        <f t="shared" ca="1" si="91"/>
        <v>0</v>
      </c>
      <c r="B531" s="233">
        <f t="shared" ca="1" si="92"/>
        <v>21</v>
      </c>
      <c r="C531" s="233">
        <f t="shared" ca="1" si="93"/>
        <v>1</v>
      </c>
      <c r="D531" s="234">
        <f t="shared" ca="1" si="95"/>
        <v>1</v>
      </c>
      <c r="E531" s="234">
        <f t="shared" ca="1" si="94"/>
        <v>1</v>
      </c>
      <c r="F531" s="244"/>
      <c r="G531" s="269"/>
      <c r="H531" s="269"/>
      <c r="I531" s="269"/>
      <c r="J531" s="270"/>
      <c r="K531" s="271"/>
      <c r="L531" s="272"/>
      <c r="M531" s="272"/>
      <c r="N531" s="278"/>
      <c r="O531" s="270"/>
      <c r="P531" s="275"/>
      <c r="Q531" s="271"/>
    </row>
    <row r="532" spans="1:17" ht="13.5" customHeight="1" x14ac:dyDescent="0.2">
      <c r="A532" s="233">
        <f t="shared" ca="1" si="91"/>
        <v>0</v>
      </c>
      <c r="B532" s="233">
        <f t="shared" ca="1" si="92"/>
        <v>21</v>
      </c>
      <c r="C532" s="233">
        <f t="shared" ca="1" si="93"/>
        <v>1</v>
      </c>
      <c r="D532" s="234">
        <f t="shared" ca="1" si="95"/>
        <v>1</v>
      </c>
      <c r="E532" s="234">
        <f t="shared" ca="1" si="94"/>
        <v>1</v>
      </c>
      <c r="F532" s="244"/>
      <c r="G532" s="269"/>
      <c r="H532" s="269"/>
      <c r="I532" s="269"/>
      <c r="J532" s="270"/>
      <c r="K532" s="271"/>
      <c r="L532" s="272"/>
      <c r="M532" s="272"/>
      <c r="N532" s="278"/>
      <c r="O532" s="270"/>
      <c r="P532" s="275"/>
      <c r="Q532" s="271"/>
    </row>
    <row r="533" spans="1:17" ht="13.5" customHeight="1" x14ac:dyDescent="0.2">
      <c r="A533" s="233">
        <f t="shared" ca="1" si="91"/>
        <v>0</v>
      </c>
      <c r="B533" s="233">
        <f t="shared" ca="1" si="92"/>
        <v>21</v>
      </c>
      <c r="C533" s="233">
        <f t="shared" ca="1" si="93"/>
        <v>1</v>
      </c>
      <c r="D533" s="234">
        <f t="shared" ca="1" si="95"/>
        <v>1</v>
      </c>
      <c r="E533" s="234">
        <f t="shared" ca="1" si="94"/>
        <v>1</v>
      </c>
      <c r="F533" s="244"/>
      <c r="G533" s="269"/>
      <c r="H533" s="269"/>
      <c r="I533" s="269"/>
      <c r="J533" s="270"/>
      <c r="K533" s="271"/>
      <c r="L533" s="272"/>
      <c r="M533" s="272"/>
      <c r="N533" s="278"/>
      <c r="O533" s="270"/>
      <c r="P533" s="275"/>
      <c r="Q533" s="271"/>
    </row>
    <row r="534" spans="1:17" ht="13.5" customHeight="1" x14ac:dyDescent="0.2">
      <c r="A534" s="233">
        <f t="shared" ca="1" si="91"/>
        <v>0</v>
      </c>
      <c r="B534" s="233">
        <f t="shared" ca="1" si="92"/>
        <v>21</v>
      </c>
      <c r="C534" s="233">
        <f t="shared" ca="1" si="93"/>
        <v>1</v>
      </c>
      <c r="D534" s="234">
        <f t="shared" ca="1" si="95"/>
        <v>1</v>
      </c>
      <c r="E534" s="234">
        <f t="shared" ca="1" si="94"/>
        <v>1</v>
      </c>
      <c r="F534" s="244"/>
      <c r="G534" s="269"/>
      <c r="H534" s="269"/>
      <c r="I534" s="269"/>
      <c r="J534" s="270"/>
      <c r="K534" s="271"/>
      <c r="L534" s="272"/>
      <c r="M534" s="272"/>
      <c r="N534" s="278"/>
      <c r="O534" s="270"/>
      <c r="P534" s="275"/>
      <c r="Q534" s="271"/>
    </row>
    <row r="535" spans="1:17" ht="13.5" customHeight="1" x14ac:dyDescent="0.2">
      <c r="A535" s="233">
        <f t="shared" ca="1" si="91"/>
        <v>0</v>
      </c>
      <c r="B535" s="233">
        <f t="shared" ca="1" si="92"/>
        <v>21</v>
      </c>
      <c r="C535" s="233">
        <f t="shared" ca="1" si="93"/>
        <v>1</v>
      </c>
      <c r="D535" s="234">
        <f t="shared" ca="1" si="95"/>
        <v>1</v>
      </c>
      <c r="E535" s="234">
        <f t="shared" ca="1" si="94"/>
        <v>1</v>
      </c>
      <c r="F535" s="244"/>
      <c r="G535" s="269"/>
      <c r="H535" s="269"/>
      <c r="I535" s="269"/>
      <c r="J535" s="270"/>
      <c r="K535" s="271"/>
      <c r="L535" s="272"/>
      <c r="M535" s="272"/>
      <c r="N535" s="278"/>
      <c r="O535" s="270"/>
      <c r="P535" s="275"/>
      <c r="Q535" s="271"/>
    </row>
    <row r="536" spans="1:17" ht="13.5" customHeight="1" x14ac:dyDescent="0.2">
      <c r="A536" s="233">
        <f t="shared" ca="1" si="91"/>
        <v>0</v>
      </c>
      <c r="B536" s="233">
        <f t="shared" ca="1" si="92"/>
        <v>21</v>
      </c>
      <c r="C536" s="233">
        <f t="shared" ca="1" si="93"/>
        <v>1</v>
      </c>
      <c r="D536" s="234">
        <f t="shared" ca="1" si="95"/>
        <v>1</v>
      </c>
      <c r="E536" s="234">
        <f t="shared" ca="1" si="94"/>
        <v>1</v>
      </c>
      <c r="F536" s="244"/>
      <c r="G536" s="269"/>
      <c r="H536" s="269"/>
      <c r="I536" s="269"/>
      <c r="J536" s="270"/>
      <c r="K536" s="271"/>
      <c r="L536" s="272"/>
      <c r="M536" s="272"/>
      <c r="N536" s="278"/>
      <c r="O536" s="270"/>
      <c r="P536" s="275"/>
      <c r="Q536" s="271"/>
    </row>
    <row r="537" spans="1:17" ht="13.5" customHeight="1" x14ac:dyDescent="0.2">
      <c r="A537" s="233">
        <f t="shared" ca="1" si="91"/>
        <v>0</v>
      </c>
      <c r="B537" s="233">
        <f t="shared" ca="1" si="92"/>
        <v>21</v>
      </c>
      <c r="C537" s="233">
        <f t="shared" ca="1" si="93"/>
        <v>1</v>
      </c>
      <c r="D537" s="234">
        <f t="shared" ca="1" si="95"/>
        <v>1</v>
      </c>
      <c r="E537" s="234">
        <f t="shared" ca="1" si="94"/>
        <v>1</v>
      </c>
      <c r="F537" s="244"/>
      <c r="G537" s="269"/>
      <c r="H537" s="269"/>
      <c r="I537" s="269"/>
      <c r="J537" s="270"/>
      <c r="K537" s="271"/>
      <c r="L537" s="272"/>
      <c r="M537" s="272"/>
      <c r="N537" s="278"/>
      <c r="O537" s="270"/>
      <c r="P537" s="275"/>
      <c r="Q537" s="271"/>
    </row>
    <row r="538" spans="1:17" ht="13.5" customHeight="1" x14ac:dyDescent="0.2">
      <c r="A538" s="233">
        <f t="shared" ca="1" si="91"/>
        <v>0</v>
      </c>
      <c r="B538" s="233">
        <f t="shared" ca="1" si="92"/>
        <v>21</v>
      </c>
      <c r="C538" s="233">
        <f t="shared" ca="1" si="93"/>
        <v>1</v>
      </c>
      <c r="D538" s="234">
        <f t="shared" ca="1" si="95"/>
        <v>1</v>
      </c>
      <c r="E538" s="234">
        <f t="shared" ca="1" si="94"/>
        <v>1</v>
      </c>
      <c r="F538" s="244"/>
      <c r="G538" s="269"/>
      <c r="H538" s="269"/>
      <c r="I538" s="269"/>
      <c r="J538" s="270"/>
      <c r="K538" s="271"/>
      <c r="L538" s="272"/>
      <c r="M538" s="272"/>
      <c r="N538" s="278"/>
      <c r="O538" s="270"/>
      <c r="P538" s="275"/>
      <c r="Q538" s="271"/>
    </row>
    <row r="539" spans="1:17" ht="13.5" customHeight="1" x14ac:dyDescent="0.2">
      <c r="A539" s="233">
        <f t="shared" ca="1" si="91"/>
        <v>0</v>
      </c>
      <c r="B539" s="233">
        <f t="shared" ca="1" si="92"/>
        <v>21</v>
      </c>
      <c r="C539" s="233">
        <f t="shared" ca="1" si="93"/>
        <v>1</v>
      </c>
      <c r="D539" s="234">
        <f t="shared" ca="1" si="95"/>
        <v>1</v>
      </c>
      <c r="E539" s="234">
        <f t="shared" ca="1" si="94"/>
        <v>1</v>
      </c>
      <c r="F539" s="244"/>
      <c r="G539" s="269"/>
      <c r="H539" s="269"/>
      <c r="I539" s="269"/>
      <c r="J539" s="270"/>
      <c r="K539" s="271"/>
      <c r="L539" s="272"/>
      <c r="M539" s="272"/>
      <c r="N539" s="278"/>
      <c r="O539" s="270"/>
      <c r="P539" s="275"/>
      <c r="Q539" s="271"/>
    </row>
    <row r="540" spans="1:17" ht="13.5" customHeight="1" x14ac:dyDescent="0.2">
      <c r="A540" s="233">
        <f t="shared" ca="1" si="91"/>
        <v>0</v>
      </c>
      <c r="B540" s="233">
        <f t="shared" ca="1" si="92"/>
        <v>21</v>
      </c>
      <c r="C540" s="233">
        <f t="shared" ca="1" si="93"/>
        <v>1</v>
      </c>
      <c r="D540" s="234">
        <f t="shared" ca="1" si="95"/>
        <v>1</v>
      </c>
      <c r="E540" s="234">
        <f t="shared" ca="1" si="94"/>
        <v>1</v>
      </c>
      <c r="F540" s="244"/>
      <c r="G540" s="269"/>
      <c r="H540" s="269"/>
      <c r="I540" s="269"/>
      <c r="J540" s="270"/>
      <c r="K540" s="271"/>
      <c r="L540" s="272"/>
      <c r="M540" s="272"/>
      <c r="N540" s="278"/>
      <c r="O540" s="270"/>
      <c r="P540" s="275"/>
      <c r="Q540" s="271"/>
    </row>
    <row r="541" spans="1:17" ht="13.5" customHeight="1" x14ac:dyDescent="0.2">
      <c r="A541" s="233">
        <f t="shared" ca="1" si="91"/>
        <v>0</v>
      </c>
      <c r="B541" s="233">
        <f t="shared" ca="1" si="92"/>
        <v>21</v>
      </c>
      <c r="C541" s="233">
        <f t="shared" ca="1" si="93"/>
        <v>1</v>
      </c>
      <c r="D541" s="234">
        <f t="shared" ca="1" si="95"/>
        <v>1</v>
      </c>
      <c r="E541" s="234">
        <f t="shared" ca="1" si="94"/>
        <v>1</v>
      </c>
      <c r="F541" s="244"/>
      <c r="G541" s="269"/>
      <c r="H541" s="269"/>
      <c r="I541" s="269"/>
      <c r="J541" s="270"/>
      <c r="K541" s="271"/>
      <c r="L541" s="272"/>
      <c r="M541" s="272"/>
      <c r="N541" s="278"/>
      <c r="O541" s="270"/>
      <c r="P541" s="275"/>
      <c r="Q541" s="271"/>
    </row>
    <row r="542" spans="1:17" ht="13.5" customHeight="1" x14ac:dyDescent="0.2">
      <c r="A542" s="233">
        <f t="shared" ca="1" si="91"/>
        <v>0</v>
      </c>
      <c r="B542" s="233">
        <f t="shared" ca="1" si="92"/>
        <v>21</v>
      </c>
      <c r="C542" s="233">
        <f t="shared" ca="1" si="93"/>
        <v>1</v>
      </c>
      <c r="D542" s="234">
        <f t="shared" ca="1" si="95"/>
        <v>1</v>
      </c>
      <c r="E542" s="234">
        <f t="shared" ca="1" si="94"/>
        <v>1</v>
      </c>
      <c r="F542" s="244"/>
      <c r="G542" s="269"/>
      <c r="H542" s="269"/>
      <c r="I542" s="269"/>
      <c r="J542" s="270"/>
      <c r="K542" s="271"/>
      <c r="L542" s="272"/>
      <c r="M542" s="272"/>
      <c r="N542" s="278"/>
      <c r="O542" s="270"/>
      <c r="P542" s="275"/>
      <c r="Q542" s="271"/>
    </row>
    <row r="543" spans="1:17" ht="13.5" customHeight="1" x14ac:dyDescent="0.2">
      <c r="A543" s="233">
        <f t="shared" ca="1" si="91"/>
        <v>0</v>
      </c>
      <c r="B543" s="233">
        <f t="shared" ca="1" si="92"/>
        <v>21</v>
      </c>
      <c r="C543" s="233">
        <f t="shared" ca="1" si="93"/>
        <v>1</v>
      </c>
      <c r="D543" s="234">
        <f t="shared" ca="1" si="95"/>
        <v>1</v>
      </c>
      <c r="E543" s="234">
        <f t="shared" ca="1" si="94"/>
        <v>1</v>
      </c>
      <c r="F543" s="244"/>
      <c r="G543" s="269"/>
      <c r="H543" s="269"/>
      <c r="I543" s="269"/>
      <c r="J543" s="270"/>
      <c r="K543" s="271"/>
      <c r="L543" s="272"/>
      <c r="M543" s="272"/>
      <c r="N543" s="278"/>
      <c r="O543" s="270"/>
      <c r="P543" s="275"/>
      <c r="Q543" s="271"/>
    </row>
    <row r="544" spans="1:17" ht="13.5" customHeight="1" x14ac:dyDescent="0.2">
      <c r="A544" s="233">
        <f t="shared" ca="1" si="91"/>
        <v>0</v>
      </c>
      <c r="B544" s="233">
        <f t="shared" ca="1" si="92"/>
        <v>21</v>
      </c>
      <c r="C544" s="233">
        <f t="shared" ca="1" si="93"/>
        <v>1</v>
      </c>
      <c r="D544" s="234">
        <f t="shared" ca="1" si="95"/>
        <v>1</v>
      </c>
      <c r="E544" s="234">
        <f t="shared" ca="1" si="94"/>
        <v>1</v>
      </c>
      <c r="F544" s="244"/>
      <c r="G544" s="269"/>
      <c r="H544" s="269"/>
      <c r="I544" s="269"/>
      <c r="J544" s="270"/>
      <c r="K544" s="271"/>
      <c r="L544" s="272"/>
      <c r="M544" s="272"/>
      <c r="N544" s="278"/>
      <c r="O544" s="270"/>
      <c r="P544" s="275"/>
      <c r="Q544" s="271"/>
    </row>
    <row r="545" spans="1:17" ht="13.5" customHeight="1" x14ac:dyDescent="0.2">
      <c r="A545" s="233">
        <f t="shared" ca="1" si="91"/>
        <v>0</v>
      </c>
      <c r="B545" s="233">
        <f t="shared" ca="1" si="92"/>
        <v>21</v>
      </c>
      <c r="C545" s="233">
        <f t="shared" ca="1" si="93"/>
        <v>1</v>
      </c>
      <c r="D545" s="234">
        <f t="shared" ca="1" si="95"/>
        <v>1</v>
      </c>
      <c r="E545" s="234">
        <f t="shared" ca="1" si="94"/>
        <v>1</v>
      </c>
      <c r="F545" s="244"/>
      <c r="G545" s="269"/>
      <c r="H545" s="269"/>
      <c r="I545" s="269"/>
      <c r="J545" s="270"/>
      <c r="K545" s="271"/>
      <c r="L545" s="272"/>
      <c r="M545" s="272"/>
      <c r="N545" s="278"/>
      <c r="O545" s="270"/>
      <c r="P545" s="275"/>
      <c r="Q545" s="271"/>
    </row>
    <row r="546" spans="1:17" ht="13.5" customHeight="1" x14ac:dyDescent="0.2">
      <c r="A546" s="233">
        <f t="shared" ca="1" si="91"/>
        <v>0</v>
      </c>
      <c r="B546" s="233">
        <f t="shared" ca="1" si="92"/>
        <v>21</v>
      </c>
      <c r="C546" s="233">
        <f t="shared" ca="1" si="93"/>
        <v>1</v>
      </c>
      <c r="D546" s="234">
        <f t="shared" ca="1" si="95"/>
        <v>1</v>
      </c>
      <c r="E546" s="234">
        <f t="shared" ca="1" si="94"/>
        <v>1</v>
      </c>
      <c r="F546" s="244"/>
      <c r="G546" s="269"/>
      <c r="H546" s="269"/>
      <c r="I546" s="269"/>
      <c r="J546" s="270"/>
      <c r="K546" s="271"/>
      <c r="L546" s="272"/>
      <c r="M546" s="272"/>
      <c r="N546" s="278"/>
      <c r="O546" s="270"/>
      <c r="P546" s="275"/>
      <c r="Q546" s="271"/>
    </row>
    <row r="547" spans="1:17" ht="13.5" customHeight="1" x14ac:dyDescent="0.2">
      <c r="A547" s="233">
        <f t="shared" ca="1" si="91"/>
        <v>0</v>
      </c>
      <c r="B547" s="233">
        <f t="shared" ca="1" si="92"/>
        <v>21</v>
      </c>
      <c r="C547" s="233">
        <f t="shared" ca="1" si="93"/>
        <v>1</v>
      </c>
      <c r="D547" s="234">
        <f t="shared" ca="1" si="95"/>
        <v>1</v>
      </c>
      <c r="E547" s="234">
        <f t="shared" ca="1" si="94"/>
        <v>1</v>
      </c>
      <c r="F547" s="244"/>
      <c r="G547" s="269"/>
      <c r="H547" s="269"/>
      <c r="I547" s="269"/>
      <c r="J547" s="270"/>
      <c r="K547" s="271"/>
      <c r="L547" s="272"/>
      <c r="M547" s="272"/>
      <c r="N547" s="278"/>
      <c r="O547" s="270"/>
      <c r="P547" s="275"/>
      <c r="Q547" s="271"/>
    </row>
    <row r="548" spans="1:17" ht="13.5" customHeight="1" x14ac:dyDescent="0.2">
      <c r="A548" s="233">
        <f t="shared" ca="1" si="91"/>
        <v>0</v>
      </c>
      <c r="B548" s="233">
        <f t="shared" ca="1" si="92"/>
        <v>21</v>
      </c>
      <c r="C548" s="233">
        <f t="shared" ca="1" si="93"/>
        <v>1</v>
      </c>
      <c r="D548" s="234">
        <f t="shared" ca="1" si="95"/>
        <v>1</v>
      </c>
      <c r="E548" s="234">
        <f t="shared" ca="1" si="94"/>
        <v>1</v>
      </c>
      <c r="F548" s="244"/>
      <c r="G548" s="269"/>
      <c r="H548" s="269"/>
      <c r="I548" s="269"/>
      <c r="J548" s="270"/>
      <c r="K548" s="271"/>
      <c r="L548" s="272"/>
      <c r="M548" s="272"/>
      <c r="N548" s="278"/>
      <c r="O548" s="270"/>
      <c r="P548" s="275"/>
      <c r="Q548" s="271"/>
    </row>
    <row r="549" spans="1:17" ht="13.5" customHeight="1" x14ac:dyDescent="0.2">
      <c r="A549" s="233">
        <f t="shared" ca="1" si="91"/>
        <v>0</v>
      </c>
      <c r="B549" s="233">
        <f t="shared" ca="1" si="92"/>
        <v>21</v>
      </c>
      <c r="C549" s="233">
        <f t="shared" ca="1" si="93"/>
        <v>1</v>
      </c>
      <c r="D549" s="234">
        <f t="shared" ca="1" si="95"/>
        <v>1</v>
      </c>
      <c r="E549" s="234">
        <f t="shared" ca="1" si="94"/>
        <v>1</v>
      </c>
      <c r="F549" s="244"/>
      <c r="G549" s="269"/>
      <c r="H549" s="269"/>
      <c r="I549" s="269"/>
      <c r="J549" s="270"/>
      <c r="K549" s="271"/>
      <c r="L549" s="272"/>
      <c r="M549" s="272"/>
      <c r="N549" s="278"/>
      <c r="O549" s="270"/>
      <c r="P549" s="275"/>
      <c r="Q549" s="271"/>
    </row>
    <row r="550" spans="1:17" ht="13.5" customHeight="1" x14ac:dyDescent="0.2">
      <c r="A550" s="233">
        <f t="shared" ca="1" si="91"/>
        <v>0</v>
      </c>
      <c r="B550" s="233">
        <f t="shared" ca="1" si="92"/>
        <v>21</v>
      </c>
      <c r="C550" s="233">
        <f t="shared" ca="1" si="93"/>
        <v>1</v>
      </c>
      <c r="D550" s="234">
        <f t="shared" ca="1" si="95"/>
        <v>1</v>
      </c>
      <c r="E550" s="234">
        <f t="shared" ca="1" si="94"/>
        <v>1</v>
      </c>
      <c r="F550" s="244"/>
      <c r="G550" s="269"/>
      <c r="H550" s="269"/>
      <c r="I550" s="269"/>
      <c r="J550" s="270"/>
      <c r="K550" s="271"/>
      <c r="L550" s="272"/>
      <c r="M550" s="272"/>
      <c r="N550" s="278"/>
      <c r="O550" s="270"/>
      <c r="P550" s="275"/>
      <c r="Q550" s="271"/>
    </row>
    <row r="551" spans="1:17" ht="13.5" customHeight="1" x14ac:dyDescent="0.2">
      <c r="A551" s="233">
        <f t="shared" ca="1" si="91"/>
        <v>0</v>
      </c>
      <c r="B551" s="233">
        <f t="shared" ca="1" si="92"/>
        <v>21</v>
      </c>
      <c r="C551" s="233">
        <f t="shared" ca="1" si="93"/>
        <v>1</v>
      </c>
      <c r="D551" s="234">
        <f t="shared" ca="1" si="95"/>
        <v>1</v>
      </c>
      <c r="E551" s="234">
        <f t="shared" ca="1" si="94"/>
        <v>1</v>
      </c>
      <c r="F551" s="244"/>
      <c r="G551" s="269"/>
      <c r="H551" s="269"/>
      <c r="I551" s="269"/>
      <c r="J551" s="270"/>
      <c r="K551" s="271"/>
      <c r="L551" s="272"/>
      <c r="M551" s="272"/>
      <c r="N551" s="278"/>
      <c r="O551" s="270"/>
      <c r="P551" s="275"/>
      <c r="Q551" s="271"/>
    </row>
    <row r="552" spans="1:17" ht="13.5" customHeight="1" x14ac:dyDescent="0.2">
      <c r="A552" s="233">
        <f t="shared" ca="1" si="91"/>
        <v>0</v>
      </c>
      <c r="B552" s="233">
        <f t="shared" ca="1" si="92"/>
        <v>21</v>
      </c>
      <c r="C552" s="233">
        <f t="shared" ca="1" si="93"/>
        <v>1</v>
      </c>
      <c r="D552" s="234">
        <f t="shared" ca="1" si="95"/>
        <v>1</v>
      </c>
      <c r="E552" s="234">
        <f t="shared" ca="1" si="94"/>
        <v>1</v>
      </c>
      <c r="F552" s="244"/>
      <c r="G552" s="269"/>
      <c r="H552" s="269"/>
      <c r="I552" s="269"/>
      <c r="J552" s="270"/>
      <c r="K552" s="271"/>
      <c r="L552" s="272"/>
      <c r="M552" s="272"/>
      <c r="N552" s="278"/>
      <c r="O552" s="270"/>
      <c r="P552" s="275"/>
      <c r="Q552" s="271"/>
    </row>
    <row r="553" spans="1:17" ht="13.5" customHeight="1" x14ac:dyDescent="0.2">
      <c r="A553" s="233">
        <f t="shared" ca="1" si="91"/>
        <v>0</v>
      </c>
      <c r="B553" s="233">
        <f t="shared" ca="1" si="92"/>
        <v>21</v>
      </c>
      <c r="C553" s="233">
        <f t="shared" ca="1" si="93"/>
        <v>1</v>
      </c>
      <c r="D553" s="234">
        <f t="shared" ca="1" si="95"/>
        <v>1</v>
      </c>
      <c r="E553" s="234">
        <f t="shared" ca="1" si="94"/>
        <v>1</v>
      </c>
      <c r="F553" s="244"/>
      <c r="G553" s="269"/>
      <c r="H553" s="269"/>
      <c r="I553" s="269"/>
      <c r="J553" s="270"/>
      <c r="K553" s="271"/>
      <c r="L553" s="272"/>
      <c r="M553" s="272"/>
      <c r="N553" s="278"/>
      <c r="O553" s="270"/>
      <c r="P553" s="275"/>
      <c r="Q553" s="271"/>
    </row>
    <row r="554" spans="1:17" ht="13.5" customHeight="1" x14ac:dyDescent="0.2">
      <c r="A554" s="233">
        <f t="shared" ca="1" si="91"/>
        <v>0</v>
      </c>
      <c r="B554" s="233">
        <f t="shared" ca="1" si="92"/>
        <v>21</v>
      </c>
      <c r="C554" s="233">
        <f t="shared" ca="1" si="93"/>
        <v>1</v>
      </c>
      <c r="D554" s="234">
        <f t="shared" ca="1" si="95"/>
        <v>1</v>
      </c>
      <c r="E554" s="234">
        <f t="shared" ca="1" si="94"/>
        <v>1</v>
      </c>
      <c r="F554" s="244"/>
      <c r="G554" s="269"/>
      <c r="H554" s="269"/>
      <c r="I554" s="269"/>
      <c r="J554" s="270"/>
      <c r="K554" s="271"/>
      <c r="L554" s="272"/>
      <c r="M554" s="272"/>
      <c r="N554" s="278"/>
      <c r="O554" s="270"/>
      <c r="P554" s="275"/>
      <c r="Q554" s="271"/>
    </row>
    <row r="555" spans="1:17" ht="13.5" customHeight="1" x14ac:dyDescent="0.2">
      <c r="A555" s="233">
        <f t="shared" ca="1" si="91"/>
        <v>0</v>
      </c>
      <c r="B555" s="233">
        <f t="shared" ca="1" si="92"/>
        <v>21</v>
      </c>
      <c r="C555" s="233">
        <f t="shared" ca="1" si="93"/>
        <v>1</v>
      </c>
      <c r="D555" s="234">
        <f t="shared" ca="1" si="95"/>
        <v>1</v>
      </c>
      <c r="E555" s="234">
        <f t="shared" ca="1" si="94"/>
        <v>1</v>
      </c>
      <c r="F555" s="244"/>
      <c r="G555" s="269"/>
      <c r="H555" s="269"/>
      <c r="I555" s="269"/>
      <c r="J555" s="270"/>
      <c r="K555" s="271"/>
      <c r="L555" s="272"/>
      <c r="M555" s="272"/>
      <c r="N555" s="278"/>
      <c r="O555" s="270"/>
      <c r="P555" s="275"/>
      <c r="Q555" s="271"/>
    </row>
    <row r="556" spans="1:17" ht="13.5" customHeight="1" x14ac:dyDescent="0.2">
      <c r="A556" s="233">
        <f t="shared" ca="1" si="91"/>
        <v>0</v>
      </c>
      <c r="B556" s="233">
        <f t="shared" ca="1" si="92"/>
        <v>21</v>
      </c>
      <c r="C556" s="233">
        <f t="shared" ca="1" si="93"/>
        <v>1</v>
      </c>
      <c r="D556" s="234">
        <f t="shared" ca="1" si="95"/>
        <v>1</v>
      </c>
      <c r="E556" s="234">
        <f t="shared" ca="1" si="94"/>
        <v>1</v>
      </c>
      <c r="F556" s="244"/>
      <c r="G556" s="269"/>
      <c r="H556" s="269"/>
      <c r="I556" s="269"/>
      <c r="J556" s="270"/>
      <c r="K556" s="271"/>
      <c r="L556" s="272"/>
      <c r="M556" s="272"/>
      <c r="N556" s="278"/>
      <c r="O556" s="270"/>
      <c r="P556" s="275"/>
      <c r="Q556" s="271"/>
    </row>
    <row r="557" spans="1:17" ht="13.5" customHeight="1" x14ac:dyDescent="0.2">
      <c r="A557" s="233">
        <f t="shared" ca="1" si="91"/>
        <v>0</v>
      </c>
      <c r="B557" s="233">
        <f t="shared" ca="1" si="92"/>
        <v>21</v>
      </c>
      <c r="C557" s="233">
        <f t="shared" ca="1" si="93"/>
        <v>1</v>
      </c>
      <c r="D557" s="234">
        <f t="shared" ca="1" si="95"/>
        <v>1</v>
      </c>
      <c r="E557" s="234">
        <f t="shared" ca="1" si="94"/>
        <v>1</v>
      </c>
      <c r="F557" s="244"/>
      <c r="G557" s="269"/>
      <c r="H557" s="269"/>
      <c r="I557" s="269"/>
      <c r="J557" s="270"/>
      <c r="K557" s="271"/>
      <c r="L557" s="272"/>
      <c r="M557" s="272"/>
      <c r="N557" s="278"/>
      <c r="O557" s="270"/>
      <c r="P557" s="275"/>
      <c r="Q557" s="271"/>
    </row>
    <row r="558" spans="1:17" ht="13.5" customHeight="1" x14ac:dyDescent="0.2">
      <c r="A558" s="233">
        <f t="shared" ca="1" si="91"/>
        <v>0</v>
      </c>
      <c r="B558" s="233">
        <f t="shared" ca="1" si="92"/>
        <v>21</v>
      </c>
      <c r="C558" s="233">
        <f t="shared" ca="1" si="93"/>
        <v>1</v>
      </c>
      <c r="D558" s="234">
        <f t="shared" ca="1" si="95"/>
        <v>1</v>
      </c>
      <c r="E558" s="234">
        <f t="shared" ca="1" si="94"/>
        <v>1</v>
      </c>
      <c r="F558" s="244"/>
      <c r="G558" s="269"/>
      <c r="H558" s="269"/>
      <c r="I558" s="269"/>
      <c r="J558" s="270"/>
      <c r="K558" s="271"/>
      <c r="L558" s="272"/>
      <c r="M558" s="272"/>
      <c r="N558" s="278"/>
      <c r="O558" s="270"/>
      <c r="P558" s="275"/>
      <c r="Q558" s="271"/>
    </row>
    <row r="559" spans="1:17" ht="13.5" customHeight="1" x14ac:dyDescent="0.2">
      <c r="A559" s="233">
        <f t="shared" ca="1" si="91"/>
        <v>0</v>
      </c>
      <c r="B559" s="233">
        <f t="shared" ca="1" si="92"/>
        <v>21</v>
      </c>
      <c r="C559" s="233">
        <f t="shared" ca="1" si="93"/>
        <v>1</v>
      </c>
      <c r="D559" s="234">
        <f t="shared" ca="1" si="95"/>
        <v>1</v>
      </c>
      <c r="E559" s="234">
        <f t="shared" ca="1" si="94"/>
        <v>1</v>
      </c>
      <c r="F559" s="244"/>
      <c r="G559" s="269"/>
      <c r="H559" s="269"/>
      <c r="I559" s="269"/>
      <c r="J559" s="270"/>
      <c r="K559" s="271"/>
      <c r="L559" s="272"/>
      <c r="M559" s="272"/>
      <c r="N559" s="278"/>
      <c r="O559" s="270"/>
      <c r="P559" s="275"/>
      <c r="Q559" s="271"/>
    </row>
    <row r="560" spans="1:17" ht="13.5" customHeight="1" x14ac:dyDescent="0.2">
      <c r="A560" s="233">
        <f t="shared" ca="1" si="91"/>
        <v>0</v>
      </c>
      <c r="B560" s="233">
        <f t="shared" ca="1" si="92"/>
        <v>21</v>
      </c>
      <c r="C560" s="233">
        <f t="shared" ca="1" si="93"/>
        <v>1</v>
      </c>
      <c r="D560" s="234">
        <f t="shared" ca="1" si="95"/>
        <v>1</v>
      </c>
      <c r="E560" s="234">
        <f t="shared" ca="1" si="94"/>
        <v>1</v>
      </c>
      <c r="F560" s="244"/>
      <c r="G560" s="269"/>
      <c r="H560" s="269"/>
      <c r="I560" s="269"/>
      <c r="J560" s="270"/>
      <c r="K560" s="271"/>
      <c r="L560" s="272"/>
      <c r="M560" s="272"/>
      <c r="N560" s="278"/>
      <c r="O560" s="270"/>
      <c r="P560" s="275"/>
      <c r="Q560" s="271"/>
    </row>
    <row r="561" spans="1:17" ht="13.5" customHeight="1" x14ac:dyDescent="0.2">
      <c r="A561" s="233">
        <f t="shared" ca="1" si="91"/>
        <v>0</v>
      </c>
      <c r="B561" s="233">
        <f t="shared" ca="1" si="92"/>
        <v>21</v>
      </c>
      <c r="C561" s="233">
        <f t="shared" ca="1" si="93"/>
        <v>1</v>
      </c>
      <c r="D561" s="234">
        <f t="shared" ca="1" si="95"/>
        <v>1</v>
      </c>
      <c r="E561" s="234">
        <f t="shared" ca="1" si="94"/>
        <v>1</v>
      </c>
      <c r="F561" s="244"/>
      <c r="G561" s="269"/>
      <c r="H561" s="269"/>
      <c r="I561" s="269"/>
      <c r="J561" s="270"/>
      <c r="K561" s="271"/>
      <c r="L561" s="272"/>
      <c r="M561" s="272"/>
      <c r="N561" s="278"/>
      <c r="O561" s="270"/>
      <c r="P561" s="275"/>
      <c r="Q561" s="271"/>
    </row>
    <row r="562" spans="1:17" ht="13.5" customHeight="1" x14ac:dyDescent="0.2">
      <c r="A562" s="233">
        <f t="shared" ca="1" si="91"/>
        <v>0</v>
      </c>
      <c r="B562" s="233">
        <f t="shared" ca="1" si="92"/>
        <v>21</v>
      </c>
      <c r="C562" s="233">
        <f t="shared" ca="1" si="93"/>
        <v>1</v>
      </c>
      <c r="D562" s="234">
        <f t="shared" ca="1" si="95"/>
        <v>1</v>
      </c>
      <c r="E562" s="234">
        <f t="shared" ca="1" si="94"/>
        <v>1</v>
      </c>
      <c r="F562" s="244"/>
      <c r="G562" s="269"/>
      <c r="H562" s="269"/>
      <c r="I562" s="269"/>
      <c r="J562" s="270"/>
      <c r="K562" s="271"/>
      <c r="L562" s="272"/>
      <c r="M562" s="272"/>
      <c r="N562" s="278"/>
      <c r="O562" s="270"/>
      <c r="P562" s="275"/>
      <c r="Q562" s="271"/>
    </row>
    <row r="563" spans="1:17" ht="13.5" customHeight="1" x14ac:dyDescent="0.2">
      <c r="A563" s="233">
        <f t="shared" ca="1" si="91"/>
        <v>0</v>
      </c>
      <c r="B563" s="233">
        <f t="shared" ca="1" si="92"/>
        <v>21</v>
      </c>
      <c r="C563" s="233">
        <f t="shared" ca="1" si="93"/>
        <v>1</v>
      </c>
      <c r="D563" s="234">
        <f t="shared" ca="1" si="95"/>
        <v>1</v>
      </c>
      <c r="E563" s="234">
        <f t="shared" ca="1" si="94"/>
        <v>1</v>
      </c>
      <c r="F563" s="244"/>
      <c r="G563" s="269"/>
      <c r="H563" s="269"/>
      <c r="I563" s="269"/>
      <c r="J563" s="270"/>
      <c r="K563" s="271"/>
      <c r="L563" s="272"/>
      <c r="M563" s="272"/>
      <c r="N563" s="278"/>
      <c r="O563" s="270"/>
      <c r="P563" s="275"/>
      <c r="Q563" s="271"/>
    </row>
    <row r="564" spans="1:17" ht="13.5" customHeight="1" x14ac:dyDescent="0.2">
      <c r="A564" s="233">
        <f t="shared" ca="1" si="91"/>
        <v>0</v>
      </c>
      <c r="B564" s="233">
        <f t="shared" ca="1" si="92"/>
        <v>21</v>
      </c>
      <c r="C564" s="233">
        <f t="shared" ca="1" si="93"/>
        <v>1</v>
      </c>
      <c r="D564" s="234">
        <f t="shared" ca="1" si="95"/>
        <v>1</v>
      </c>
      <c r="E564" s="234">
        <f t="shared" ca="1" si="94"/>
        <v>1</v>
      </c>
      <c r="F564" s="244"/>
      <c r="G564" s="269"/>
      <c r="H564" s="269"/>
      <c r="I564" s="269"/>
      <c r="J564" s="270"/>
      <c r="K564" s="271"/>
      <c r="L564" s="272"/>
      <c r="M564" s="272"/>
      <c r="N564" s="278"/>
      <c r="O564" s="270"/>
      <c r="P564" s="275"/>
      <c r="Q564" s="271"/>
    </row>
    <row r="565" spans="1:17" ht="13.5" customHeight="1" x14ac:dyDescent="0.2">
      <c r="A565" s="233">
        <f t="shared" ca="1" si="91"/>
        <v>0</v>
      </c>
      <c r="B565" s="233">
        <f t="shared" ca="1" si="92"/>
        <v>21</v>
      </c>
      <c r="C565" s="233">
        <f t="shared" ca="1" si="93"/>
        <v>1</v>
      </c>
      <c r="D565" s="234">
        <f t="shared" ca="1" si="95"/>
        <v>1</v>
      </c>
      <c r="E565" s="234">
        <f t="shared" ca="1" si="94"/>
        <v>1</v>
      </c>
      <c r="F565" s="244"/>
      <c r="G565" s="269"/>
      <c r="H565" s="269"/>
      <c r="I565" s="269"/>
      <c r="J565" s="270"/>
      <c r="K565" s="271"/>
      <c r="L565" s="272"/>
      <c r="M565" s="272"/>
      <c r="N565" s="278"/>
      <c r="O565" s="270"/>
      <c r="P565" s="275"/>
      <c r="Q565" s="271"/>
    </row>
    <row r="566" spans="1:17" ht="13.5" customHeight="1" x14ac:dyDescent="0.2">
      <c r="A566" s="233">
        <f t="shared" ca="1" si="91"/>
        <v>0</v>
      </c>
      <c r="B566" s="233">
        <f t="shared" ca="1" si="92"/>
        <v>21</v>
      </c>
      <c r="C566" s="233">
        <f t="shared" ca="1" si="93"/>
        <v>1</v>
      </c>
      <c r="D566" s="234">
        <f t="shared" ca="1" si="95"/>
        <v>1</v>
      </c>
      <c r="E566" s="234">
        <f t="shared" ca="1" si="94"/>
        <v>1</v>
      </c>
      <c r="F566" s="244"/>
      <c r="G566" s="269"/>
      <c r="H566" s="269"/>
      <c r="I566" s="269"/>
      <c r="J566" s="270"/>
      <c r="K566" s="271"/>
      <c r="L566" s="272"/>
      <c r="M566" s="272"/>
      <c r="N566" s="278"/>
      <c r="O566" s="270"/>
      <c r="P566" s="275"/>
      <c r="Q566" s="271"/>
    </row>
    <row r="567" spans="1:17" ht="13.5" customHeight="1" x14ac:dyDescent="0.2">
      <c r="A567" s="233">
        <f t="shared" ca="1" si="91"/>
        <v>0</v>
      </c>
      <c r="B567" s="233">
        <f t="shared" ca="1" si="92"/>
        <v>21</v>
      </c>
      <c r="C567" s="233">
        <f t="shared" ca="1" si="93"/>
        <v>1</v>
      </c>
      <c r="D567" s="234">
        <f t="shared" ca="1" si="95"/>
        <v>1</v>
      </c>
      <c r="E567" s="234">
        <f t="shared" ca="1" si="94"/>
        <v>1</v>
      </c>
      <c r="F567" s="244"/>
      <c r="G567" s="269"/>
      <c r="H567" s="269"/>
      <c r="I567" s="269"/>
      <c r="J567" s="270"/>
      <c r="K567" s="271"/>
      <c r="L567" s="272"/>
      <c r="M567" s="272"/>
      <c r="N567" s="278"/>
      <c r="O567" s="270"/>
      <c r="P567" s="275"/>
      <c r="Q567" s="271"/>
    </row>
    <row r="568" spans="1:17" ht="13.5" customHeight="1" x14ac:dyDescent="0.2">
      <c r="A568" s="233">
        <f t="shared" ca="1" si="91"/>
        <v>0</v>
      </c>
      <c r="B568" s="233">
        <f t="shared" ca="1" si="92"/>
        <v>21</v>
      </c>
      <c r="C568" s="233">
        <f t="shared" ca="1" si="93"/>
        <v>1</v>
      </c>
      <c r="D568" s="234">
        <f t="shared" ca="1" si="95"/>
        <v>1</v>
      </c>
      <c r="E568" s="234">
        <f t="shared" ca="1" si="94"/>
        <v>1</v>
      </c>
      <c r="F568" s="244"/>
      <c r="G568" s="269"/>
      <c r="H568" s="269"/>
      <c r="I568" s="269"/>
      <c r="J568" s="270"/>
      <c r="K568" s="271"/>
      <c r="L568" s="272"/>
      <c r="M568" s="272"/>
      <c r="N568" s="278"/>
      <c r="O568" s="270"/>
      <c r="P568" s="275"/>
      <c r="Q568" s="271"/>
    </row>
    <row r="569" spans="1:17" ht="13.5" customHeight="1" x14ac:dyDescent="0.2">
      <c r="A569" s="233">
        <f t="shared" ca="1" si="91"/>
        <v>0</v>
      </c>
      <c r="B569" s="233">
        <f t="shared" ca="1" si="92"/>
        <v>21</v>
      </c>
      <c r="C569" s="233">
        <f t="shared" ca="1" si="93"/>
        <v>1</v>
      </c>
      <c r="D569" s="234">
        <f t="shared" ca="1" si="95"/>
        <v>1</v>
      </c>
      <c r="E569" s="234">
        <f t="shared" ca="1" si="94"/>
        <v>1</v>
      </c>
      <c r="F569" s="244"/>
      <c r="G569" s="269"/>
      <c r="H569" s="269"/>
      <c r="I569" s="269"/>
      <c r="J569" s="270"/>
      <c r="K569" s="271"/>
      <c r="L569" s="272"/>
      <c r="M569" s="272"/>
      <c r="N569" s="278"/>
      <c r="O569" s="270"/>
      <c r="P569" s="275"/>
      <c r="Q569" s="271"/>
    </row>
    <row r="570" spans="1:17" ht="13.5" customHeight="1" x14ac:dyDescent="0.2">
      <c r="A570" s="233">
        <f t="shared" ca="1" si="91"/>
        <v>0</v>
      </c>
      <c r="B570" s="233">
        <f t="shared" ca="1" si="92"/>
        <v>21</v>
      </c>
      <c r="C570" s="233">
        <f t="shared" ca="1" si="93"/>
        <v>1</v>
      </c>
      <c r="D570" s="234">
        <f t="shared" ca="1" si="95"/>
        <v>1</v>
      </c>
      <c r="E570" s="234">
        <f t="shared" ca="1" si="94"/>
        <v>1</v>
      </c>
      <c r="F570" s="244"/>
      <c r="G570" s="269"/>
      <c r="H570" s="269"/>
      <c r="I570" s="269"/>
      <c r="J570" s="270"/>
      <c r="K570" s="271"/>
      <c r="L570" s="272"/>
      <c r="M570" s="272"/>
      <c r="N570" s="278"/>
      <c r="O570" s="270"/>
      <c r="P570" s="275"/>
      <c r="Q570" s="271"/>
    </row>
    <row r="571" spans="1:17" ht="13.5" customHeight="1" x14ac:dyDescent="0.2">
      <c r="A571" s="233">
        <f t="shared" ca="1" si="91"/>
        <v>0</v>
      </c>
      <c r="B571" s="233">
        <f t="shared" ca="1" si="92"/>
        <v>21</v>
      </c>
      <c r="C571" s="233">
        <f t="shared" ca="1" si="93"/>
        <v>1</v>
      </c>
      <c r="D571" s="234">
        <f t="shared" ca="1" si="95"/>
        <v>1</v>
      </c>
      <c r="E571" s="234">
        <f t="shared" ca="1" si="94"/>
        <v>1</v>
      </c>
      <c r="F571" s="244"/>
      <c r="G571" s="269"/>
      <c r="H571" s="269"/>
      <c r="I571" s="269"/>
      <c r="J571" s="270"/>
      <c r="K571" s="271"/>
      <c r="L571" s="272"/>
      <c r="M571" s="272"/>
      <c r="N571" s="278"/>
      <c r="O571" s="270"/>
      <c r="P571" s="275"/>
      <c r="Q571" s="271"/>
    </row>
    <row r="572" spans="1:17" ht="13.5" customHeight="1" x14ac:dyDescent="0.2">
      <c r="A572" s="233">
        <f t="shared" ca="1" si="91"/>
        <v>0</v>
      </c>
      <c r="B572" s="233">
        <f t="shared" ca="1" si="92"/>
        <v>21</v>
      </c>
      <c r="C572" s="233">
        <f t="shared" ca="1" si="93"/>
        <v>1</v>
      </c>
      <c r="D572" s="234">
        <f t="shared" ca="1" si="95"/>
        <v>1</v>
      </c>
      <c r="E572" s="234">
        <f t="shared" ca="1" si="94"/>
        <v>1</v>
      </c>
      <c r="F572" s="244"/>
      <c r="G572" s="269"/>
      <c r="H572" s="269"/>
      <c r="I572" s="269"/>
      <c r="J572" s="270"/>
      <c r="K572" s="271"/>
      <c r="L572" s="272"/>
      <c r="M572" s="272"/>
      <c r="N572" s="278"/>
      <c r="O572" s="270"/>
      <c r="P572" s="275"/>
      <c r="Q572" s="271"/>
    </row>
    <row r="573" spans="1:17" ht="13.5" customHeight="1" x14ac:dyDescent="0.2">
      <c r="A573" s="233">
        <f t="shared" ca="1" si="91"/>
        <v>0</v>
      </c>
      <c r="B573" s="233">
        <f t="shared" ca="1" si="92"/>
        <v>21</v>
      </c>
      <c r="C573" s="233">
        <f t="shared" ca="1" si="93"/>
        <v>1</v>
      </c>
      <c r="D573" s="234">
        <f t="shared" ca="1" si="95"/>
        <v>1</v>
      </c>
      <c r="E573" s="234">
        <f t="shared" ca="1" si="94"/>
        <v>1</v>
      </c>
      <c r="F573" s="244"/>
      <c r="G573" s="269"/>
      <c r="H573" s="269"/>
      <c r="I573" s="269"/>
      <c r="J573" s="270"/>
      <c r="K573" s="271"/>
      <c r="L573" s="272"/>
      <c r="M573" s="272"/>
      <c r="N573" s="278"/>
      <c r="O573" s="270"/>
      <c r="P573" s="275"/>
      <c r="Q573" s="271"/>
    </row>
    <row r="574" spans="1:17" ht="13.5" customHeight="1" x14ac:dyDescent="0.2">
      <c r="A574" s="233">
        <f t="shared" ca="1" si="91"/>
        <v>0</v>
      </c>
      <c r="B574" s="233">
        <f t="shared" ca="1" si="92"/>
        <v>21</v>
      </c>
      <c r="C574" s="233">
        <f t="shared" ca="1" si="93"/>
        <v>1</v>
      </c>
      <c r="D574" s="234">
        <f t="shared" ca="1" si="95"/>
        <v>1</v>
      </c>
      <c r="E574" s="234">
        <f t="shared" ca="1" si="94"/>
        <v>1</v>
      </c>
      <c r="F574" s="244"/>
      <c r="G574" s="269"/>
      <c r="H574" s="269"/>
      <c r="I574" s="269"/>
      <c r="J574" s="270"/>
      <c r="K574" s="271"/>
      <c r="L574" s="272"/>
      <c r="M574" s="272"/>
      <c r="N574" s="278"/>
      <c r="O574" s="270"/>
      <c r="P574" s="275"/>
      <c r="Q574" s="271"/>
    </row>
    <row r="575" spans="1:17" ht="13.5" customHeight="1" x14ac:dyDescent="0.2">
      <c r="A575" s="233">
        <f t="shared" ca="1" si="91"/>
        <v>0</v>
      </c>
      <c r="B575" s="233">
        <f t="shared" ca="1" si="92"/>
        <v>21</v>
      </c>
      <c r="C575" s="233">
        <f t="shared" ca="1" si="93"/>
        <v>1</v>
      </c>
      <c r="D575" s="234">
        <f t="shared" ca="1" si="95"/>
        <v>1</v>
      </c>
      <c r="E575" s="234">
        <f t="shared" ca="1" si="94"/>
        <v>1</v>
      </c>
      <c r="F575" s="244"/>
      <c r="G575" s="269"/>
      <c r="H575" s="269"/>
      <c r="I575" s="269"/>
      <c r="J575" s="270"/>
      <c r="K575" s="271"/>
      <c r="L575" s="272"/>
      <c r="M575" s="272"/>
      <c r="N575" s="278"/>
      <c r="O575" s="270"/>
      <c r="P575" s="275"/>
      <c r="Q575" s="271"/>
    </row>
    <row r="576" spans="1:17" ht="13.5" customHeight="1" x14ac:dyDescent="0.2">
      <c r="A576" s="233">
        <f t="shared" ca="1" si="91"/>
        <v>0</v>
      </c>
      <c r="B576" s="233">
        <f t="shared" ca="1" si="92"/>
        <v>21</v>
      </c>
      <c r="C576" s="233">
        <f t="shared" ca="1" si="93"/>
        <v>1</v>
      </c>
      <c r="D576" s="234">
        <f t="shared" ca="1" si="95"/>
        <v>1</v>
      </c>
      <c r="E576" s="234">
        <f t="shared" ca="1" si="94"/>
        <v>1</v>
      </c>
      <c r="F576" s="244"/>
      <c r="G576" s="269"/>
      <c r="H576" s="269"/>
      <c r="I576" s="269"/>
      <c r="J576" s="270"/>
      <c r="K576" s="271"/>
      <c r="L576" s="272"/>
      <c r="M576" s="272"/>
      <c r="N576" s="278"/>
      <c r="O576" s="270"/>
      <c r="P576" s="275"/>
      <c r="Q576" s="271"/>
    </row>
    <row r="577" spans="1:17" ht="13.5" customHeight="1" x14ac:dyDescent="0.2">
      <c r="A577" s="233">
        <f t="shared" ca="1" si="91"/>
        <v>0</v>
      </c>
      <c r="B577" s="233">
        <f t="shared" ca="1" si="92"/>
        <v>21</v>
      </c>
      <c r="C577" s="233">
        <f t="shared" ca="1" si="93"/>
        <v>1</v>
      </c>
      <c r="D577" s="234">
        <f t="shared" ca="1" si="95"/>
        <v>1</v>
      </c>
      <c r="E577" s="234">
        <f t="shared" ca="1" si="94"/>
        <v>1</v>
      </c>
      <c r="F577" s="244"/>
      <c r="G577" s="269"/>
      <c r="H577" s="269"/>
      <c r="I577" s="269"/>
      <c r="J577" s="270"/>
      <c r="K577" s="271"/>
      <c r="L577" s="272"/>
      <c r="M577" s="272"/>
      <c r="N577" s="278"/>
      <c r="O577" s="270"/>
      <c r="P577" s="275"/>
      <c r="Q577" s="271"/>
    </row>
    <row r="578" spans="1:17" ht="13.5" customHeight="1" x14ac:dyDescent="0.2">
      <c r="A578" s="233">
        <f t="shared" ref="A578:A641" ca="1" si="96">IF($H578="UNIDADE CONSTRUTIVA",OFFSET(A578,-1,0)+1,LARGE(A$3:A577,1))</f>
        <v>0</v>
      </c>
      <c r="B578" s="233">
        <f t="shared" ca="1" si="92"/>
        <v>21</v>
      </c>
      <c r="C578" s="233">
        <f t="shared" ca="1" si="93"/>
        <v>1</v>
      </c>
      <c r="D578" s="234">
        <f t="shared" ca="1" si="95"/>
        <v>1</v>
      </c>
      <c r="E578" s="234">
        <f t="shared" ca="1" si="94"/>
        <v>1</v>
      </c>
      <c r="F578" s="244"/>
      <c r="G578" s="269"/>
      <c r="H578" s="269"/>
      <c r="I578" s="269"/>
      <c r="J578" s="270"/>
      <c r="K578" s="271"/>
      <c r="L578" s="272"/>
      <c r="M578" s="272"/>
      <c r="N578" s="278"/>
      <c r="O578" s="270"/>
      <c r="P578" s="275"/>
      <c r="Q578" s="271"/>
    </row>
    <row r="579" spans="1:17" ht="13.5" customHeight="1" x14ac:dyDescent="0.2">
      <c r="A579" s="233">
        <f t="shared" ca="1" si="96"/>
        <v>0</v>
      </c>
      <c r="B579" s="233">
        <f t="shared" ref="B579:B642" ca="1" si="97">IF(H579="UNIDADE CONSTRUTIVA",0,IF(H579="CÉLULA CONSTRUTIVA",OFFSET(B579,-1,0)+1,OFFSET(B579,-1,0)))</f>
        <v>21</v>
      </c>
      <c r="C579" s="233">
        <f t="shared" ref="C579:C642" ca="1" si="98">IF(H579="CÉLULA CONSTRUTIVA",0,IF(H579="ETAPA",OFFSET(C579,-1,0)+1,OFFSET(C579,-1,0)))</f>
        <v>1</v>
      </c>
      <c r="D579" s="234">
        <f t="shared" ca="1" si="95"/>
        <v>1</v>
      </c>
      <c r="E579" s="234">
        <f t="shared" ca="1" si="94"/>
        <v>1</v>
      </c>
      <c r="F579" s="244"/>
      <c r="G579" s="269"/>
      <c r="H579" s="269"/>
      <c r="I579" s="269"/>
      <c r="J579" s="270"/>
      <c r="K579" s="271"/>
      <c r="L579" s="272"/>
      <c r="M579" s="272"/>
      <c r="N579" s="278"/>
      <c r="O579" s="270"/>
      <c r="P579" s="275"/>
      <c r="Q579" s="271"/>
    </row>
    <row r="580" spans="1:17" ht="13.5" customHeight="1" x14ac:dyDescent="0.2">
      <c r="A580" s="233">
        <f t="shared" ca="1" si="96"/>
        <v>0</v>
      </c>
      <c r="B580" s="233">
        <f t="shared" ca="1" si="97"/>
        <v>21</v>
      </c>
      <c r="C580" s="233">
        <f t="shared" ca="1" si="98"/>
        <v>1</v>
      </c>
      <c r="D580" s="234">
        <f t="shared" ca="1" si="95"/>
        <v>1</v>
      </c>
      <c r="E580" s="234">
        <f t="shared" ca="1" si="94"/>
        <v>1</v>
      </c>
      <c r="F580" s="244"/>
      <c r="G580" s="269"/>
      <c r="H580" s="269"/>
      <c r="I580" s="269"/>
      <c r="J580" s="270"/>
      <c r="K580" s="271"/>
      <c r="L580" s="272"/>
      <c r="M580" s="272"/>
      <c r="N580" s="278"/>
      <c r="O580" s="270"/>
      <c r="P580" s="275"/>
      <c r="Q580" s="271"/>
    </row>
    <row r="581" spans="1:17" ht="13.5" customHeight="1" x14ac:dyDescent="0.2">
      <c r="A581" s="233">
        <f t="shared" ca="1" si="96"/>
        <v>0</v>
      </c>
      <c r="B581" s="233">
        <f t="shared" ca="1" si="97"/>
        <v>21</v>
      </c>
      <c r="C581" s="233">
        <f t="shared" ca="1" si="98"/>
        <v>1</v>
      </c>
      <c r="D581" s="234">
        <f t="shared" ca="1" si="95"/>
        <v>1</v>
      </c>
      <c r="E581" s="234">
        <f t="shared" ca="1" si="94"/>
        <v>1</v>
      </c>
      <c r="F581" s="244"/>
      <c r="G581" s="269"/>
      <c r="H581" s="269"/>
      <c r="I581" s="269"/>
      <c r="J581" s="270"/>
      <c r="K581" s="271"/>
      <c r="L581" s="272"/>
      <c r="M581" s="272"/>
      <c r="N581" s="278"/>
      <c r="O581" s="270"/>
      <c r="P581" s="275"/>
      <c r="Q581" s="271"/>
    </row>
    <row r="582" spans="1:17" ht="13.5" customHeight="1" x14ac:dyDescent="0.2">
      <c r="A582" s="233">
        <f t="shared" ca="1" si="96"/>
        <v>0</v>
      </c>
      <c r="B582" s="233">
        <f t="shared" ca="1" si="97"/>
        <v>21</v>
      </c>
      <c r="C582" s="233">
        <f t="shared" ca="1" si="98"/>
        <v>1</v>
      </c>
      <c r="D582" s="234">
        <f t="shared" ca="1" si="95"/>
        <v>1</v>
      </c>
      <c r="E582" s="234">
        <f t="shared" ca="1" si="94"/>
        <v>1</v>
      </c>
      <c r="F582" s="244"/>
      <c r="G582" s="269"/>
      <c r="H582" s="269"/>
      <c r="I582" s="269"/>
      <c r="J582" s="270"/>
      <c r="K582" s="271"/>
      <c r="L582" s="272"/>
      <c r="M582" s="272"/>
      <c r="N582" s="278"/>
      <c r="O582" s="270"/>
      <c r="P582" s="275"/>
      <c r="Q582" s="271"/>
    </row>
    <row r="583" spans="1:17" ht="13.5" customHeight="1" x14ac:dyDescent="0.2">
      <c r="A583" s="233">
        <f t="shared" ca="1" si="96"/>
        <v>0</v>
      </c>
      <c r="B583" s="233">
        <f t="shared" ca="1" si="97"/>
        <v>21</v>
      </c>
      <c r="C583" s="233">
        <f t="shared" ca="1" si="98"/>
        <v>1</v>
      </c>
      <c r="D583" s="234">
        <f t="shared" ca="1" si="95"/>
        <v>1</v>
      </c>
      <c r="E583" s="234">
        <f t="shared" ca="1" si="94"/>
        <v>1</v>
      </c>
      <c r="F583" s="244"/>
      <c r="G583" s="269"/>
      <c r="H583" s="269"/>
      <c r="I583" s="269"/>
      <c r="J583" s="270"/>
      <c r="K583" s="271"/>
      <c r="L583" s="272"/>
      <c r="M583" s="272"/>
      <c r="N583" s="278"/>
      <c r="O583" s="270"/>
      <c r="P583" s="275"/>
      <c r="Q583" s="271"/>
    </row>
    <row r="584" spans="1:17" ht="13.5" customHeight="1" x14ac:dyDescent="0.2">
      <c r="A584" s="233">
        <f t="shared" ca="1" si="96"/>
        <v>0</v>
      </c>
      <c r="B584" s="233">
        <f t="shared" ca="1" si="97"/>
        <v>21</v>
      </c>
      <c r="C584" s="233">
        <f t="shared" ca="1" si="98"/>
        <v>1</v>
      </c>
      <c r="D584" s="234">
        <f t="shared" ca="1" si="95"/>
        <v>1</v>
      </c>
      <c r="E584" s="234">
        <f t="shared" ca="1" si="94"/>
        <v>1</v>
      </c>
      <c r="F584" s="244"/>
      <c r="G584" s="269"/>
      <c r="H584" s="269"/>
      <c r="I584" s="269"/>
      <c r="J584" s="270"/>
      <c r="K584" s="271"/>
      <c r="L584" s="272"/>
      <c r="M584" s="272"/>
      <c r="N584" s="278"/>
      <c r="O584" s="270"/>
      <c r="P584" s="275"/>
      <c r="Q584" s="271"/>
    </row>
    <row r="585" spans="1:17" ht="13.5" customHeight="1" x14ac:dyDescent="0.2">
      <c r="A585" s="233">
        <f t="shared" ca="1" si="96"/>
        <v>0</v>
      </c>
      <c r="B585" s="233">
        <f t="shared" ca="1" si="97"/>
        <v>21</v>
      </c>
      <c r="C585" s="233">
        <f t="shared" ca="1" si="98"/>
        <v>1</v>
      </c>
      <c r="D585" s="234">
        <f t="shared" ca="1" si="95"/>
        <v>1</v>
      </c>
      <c r="E585" s="234">
        <f t="shared" ca="1" si="94"/>
        <v>1</v>
      </c>
      <c r="F585" s="244"/>
      <c r="G585" s="269"/>
      <c r="H585" s="269"/>
      <c r="I585" s="269"/>
      <c r="J585" s="270"/>
      <c r="K585" s="271"/>
      <c r="L585" s="272"/>
      <c r="M585" s="272"/>
      <c r="N585" s="278"/>
      <c r="O585" s="270"/>
      <c r="P585" s="275"/>
      <c r="Q585" s="271"/>
    </row>
    <row r="586" spans="1:17" ht="13.5" customHeight="1" x14ac:dyDescent="0.2">
      <c r="A586" s="233">
        <f t="shared" ca="1" si="96"/>
        <v>0</v>
      </c>
      <c r="B586" s="233">
        <f t="shared" ca="1" si="97"/>
        <v>21</v>
      </c>
      <c r="C586" s="233">
        <f t="shared" ca="1" si="98"/>
        <v>1</v>
      </c>
      <c r="D586" s="234">
        <f t="shared" ca="1" si="95"/>
        <v>1</v>
      </c>
      <c r="E586" s="234">
        <f t="shared" ca="1" si="94"/>
        <v>1</v>
      </c>
      <c r="F586" s="244"/>
      <c r="G586" s="269"/>
      <c r="H586" s="269"/>
      <c r="I586" s="269"/>
      <c r="J586" s="270"/>
      <c r="K586" s="271"/>
      <c r="L586" s="272"/>
      <c r="M586" s="272"/>
      <c r="N586" s="278"/>
      <c r="O586" s="270"/>
      <c r="P586" s="275"/>
      <c r="Q586" s="271"/>
    </row>
    <row r="587" spans="1:17" ht="13.5" customHeight="1" x14ac:dyDescent="0.2">
      <c r="A587" s="233">
        <f t="shared" ca="1" si="96"/>
        <v>0</v>
      </c>
      <c r="B587" s="233">
        <f t="shared" ca="1" si="97"/>
        <v>21</v>
      </c>
      <c r="C587" s="233">
        <f t="shared" ca="1" si="98"/>
        <v>1</v>
      </c>
      <c r="D587" s="234">
        <f t="shared" ca="1" si="95"/>
        <v>1</v>
      </c>
      <c r="E587" s="234">
        <f t="shared" ca="1" si="94"/>
        <v>1</v>
      </c>
      <c r="F587" s="244"/>
      <c r="G587" s="269"/>
      <c r="H587" s="269"/>
      <c r="I587" s="269"/>
      <c r="J587" s="270"/>
      <c r="K587" s="271"/>
      <c r="L587" s="272"/>
      <c r="M587" s="272"/>
      <c r="N587" s="278"/>
      <c r="O587" s="270"/>
      <c r="P587" s="275"/>
      <c r="Q587" s="271"/>
    </row>
    <row r="588" spans="1:17" ht="13.5" customHeight="1" x14ac:dyDescent="0.2">
      <c r="A588" s="233">
        <f t="shared" ca="1" si="96"/>
        <v>0</v>
      </c>
      <c r="B588" s="233">
        <f t="shared" ca="1" si="97"/>
        <v>21</v>
      </c>
      <c r="C588" s="233">
        <f t="shared" ca="1" si="98"/>
        <v>1</v>
      </c>
      <c r="D588" s="234">
        <f t="shared" ca="1" si="95"/>
        <v>1</v>
      </c>
      <c r="E588" s="234">
        <f t="shared" ca="1" si="94"/>
        <v>1</v>
      </c>
      <c r="F588" s="244"/>
      <c r="G588" s="269"/>
      <c r="H588" s="269"/>
      <c r="I588" s="269"/>
      <c r="J588" s="270"/>
      <c r="K588" s="271"/>
      <c r="L588" s="272"/>
      <c r="M588" s="272"/>
      <c r="N588" s="278"/>
      <c r="O588" s="270"/>
      <c r="P588" s="275"/>
      <c r="Q588" s="271"/>
    </row>
    <row r="589" spans="1:17" ht="13.5" customHeight="1" x14ac:dyDescent="0.2">
      <c r="A589" s="233">
        <f t="shared" ca="1" si="96"/>
        <v>0</v>
      </c>
      <c r="B589" s="233">
        <f t="shared" ca="1" si="97"/>
        <v>21</v>
      </c>
      <c r="C589" s="233">
        <f t="shared" ca="1" si="98"/>
        <v>1</v>
      </c>
      <c r="D589" s="234">
        <f t="shared" ca="1" si="95"/>
        <v>1</v>
      </c>
      <c r="E589" s="234">
        <f t="shared" ca="1" si="94"/>
        <v>1</v>
      </c>
      <c r="F589" s="244"/>
      <c r="G589" s="269"/>
      <c r="H589" s="269"/>
      <c r="I589" s="269"/>
      <c r="J589" s="270"/>
      <c r="K589" s="271"/>
      <c r="L589" s="272"/>
      <c r="M589" s="272"/>
      <c r="N589" s="278"/>
      <c r="O589" s="270"/>
      <c r="P589" s="275"/>
      <c r="Q589" s="271"/>
    </row>
    <row r="590" spans="1:17" ht="13.5" customHeight="1" x14ac:dyDescent="0.2">
      <c r="A590" s="233">
        <f t="shared" ca="1" si="96"/>
        <v>0</v>
      </c>
      <c r="B590" s="233">
        <f t="shared" ca="1" si="97"/>
        <v>21</v>
      </c>
      <c r="C590" s="233">
        <f t="shared" ca="1" si="98"/>
        <v>1</v>
      </c>
      <c r="D590" s="234">
        <f t="shared" ca="1" si="95"/>
        <v>1</v>
      </c>
      <c r="E590" s="234">
        <f t="shared" ca="1" si="94"/>
        <v>1</v>
      </c>
      <c r="F590" s="244"/>
      <c r="G590" s="269"/>
      <c r="H590" s="269"/>
      <c r="I590" s="269"/>
      <c r="J590" s="270"/>
      <c r="K590" s="271"/>
      <c r="L590" s="272"/>
      <c r="M590" s="272"/>
      <c r="N590" s="278"/>
      <c r="O590" s="270"/>
      <c r="P590" s="275"/>
      <c r="Q590" s="271"/>
    </row>
    <row r="591" spans="1:17" ht="13.5" customHeight="1" x14ac:dyDescent="0.2">
      <c r="A591" s="233">
        <f t="shared" ca="1" si="96"/>
        <v>0</v>
      </c>
      <c r="B591" s="233">
        <f t="shared" ca="1" si="97"/>
        <v>21</v>
      </c>
      <c r="C591" s="233">
        <f t="shared" ca="1" si="98"/>
        <v>1</v>
      </c>
      <c r="D591" s="234">
        <f t="shared" ca="1" si="95"/>
        <v>1</v>
      </c>
      <c r="E591" s="234">
        <f t="shared" ca="1" si="94"/>
        <v>1</v>
      </c>
      <c r="F591" s="244"/>
      <c r="G591" s="269"/>
      <c r="H591" s="269"/>
      <c r="I591" s="269"/>
      <c r="J591" s="270"/>
      <c r="K591" s="271"/>
      <c r="L591" s="272"/>
      <c r="M591" s="272"/>
      <c r="N591" s="278"/>
      <c r="O591" s="270"/>
      <c r="P591" s="275"/>
      <c r="Q591" s="271"/>
    </row>
    <row r="592" spans="1:17" ht="13.5" customHeight="1" x14ac:dyDescent="0.2">
      <c r="A592" s="233">
        <f t="shared" ca="1" si="96"/>
        <v>0</v>
      </c>
      <c r="B592" s="233">
        <f t="shared" ca="1" si="97"/>
        <v>21</v>
      </c>
      <c r="C592" s="233">
        <f t="shared" ca="1" si="98"/>
        <v>1</v>
      </c>
      <c r="D592" s="234">
        <f t="shared" ca="1" si="95"/>
        <v>1</v>
      </c>
      <c r="E592" s="234">
        <f t="shared" ca="1" si="94"/>
        <v>1</v>
      </c>
      <c r="F592" s="244"/>
      <c r="G592" s="269"/>
      <c r="H592" s="269"/>
      <c r="I592" s="269"/>
      <c r="J592" s="270"/>
      <c r="K592" s="271"/>
      <c r="L592" s="272"/>
      <c r="M592" s="272"/>
      <c r="N592" s="278"/>
      <c r="O592" s="270"/>
      <c r="P592" s="275"/>
      <c r="Q592" s="271"/>
    </row>
    <row r="593" spans="1:17" ht="13.5" customHeight="1" x14ac:dyDescent="0.2">
      <c r="A593" s="233">
        <f t="shared" ca="1" si="96"/>
        <v>0</v>
      </c>
      <c r="B593" s="233">
        <f t="shared" ca="1" si="97"/>
        <v>21</v>
      </c>
      <c r="C593" s="233">
        <f t="shared" ca="1" si="98"/>
        <v>1</v>
      </c>
      <c r="D593" s="234">
        <f t="shared" ref="D593:D656" ca="1" si="99">IF(H593="ETAPA",0,IF(H593="SUBETAPA",OFFSET(D593,-1,0)+1,OFFSET(D593,-1,0)))</f>
        <v>1</v>
      </c>
      <c r="E593" s="234">
        <f t="shared" ca="1" si="94"/>
        <v>1</v>
      </c>
      <c r="F593" s="244"/>
      <c r="G593" s="269"/>
      <c r="H593" s="269"/>
      <c r="I593" s="269"/>
      <c r="J593" s="270"/>
      <c r="K593" s="271"/>
      <c r="L593" s="272"/>
      <c r="M593" s="272"/>
      <c r="N593" s="278"/>
      <c r="O593" s="270"/>
      <c r="P593" s="275"/>
      <c r="Q593" s="271"/>
    </row>
    <row r="594" spans="1:17" ht="13.5" customHeight="1" x14ac:dyDescent="0.2">
      <c r="A594" s="233">
        <f t="shared" ca="1" si="96"/>
        <v>0</v>
      </c>
      <c r="B594" s="233">
        <f t="shared" ca="1" si="97"/>
        <v>21</v>
      </c>
      <c r="C594" s="233">
        <f t="shared" ca="1" si="98"/>
        <v>1</v>
      </c>
      <c r="D594" s="234">
        <f t="shared" ca="1" si="99"/>
        <v>1</v>
      </c>
      <c r="E594" s="234">
        <f t="shared" ca="1" si="94"/>
        <v>1</v>
      </c>
      <c r="F594" s="244"/>
      <c r="G594" s="269"/>
      <c r="H594" s="269"/>
      <c r="I594" s="269"/>
      <c r="J594" s="270"/>
      <c r="K594" s="271"/>
      <c r="L594" s="272"/>
      <c r="M594" s="272"/>
      <c r="N594" s="278"/>
      <c r="O594" s="270"/>
      <c r="P594" s="275"/>
      <c r="Q594" s="271"/>
    </row>
    <row r="595" spans="1:17" ht="13.5" customHeight="1" x14ac:dyDescent="0.2">
      <c r="A595" s="233">
        <f t="shared" ca="1" si="96"/>
        <v>0</v>
      </c>
      <c r="B595" s="233">
        <f t="shared" ca="1" si="97"/>
        <v>21</v>
      </c>
      <c r="C595" s="233">
        <f t="shared" ca="1" si="98"/>
        <v>1</v>
      </c>
      <c r="D595" s="234">
        <f t="shared" ca="1" si="99"/>
        <v>1</v>
      </c>
      <c r="E595" s="234">
        <f t="shared" ca="1" si="94"/>
        <v>1</v>
      </c>
      <c r="F595" s="244"/>
      <c r="G595" s="269"/>
      <c r="H595" s="269"/>
      <c r="I595" s="269"/>
      <c r="J595" s="270"/>
      <c r="K595" s="271"/>
      <c r="L595" s="272"/>
      <c r="M595" s="272"/>
      <c r="N595" s="278"/>
      <c r="O595" s="270"/>
      <c r="P595" s="275"/>
      <c r="Q595" s="271"/>
    </row>
    <row r="596" spans="1:17" ht="13.5" customHeight="1" x14ac:dyDescent="0.2">
      <c r="A596" s="233">
        <f t="shared" ca="1" si="96"/>
        <v>0</v>
      </c>
      <c r="B596" s="233">
        <f t="shared" ca="1" si="97"/>
        <v>21</v>
      </c>
      <c r="C596" s="233">
        <f t="shared" ca="1" si="98"/>
        <v>1</v>
      </c>
      <c r="D596" s="234">
        <f t="shared" ca="1" si="99"/>
        <v>1</v>
      </c>
      <c r="E596" s="234">
        <f t="shared" ca="1" si="94"/>
        <v>1</v>
      </c>
      <c r="F596" s="244"/>
      <c r="G596" s="269"/>
      <c r="H596" s="269"/>
      <c r="I596" s="269"/>
      <c r="J596" s="270"/>
      <c r="K596" s="271"/>
      <c r="L596" s="272"/>
      <c r="M596" s="272"/>
      <c r="N596" s="278"/>
      <c r="O596" s="270"/>
      <c r="P596" s="275"/>
      <c r="Q596" s="271"/>
    </row>
    <row r="597" spans="1:17" ht="13.5" customHeight="1" x14ac:dyDescent="0.2">
      <c r="A597" s="233">
        <f t="shared" ca="1" si="96"/>
        <v>0</v>
      </c>
      <c r="B597" s="233">
        <f t="shared" ca="1" si="97"/>
        <v>21</v>
      </c>
      <c r="C597" s="233">
        <f t="shared" ca="1" si="98"/>
        <v>1</v>
      </c>
      <c r="D597" s="234">
        <f t="shared" ca="1" si="99"/>
        <v>1</v>
      </c>
      <c r="E597" s="234">
        <f t="shared" ca="1" si="94"/>
        <v>1</v>
      </c>
      <c r="F597" s="244"/>
      <c r="G597" s="269"/>
      <c r="H597" s="269"/>
      <c r="I597" s="269"/>
      <c r="J597" s="270"/>
      <c r="K597" s="271"/>
      <c r="L597" s="272"/>
      <c r="M597" s="272"/>
      <c r="N597" s="278"/>
      <c r="O597" s="270"/>
      <c r="P597" s="275"/>
      <c r="Q597" s="271"/>
    </row>
    <row r="598" spans="1:17" ht="13.5" customHeight="1" x14ac:dyDescent="0.2">
      <c r="A598" s="233">
        <f t="shared" ca="1" si="96"/>
        <v>0</v>
      </c>
      <c r="B598" s="233">
        <f t="shared" ca="1" si="97"/>
        <v>21</v>
      </c>
      <c r="C598" s="233">
        <f t="shared" ca="1" si="98"/>
        <v>1</v>
      </c>
      <c r="D598" s="234">
        <f t="shared" ca="1" si="99"/>
        <v>1</v>
      </c>
      <c r="E598" s="234">
        <f t="shared" ca="1" si="94"/>
        <v>1</v>
      </c>
      <c r="F598" s="244"/>
      <c r="G598" s="269"/>
      <c r="H598" s="269"/>
      <c r="I598" s="269"/>
      <c r="J598" s="270"/>
      <c r="K598" s="271"/>
      <c r="L598" s="272"/>
      <c r="M598" s="272"/>
      <c r="N598" s="278"/>
      <c r="O598" s="270"/>
      <c r="P598" s="275"/>
      <c r="Q598" s="271"/>
    </row>
    <row r="599" spans="1:17" ht="13.5" customHeight="1" x14ac:dyDescent="0.2">
      <c r="A599" s="233">
        <f t="shared" ca="1" si="96"/>
        <v>0</v>
      </c>
      <c r="B599" s="233">
        <f t="shared" ca="1" si="97"/>
        <v>21</v>
      </c>
      <c r="C599" s="233">
        <f t="shared" ca="1" si="98"/>
        <v>1</v>
      </c>
      <c r="D599" s="234">
        <f t="shared" ca="1" si="99"/>
        <v>1</v>
      </c>
      <c r="E599" s="234">
        <f t="shared" ca="1" si="94"/>
        <v>1</v>
      </c>
      <c r="F599" s="244"/>
      <c r="G599" s="269"/>
      <c r="H599" s="269"/>
      <c r="I599" s="269"/>
      <c r="J599" s="270"/>
      <c r="K599" s="271"/>
      <c r="L599" s="272"/>
      <c r="M599" s="272"/>
      <c r="N599" s="278"/>
      <c r="O599" s="270"/>
      <c r="P599" s="275"/>
      <c r="Q599" s="271"/>
    </row>
    <row r="600" spans="1:17" ht="13.5" customHeight="1" x14ac:dyDescent="0.2">
      <c r="A600" s="233">
        <f t="shared" ca="1" si="96"/>
        <v>0</v>
      </c>
      <c r="B600" s="233">
        <f t="shared" ca="1" si="97"/>
        <v>21</v>
      </c>
      <c r="C600" s="233">
        <f t="shared" ca="1" si="98"/>
        <v>1</v>
      </c>
      <c r="D600" s="234">
        <f t="shared" ca="1" si="99"/>
        <v>1</v>
      </c>
      <c r="E600" s="234">
        <f t="shared" ca="1" si="94"/>
        <v>1</v>
      </c>
      <c r="F600" s="244"/>
      <c r="G600" s="269"/>
      <c r="H600" s="269"/>
      <c r="I600" s="269"/>
      <c r="J600" s="270"/>
      <c r="K600" s="271"/>
      <c r="L600" s="272"/>
      <c r="M600" s="272"/>
      <c r="N600" s="278"/>
      <c r="O600" s="270"/>
      <c r="P600" s="275"/>
      <c r="Q600" s="271"/>
    </row>
    <row r="601" spans="1:17" ht="13.5" customHeight="1" x14ac:dyDescent="0.2">
      <c r="A601" s="233">
        <f t="shared" ca="1" si="96"/>
        <v>0</v>
      </c>
      <c r="B601" s="233">
        <f t="shared" ca="1" si="97"/>
        <v>21</v>
      </c>
      <c r="C601" s="233">
        <f t="shared" ca="1" si="98"/>
        <v>1</v>
      </c>
      <c r="D601" s="234">
        <f t="shared" ca="1" si="99"/>
        <v>1</v>
      </c>
      <c r="E601" s="234">
        <f t="shared" ca="1" si="94"/>
        <v>1</v>
      </c>
      <c r="F601" s="244"/>
      <c r="G601" s="269"/>
      <c r="H601" s="269"/>
      <c r="I601" s="269"/>
      <c r="J601" s="270"/>
      <c r="K601" s="271"/>
      <c r="L601" s="272"/>
      <c r="M601" s="272"/>
      <c r="N601" s="278"/>
      <c r="O601" s="270"/>
      <c r="P601" s="275"/>
      <c r="Q601" s="271"/>
    </row>
    <row r="602" spans="1:17" ht="13.5" customHeight="1" x14ac:dyDescent="0.2">
      <c r="A602" s="233">
        <f t="shared" ca="1" si="96"/>
        <v>0</v>
      </c>
      <c r="B602" s="233">
        <f t="shared" ca="1" si="97"/>
        <v>21</v>
      </c>
      <c r="C602" s="233">
        <f t="shared" ca="1" si="98"/>
        <v>1</v>
      </c>
      <c r="D602" s="234">
        <f t="shared" ca="1" si="99"/>
        <v>1</v>
      </c>
      <c r="E602" s="234">
        <f t="shared" ca="1" si="94"/>
        <v>1</v>
      </c>
      <c r="F602" s="244"/>
      <c r="G602" s="269"/>
      <c r="H602" s="269"/>
      <c r="I602" s="269"/>
      <c r="J602" s="270"/>
      <c r="K602" s="271"/>
      <c r="L602" s="272"/>
      <c r="M602" s="272"/>
      <c r="N602" s="278"/>
      <c r="O602" s="270"/>
      <c r="P602" s="275"/>
      <c r="Q602" s="271"/>
    </row>
    <row r="603" spans="1:17" ht="13.5" customHeight="1" x14ac:dyDescent="0.2">
      <c r="A603" s="233">
        <f t="shared" ca="1" si="96"/>
        <v>0</v>
      </c>
      <c r="B603" s="233">
        <f t="shared" ca="1" si="97"/>
        <v>21</v>
      </c>
      <c r="C603" s="233">
        <f t="shared" ca="1" si="98"/>
        <v>1</v>
      </c>
      <c r="D603" s="234">
        <f t="shared" ca="1" si="99"/>
        <v>1</v>
      </c>
      <c r="E603" s="234">
        <f t="shared" ca="1" si="94"/>
        <v>1</v>
      </c>
      <c r="F603" s="244"/>
      <c r="G603" s="269"/>
      <c r="H603" s="269"/>
      <c r="I603" s="269"/>
      <c r="J603" s="270"/>
      <c r="K603" s="271"/>
      <c r="L603" s="272"/>
      <c r="M603" s="272"/>
      <c r="N603" s="278"/>
      <c r="O603" s="270"/>
      <c r="P603" s="275"/>
      <c r="Q603" s="271"/>
    </row>
    <row r="604" spans="1:17" ht="13.5" customHeight="1" x14ac:dyDescent="0.2">
      <c r="A604" s="233">
        <f t="shared" ca="1" si="96"/>
        <v>0</v>
      </c>
      <c r="B604" s="233">
        <f t="shared" ca="1" si="97"/>
        <v>21</v>
      </c>
      <c r="C604" s="233">
        <f t="shared" ca="1" si="98"/>
        <v>1</v>
      </c>
      <c r="D604" s="234">
        <f t="shared" ca="1" si="99"/>
        <v>1</v>
      </c>
      <c r="E604" s="234">
        <f t="shared" ca="1" si="94"/>
        <v>1</v>
      </c>
      <c r="F604" s="244"/>
      <c r="G604" s="269"/>
      <c r="H604" s="269"/>
      <c r="I604" s="269"/>
      <c r="J604" s="270"/>
      <c r="K604" s="271"/>
      <c r="L604" s="272"/>
      <c r="M604" s="272"/>
      <c r="N604" s="278"/>
      <c r="O604" s="270"/>
      <c r="P604" s="275"/>
      <c r="Q604" s="271"/>
    </row>
    <row r="605" spans="1:17" ht="13.5" customHeight="1" x14ac:dyDescent="0.2">
      <c r="A605" s="233">
        <f t="shared" ca="1" si="96"/>
        <v>0</v>
      </c>
      <c r="B605" s="233">
        <f t="shared" ca="1" si="97"/>
        <v>21</v>
      </c>
      <c r="C605" s="233">
        <f t="shared" ca="1" si="98"/>
        <v>1</v>
      </c>
      <c r="D605" s="234">
        <f t="shared" ca="1" si="99"/>
        <v>1</v>
      </c>
      <c r="E605" s="234">
        <f t="shared" ca="1" si="94"/>
        <v>1</v>
      </c>
      <c r="F605" s="244"/>
      <c r="G605" s="269"/>
      <c r="H605" s="269"/>
      <c r="I605" s="269"/>
      <c r="J605" s="270"/>
      <c r="K605" s="271"/>
      <c r="L605" s="272"/>
      <c r="M605" s="272"/>
      <c r="N605" s="278"/>
      <c r="O605" s="270"/>
      <c r="P605" s="275"/>
      <c r="Q605" s="271"/>
    </row>
    <row r="606" spans="1:17" ht="13.5" customHeight="1" x14ac:dyDescent="0.2">
      <c r="A606" s="233">
        <f t="shared" ca="1" si="96"/>
        <v>0</v>
      </c>
      <c r="B606" s="233">
        <f t="shared" ca="1" si="97"/>
        <v>21</v>
      </c>
      <c r="C606" s="233">
        <f t="shared" ca="1" si="98"/>
        <v>1</v>
      </c>
      <c r="D606" s="234">
        <f t="shared" ca="1" si="99"/>
        <v>1</v>
      </c>
      <c r="E606" s="234">
        <f t="shared" ca="1" si="94"/>
        <v>1</v>
      </c>
      <c r="F606" s="244"/>
      <c r="G606" s="269"/>
      <c r="H606" s="269"/>
      <c r="I606" s="269"/>
      <c r="J606" s="270"/>
      <c r="K606" s="271"/>
      <c r="L606" s="272"/>
      <c r="M606" s="272"/>
      <c r="N606" s="278"/>
      <c r="O606" s="270"/>
      <c r="P606" s="275"/>
      <c r="Q606" s="271"/>
    </row>
    <row r="607" spans="1:17" ht="13.5" customHeight="1" x14ac:dyDescent="0.2">
      <c r="A607" s="233">
        <f t="shared" ca="1" si="96"/>
        <v>0</v>
      </c>
      <c r="B607" s="233">
        <f t="shared" ca="1" si="97"/>
        <v>21</v>
      </c>
      <c r="C607" s="233">
        <f t="shared" ca="1" si="98"/>
        <v>1</v>
      </c>
      <c r="D607" s="234">
        <f t="shared" ca="1" si="99"/>
        <v>1</v>
      </c>
      <c r="E607" s="234">
        <f t="shared" ca="1" si="94"/>
        <v>1</v>
      </c>
      <c r="F607" s="244"/>
      <c r="G607" s="269"/>
      <c r="H607" s="269"/>
      <c r="I607" s="269"/>
      <c r="J607" s="270"/>
      <c r="K607" s="271"/>
      <c r="L607" s="272"/>
      <c r="M607" s="272"/>
      <c r="N607" s="278"/>
      <c r="O607" s="270"/>
      <c r="P607" s="275"/>
      <c r="Q607" s="271"/>
    </row>
    <row r="608" spans="1:17" ht="13.5" customHeight="1" x14ac:dyDescent="0.2">
      <c r="A608" s="233">
        <f t="shared" ca="1" si="96"/>
        <v>0</v>
      </c>
      <c r="B608" s="233">
        <f t="shared" ca="1" si="97"/>
        <v>21</v>
      </c>
      <c r="C608" s="233">
        <f t="shared" ca="1" si="98"/>
        <v>1</v>
      </c>
      <c r="D608" s="234">
        <f t="shared" ca="1" si="99"/>
        <v>1</v>
      </c>
      <c r="E608" s="234">
        <f t="shared" ca="1" si="94"/>
        <v>1</v>
      </c>
      <c r="F608" s="244"/>
      <c r="G608" s="269"/>
      <c r="H608" s="269"/>
      <c r="I608" s="269"/>
      <c r="J608" s="270"/>
      <c r="K608" s="271"/>
      <c r="L608" s="272"/>
      <c r="M608" s="272"/>
      <c r="N608" s="278"/>
      <c r="O608" s="270"/>
      <c r="P608" s="275"/>
      <c r="Q608" s="271"/>
    </row>
    <row r="609" spans="1:17" ht="13.5" customHeight="1" x14ac:dyDescent="0.2">
      <c r="A609" s="233">
        <f t="shared" ca="1" si="96"/>
        <v>0</v>
      </c>
      <c r="B609" s="233">
        <f t="shared" ca="1" si="97"/>
        <v>21</v>
      </c>
      <c r="C609" s="233">
        <f t="shared" ca="1" si="98"/>
        <v>1</v>
      </c>
      <c r="D609" s="234">
        <f t="shared" ca="1" si="99"/>
        <v>1</v>
      </c>
      <c r="E609" s="234">
        <f t="shared" ca="1" si="94"/>
        <v>1</v>
      </c>
      <c r="F609" s="244"/>
      <c r="G609" s="269"/>
      <c r="H609" s="269"/>
      <c r="I609" s="269"/>
      <c r="J609" s="270"/>
      <c r="K609" s="271"/>
      <c r="L609" s="272"/>
      <c r="M609" s="272"/>
      <c r="N609" s="278"/>
      <c r="O609" s="270"/>
      <c r="P609" s="275"/>
      <c r="Q609" s="271"/>
    </row>
    <row r="610" spans="1:17" ht="13.5" customHeight="1" x14ac:dyDescent="0.2">
      <c r="A610" s="233">
        <f t="shared" ca="1" si="96"/>
        <v>0</v>
      </c>
      <c r="B610" s="233">
        <f t="shared" ca="1" si="97"/>
        <v>21</v>
      </c>
      <c r="C610" s="233">
        <f t="shared" ca="1" si="98"/>
        <v>1</v>
      </c>
      <c r="D610" s="234">
        <f t="shared" ca="1" si="99"/>
        <v>1</v>
      </c>
      <c r="E610" s="234">
        <f t="shared" ca="1" si="94"/>
        <v>1</v>
      </c>
      <c r="F610" s="244"/>
      <c r="G610" s="269"/>
      <c r="H610" s="269"/>
      <c r="I610" s="269"/>
      <c r="J610" s="270"/>
      <c r="K610" s="271"/>
      <c r="L610" s="272"/>
      <c r="M610" s="272"/>
      <c r="N610" s="278"/>
      <c r="O610" s="270"/>
      <c r="P610" s="275"/>
      <c r="Q610" s="271"/>
    </row>
    <row r="611" spans="1:17" ht="13.5" customHeight="1" x14ac:dyDescent="0.2">
      <c r="A611" s="233">
        <f t="shared" ca="1" si="96"/>
        <v>0</v>
      </c>
      <c r="B611" s="233">
        <f t="shared" ca="1" si="97"/>
        <v>21</v>
      </c>
      <c r="C611" s="233">
        <f t="shared" ca="1" si="98"/>
        <v>1</v>
      </c>
      <c r="D611" s="234">
        <f t="shared" ca="1" si="99"/>
        <v>1</v>
      </c>
      <c r="E611" s="234">
        <f t="shared" ca="1" si="94"/>
        <v>1</v>
      </c>
      <c r="F611" s="244"/>
      <c r="G611" s="269"/>
      <c r="H611" s="269"/>
      <c r="I611" s="269"/>
      <c r="J611" s="270"/>
      <c r="K611" s="271"/>
      <c r="L611" s="272"/>
      <c r="M611" s="272"/>
      <c r="N611" s="278"/>
      <c r="O611" s="270"/>
      <c r="P611" s="275"/>
      <c r="Q611" s="271"/>
    </row>
    <row r="612" spans="1:17" ht="13.5" customHeight="1" x14ac:dyDescent="0.2">
      <c r="A612" s="233">
        <f t="shared" ca="1" si="96"/>
        <v>0</v>
      </c>
      <c r="B612" s="233">
        <f t="shared" ca="1" si="97"/>
        <v>21</v>
      </c>
      <c r="C612" s="233">
        <f t="shared" ca="1" si="98"/>
        <v>1</v>
      </c>
      <c r="D612" s="234">
        <f t="shared" ca="1" si="99"/>
        <v>1</v>
      </c>
      <c r="E612" s="234">
        <f t="shared" ca="1" si="94"/>
        <v>1</v>
      </c>
      <c r="F612" s="244"/>
      <c r="G612" s="269"/>
      <c r="H612" s="269"/>
      <c r="I612" s="269"/>
      <c r="J612" s="270"/>
      <c r="K612" s="271"/>
      <c r="L612" s="272"/>
      <c r="M612" s="272"/>
      <c r="N612" s="278"/>
      <c r="O612" s="270"/>
      <c r="P612" s="275"/>
      <c r="Q612" s="271"/>
    </row>
    <row r="613" spans="1:17" ht="13.5" customHeight="1" x14ac:dyDescent="0.2">
      <c r="A613" s="233">
        <f t="shared" ca="1" si="96"/>
        <v>0</v>
      </c>
      <c r="B613" s="233">
        <f t="shared" ca="1" si="97"/>
        <v>21</v>
      </c>
      <c r="C613" s="233">
        <f t="shared" ca="1" si="98"/>
        <v>1</v>
      </c>
      <c r="D613" s="234">
        <f t="shared" ca="1" si="99"/>
        <v>1</v>
      </c>
      <c r="E613" s="234">
        <f t="shared" ca="1" si="94"/>
        <v>1</v>
      </c>
      <c r="F613" s="244"/>
      <c r="G613" s="269"/>
      <c r="H613" s="269"/>
      <c r="I613" s="269"/>
      <c r="J613" s="270"/>
      <c r="K613" s="271"/>
      <c r="L613" s="272"/>
      <c r="M613" s="272"/>
      <c r="N613" s="278"/>
      <c r="O613" s="270"/>
      <c r="P613" s="275"/>
      <c r="Q613" s="271"/>
    </row>
    <row r="614" spans="1:17" ht="13.5" customHeight="1" x14ac:dyDescent="0.2">
      <c r="A614" s="233">
        <f t="shared" ca="1" si="96"/>
        <v>0</v>
      </c>
      <c r="B614" s="233">
        <f t="shared" ca="1" si="97"/>
        <v>21</v>
      </c>
      <c r="C614" s="233">
        <f t="shared" ca="1" si="98"/>
        <v>1</v>
      </c>
      <c r="D614" s="234">
        <f t="shared" ca="1" si="99"/>
        <v>1</v>
      </c>
      <c r="E614" s="234">
        <f t="shared" ca="1" si="94"/>
        <v>1</v>
      </c>
      <c r="F614" s="244"/>
      <c r="G614" s="269"/>
      <c r="H614" s="269"/>
      <c r="I614" s="269"/>
      <c r="J614" s="270"/>
      <c r="K614" s="271"/>
      <c r="L614" s="272"/>
      <c r="M614" s="272"/>
      <c r="N614" s="278"/>
      <c r="O614" s="270"/>
      <c r="P614" s="275"/>
      <c r="Q614" s="271"/>
    </row>
    <row r="615" spans="1:17" ht="13.5" customHeight="1" x14ac:dyDescent="0.2">
      <c r="A615" s="233">
        <f t="shared" ca="1" si="96"/>
        <v>0</v>
      </c>
      <c r="B615" s="233">
        <f t="shared" ca="1" si="97"/>
        <v>21</v>
      </c>
      <c r="C615" s="233">
        <f t="shared" ca="1" si="98"/>
        <v>1</v>
      </c>
      <c r="D615" s="234">
        <f t="shared" ca="1" si="99"/>
        <v>1</v>
      </c>
      <c r="E615" s="234">
        <f t="shared" ca="1" si="94"/>
        <v>1</v>
      </c>
      <c r="F615" s="244"/>
      <c r="G615" s="269"/>
      <c r="H615" s="269"/>
      <c r="I615" s="269"/>
      <c r="J615" s="270"/>
      <c r="K615" s="271"/>
      <c r="L615" s="272"/>
      <c r="M615" s="272"/>
      <c r="N615" s="278"/>
      <c r="O615" s="270"/>
      <c r="P615" s="275"/>
      <c r="Q615" s="271"/>
    </row>
    <row r="616" spans="1:17" ht="13.5" customHeight="1" x14ac:dyDescent="0.2">
      <c r="A616" s="233">
        <f t="shared" ca="1" si="96"/>
        <v>0</v>
      </c>
      <c r="B616" s="233">
        <f t="shared" ca="1" si="97"/>
        <v>21</v>
      </c>
      <c r="C616" s="233">
        <f t="shared" ca="1" si="98"/>
        <v>1</v>
      </c>
      <c r="D616" s="234">
        <f t="shared" ca="1" si="99"/>
        <v>1</v>
      </c>
      <c r="E616" s="234">
        <f t="shared" ca="1" si="94"/>
        <v>1</v>
      </c>
      <c r="F616" s="244"/>
      <c r="G616" s="269"/>
      <c r="H616" s="269"/>
      <c r="I616" s="269"/>
      <c r="J616" s="270"/>
      <c r="K616" s="271"/>
      <c r="L616" s="272"/>
      <c r="M616" s="272"/>
      <c r="N616" s="278"/>
      <c r="O616" s="270"/>
      <c r="P616" s="275"/>
      <c r="Q616" s="271"/>
    </row>
    <row r="617" spans="1:17" ht="13.5" customHeight="1" x14ac:dyDescent="0.2">
      <c r="A617" s="233">
        <f t="shared" ca="1" si="96"/>
        <v>0</v>
      </c>
      <c r="B617" s="233">
        <f t="shared" ca="1" si="97"/>
        <v>21</v>
      </c>
      <c r="C617" s="233">
        <f t="shared" ca="1" si="98"/>
        <v>1</v>
      </c>
      <c r="D617" s="234">
        <f t="shared" ca="1" si="99"/>
        <v>1</v>
      </c>
      <c r="E617" s="234">
        <f t="shared" ca="1" si="94"/>
        <v>1</v>
      </c>
      <c r="F617" s="244"/>
      <c r="G617" s="269"/>
      <c r="H617" s="269"/>
      <c r="I617" s="269"/>
      <c r="J617" s="270"/>
      <c r="K617" s="271"/>
      <c r="L617" s="272"/>
      <c r="M617" s="272"/>
      <c r="N617" s="278"/>
      <c r="O617" s="270"/>
      <c r="P617" s="275"/>
      <c r="Q617" s="271"/>
    </row>
    <row r="618" spans="1:17" ht="13.5" customHeight="1" x14ac:dyDescent="0.2">
      <c r="A618" s="233">
        <f t="shared" ca="1" si="96"/>
        <v>0</v>
      </c>
      <c r="B618" s="233">
        <f t="shared" ca="1" si="97"/>
        <v>21</v>
      </c>
      <c r="C618" s="233">
        <f t="shared" ca="1" si="98"/>
        <v>1</v>
      </c>
      <c r="D618" s="234">
        <f t="shared" ca="1" si="99"/>
        <v>1</v>
      </c>
      <c r="E618" s="234">
        <f t="shared" ca="1" si="94"/>
        <v>1</v>
      </c>
      <c r="F618" s="244"/>
      <c r="G618" s="269"/>
      <c r="H618" s="269"/>
      <c r="I618" s="269"/>
      <c r="J618" s="270"/>
      <c r="K618" s="271"/>
      <c r="L618" s="272"/>
      <c r="M618" s="272"/>
      <c r="N618" s="278"/>
      <c r="O618" s="270"/>
      <c r="P618" s="275"/>
      <c r="Q618" s="271"/>
    </row>
    <row r="619" spans="1:17" ht="13.5" customHeight="1" x14ac:dyDescent="0.2">
      <c r="A619" s="233">
        <f t="shared" ca="1" si="96"/>
        <v>0</v>
      </c>
      <c r="B619" s="233">
        <f t="shared" ca="1" si="97"/>
        <v>21</v>
      </c>
      <c r="C619" s="233">
        <f t="shared" ca="1" si="98"/>
        <v>1</v>
      </c>
      <c r="D619" s="234">
        <f t="shared" ca="1" si="99"/>
        <v>1</v>
      </c>
      <c r="E619" s="234">
        <f t="shared" ca="1" si="94"/>
        <v>1</v>
      </c>
      <c r="F619" s="244"/>
      <c r="G619" s="269"/>
      <c r="H619" s="269"/>
      <c r="I619" s="269"/>
      <c r="J619" s="270"/>
      <c r="K619" s="271"/>
      <c r="L619" s="272"/>
      <c r="M619" s="272"/>
      <c r="N619" s="278"/>
      <c r="O619" s="270"/>
      <c r="P619" s="275"/>
      <c r="Q619" s="271"/>
    </row>
    <row r="620" spans="1:17" ht="13.5" customHeight="1" x14ac:dyDescent="0.2">
      <c r="A620" s="233">
        <f t="shared" ca="1" si="96"/>
        <v>0</v>
      </c>
      <c r="B620" s="233">
        <f t="shared" ca="1" si="97"/>
        <v>21</v>
      </c>
      <c r="C620" s="233">
        <f t="shared" ca="1" si="98"/>
        <v>1</v>
      </c>
      <c r="D620" s="234">
        <f t="shared" ca="1" si="99"/>
        <v>1</v>
      </c>
      <c r="E620" s="234">
        <f t="shared" ca="1" si="94"/>
        <v>1</v>
      </c>
      <c r="F620" s="244"/>
      <c r="G620" s="269"/>
      <c r="H620" s="269"/>
      <c r="I620" s="269"/>
      <c r="J620" s="270"/>
      <c r="K620" s="271"/>
      <c r="L620" s="272"/>
      <c r="M620" s="272"/>
      <c r="N620" s="278"/>
      <c r="O620" s="270"/>
      <c r="P620" s="275"/>
      <c r="Q620" s="271"/>
    </row>
    <row r="621" spans="1:17" ht="13.5" customHeight="1" x14ac:dyDescent="0.2">
      <c r="A621" s="233">
        <f t="shared" ca="1" si="96"/>
        <v>0</v>
      </c>
      <c r="B621" s="233">
        <f t="shared" ca="1" si="97"/>
        <v>21</v>
      </c>
      <c r="C621" s="233">
        <f t="shared" ca="1" si="98"/>
        <v>1</v>
      </c>
      <c r="D621" s="234">
        <f t="shared" ca="1" si="99"/>
        <v>1</v>
      </c>
      <c r="E621" s="234">
        <f t="shared" ca="1" si="94"/>
        <v>1</v>
      </c>
      <c r="F621" s="244"/>
      <c r="G621" s="269"/>
      <c r="H621" s="269"/>
      <c r="I621" s="269"/>
      <c r="J621" s="270"/>
      <c r="K621" s="271"/>
      <c r="L621" s="272"/>
      <c r="M621" s="272"/>
      <c r="N621" s="278"/>
      <c r="O621" s="270"/>
      <c r="P621" s="275"/>
      <c r="Q621" s="271"/>
    </row>
    <row r="622" spans="1:17" ht="13.5" customHeight="1" x14ac:dyDescent="0.2">
      <c r="A622" s="233">
        <f t="shared" ca="1" si="96"/>
        <v>0</v>
      </c>
      <c r="B622" s="233">
        <f t="shared" ca="1" si="97"/>
        <v>21</v>
      </c>
      <c r="C622" s="233">
        <f t="shared" ca="1" si="98"/>
        <v>1</v>
      </c>
      <c r="D622" s="234">
        <f t="shared" ca="1" si="99"/>
        <v>1</v>
      </c>
      <c r="E622" s="234">
        <f t="shared" ca="1" si="94"/>
        <v>1</v>
      </c>
      <c r="F622" s="244"/>
      <c r="G622" s="269"/>
      <c r="H622" s="269"/>
      <c r="I622" s="269"/>
      <c r="J622" s="270"/>
      <c r="K622" s="271"/>
      <c r="L622" s="272"/>
      <c r="M622" s="272"/>
      <c r="N622" s="278"/>
      <c r="O622" s="270"/>
      <c r="P622" s="275"/>
      <c r="Q622" s="271"/>
    </row>
    <row r="623" spans="1:17" ht="13.5" customHeight="1" x14ac:dyDescent="0.2">
      <c r="A623" s="233">
        <f t="shared" ca="1" si="96"/>
        <v>0</v>
      </c>
      <c r="B623" s="233">
        <f t="shared" ca="1" si="97"/>
        <v>21</v>
      </c>
      <c r="C623" s="233">
        <f t="shared" ca="1" si="98"/>
        <v>1</v>
      </c>
      <c r="D623" s="234">
        <f t="shared" ca="1" si="99"/>
        <v>1</v>
      </c>
      <c r="E623" s="234">
        <f t="shared" ca="1" si="94"/>
        <v>1</v>
      </c>
      <c r="F623" s="244"/>
      <c r="G623" s="269"/>
      <c r="H623" s="269"/>
      <c r="I623" s="269"/>
      <c r="J623" s="270"/>
      <c r="K623" s="271"/>
      <c r="L623" s="272"/>
      <c r="M623" s="272"/>
      <c r="N623" s="278"/>
      <c r="O623" s="270"/>
      <c r="P623" s="275"/>
      <c r="Q623" s="271"/>
    </row>
    <row r="624" spans="1:17" ht="13.5" customHeight="1" x14ac:dyDescent="0.2">
      <c r="A624" s="233">
        <f t="shared" ca="1" si="96"/>
        <v>0</v>
      </c>
      <c r="B624" s="233">
        <f t="shared" ca="1" si="97"/>
        <v>21</v>
      </c>
      <c r="C624" s="233">
        <f t="shared" ca="1" si="98"/>
        <v>1</v>
      </c>
      <c r="D624" s="234">
        <f t="shared" ca="1" si="99"/>
        <v>1</v>
      </c>
      <c r="E624" s="234">
        <f t="shared" ca="1" si="94"/>
        <v>1</v>
      </c>
      <c r="F624" s="244"/>
      <c r="G624" s="269"/>
      <c r="H624" s="269"/>
      <c r="I624" s="269"/>
      <c r="J624" s="270"/>
      <c r="K624" s="271"/>
      <c r="L624" s="272"/>
      <c r="M624" s="272"/>
      <c r="N624" s="278"/>
      <c r="O624" s="270"/>
      <c r="P624" s="275"/>
      <c r="Q624" s="271"/>
    </row>
    <row r="625" spans="1:17" ht="13.5" customHeight="1" x14ac:dyDescent="0.2">
      <c r="A625" s="233">
        <f t="shared" ca="1" si="96"/>
        <v>0</v>
      </c>
      <c r="B625" s="233">
        <f t="shared" ca="1" si="97"/>
        <v>21</v>
      </c>
      <c r="C625" s="233">
        <f t="shared" ca="1" si="98"/>
        <v>1</v>
      </c>
      <c r="D625" s="234">
        <f t="shared" ca="1" si="99"/>
        <v>1</v>
      </c>
      <c r="E625" s="234">
        <f t="shared" ca="1" si="94"/>
        <v>1</v>
      </c>
      <c r="F625" s="244"/>
      <c r="G625" s="269"/>
      <c r="H625" s="269"/>
      <c r="I625" s="269"/>
      <c r="J625" s="270"/>
      <c r="K625" s="271"/>
      <c r="L625" s="272"/>
      <c r="M625" s="272"/>
      <c r="N625" s="278"/>
      <c r="O625" s="270"/>
      <c r="P625" s="275"/>
      <c r="Q625" s="271"/>
    </row>
    <row r="626" spans="1:17" ht="13.5" customHeight="1" x14ac:dyDescent="0.2">
      <c r="A626" s="233">
        <f t="shared" ca="1" si="96"/>
        <v>0</v>
      </c>
      <c r="B626" s="233">
        <f t="shared" ca="1" si="97"/>
        <v>21</v>
      </c>
      <c r="C626" s="233">
        <f t="shared" ca="1" si="98"/>
        <v>1</v>
      </c>
      <c r="D626" s="234">
        <f t="shared" ca="1" si="99"/>
        <v>1</v>
      </c>
      <c r="E626" s="234">
        <f t="shared" ca="1" si="94"/>
        <v>1</v>
      </c>
      <c r="F626" s="244"/>
      <c r="G626" s="269"/>
      <c r="H626" s="269"/>
      <c r="I626" s="269"/>
      <c r="J626" s="270"/>
      <c r="K626" s="271"/>
      <c r="L626" s="272"/>
      <c r="M626" s="272"/>
      <c r="N626" s="278"/>
      <c r="O626" s="270"/>
      <c r="P626" s="275"/>
      <c r="Q626" s="271"/>
    </row>
    <row r="627" spans="1:17" ht="13.5" customHeight="1" x14ac:dyDescent="0.2">
      <c r="A627" s="233">
        <f t="shared" ca="1" si="96"/>
        <v>0</v>
      </c>
      <c r="B627" s="233">
        <f t="shared" ca="1" si="97"/>
        <v>21</v>
      </c>
      <c r="C627" s="233">
        <f t="shared" ca="1" si="98"/>
        <v>1</v>
      </c>
      <c r="D627" s="234">
        <f t="shared" ca="1" si="99"/>
        <v>1</v>
      </c>
      <c r="E627" s="234">
        <f t="shared" ca="1" si="94"/>
        <v>1</v>
      </c>
      <c r="F627" s="244"/>
      <c r="G627" s="269"/>
      <c r="H627" s="269"/>
      <c r="I627" s="269"/>
      <c r="J627" s="270"/>
      <c r="K627" s="271"/>
      <c r="L627" s="272"/>
      <c r="M627" s="272"/>
      <c r="N627" s="278"/>
      <c r="O627" s="270"/>
      <c r="P627" s="275"/>
      <c r="Q627" s="271"/>
    </row>
    <row r="628" spans="1:17" ht="13.5" customHeight="1" x14ac:dyDescent="0.2">
      <c r="A628" s="233">
        <f t="shared" ca="1" si="96"/>
        <v>0</v>
      </c>
      <c r="B628" s="233">
        <f t="shared" ca="1" si="97"/>
        <v>21</v>
      </c>
      <c r="C628" s="233">
        <f t="shared" ca="1" si="98"/>
        <v>1</v>
      </c>
      <c r="D628" s="234">
        <f t="shared" ca="1" si="99"/>
        <v>1</v>
      </c>
      <c r="E628" s="234">
        <f t="shared" ca="1" si="94"/>
        <v>1</v>
      </c>
      <c r="F628" s="244"/>
      <c r="G628" s="269"/>
      <c r="H628" s="269"/>
      <c r="I628" s="269"/>
      <c r="J628" s="270"/>
      <c r="K628" s="271"/>
      <c r="L628" s="272"/>
      <c r="M628" s="272"/>
      <c r="N628" s="278"/>
      <c r="O628" s="270"/>
      <c r="P628" s="275"/>
      <c r="Q628" s="271"/>
    </row>
    <row r="629" spans="1:17" ht="13.5" customHeight="1" x14ac:dyDescent="0.2">
      <c r="A629" s="233">
        <f t="shared" ca="1" si="96"/>
        <v>0</v>
      </c>
      <c r="B629" s="233">
        <f t="shared" ca="1" si="97"/>
        <v>21</v>
      </c>
      <c r="C629" s="233">
        <f t="shared" ca="1" si="98"/>
        <v>1</v>
      </c>
      <c r="D629" s="234">
        <f t="shared" ca="1" si="99"/>
        <v>1</v>
      </c>
      <c r="E629" s="234">
        <f t="shared" ca="1" si="94"/>
        <v>1</v>
      </c>
      <c r="F629" s="244"/>
      <c r="G629" s="269"/>
      <c r="H629" s="269"/>
      <c r="I629" s="269"/>
      <c r="J629" s="270"/>
      <c r="K629" s="271"/>
      <c r="L629" s="272"/>
      <c r="M629" s="272"/>
      <c r="N629" s="278"/>
      <c r="O629" s="270"/>
      <c r="P629" s="275"/>
      <c r="Q629" s="271"/>
    </row>
    <row r="630" spans="1:17" ht="13.5" customHeight="1" x14ac:dyDescent="0.2">
      <c r="A630" s="233">
        <f t="shared" ca="1" si="96"/>
        <v>0</v>
      </c>
      <c r="B630" s="233">
        <f t="shared" ca="1" si="97"/>
        <v>21</v>
      </c>
      <c r="C630" s="233">
        <f t="shared" ca="1" si="98"/>
        <v>1</v>
      </c>
      <c r="D630" s="234">
        <f t="shared" ca="1" si="99"/>
        <v>1</v>
      </c>
      <c r="E630" s="234">
        <f t="shared" ca="1" si="94"/>
        <v>1</v>
      </c>
      <c r="F630" s="244"/>
      <c r="G630" s="269"/>
      <c r="H630" s="269"/>
      <c r="I630" s="269"/>
      <c r="J630" s="270"/>
      <c r="K630" s="271"/>
      <c r="L630" s="272"/>
      <c r="M630" s="272"/>
      <c r="N630" s="278"/>
      <c r="O630" s="270"/>
      <c r="P630" s="275"/>
      <c r="Q630" s="271"/>
    </row>
    <row r="631" spans="1:17" ht="13.5" customHeight="1" x14ac:dyDescent="0.2">
      <c r="A631" s="233">
        <f t="shared" ca="1" si="96"/>
        <v>0</v>
      </c>
      <c r="B631" s="233">
        <f t="shared" ca="1" si="97"/>
        <v>21</v>
      </c>
      <c r="C631" s="233">
        <f t="shared" ca="1" si="98"/>
        <v>1</v>
      </c>
      <c r="D631" s="234">
        <f t="shared" ca="1" si="99"/>
        <v>1</v>
      </c>
      <c r="E631" s="234">
        <f t="shared" ca="1" si="94"/>
        <v>1</v>
      </c>
      <c r="F631" s="244"/>
      <c r="G631" s="269"/>
      <c r="H631" s="269"/>
      <c r="I631" s="269"/>
      <c r="J631" s="270"/>
      <c r="K631" s="271"/>
      <c r="L631" s="272"/>
      <c r="M631" s="272"/>
      <c r="N631" s="278"/>
      <c r="O631" s="270"/>
      <c r="P631" s="275"/>
      <c r="Q631" s="271"/>
    </row>
    <row r="632" spans="1:17" ht="13.5" customHeight="1" x14ac:dyDescent="0.2">
      <c r="A632" s="233">
        <f t="shared" ca="1" si="96"/>
        <v>0</v>
      </c>
      <c r="B632" s="233">
        <f t="shared" ca="1" si="97"/>
        <v>21</v>
      </c>
      <c r="C632" s="233">
        <f t="shared" ca="1" si="98"/>
        <v>1</v>
      </c>
      <c r="D632" s="234">
        <f t="shared" ca="1" si="99"/>
        <v>1</v>
      </c>
      <c r="E632" s="234">
        <f t="shared" ca="1" si="94"/>
        <v>1</v>
      </c>
      <c r="F632" s="244"/>
      <c r="G632" s="269"/>
      <c r="H632" s="269"/>
      <c r="I632" s="269"/>
      <c r="J632" s="270"/>
      <c r="K632" s="271"/>
      <c r="L632" s="272"/>
      <c r="M632" s="272"/>
      <c r="N632" s="278"/>
      <c r="O632" s="270"/>
      <c r="P632" s="275"/>
      <c r="Q632" s="271"/>
    </row>
    <row r="633" spans="1:17" ht="13.5" customHeight="1" x14ac:dyDescent="0.2">
      <c r="A633" s="233">
        <f t="shared" ca="1" si="96"/>
        <v>0</v>
      </c>
      <c r="B633" s="233">
        <f t="shared" ca="1" si="97"/>
        <v>21</v>
      </c>
      <c r="C633" s="233">
        <f t="shared" ca="1" si="98"/>
        <v>1</v>
      </c>
      <c r="D633" s="234">
        <f t="shared" ca="1" si="99"/>
        <v>1</v>
      </c>
      <c r="E633" s="234">
        <f t="shared" ca="1" si="94"/>
        <v>1</v>
      </c>
      <c r="F633" s="244"/>
      <c r="G633" s="269"/>
      <c r="H633" s="269"/>
      <c r="I633" s="269"/>
      <c r="J633" s="270"/>
      <c r="K633" s="271"/>
      <c r="L633" s="272"/>
      <c r="M633" s="272"/>
      <c r="N633" s="278"/>
      <c r="O633" s="270"/>
      <c r="P633" s="275"/>
      <c r="Q633" s="271"/>
    </row>
    <row r="634" spans="1:17" ht="13.5" customHeight="1" x14ac:dyDescent="0.2">
      <c r="A634" s="233">
        <f t="shared" ca="1" si="96"/>
        <v>0</v>
      </c>
      <c r="B634" s="233">
        <f t="shared" ca="1" si="97"/>
        <v>21</v>
      </c>
      <c r="C634" s="233">
        <f t="shared" ca="1" si="98"/>
        <v>1</v>
      </c>
      <c r="D634" s="234">
        <f t="shared" ca="1" si="99"/>
        <v>1</v>
      </c>
      <c r="E634" s="234">
        <f t="shared" ca="1" si="94"/>
        <v>1</v>
      </c>
      <c r="F634" s="244"/>
      <c r="G634" s="269"/>
      <c r="H634" s="269"/>
      <c r="I634" s="269"/>
      <c r="J634" s="270"/>
      <c r="K634" s="271"/>
      <c r="L634" s="272"/>
      <c r="M634" s="272"/>
      <c r="N634" s="278"/>
      <c r="O634" s="270"/>
      <c r="P634" s="275"/>
      <c r="Q634" s="271"/>
    </row>
    <row r="635" spans="1:17" ht="13.5" customHeight="1" x14ac:dyDescent="0.2">
      <c r="A635" s="233">
        <f t="shared" ca="1" si="96"/>
        <v>0</v>
      </c>
      <c r="B635" s="233">
        <f t="shared" ca="1" si="97"/>
        <v>21</v>
      </c>
      <c r="C635" s="233">
        <f t="shared" ca="1" si="98"/>
        <v>1</v>
      </c>
      <c r="D635" s="234">
        <f t="shared" ca="1" si="99"/>
        <v>1</v>
      </c>
      <c r="E635" s="234">
        <f t="shared" ca="1" si="94"/>
        <v>1</v>
      </c>
      <c r="F635" s="244"/>
      <c r="G635" s="269"/>
      <c r="H635" s="269"/>
      <c r="I635" s="269"/>
      <c r="J635" s="270"/>
      <c r="K635" s="271"/>
      <c r="L635" s="272"/>
      <c r="M635" s="272"/>
      <c r="N635" s="278"/>
      <c r="O635" s="270"/>
      <c r="P635" s="275"/>
      <c r="Q635" s="271"/>
    </row>
    <row r="636" spans="1:17" ht="13.5" customHeight="1" x14ac:dyDescent="0.2">
      <c r="A636" s="233">
        <f t="shared" ca="1" si="96"/>
        <v>0</v>
      </c>
      <c r="B636" s="233">
        <f t="shared" ca="1" si="97"/>
        <v>21</v>
      </c>
      <c r="C636" s="233">
        <f t="shared" ca="1" si="98"/>
        <v>1</v>
      </c>
      <c r="D636" s="234">
        <f t="shared" ca="1" si="99"/>
        <v>1</v>
      </c>
      <c r="E636" s="234">
        <f t="shared" ca="1" si="94"/>
        <v>1</v>
      </c>
      <c r="F636" s="244"/>
      <c r="G636" s="269"/>
      <c r="H636" s="269"/>
      <c r="I636" s="269"/>
      <c r="J636" s="270"/>
      <c r="K636" s="271"/>
      <c r="L636" s="272"/>
      <c r="M636" s="272"/>
      <c r="N636" s="278"/>
      <c r="O636" s="270"/>
      <c r="P636" s="275"/>
      <c r="Q636" s="271"/>
    </row>
    <row r="637" spans="1:17" ht="13.5" customHeight="1" x14ac:dyDescent="0.2">
      <c r="A637" s="233">
        <f t="shared" ca="1" si="96"/>
        <v>0</v>
      </c>
      <c r="B637" s="233">
        <f t="shared" ca="1" si="97"/>
        <v>21</v>
      </c>
      <c r="C637" s="233">
        <f t="shared" ca="1" si="98"/>
        <v>1</v>
      </c>
      <c r="D637" s="234">
        <f t="shared" ca="1" si="99"/>
        <v>1</v>
      </c>
      <c r="E637" s="234">
        <f t="shared" ca="1" si="94"/>
        <v>1</v>
      </c>
      <c r="F637" s="244"/>
      <c r="G637" s="269"/>
      <c r="H637" s="269"/>
      <c r="I637" s="269"/>
      <c r="J637" s="270"/>
      <c r="K637" s="271"/>
      <c r="L637" s="272"/>
      <c r="M637" s="272"/>
      <c r="N637" s="278"/>
      <c r="O637" s="270"/>
      <c r="P637" s="275"/>
      <c r="Q637" s="271"/>
    </row>
    <row r="638" spans="1:17" ht="13.5" customHeight="1" x14ac:dyDescent="0.2">
      <c r="A638" s="233">
        <f t="shared" ca="1" si="96"/>
        <v>0</v>
      </c>
      <c r="B638" s="233">
        <f t="shared" ca="1" si="97"/>
        <v>21</v>
      </c>
      <c r="C638" s="233">
        <f t="shared" ca="1" si="98"/>
        <v>1</v>
      </c>
      <c r="D638" s="234">
        <f t="shared" ca="1" si="99"/>
        <v>1</v>
      </c>
      <c r="E638" s="234">
        <f t="shared" ca="1" si="94"/>
        <v>1</v>
      </c>
      <c r="F638" s="244"/>
      <c r="G638" s="269"/>
      <c r="H638" s="269"/>
      <c r="I638" s="269"/>
      <c r="J638" s="270"/>
      <c r="K638" s="271"/>
      <c r="L638" s="272"/>
      <c r="M638" s="272"/>
      <c r="N638" s="278"/>
      <c r="O638" s="270"/>
      <c r="P638" s="275"/>
      <c r="Q638" s="271"/>
    </row>
    <row r="639" spans="1:17" ht="13.5" customHeight="1" x14ac:dyDescent="0.2">
      <c r="A639" s="233">
        <f t="shared" ca="1" si="96"/>
        <v>0</v>
      </c>
      <c r="B639" s="233">
        <f t="shared" ca="1" si="97"/>
        <v>21</v>
      </c>
      <c r="C639" s="233">
        <f t="shared" ca="1" si="98"/>
        <v>1</v>
      </c>
      <c r="D639" s="234">
        <f t="shared" ca="1" si="99"/>
        <v>1</v>
      </c>
      <c r="E639" s="234">
        <f t="shared" ca="1" si="94"/>
        <v>1</v>
      </c>
      <c r="F639" s="244"/>
      <c r="G639" s="269"/>
      <c r="H639" s="269"/>
      <c r="I639" s="269"/>
      <c r="J639" s="270"/>
      <c r="K639" s="271"/>
      <c r="L639" s="272"/>
      <c r="M639" s="272"/>
      <c r="N639" s="278"/>
      <c r="O639" s="270"/>
      <c r="P639" s="275"/>
      <c r="Q639" s="271"/>
    </row>
    <row r="640" spans="1:17" ht="13.5" customHeight="1" x14ac:dyDescent="0.2">
      <c r="A640" s="233">
        <f t="shared" ca="1" si="96"/>
        <v>0</v>
      </c>
      <c r="B640" s="233">
        <f t="shared" ca="1" si="97"/>
        <v>21</v>
      </c>
      <c r="C640" s="233">
        <f t="shared" ca="1" si="98"/>
        <v>1</v>
      </c>
      <c r="D640" s="234">
        <f t="shared" ca="1" si="99"/>
        <v>1</v>
      </c>
      <c r="E640" s="234">
        <f t="shared" ca="1" si="94"/>
        <v>1</v>
      </c>
      <c r="F640" s="244"/>
      <c r="G640" s="269"/>
      <c r="H640" s="269"/>
      <c r="I640" s="269"/>
      <c r="J640" s="270"/>
      <c r="K640" s="271"/>
      <c r="L640" s="272"/>
      <c r="M640" s="272"/>
      <c r="N640" s="278"/>
      <c r="O640" s="270"/>
      <c r="P640" s="275"/>
      <c r="Q640" s="271"/>
    </row>
    <row r="641" spans="1:17" ht="13.5" customHeight="1" x14ac:dyDescent="0.2">
      <c r="A641" s="233">
        <f t="shared" ca="1" si="96"/>
        <v>0</v>
      </c>
      <c r="B641" s="233">
        <f t="shared" ca="1" si="97"/>
        <v>21</v>
      </c>
      <c r="C641" s="233">
        <f t="shared" ca="1" si="98"/>
        <v>1</v>
      </c>
      <c r="D641" s="234">
        <f t="shared" ca="1" si="99"/>
        <v>1</v>
      </c>
      <c r="E641" s="234">
        <f t="shared" ca="1" si="94"/>
        <v>1</v>
      </c>
      <c r="F641" s="244"/>
      <c r="G641" s="269"/>
      <c r="H641" s="269"/>
      <c r="I641" s="269"/>
      <c r="J641" s="270"/>
      <c r="K641" s="271"/>
      <c r="L641" s="272"/>
      <c r="M641" s="272"/>
      <c r="N641" s="278"/>
      <c r="O641" s="270"/>
      <c r="P641" s="275"/>
      <c r="Q641" s="271"/>
    </row>
    <row r="642" spans="1:17" ht="13.5" customHeight="1" x14ac:dyDescent="0.2">
      <c r="A642" s="233">
        <f t="shared" ref="A642:A705" ca="1" si="100">IF($H642="UNIDADE CONSTRUTIVA",OFFSET(A642,-1,0)+1,LARGE(A$3:A641,1))</f>
        <v>0</v>
      </c>
      <c r="B642" s="233">
        <f t="shared" ca="1" si="97"/>
        <v>21</v>
      </c>
      <c r="C642" s="233">
        <f t="shared" ca="1" si="98"/>
        <v>1</v>
      </c>
      <c r="D642" s="234">
        <f t="shared" ca="1" si="99"/>
        <v>1</v>
      </c>
      <c r="E642" s="234">
        <f t="shared" ca="1" si="94"/>
        <v>1</v>
      </c>
      <c r="F642" s="244"/>
      <c r="G642" s="269"/>
      <c r="H642" s="269"/>
      <c r="I642" s="269"/>
      <c r="J642" s="270"/>
      <c r="K642" s="271"/>
      <c r="L642" s="272"/>
      <c r="M642" s="272"/>
      <c r="N642" s="278"/>
      <c r="O642" s="270"/>
      <c r="P642" s="275"/>
      <c r="Q642" s="271"/>
    </row>
    <row r="643" spans="1:17" ht="13.5" customHeight="1" x14ac:dyDescent="0.2">
      <c r="A643" s="233">
        <f t="shared" ca="1" si="100"/>
        <v>0</v>
      </c>
      <c r="B643" s="233">
        <f t="shared" ref="B643:B706" ca="1" si="101">IF(H643="UNIDADE CONSTRUTIVA",0,IF(H643="CÉLULA CONSTRUTIVA",OFFSET(B643,-1,0)+1,OFFSET(B643,-1,0)))</f>
        <v>21</v>
      </c>
      <c r="C643" s="233">
        <f t="shared" ref="C643:C706" ca="1" si="102">IF(H643="CÉLULA CONSTRUTIVA",0,IF(H643="ETAPA",OFFSET(C643,-1,0)+1,OFFSET(C643,-1,0)))</f>
        <v>1</v>
      </c>
      <c r="D643" s="234">
        <f t="shared" ca="1" si="99"/>
        <v>1</v>
      </c>
      <c r="E643" s="234">
        <f t="shared" ca="1" si="94"/>
        <v>1</v>
      </c>
      <c r="F643" s="244"/>
      <c r="G643" s="269"/>
      <c r="H643" s="269"/>
      <c r="I643" s="269"/>
      <c r="J643" s="270"/>
      <c r="K643" s="271"/>
      <c r="L643" s="272"/>
      <c r="M643" s="272"/>
      <c r="N643" s="278"/>
      <c r="O643" s="270"/>
      <c r="P643" s="275"/>
      <c r="Q643" s="271"/>
    </row>
    <row r="644" spans="1:17" ht="13.5" customHeight="1" x14ac:dyDescent="0.2">
      <c r="A644" s="233">
        <f t="shared" ca="1" si="100"/>
        <v>0</v>
      </c>
      <c r="B644" s="233">
        <f t="shared" ca="1" si="101"/>
        <v>21</v>
      </c>
      <c r="C644" s="233">
        <f t="shared" ca="1" si="102"/>
        <v>1</v>
      </c>
      <c r="D644" s="234">
        <f t="shared" ca="1" si="99"/>
        <v>1</v>
      </c>
      <c r="E644" s="234">
        <f t="shared" ca="1" si="94"/>
        <v>1</v>
      </c>
      <c r="F644" s="244"/>
      <c r="G644" s="269"/>
      <c r="H644" s="269"/>
      <c r="I644" s="269"/>
      <c r="J644" s="270"/>
      <c r="K644" s="271"/>
      <c r="L644" s="272"/>
      <c r="M644" s="272"/>
      <c r="N644" s="278"/>
      <c r="O644" s="270"/>
      <c r="P644" s="275"/>
      <c r="Q644" s="271"/>
    </row>
    <row r="645" spans="1:17" ht="13.5" customHeight="1" x14ac:dyDescent="0.2">
      <c r="A645" s="233">
        <f t="shared" ca="1" si="100"/>
        <v>0</v>
      </c>
      <c r="B645" s="233">
        <f t="shared" ca="1" si="101"/>
        <v>21</v>
      </c>
      <c r="C645" s="233">
        <f t="shared" ca="1" si="102"/>
        <v>1</v>
      </c>
      <c r="D645" s="234">
        <f t="shared" ca="1" si="99"/>
        <v>1</v>
      </c>
      <c r="E645" s="234">
        <f t="shared" ca="1" si="94"/>
        <v>1</v>
      </c>
      <c r="F645" s="244"/>
      <c r="G645" s="269"/>
      <c r="H645" s="269"/>
      <c r="I645" s="269"/>
      <c r="J645" s="270"/>
      <c r="K645" s="271"/>
      <c r="L645" s="272"/>
      <c r="M645" s="272"/>
      <c r="N645" s="278"/>
      <c r="O645" s="270"/>
      <c r="P645" s="275"/>
      <c r="Q645" s="271"/>
    </row>
    <row r="646" spans="1:17" ht="13.5" customHeight="1" x14ac:dyDescent="0.2">
      <c r="A646" s="233">
        <f t="shared" ca="1" si="100"/>
        <v>0</v>
      </c>
      <c r="B646" s="233">
        <f t="shared" ca="1" si="101"/>
        <v>21</v>
      </c>
      <c r="C646" s="233">
        <f t="shared" ca="1" si="102"/>
        <v>1</v>
      </c>
      <c r="D646" s="234">
        <f t="shared" ca="1" si="99"/>
        <v>1</v>
      </c>
      <c r="E646" s="234">
        <f t="shared" ca="1" si="94"/>
        <v>1</v>
      </c>
      <c r="F646" s="244"/>
      <c r="G646" s="269"/>
      <c r="H646" s="269"/>
      <c r="I646" s="269"/>
      <c r="J646" s="270"/>
      <c r="K646" s="271"/>
      <c r="L646" s="272"/>
      <c r="M646" s="272"/>
      <c r="N646" s="278"/>
      <c r="O646" s="270"/>
      <c r="P646" s="275"/>
      <c r="Q646" s="271"/>
    </row>
    <row r="647" spans="1:17" ht="13.5" customHeight="1" x14ac:dyDescent="0.2">
      <c r="A647" s="233">
        <f t="shared" ca="1" si="100"/>
        <v>0</v>
      </c>
      <c r="B647" s="233">
        <f t="shared" ca="1" si="101"/>
        <v>21</v>
      </c>
      <c r="C647" s="233">
        <f t="shared" ca="1" si="102"/>
        <v>1</v>
      </c>
      <c r="D647" s="234">
        <f t="shared" ca="1" si="99"/>
        <v>1</v>
      </c>
      <c r="E647" s="234">
        <f t="shared" ca="1" si="94"/>
        <v>1</v>
      </c>
      <c r="F647" s="244"/>
      <c r="G647" s="269"/>
      <c r="H647" s="269"/>
      <c r="I647" s="269"/>
      <c r="J647" s="270"/>
      <c r="K647" s="271"/>
      <c r="L647" s="272"/>
      <c r="M647" s="272"/>
      <c r="N647" s="278"/>
      <c r="O647" s="270"/>
      <c r="P647" s="275"/>
      <c r="Q647" s="271"/>
    </row>
    <row r="648" spans="1:17" ht="13.5" customHeight="1" x14ac:dyDescent="0.2">
      <c r="A648" s="233">
        <f t="shared" ca="1" si="100"/>
        <v>0</v>
      </c>
      <c r="B648" s="233">
        <f t="shared" ca="1" si="101"/>
        <v>21</v>
      </c>
      <c r="C648" s="233">
        <f t="shared" ca="1" si="102"/>
        <v>1</v>
      </c>
      <c r="D648" s="234">
        <f t="shared" ca="1" si="99"/>
        <v>1</v>
      </c>
      <c r="E648" s="234">
        <f t="shared" ca="1" si="94"/>
        <v>1</v>
      </c>
      <c r="F648" s="244"/>
      <c r="G648" s="269"/>
      <c r="H648" s="269"/>
      <c r="I648" s="269"/>
      <c r="J648" s="270"/>
      <c r="K648" s="271"/>
      <c r="L648" s="272"/>
      <c r="M648" s="272"/>
      <c r="N648" s="278"/>
      <c r="O648" s="270"/>
      <c r="P648" s="275"/>
      <c r="Q648" s="271"/>
    </row>
    <row r="649" spans="1:17" ht="13.5" customHeight="1" x14ac:dyDescent="0.2">
      <c r="A649" s="233">
        <f t="shared" ca="1" si="100"/>
        <v>0</v>
      </c>
      <c r="B649" s="233">
        <f t="shared" ca="1" si="101"/>
        <v>21</v>
      </c>
      <c r="C649" s="233">
        <f t="shared" ca="1" si="102"/>
        <v>1</v>
      </c>
      <c r="D649" s="234">
        <f t="shared" ca="1" si="99"/>
        <v>1</v>
      </c>
      <c r="E649" s="234">
        <f t="shared" ca="1" si="94"/>
        <v>1</v>
      </c>
      <c r="F649" s="244"/>
      <c r="G649" s="269"/>
      <c r="H649" s="269"/>
      <c r="I649" s="269"/>
      <c r="J649" s="270"/>
      <c r="K649" s="271"/>
      <c r="L649" s="272"/>
      <c r="M649" s="272"/>
      <c r="N649" s="278"/>
      <c r="O649" s="270"/>
      <c r="P649" s="275"/>
      <c r="Q649" s="271"/>
    </row>
    <row r="650" spans="1:17" ht="13.5" customHeight="1" x14ac:dyDescent="0.2">
      <c r="A650" s="233">
        <f t="shared" ca="1" si="100"/>
        <v>0</v>
      </c>
      <c r="B650" s="233">
        <f t="shared" ca="1" si="101"/>
        <v>21</v>
      </c>
      <c r="C650" s="233">
        <f t="shared" ca="1" si="102"/>
        <v>1</v>
      </c>
      <c r="D650" s="234">
        <f t="shared" ca="1" si="99"/>
        <v>1</v>
      </c>
      <c r="E650" s="234">
        <f t="shared" ca="1" si="94"/>
        <v>1</v>
      </c>
      <c r="F650" s="244"/>
      <c r="G650" s="269"/>
      <c r="H650" s="269"/>
      <c r="I650" s="269"/>
      <c r="J650" s="270"/>
      <c r="K650" s="271"/>
      <c r="L650" s="272"/>
      <c r="M650" s="272"/>
      <c r="N650" s="278"/>
      <c r="O650" s="270"/>
      <c r="P650" s="275"/>
      <c r="Q650" s="271"/>
    </row>
    <row r="651" spans="1:17" ht="13.5" customHeight="1" x14ac:dyDescent="0.2">
      <c r="A651" s="233">
        <f t="shared" ca="1" si="100"/>
        <v>0</v>
      </c>
      <c r="B651" s="233">
        <f t="shared" ca="1" si="101"/>
        <v>21</v>
      </c>
      <c r="C651" s="233">
        <f t="shared" ca="1" si="102"/>
        <v>1</v>
      </c>
      <c r="D651" s="234">
        <f t="shared" ca="1" si="99"/>
        <v>1</v>
      </c>
      <c r="E651" s="234">
        <f t="shared" ca="1" si="94"/>
        <v>1</v>
      </c>
      <c r="F651" s="244"/>
      <c r="G651" s="269"/>
      <c r="H651" s="269"/>
      <c r="I651" s="269"/>
      <c r="J651" s="270"/>
      <c r="K651" s="271"/>
      <c r="L651" s="272"/>
      <c r="M651" s="272"/>
      <c r="N651" s="278"/>
      <c r="O651" s="270"/>
      <c r="P651" s="275"/>
      <c r="Q651" s="271"/>
    </row>
    <row r="652" spans="1:17" ht="13.5" customHeight="1" x14ac:dyDescent="0.2">
      <c r="A652" s="233">
        <f t="shared" ca="1" si="100"/>
        <v>0</v>
      </c>
      <c r="B652" s="233">
        <f t="shared" ca="1" si="101"/>
        <v>21</v>
      </c>
      <c r="C652" s="233">
        <f t="shared" ca="1" si="102"/>
        <v>1</v>
      </c>
      <c r="D652" s="234">
        <f t="shared" ca="1" si="99"/>
        <v>1</v>
      </c>
      <c r="E652" s="234">
        <f t="shared" ca="1" si="94"/>
        <v>1</v>
      </c>
      <c r="F652" s="244"/>
      <c r="G652" s="269"/>
      <c r="H652" s="269"/>
      <c r="I652" s="269"/>
      <c r="J652" s="270"/>
      <c r="K652" s="271"/>
      <c r="L652" s="272"/>
      <c r="M652" s="272"/>
      <c r="N652" s="278"/>
      <c r="O652" s="270"/>
      <c r="P652" s="275"/>
      <c r="Q652" s="271"/>
    </row>
    <row r="653" spans="1:17" ht="13.5" customHeight="1" x14ac:dyDescent="0.2">
      <c r="A653" s="233">
        <f t="shared" ca="1" si="100"/>
        <v>0</v>
      </c>
      <c r="B653" s="233">
        <f t="shared" ca="1" si="101"/>
        <v>21</v>
      </c>
      <c r="C653" s="233">
        <f t="shared" ca="1" si="102"/>
        <v>1</v>
      </c>
      <c r="D653" s="234">
        <f t="shared" ca="1" si="99"/>
        <v>1</v>
      </c>
      <c r="E653" s="234">
        <f t="shared" ca="1" si="94"/>
        <v>1</v>
      </c>
      <c r="F653" s="244"/>
      <c r="G653" s="269"/>
      <c r="H653" s="269"/>
      <c r="I653" s="269"/>
      <c r="J653" s="270"/>
      <c r="K653" s="271"/>
      <c r="L653" s="272"/>
      <c r="M653" s="272"/>
      <c r="N653" s="278"/>
      <c r="O653" s="270"/>
      <c r="P653" s="275"/>
      <c r="Q653" s="271"/>
    </row>
    <row r="654" spans="1:17" ht="13.5" customHeight="1" x14ac:dyDescent="0.2">
      <c r="A654" s="233">
        <f t="shared" ca="1" si="100"/>
        <v>0</v>
      </c>
      <c r="B654" s="233">
        <f t="shared" ca="1" si="101"/>
        <v>21</v>
      </c>
      <c r="C654" s="233">
        <f t="shared" ca="1" si="102"/>
        <v>1</v>
      </c>
      <c r="D654" s="234">
        <f t="shared" ca="1" si="99"/>
        <v>1</v>
      </c>
      <c r="E654" s="234">
        <f t="shared" ca="1" si="94"/>
        <v>1</v>
      </c>
      <c r="F654" s="244"/>
      <c r="G654" s="269"/>
      <c r="H654" s="269"/>
      <c r="I654" s="269"/>
      <c r="J654" s="270"/>
      <c r="K654" s="271"/>
      <c r="L654" s="272"/>
      <c r="M654" s="272"/>
      <c r="N654" s="278"/>
      <c r="O654" s="270"/>
      <c r="P654" s="275"/>
      <c r="Q654" s="271"/>
    </row>
    <row r="655" spans="1:17" ht="13.5" customHeight="1" x14ac:dyDescent="0.2">
      <c r="A655" s="233">
        <f t="shared" ca="1" si="100"/>
        <v>0</v>
      </c>
      <c r="B655" s="233">
        <f t="shared" ca="1" si="101"/>
        <v>21</v>
      </c>
      <c r="C655" s="233">
        <f t="shared" ca="1" si="102"/>
        <v>1</v>
      </c>
      <c r="D655" s="234">
        <f t="shared" ca="1" si="99"/>
        <v>1</v>
      </c>
      <c r="E655" s="234">
        <f t="shared" ca="1" si="94"/>
        <v>1</v>
      </c>
      <c r="F655" s="244"/>
      <c r="G655" s="269"/>
      <c r="H655" s="269"/>
      <c r="I655" s="269"/>
      <c r="J655" s="270"/>
      <c r="K655" s="271"/>
      <c r="L655" s="272"/>
      <c r="M655" s="272"/>
      <c r="N655" s="278"/>
      <c r="O655" s="270"/>
      <c r="P655" s="275"/>
      <c r="Q655" s="271"/>
    </row>
    <row r="656" spans="1:17" ht="13.5" customHeight="1" x14ac:dyDescent="0.2">
      <c r="A656" s="233">
        <f t="shared" ca="1" si="100"/>
        <v>0</v>
      </c>
      <c r="B656" s="233">
        <f t="shared" ca="1" si="101"/>
        <v>21</v>
      </c>
      <c r="C656" s="233">
        <f t="shared" ca="1" si="102"/>
        <v>1</v>
      </c>
      <c r="D656" s="234">
        <f t="shared" ca="1" si="99"/>
        <v>1</v>
      </c>
      <c r="E656" s="234">
        <f t="shared" ca="1" si="94"/>
        <v>1</v>
      </c>
      <c r="F656" s="244"/>
      <c r="G656" s="269"/>
      <c r="H656" s="269"/>
      <c r="I656" s="269"/>
      <c r="J656" s="270"/>
      <c r="K656" s="271"/>
      <c r="L656" s="272"/>
      <c r="M656" s="272"/>
      <c r="N656" s="278"/>
      <c r="O656" s="270"/>
      <c r="P656" s="275"/>
      <c r="Q656" s="271"/>
    </row>
    <row r="657" spans="1:17" ht="13.5" customHeight="1" x14ac:dyDescent="0.2">
      <c r="A657" s="233">
        <f t="shared" ca="1" si="100"/>
        <v>0</v>
      </c>
      <c r="B657" s="233">
        <f t="shared" ca="1" si="101"/>
        <v>21</v>
      </c>
      <c r="C657" s="233">
        <f t="shared" ca="1" si="102"/>
        <v>1</v>
      </c>
      <c r="D657" s="234">
        <f t="shared" ref="D657:D720" ca="1" si="103">IF(H657="ETAPA",0,IF(H657="SUBETAPA",OFFSET(D657,-1,0)+1,OFFSET(D657,-1,0)))</f>
        <v>1</v>
      </c>
      <c r="E657" s="234">
        <f t="shared" ca="1" si="94"/>
        <v>1</v>
      </c>
      <c r="F657" s="244"/>
      <c r="G657" s="269"/>
      <c r="H657" s="269"/>
      <c r="I657" s="269"/>
      <c r="J657" s="270"/>
      <c r="K657" s="271"/>
      <c r="L657" s="272"/>
      <c r="M657" s="272"/>
      <c r="N657" s="278"/>
      <c r="O657" s="270"/>
      <c r="P657" s="275"/>
      <c r="Q657" s="271"/>
    </row>
    <row r="658" spans="1:17" ht="13.5" customHeight="1" x14ac:dyDescent="0.2">
      <c r="A658" s="233">
        <f t="shared" ca="1" si="100"/>
        <v>0</v>
      </c>
      <c r="B658" s="233">
        <f t="shared" ca="1" si="101"/>
        <v>21</v>
      </c>
      <c r="C658" s="233">
        <f t="shared" ca="1" si="102"/>
        <v>1</v>
      </c>
      <c r="D658" s="234">
        <f t="shared" ca="1" si="103"/>
        <v>1</v>
      </c>
      <c r="E658" s="234">
        <f t="shared" ca="1" si="94"/>
        <v>1</v>
      </c>
      <c r="F658" s="244"/>
      <c r="G658" s="269"/>
      <c r="H658" s="269"/>
      <c r="I658" s="269"/>
      <c r="J658" s="270"/>
      <c r="K658" s="271"/>
      <c r="L658" s="272"/>
      <c r="M658" s="272"/>
      <c r="N658" s="278"/>
      <c r="O658" s="270"/>
      <c r="P658" s="275"/>
      <c r="Q658" s="271"/>
    </row>
    <row r="659" spans="1:17" ht="13.5" customHeight="1" x14ac:dyDescent="0.2">
      <c r="A659" s="233">
        <f t="shared" ca="1" si="100"/>
        <v>0</v>
      </c>
      <c r="B659" s="233">
        <f t="shared" ca="1" si="101"/>
        <v>21</v>
      </c>
      <c r="C659" s="233">
        <f t="shared" ca="1" si="102"/>
        <v>1</v>
      </c>
      <c r="D659" s="234">
        <f t="shared" ca="1" si="103"/>
        <v>1</v>
      </c>
      <c r="E659" s="234">
        <f t="shared" ca="1" si="94"/>
        <v>1</v>
      </c>
      <c r="F659" s="244"/>
      <c r="G659" s="269"/>
      <c r="H659" s="269"/>
      <c r="I659" s="269"/>
      <c r="J659" s="270"/>
      <c r="K659" s="271"/>
      <c r="L659" s="272"/>
      <c r="M659" s="272"/>
      <c r="N659" s="278"/>
      <c r="O659" s="270"/>
      <c r="P659" s="275"/>
      <c r="Q659" s="271"/>
    </row>
    <row r="660" spans="1:17" ht="13.5" customHeight="1" x14ac:dyDescent="0.2">
      <c r="A660" s="233">
        <f t="shared" ca="1" si="100"/>
        <v>0</v>
      </c>
      <c r="B660" s="233">
        <f t="shared" ca="1" si="101"/>
        <v>21</v>
      </c>
      <c r="C660" s="233">
        <f t="shared" ca="1" si="102"/>
        <v>1</v>
      </c>
      <c r="D660" s="234">
        <f t="shared" ca="1" si="103"/>
        <v>1</v>
      </c>
      <c r="E660" s="234">
        <f t="shared" ca="1" si="94"/>
        <v>1</v>
      </c>
      <c r="F660" s="244"/>
      <c r="G660" s="269"/>
      <c r="H660" s="269"/>
      <c r="I660" s="269"/>
      <c r="J660" s="270"/>
      <c r="K660" s="271"/>
      <c r="L660" s="272"/>
      <c r="M660" s="272"/>
      <c r="N660" s="278"/>
      <c r="O660" s="270"/>
      <c r="P660" s="275"/>
      <c r="Q660" s="271"/>
    </row>
    <row r="661" spans="1:17" ht="13.5" customHeight="1" x14ac:dyDescent="0.2">
      <c r="A661" s="233">
        <f t="shared" ca="1" si="100"/>
        <v>0</v>
      </c>
      <c r="B661" s="233">
        <f t="shared" ca="1" si="101"/>
        <v>21</v>
      </c>
      <c r="C661" s="233">
        <f t="shared" ca="1" si="102"/>
        <v>1</v>
      </c>
      <c r="D661" s="234">
        <f t="shared" ca="1" si="103"/>
        <v>1</v>
      </c>
      <c r="E661" s="234">
        <f t="shared" ca="1" si="94"/>
        <v>1</v>
      </c>
      <c r="F661" s="244"/>
      <c r="G661" s="269"/>
      <c r="H661" s="269"/>
      <c r="I661" s="269"/>
      <c r="J661" s="270"/>
      <c r="K661" s="271"/>
      <c r="L661" s="272"/>
      <c r="M661" s="272"/>
      <c r="N661" s="278"/>
      <c r="O661" s="270"/>
      <c r="P661" s="275"/>
      <c r="Q661" s="271"/>
    </row>
    <row r="662" spans="1:17" ht="13.5" customHeight="1" x14ac:dyDescent="0.2">
      <c r="A662" s="233">
        <f t="shared" ca="1" si="100"/>
        <v>0</v>
      </c>
      <c r="B662" s="233">
        <f t="shared" ca="1" si="101"/>
        <v>21</v>
      </c>
      <c r="C662" s="233">
        <f t="shared" ca="1" si="102"/>
        <v>1</v>
      </c>
      <c r="D662" s="234">
        <f t="shared" ca="1" si="103"/>
        <v>1</v>
      </c>
      <c r="E662" s="234">
        <f t="shared" ca="1" si="94"/>
        <v>1</v>
      </c>
      <c r="F662" s="244"/>
      <c r="G662" s="269"/>
      <c r="H662" s="269"/>
      <c r="I662" s="269"/>
      <c r="J662" s="270"/>
      <c r="K662" s="271"/>
      <c r="L662" s="272"/>
      <c r="M662" s="272"/>
      <c r="N662" s="278"/>
      <c r="O662" s="270"/>
      <c r="P662" s="275"/>
      <c r="Q662" s="271"/>
    </row>
    <row r="663" spans="1:17" ht="13.5" customHeight="1" x14ac:dyDescent="0.2">
      <c r="A663" s="233">
        <f t="shared" ca="1" si="100"/>
        <v>0</v>
      </c>
      <c r="B663" s="233">
        <f t="shared" ca="1" si="101"/>
        <v>21</v>
      </c>
      <c r="C663" s="233">
        <f t="shared" ca="1" si="102"/>
        <v>1</v>
      </c>
      <c r="D663" s="234">
        <f t="shared" ca="1" si="103"/>
        <v>1</v>
      </c>
      <c r="E663" s="234">
        <f t="shared" ca="1" si="94"/>
        <v>1</v>
      </c>
      <c r="F663" s="244"/>
      <c r="G663" s="269"/>
      <c r="H663" s="269"/>
      <c r="I663" s="269"/>
      <c r="J663" s="270"/>
      <c r="K663" s="271"/>
      <c r="L663" s="272"/>
      <c r="M663" s="272"/>
      <c r="N663" s="278"/>
      <c r="O663" s="270"/>
      <c r="P663" s="275"/>
      <c r="Q663" s="271"/>
    </row>
    <row r="664" spans="1:17" ht="13.5" customHeight="1" x14ac:dyDescent="0.2">
      <c r="A664" s="233">
        <f t="shared" ca="1" si="100"/>
        <v>0</v>
      </c>
      <c r="B664" s="233">
        <f t="shared" ca="1" si="101"/>
        <v>21</v>
      </c>
      <c r="C664" s="233">
        <f t="shared" ca="1" si="102"/>
        <v>1</v>
      </c>
      <c r="D664" s="234">
        <f t="shared" ca="1" si="103"/>
        <v>1</v>
      </c>
      <c r="E664" s="234">
        <f t="shared" ca="1" si="94"/>
        <v>1</v>
      </c>
      <c r="F664" s="244"/>
      <c r="G664" s="269"/>
      <c r="H664" s="269"/>
      <c r="I664" s="269"/>
      <c r="J664" s="270"/>
      <c r="K664" s="271"/>
      <c r="L664" s="272"/>
      <c r="M664" s="272"/>
      <c r="N664" s="278"/>
      <c r="O664" s="270"/>
      <c r="P664" s="275"/>
      <c r="Q664" s="271"/>
    </row>
    <row r="665" spans="1:17" ht="13.5" customHeight="1" x14ac:dyDescent="0.2">
      <c r="A665" s="233">
        <f t="shared" ca="1" si="100"/>
        <v>0</v>
      </c>
      <c r="B665" s="233">
        <f t="shared" ca="1" si="101"/>
        <v>21</v>
      </c>
      <c r="C665" s="233">
        <f t="shared" ca="1" si="102"/>
        <v>1</v>
      </c>
      <c r="D665" s="234">
        <f t="shared" ca="1" si="103"/>
        <v>1</v>
      </c>
      <c r="E665" s="234">
        <f t="shared" ca="1" si="94"/>
        <v>1</v>
      </c>
      <c r="F665" s="244"/>
      <c r="G665" s="269"/>
      <c r="H665" s="269"/>
      <c r="I665" s="269"/>
      <c r="J665" s="270"/>
      <c r="K665" s="271"/>
      <c r="L665" s="272"/>
      <c r="M665" s="272"/>
      <c r="N665" s="278"/>
      <c r="O665" s="270"/>
      <c r="P665" s="275"/>
      <c r="Q665" s="271"/>
    </row>
    <row r="666" spans="1:17" ht="13.5" customHeight="1" x14ac:dyDescent="0.2">
      <c r="A666" s="233">
        <f t="shared" ca="1" si="100"/>
        <v>0</v>
      </c>
      <c r="B666" s="233">
        <f t="shared" ca="1" si="101"/>
        <v>21</v>
      </c>
      <c r="C666" s="233">
        <f t="shared" ca="1" si="102"/>
        <v>1</v>
      </c>
      <c r="D666" s="234">
        <f t="shared" ca="1" si="103"/>
        <v>1</v>
      </c>
      <c r="E666" s="234">
        <f t="shared" ca="1" si="94"/>
        <v>1</v>
      </c>
      <c r="F666" s="244"/>
      <c r="G666" s="269"/>
      <c r="H666" s="269"/>
      <c r="I666" s="269"/>
      <c r="J666" s="270"/>
      <c r="K666" s="271"/>
      <c r="L666" s="272"/>
      <c r="M666" s="272"/>
      <c r="N666" s="278"/>
      <c r="O666" s="270"/>
      <c r="P666" s="275"/>
      <c r="Q666" s="271"/>
    </row>
    <row r="667" spans="1:17" ht="13.5" customHeight="1" x14ac:dyDescent="0.2">
      <c r="A667" s="233">
        <f t="shared" ca="1" si="100"/>
        <v>0</v>
      </c>
      <c r="B667" s="233">
        <f t="shared" ca="1" si="101"/>
        <v>21</v>
      </c>
      <c r="C667" s="233">
        <f t="shared" ca="1" si="102"/>
        <v>1</v>
      </c>
      <c r="D667" s="234">
        <f t="shared" ca="1" si="103"/>
        <v>1</v>
      </c>
      <c r="E667" s="234">
        <f t="shared" ca="1" si="94"/>
        <v>1</v>
      </c>
      <c r="F667" s="244"/>
      <c r="G667" s="269"/>
      <c r="H667" s="269"/>
      <c r="I667" s="269"/>
      <c r="J667" s="270"/>
      <c r="K667" s="271"/>
      <c r="L667" s="272"/>
      <c r="M667" s="272"/>
      <c r="N667" s="278"/>
      <c r="O667" s="270"/>
      <c r="P667" s="275"/>
      <c r="Q667" s="271"/>
    </row>
    <row r="668" spans="1:17" ht="13.5" customHeight="1" x14ac:dyDescent="0.2">
      <c r="A668" s="233">
        <f t="shared" ca="1" si="100"/>
        <v>0</v>
      </c>
      <c r="B668" s="233">
        <f t="shared" ca="1" si="101"/>
        <v>21</v>
      </c>
      <c r="C668" s="233">
        <f t="shared" ca="1" si="102"/>
        <v>1</v>
      </c>
      <c r="D668" s="234">
        <f t="shared" ca="1" si="103"/>
        <v>1</v>
      </c>
      <c r="E668" s="234">
        <f t="shared" ca="1" si="94"/>
        <v>1</v>
      </c>
      <c r="F668" s="244"/>
      <c r="G668" s="269"/>
      <c r="H668" s="269"/>
      <c r="I668" s="269"/>
      <c r="J668" s="270"/>
      <c r="K668" s="271"/>
      <c r="L668" s="272"/>
      <c r="M668" s="272"/>
      <c r="N668" s="278"/>
      <c r="O668" s="270"/>
      <c r="P668" s="275"/>
      <c r="Q668" s="271"/>
    </row>
    <row r="669" spans="1:17" ht="13.5" customHeight="1" x14ac:dyDescent="0.2">
      <c r="A669" s="233">
        <f t="shared" ca="1" si="100"/>
        <v>0</v>
      </c>
      <c r="B669" s="233">
        <f t="shared" ca="1" si="101"/>
        <v>21</v>
      </c>
      <c r="C669" s="233">
        <f t="shared" ca="1" si="102"/>
        <v>1</v>
      </c>
      <c r="D669" s="234">
        <f t="shared" ca="1" si="103"/>
        <v>1</v>
      </c>
      <c r="E669" s="234">
        <f t="shared" ca="1" si="94"/>
        <v>1</v>
      </c>
      <c r="F669" s="244"/>
      <c r="G669" s="269"/>
      <c r="H669" s="269"/>
      <c r="I669" s="269"/>
      <c r="J669" s="270"/>
      <c r="K669" s="271"/>
      <c r="L669" s="272"/>
      <c r="M669" s="272"/>
      <c r="N669" s="278"/>
      <c r="O669" s="270"/>
      <c r="P669" s="275"/>
      <c r="Q669" s="271"/>
    </row>
    <row r="670" spans="1:17" ht="13.5" customHeight="1" x14ac:dyDescent="0.2">
      <c r="A670" s="233">
        <f t="shared" ca="1" si="100"/>
        <v>0</v>
      </c>
      <c r="B670" s="233">
        <f t="shared" ca="1" si="101"/>
        <v>21</v>
      </c>
      <c r="C670" s="233">
        <f t="shared" ca="1" si="102"/>
        <v>1</v>
      </c>
      <c r="D670" s="234">
        <f t="shared" ca="1" si="103"/>
        <v>1</v>
      </c>
      <c r="E670" s="234">
        <f t="shared" ca="1" si="94"/>
        <v>1</v>
      </c>
      <c r="F670" s="244"/>
      <c r="G670" s="269"/>
      <c r="H670" s="269"/>
      <c r="I670" s="269"/>
      <c r="J670" s="270"/>
      <c r="K670" s="271"/>
      <c r="L670" s="272"/>
      <c r="M670" s="272"/>
      <c r="N670" s="278"/>
      <c r="O670" s="270"/>
      <c r="P670" s="275"/>
      <c r="Q670" s="271"/>
    </row>
    <row r="671" spans="1:17" ht="13.5" customHeight="1" x14ac:dyDescent="0.2">
      <c r="A671" s="233">
        <f t="shared" ca="1" si="100"/>
        <v>0</v>
      </c>
      <c r="B671" s="233">
        <f t="shared" ca="1" si="101"/>
        <v>21</v>
      </c>
      <c r="C671" s="233">
        <f t="shared" ca="1" si="102"/>
        <v>1</v>
      </c>
      <c r="D671" s="234">
        <f t="shared" ca="1" si="103"/>
        <v>1</v>
      </c>
      <c r="E671" s="234">
        <f t="shared" ca="1" si="94"/>
        <v>1</v>
      </c>
      <c r="F671" s="244"/>
      <c r="G671" s="269"/>
      <c r="H671" s="269"/>
      <c r="I671" s="269"/>
      <c r="J671" s="270"/>
      <c r="K671" s="271"/>
      <c r="L671" s="272"/>
      <c r="M671" s="272"/>
      <c r="N671" s="278"/>
      <c r="O671" s="270"/>
      <c r="P671" s="275"/>
      <c r="Q671" s="271"/>
    </row>
    <row r="672" spans="1:17" ht="13.5" customHeight="1" x14ac:dyDescent="0.2">
      <c r="A672" s="233">
        <f t="shared" ca="1" si="100"/>
        <v>0</v>
      </c>
      <c r="B672" s="233">
        <f t="shared" ca="1" si="101"/>
        <v>21</v>
      </c>
      <c r="C672" s="233">
        <f t="shared" ca="1" si="102"/>
        <v>1</v>
      </c>
      <c r="D672" s="234">
        <f t="shared" ca="1" si="103"/>
        <v>1</v>
      </c>
      <c r="E672" s="234">
        <f t="shared" ca="1" si="94"/>
        <v>1</v>
      </c>
      <c r="F672" s="244"/>
      <c r="G672" s="269"/>
      <c r="H672" s="269"/>
      <c r="I672" s="269"/>
      <c r="J672" s="270"/>
      <c r="K672" s="271"/>
      <c r="L672" s="272"/>
      <c r="M672" s="272"/>
      <c r="N672" s="278"/>
      <c r="O672" s="270"/>
      <c r="P672" s="275"/>
      <c r="Q672" s="271"/>
    </row>
    <row r="673" spans="1:17" ht="13.5" customHeight="1" x14ac:dyDescent="0.2">
      <c r="A673" s="233">
        <f t="shared" ca="1" si="100"/>
        <v>0</v>
      </c>
      <c r="B673" s="233">
        <f t="shared" ca="1" si="101"/>
        <v>21</v>
      </c>
      <c r="C673" s="233">
        <f t="shared" ca="1" si="102"/>
        <v>1</v>
      </c>
      <c r="D673" s="234">
        <f t="shared" ca="1" si="103"/>
        <v>1</v>
      </c>
      <c r="E673" s="234">
        <f t="shared" ca="1" si="94"/>
        <v>1</v>
      </c>
      <c r="F673" s="244"/>
      <c r="G673" s="269"/>
      <c r="H673" s="269"/>
      <c r="I673" s="269"/>
      <c r="J673" s="270"/>
      <c r="K673" s="271"/>
      <c r="L673" s="272"/>
      <c r="M673" s="272"/>
      <c r="N673" s="278"/>
      <c r="O673" s="270"/>
      <c r="P673" s="275"/>
      <c r="Q673" s="271"/>
    </row>
    <row r="674" spans="1:17" ht="13.5" customHeight="1" x14ac:dyDescent="0.2">
      <c r="A674" s="233">
        <f t="shared" ca="1" si="100"/>
        <v>0</v>
      </c>
      <c r="B674" s="233">
        <f t="shared" ca="1" si="101"/>
        <v>21</v>
      </c>
      <c r="C674" s="233">
        <f t="shared" ca="1" si="102"/>
        <v>1</v>
      </c>
      <c r="D674" s="234">
        <f t="shared" ca="1" si="103"/>
        <v>1</v>
      </c>
      <c r="E674" s="234">
        <f t="shared" ca="1" si="94"/>
        <v>1</v>
      </c>
      <c r="F674" s="244"/>
      <c r="G674" s="269"/>
      <c r="H674" s="269"/>
      <c r="I674" s="269"/>
      <c r="J674" s="270"/>
      <c r="K674" s="271"/>
      <c r="L674" s="272"/>
      <c r="M674" s="272"/>
      <c r="N674" s="278"/>
      <c r="O674" s="270"/>
      <c r="P674" s="275"/>
      <c r="Q674" s="271"/>
    </row>
    <row r="675" spans="1:17" ht="13.5" customHeight="1" x14ac:dyDescent="0.2">
      <c r="A675" s="233">
        <f t="shared" ca="1" si="100"/>
        <v>0</v>
      </c>
      <c r="B675" s="233">
        <f t="shared" ca="1" si="101"/>
        <v>21</v>
      </c>
      <c r="C675" s="233">
        <f t="shared" ca="1" si="102"/>
        <v>1</v>
      </c>
      <c r="D675" s="234">
        <f t="shared" ca="1" si="103"/>
        <v>1</v>
      </c>
      <c r="E675" s="234">
        <f t="shared" ca="1" si="94"/>
        <v>1</v>
      </c>
      <c r="F675" s="244"/>
      <c r="G675" s="269"/>
      <c r="H675" s="269"/>
      <c r="I675" s="269"/>
      <c r="J675" s="270"/>
      <c r="K675" s="271"/>
      <c r="L675" s="272"/>
      <c r="M675" s="272"/>
      <c r="N675" s="278"/>
      <c r="O675" s="270"/>
      <c r="P675" s="275"/>
      <c r="Q675" s="271"/>
    </row>
    <row r="676" spans="1:17" ht="13.5" customHeight="1" x14ac:dyDescent="0.2">
      <c r="A676" s="233">
        <f t="shared" ca="1" si="100"/>
        <v>0</v>
      </c>
      <c r="B676" s="233">
        <f t="shared" ca="1" si="101"/>
        <v>21</v>
      </c>
      <c r="C676" s="233">
        <f t="shared" ca="1" si="102"/>
        <v>1</v>
      </c>
      <c r="D676" s="234">
        <f t="shared" ca="1" si="103"/>
        <v>1</v>
      </c>
      <c r="E676" s="234">
        <f t="shared" ca="1" si="94"/>
        <v>1</v>
      </c>
      <c r="F676" s="244"/>
      <c r="G676" s="269"/>
      <c r="H676" s="269"/>
      <c r="I676" s="269"/>
      <c r="J676" s="270"/>
      <c r="K676" s="271"/>
      <c r="L676" s="272"/>
      <c r="M676" s="272"/>
      <c r="N676" s="278"/>
      <c r="O676" s="270"/>
      <c r="P676" s="275"/>
      <c r="Q676" s="271"/>
    </row>
    <row r="677" spans="1:17" ht="13.5" customHeight="1" x14ac:dyDescent="0.2">
      <c r="A677" s="233">
        <f t="shared" ca="1" si="100"/>
        <v>0</v>
      </c>
      <c r="B677" s="233">
        <f t="shared" ca="1" si="101"/>
        <v>21</v>
      </c>
      <c r="C677" s="233">
        <f t="shared" ca="1" si="102"/>
        <v>1</v>
      </c>
      <c r="D677" s="234">
        <f t="shared" ca="1" si="103"/>
        <v>1</v>
      </c>
      <c r="E677" s="234">
        <f t="shared" ca="1" si="94"/>
        <v>1</v>
      </c>
      <c r="F677" s="244"/>
      <c r="G677" s="269"/>
      <c r="H677" s="269"/>
      <c r="I677" s="269"/>
      <c r="J677" s="270"/>
      <c r="K677" s="271"/>
      <c r="L677" s="272"/>
      <c r="M677" s="272"/>
      <c r="N677" s="278"/>
      <c r="O677" s="270"/>
      <c r="P677" s="275"/>
      <c r="Q677" s="271"/>
    </row>
    <row r="678" spans="1:17" ht="13.5" customHeight="1" x14ac:dyDescent="0.2">
      <c r="A678" s="233">
        <f t="shared" ca="1" si="100"/>
        <v>0</v>
      </c>
      <c r="B678" s="233">
        <f t="shared" ca="1" si="101"/>
        <v>21</v>
      </c>
      <c r="C678" s="233">
        <f t="shared" ca="1" si="102"/>
        <v>1</v>
      </c>
      <c r="D678" s="234">
        <f t="shared" ca="1" si="103"/>
        <v>1</v>
      </c>
      <c r="E678" s="234">
        <f t="shared" ca="1" si="94"/>
        <v>1</v>
      </c>
      <c r="F678" s="244"/>
      <c r="G678" s="269"/>
      <c r="H678" s="269"/>
      <c r="I678" s="269"/>
      <c r="J678" s="270"/>
      <c r="K678" s="271"/>
      <c r="L678" s="272"/>
      <c r="M678" s="272"/>
      <c r="N678" s="278"/>
      <c r="O678" s="270"/>
      <c r="P678" s="275"/>
      <c r="Q678" s="271"/>
    </row>
    <row r="679" spans="1:17" ht="13.5" customHeight="1" x14ac:dyDescent="0.2">
      <c r="A679" s="233">
        <f t="shared" ca="1" si="100"/>
        <v>0</v>
      </c>
      <c r="B679" s="233">
        <f t="shared" ca="1" si="101"/>
        <v>21</v>
      </c>
      <c r="C679" s="233">
        <f t="shared" ca="1" si="102"/>
        <v>1</v>
      </c>
      <c r="D679" s="234">
        <f t="shared" ca="1" si="103"/>
        <v>1</v>
      </c>
      <c r="E679" s="234">
        <f t="shared" ca="1" si="94"/>
        <v>1</v>
      </c>
      <c r="F679" s="244"/>
      <c r="G679" s="269"/>
      <c r="H679" s="269"/>
      <c r="I679" s="269"/>
      <c r="J679" s="270"/>
      <c r="K679" s="271"/>
      <c r="L679" s="272"/>
      <c r="M679" s="272"/>
      <c r="N679" s="278"/>
      <c r="O679" s="270"/>
      <c r="P679" s="275"/>
      <c r="Q679" s="271"/>
    </row>
    <row r="680" spans="1:17" ht="13.5" customHeight="1" x14ac:dyDescent="0.2">
      <c r="A680" s="233">
        <f t="shared" ca="1" si="100"/>
        <v>0</v>
      </c>
      <c r="B680" s="233">
        <f t="shared" ca="1" si="101"/>
        <v>21</v>
      </c>
      <c r="C680" s="233">
        <f t="shared" ca="1" si="102"/>
        <v>1</v>
      </c>
      <c r="D680" s="234">
        <f t="shared" ca="1" si="103"/>
        <v>1</v>
      </c>
      <c r="E680" s="234">
        <f t="shared" ca="1" si="94"/>
        <v>1</v>
      </c>
      <c r="F680" s="244"/>
      <c r="G680" s="269"/>
      <c r="H680" s="269"/>
      <c r="I680" s="269"/>
      <c r="J680" s="270"/>
      <c r="K680" s="271"/>
      <c r="L680" s="272"/>
      <c r="M680" s="272"/>
      <c r="N680" s="278"/>
      <c r="O680" s="270"/>
      <c r="P680" s="275"/>
      <c r="Q680" s="271"/>
    </row>
    <row r="681" spans="1:17" ht="13.5" customHeight="1" x14ac:dyDescent="0.2">
      <c r="A681" s="233">
        <f t="shared" ca="1" si="100"/>
        <v>0</v>
      </c>
      <c r="B681" s="233">
        <f t="shared" ca="1" si="101"/>
        <v>21</v>
      </c>
      <c r="C681" s="233">
        <f t="shared" ca="1" si="102"/>
        <v>1</v>
      </c>
      <c r="D681" s="234">
        <f t="shared" ca="1" si="103"/>
        <v>1</v>
      </c>
      <c r="E681" s="234">
        <f t="shared" ca="1" si="94"/>
        <v>1</v>
      </c>
      <c r="F681" s="244"/>
      <c r="G681" s="269"/>
      <c r="H681" s="269"/>
      <c r="I681" s="269"/>
      <c r="J681" s="270"/>
      <c r="K681" s="271"/>
      <c r="L681" s="272"/>
      <c r="M681" s="272"/>
      <c r="N681" s="278"/>
      <c r="O681" s="270"/>
      <c r="P681" s="275"/>
      <c r="Q681" s="271"/>
    </row>
    <row r="682" spans="1:17" ht="13.5" customHeight="1" x14ac:dyDescent="0.2">
      <c r="A682" s="233">
        <f t="shared" ca="1" si="100"/>
        <v>0</v>
      </c>
      <c r="B682" s="233">
        <f t="shared" ca="1" si="101"/>
        <v>21</v>
      </c>
      <c r="C682" s="233">
        <f t="shared" ca="1" si="102"/>
        <v>1</v>
      </c>
      <c r="D682" s="234">
        <f t="shared" ca="1" si="103"/>
        <v>1</v>
      </c>
      <c r="E682" s="234">
        <f t="shared" ca="1" si="94"/>
        <v>1</v>
      </c>
      <c r="F682" s="244"/>
      <c r="G682" s="269"/>
      <c r="H682" s="269"/>
      <c r="I682" s="269"/>
      <c r="J682" s="270"/>
      <c r="K682" s="271"/>
      <c r="L682" s="272"/>
      <c r="M682" s="272"/>
      <c r="N682" s="278"/>
      <c r="O682" s="270"/>
      <c r="P682" s="275"/>
      <c r="Q682" s="271"/>
    </row>
    <row r="683" spans="1:17" ht="13.5" customHeight="1" x14ac:dyDescent="0.2">
      <c r="A683" s="233">
        <f t="shared" ca="1" si="100"/>
        <v>0</v>
      </c>
      <c r="B683" s="233">
        <f t="shared" ca="1" si="101"/>
        <v>21</v>
      </c>
      <c r="C683" s="233">
        <f t="shared" ca="1" si="102"/>
        <v>1</v>
      </c>
      <c r="D683" s="234">
        <f t="shared" ca="1" si="103"/>
        <v>1</v>
      </c>
      <c r="E683" s="234">
        <f t="shared" ca="1" si="94"/>
        <v>1</v>
      </c>
      <c r="F683" s="244"/>
      <c r="G683" s="269"/>
      <c r="H683" s="269"/>
      <c r="I683" s="269"/>
      <c r="J683" s="270"/>
      <c r="K683" s="271"/>
      <c r="L683" s="272"/>
      <c r="M683" s="272"/>
      <c r="N683" s="278"/>
      <c r="O683" s="270"/>
      <c r="P683" s="275"/>
      <c r="Q683" s="271"/>
    </row>
    <row r="684" spans="1:17" ht="13.5" customHeight="1" x14ac:dyDescent="0.2">
      <c r="A684" s="233">
        <f t="shared" ca="1" si="100"/>
        <v>0</v>
      </c>
      <c r="B684" s="233">
        <f t="shared" ca="1" si="101"/>
        <v>21</v>
      </c>
      <c r="C684" s="233">
        <f t="shared" ca="1" si="102"/>
        <v>1</v>
      </c>
      <c r="D684" s="234">
        <f t="shared" ca="1" si="103"/>
        <v>1</v>
      </c>
      <c r="E684" s="234">
        <f t="shared" ca="1" si="94"/>
        <v>1</v>
      </c>
      <c r="F684" s="244"/>
      <c r="G684" s="269"/>
      <c r="H684" s="269"/>
      <c r="I684" s="269"/>
      <c r="J684" s="270"/>
      <c r="K684" s="271"/>
      <c r="L684" s="272"/>
      <c r="M684" s="272"/>
      <c r="N684" s="278"/>
      <c r="O684" s="270"/>
      <c r="P684" s="275"/>
      <c r="Q684" s="271"/>
    </row>
    <row r="685" spans="1:17" ht="13.5" customHeight="1" x14ac:dyDescent="0.2">
      <c r="A685" s="233">
        <f t="shared" ca="1" si="100"/>
        <v>0</v>
      </c>
      <c r="B685" s="233">
        <f t="shared" ca="1" si="101"/>
        <v>21</v>
      </c>
      <c r="C685" s="233">
        <f t="shared" ca="1" si="102"/>
        <v>1</v>
      </c>
      <c r="D685" s="234">
        <f t="shared" ca="1" si="103"/>
        <v>1</v>
      </c>
      <c r="E685" s="234">
        <f t="shared" ca="1" si="94"/>
        <v>1</v>
      </c>
      <c r="F685" s="244"/>
      <c r="G685" s="269"/>
      <c r="H685" s="269"/>
      <c r="I685" s="269"/>
      <c r="J685" s="270"/>
      <c r="K685" s="271"/>
      <c r="L685" s="272"/>
      <c r="M685" s="272"/>
      <c r="N685" s="278"/>
      <c r="O685" s="270"/>
      <c r="P685" s="275"/>
      <c r="Q685" s="271"/>
    </row>
    <row r="686" spans="1:17" ht="13.5" customHeight="1" x14ac:dyDescent="0.2">
      <c r="A686" s="233">
        <f t="shared" ca="1" si="100"/>
        <v>0</v>
      </c>
      <c r="B686" s="233">
        <f t="shared" ca="1" si="101"/>
        <v>21</v>
      </c>
      <c r="C686" s="233">
        <f t="shared" ca="1" si="102"/>
        <v>1</v>
      </c>
      <c r="D686" s="234">
        <f t="shared" ca="1" si="103"/>
        <v>1</v>
      </c>
      <c r="E686" s="234">
        <f t="shared" ca="1" si="94"/>
        <v>1</v>
      </c>
      <c r="F686" s="244"/>
      <c r="G686" s="269"/>
      <c r="H686" s="269"/>
      <c r="I686" s="269"/>
      <c r="J686" s="270"/>
      <c r="K686" s="271"/>
      <c r="L686" s="272"/>
      <c r="M686" s="272"/>
      <c r="N686" s="278"/>
      <c r="O686" s="270"/>
      <c r="P686" s="275"/>
      <c r="Q686" s="271"/>
    </row>
    <row r="687" spans="1:17" ht="13.5" customHeight="1" x14ac:dyDescent="0.2">
      <c r="A687" s="233">
        <f t="shared" ca="1" si="100"/>
        <v>0</v>
      </c>
      <c r="B687" s="233">
        <f t="shared" ca="1" si="101"/>
        <v>21</v>
      </c>
      <c r="C687" s="233">
        <f t="shared" ca="1" si="102"/>
        <v>1</v>
      </c>
      <c r="D687" s="234">
        <f t="shared" ca="1" si="103"/>
        <v>1</v>
      </c>
      <c r="E687" s="234">
        <f t="shared" ca="1" si="94"/>
        <v>1</v>
      </c>
      <c r="F687" s="244"/>
      <c r="G687" s="269"/>
      <c r="H687" s="269"/>
      <c r="I687" s="269"/>
      <c r="J687" s="270"/>
      <c r="K687" s="271"/>
      <c r="L687" s="272"/>
      <c r="M687" s="272"/>
      <c r="N687" s="278"/>
      <c r="O687" s="270"/>
      <c r="P687" s="275"/>
      <c r="Q687" s="271"/>
    </row>
    <row r="688" spans="1:17" ht="13.5" customHeight="1" x14ac:dyDescent="0.2">
      <c r="A688" s="233">
        <f t="shared" ca="1" si="100"/>
        <v>0</v>
      </c>
      <c r="B688" s="233">
        <f t="shared" ca="1" si="101"/>
        <v>21</v>
      </c>
      <c r="C688" s="233">
        <f t="shared" ca="1" si="102"/>
        <v>1</v>
      </c>
      <c r="D688" s="234">
        <f t="shared" ca="1" si="103"/>
        <v>1</v>
      </c>
      <c r="E688" s="234">
        <f t="shared" ca="1" si="94"/>
        <v>1</v>
      </c>
      <c r="F688" s="244"/>
      <c r="G688" s="269"/>
      <c r="H688" s="269"/>
      <c r="I688" s="269"/>
      <c r="J688" s="270"/>
      <c r="K688" s="271"/>
      <c r="L688" s="272"/>
      <c r="M688" s="272"/>
      <c r="N688" s="278"/>
      <c r="O688" s="270"/>
      <c r="P688" s="275"/>
      <c r="Q688" s="271"/>
    </row>
    <row r="689" spans="1:17" ht="13.5" customHeight="1" x14ac:dyDescent="0.2">
      <c r="A689" s="233">
        <f t="shared" ca="1" si="100"/>
        <v>0</v>
      </c>
      <c r="B689" s="233">
        <f t="shared" ca="1" si="101"/>
        <v>21</v>
      </c>
      <c r="C689" s="233">
        <f t="shared" ca="1" si="102"/>
        <v>1</v>
      </c>
      <c r="D689" s="234">
        <f t="shared" ca="1" si="103"/>
        <v>1</v>
      </c>
      <c r="E689" s="234">
        <f t="shared" ca="1" si="94"/>
        <v>1</v>
      </c>
      <c r="F689" s="244"/>
      <c r="G689" s="269"/>
      <c r="H689" s="269"/>
      <c r="I689" s="269"/>
      <c r="J689" s="270"/>
      <c r="K689" s="271"/>
      <c r="L689" s="272"/>
      <c r="M689" s="272"/>
      <c r="N689" s="278"/>
      <c r="O689" s="270"/>
      <c r="P689" s="275"/>
      <c r="Q689" s="271"/>
    </row>
    <row r="690" spans="1:17" ht="13.5" customHeight="1" x14ac:dyDescent="0.2">
      <c r="A690" s="233">
        <f t="shared" ca="1" si="100"/>
        <v>0</v>
      </c>
      <c r="B690" s="233">
        <f t="shared" ca="1" si="101"/>
        <v>21</v>
      </c>
      <c r="C690" s="233">
        <f t="shared" ca="1" si="102"/>
        <v>1</v>
      </c>
      <c r="D690" s="234">
        <f t="shared" ca="1" si="103"/>
        <v>1</v>
      </c>
      <c r="E690" s="234">
        <f t="shared" ca="1" si="94"/>
        <v>1</v>
      </c>
      <c r="F690" s="244"/>
      <c r="G690" s="269"/>
      <c r="H690" s="269"/>
      <c r="I690" s="269"/>
      <c r="J690" s="270"/>
      <c r="K690" s="271"/>
      <c r="L690" s="272"/>
      <c r="M690" s="272"/>
      <c r="N690" s="278"/>
      <c r="O690" s="270"/>
      <c r="P690" s="275"/>
      <c r="Q690" s="271"/>
    </row>
    <row r="691" spans="1:17" ht="13.5" customHeight="1" x14ac:dyDescent="0.2">
      <c r="A691" s="233">
        <f t="shared" ca="1" si="100"/>
        <v>0</v>
      </c>
      <c r="B691" s="233">
        <f t="shared" ca="1" si="101"/>
        <v>21</v>
      </c>
      <c r="C691" s="233">
        <f t="shared" ca="1" si="102"/>
        <v>1</v>
      </c>
      <c r="D691" s="234">
        <f t="shared" ca="1" si="103"/>
        <v>1</v>
      </c>
      <c r="E691" s="234">
        <f t="shared" ca="1" si="94"/>
        <v>1</v>
      </c>
      <c r="F691" s="244"/>
      <c r="G691" s="269"/>
      <c r="H691" s="269"/>
      <c r="I691" s="269"/>
      <c r="J691" s="270"/>
      <c r="K691" s="271"/>
      <c r="L691" s="272"/>
      <c r="M691" s="272"/>
      <c r="N691" s="278"/>
      <c r="O691" s="270"/>
      <c r="P691" s="275"/>
      <c r="Q691" s="271"/>
    </row>
    <row r="692" spans="1:17" ht="13.5" customHeight="1" x14ac:dyDescent="0.2">
      <c r="A692" s="233">
        <f t="shared" ca="1" si="100"/>
        <v>0</v>
      </c>
      <c r="B692" s="233">
        <f t="shared" ca="1" si="101"/>
        <v>21</v>
      </c>
      <c r="C692" s="233">
        <f t="shared" ca="1" si="102"/>
        <v>1</v>
      </c>
      <c r="D692" s="234">
        <f t="shared" ca="1" si="103"/>
        <v>1</v>
      </c>
      <c r="E692" s="234">
        <f t="shared" ca="1" si="94"/>
        <v>1</v>
      </c>
      <c r="F692" s="244"/>
      <c r="G692" s="269"/>
      <c r="H692" s="269"/>
      <c r="I692" s="269"/>
      <c r="J692" s="270"/>
      <c r="K692" s="271"/>
      <c r="L692" s="272"/>
      <c r="M692" s="272"/>
      <c r="N692" s="278"/>
      <c r="O692" s="270"/>
      <c r="P692" s="275"/>
      <c r="Q692" s="271"/>
    </row>
    <row r="693" spans="1:17" ht="13.5" customHeight="1" x14ac:dyDescent="0.2">
      <c r="A693" s="233">
        <f t="shared" ca="1" si="100"/>
        <v>0</v>
      </c>
      <c r="B693" s="233">
        <f t="shared" ca="1" si="101"/>
        <v>21</v>
      </c>
      <c r="C693" s="233">
        <f t="shared" ca="1" si="102"/>
        <v>1</v>
      </c>
      <c r="D693" s="234">
        <f t="shared" ca="1" si="103"/>
        <v>1</v>
      </c>
      <c r="E693" s="234">
        <f t="shared" ca="1" si="94"/>
        <v>1</v>
      </c>
      <c r="F693" s="244"/>
      <c r="G693" s="269"/>
      <c r="H693" s="269"/>
      <c r="I693" s="269"/>
      <c r="J693" s="270"/>
      <c r="K693" s="271"/>
      <c r="L693" s="272"/>
      <c r="M693" s="272"/>
      <c r="N693" s="278"/>
      <c r="O693" s="270"/>
      <c r="P693" s="275"/>
      <c r="Q693" s="271"/>
    </row>
    <row r="694" spans="1:17" ht="13.5" customHeight="1" x14ac:dyDescent="0.2">
      <c r="A694" s="233">
        <f t="shared" ca="1" si="100"/>
        <v>0</v>
      </c>
      <c r="B694" s="233">
        <f t="shared" ca="1" si="101"/>
        <v>21</v>
      </c>
      <c r="C694" s="233">
        <f t="shared" ca="1" si="102"/>
        <v>1</v>
      </c>
      <c r="D694" s="234">
        <f t="shared" ca="1" si="103"/>
        <v>1</v>
      </c>
      <c r="E694" s="234">
        <f t="shared" ca="1" si="94"/>
        <v>1</v>
      </c>
      <c r="F694" s="244"/>
      <c r="G694" s="269"/>
      <c r="H694" s="269"/>
      <c r="I694" s="269"/>
      <c r="J694" s="270"/>
      <c r="K694" s="271"/>
      <c r="L694" s="272"/>
      <c r="M694" s="272"/>
      <c r="N694" s="278"/>
      <c r="O694" s="270"/>
      <c r="P694" s="275"/>
      <c r="Q694" s="271"/>
    </row>
    <row r="695" spans="1:17" ht="13.5" customHeight="1" x14ac:dyDescent="0.2">
      <c r="A695" s="233">
        <f t="shared" ca="1" si="100"/>
        <v>0</v>
      </c>
      <c r="B695" s="233">
        <f t="shared" ca="1" si="101"/>
        <v>21</v>
      </c>
      <c r="C695" s="233">
        <f t="shared" ca="1" si="102"/>
        <v>1</v>
      </c>
      <c r="D695" s="234">
        <f t="shared" ca="1" si="103"/>
        <v>1</v>
      </c>
      <c r="E695" s="234">
        <f t="shared" ca="1" si="94"/>
        <v>1</v>
      </c>
      <c r="F695" s="244"/>
      <c r="G695" s="269"/>
      <c r="H695" s="269"/>
      <c r="I695" s="269"/>
      <c r="J695" s="270"/>
      <c r="K695" s="271"/>
      <c r="L695" s="272"/>
      <c r="M695" s="272"/>
      <c r="N695" s="278"/>
      <c r="O695" s="270"/>
      <c r="P695" s="275"/>
      <c r="Q695" s="271"/>
    </row>
    <row r="696" spans="1:17" ht="13.5" customHeight="1" x14ac:dyDescent="0.2">
      <c r="A696" s="233">
        <f t="shared" ca="1" si="100"/>
        <v>0</v>
      </c>
      <c r="B696" s="233">
        <f t="shared" ca="1" si="101"/>
        <v>21</v>
      </c>
      <c r="C696" s="233">
        <f t="shared" ca="1" si="102"/>
        <v>1</v>
      </c>
      <c r="D696" s="234">
        <f t="shared" ca="1" si="103"/>
        <v>1</v>
      </c>
      <c r="E696" s="234">
        <f t="shared" ca="1" si="94"/>
        <v>1</v>
      </c>
      <c r="F696" s="244"/>
      <c r="G696" s="269"/>
      <c r="H696" s="269"/>
      <c r="I696" s="269"/>
      <c r="J696" s="270"/>
      <c r="K696" s="271"/>
      <c r="L696" s="272"/>
      <c r="M696" s="272"/>
      <c r="N696" s="278"/>
      <c r="O696" s="270"/>
      <c r="P696" s="275"/>
      <c r="Q696" s="271"/>
    </row>
    <row r="697" spans="1:17" ht="13.5" customHeight="1" x14ac:dyDescent="0.2">
      <c r="A697" s="233">
        <f t="shared" ca="1" si="100"/>
        <v>0</v>
      </c>
      <c r="B697" s="233">
        <f t="shared" ca="1" si="101"/>
        <v>21</v>
      </c>
      <c r="C697" s="233">
        <f t="shared" ca="1" si="102"/>
        <v>1</v>
      </c>
      <c r="D697" s="234">
        <f t="shared" ca="1" si="103"/>
        <v>1</v>
      </c>
      <c r="E697" s="234">
        <f t="shared" ca="1" si="94"/>
        <v>1</v>
      </c>
      <c r="F697" s="244"/>
      <c r="G697" s="269"/>
      <c r="H697" s="269"/>
      <c r="I697" s="269"/>
      <c r="J697" s="270"/>
      <c r="K697" s="271"/>
      <c r="L697" s="272"/>
      <c r="M697" s="272"/>
      <c r="N697" s="278"/>
      <c r="O697" s="270"/>
      <c r="P697" s="275"/>
      <c r="Q697" s="271"/>
    </row>
    <row r="698" spans="1:17" ht="13.5" customHeight="1" x14ac:dyDescent="0.2">
      <c r="A698" s="233">
        <f t="shared" ca="1" si="100"/>
        <v>0</v>
      </c>
      <c r="B698" s="233">
        <f t="shared" ca="1" si="101"/>
        <v>21</v>
      </c>
      <c r="C698" s="233">
        <f t="shared" ca="1" si="102"/>
        <v>1</v>
      </c>
      <c r="D698" s="234">
        <f t="shared" ca="1" si="103"/>
        <v>1</v>
      </c>
      <c r="E698" s="234">
        <f t="shared" ca="1" si="94"/>
        <v>1</v>
      </c>
      <c r="F698" s="244"/>
      <c r="G698" s="269"/>
      <c r="H698" s="269"/>
      <c r="I698" s="269"/>
      <c r="J698" s="270"/>
      <c r="K698" s="271"/>
      <c r="L698" s="272"/>
      <c r="M698" s="272"/>
      <c r="N698" s="278"/>
      <c r="O698" s="270"/>
      <c r="P698" s="275"/>
      <c r="Q698" s="271"/>
    </row>
    <row r="699" spans="1:17" ht="13.5" customHeight="1" x14ac:dyDescent="0.2">
      <c r="A699" s="233">
        <f t="shared" ca="1" si="100"/>
        <v>0</v>
      </c>
      <c r="B699" s="233">
        <f t="shared" ca="1" si="101"/>
        <v>21</v>
      </c>
      <c r="C699" s="233">
        <f t="shared" ca="1" si="102"/>
        <v>1</v>
      </c>
      <c r="D699" s="234">
        <f t="shared" ca="1" si="103"/>
        <v>1</v>
      </c>
      <c r="E699" s="234">
        <f t="shared" ca="1" si="94"/>
        <v>1</v>
      </c>
      <c r="F699" s="244"/>
      <c r="G699" s="269"/>
      <c r="H699" s="269"/>
      <c r="I699" s="269"/>
      <c r="J699" s="270"/>
      <c r="K699" s="271"/>
      <c r="L699" s="272"/>
      <c r="M699" s="272"/>
      <c r="N699" s="278"/>
      <c r="O699" s="270"/>
      <c r="P699" s="275"/>
      <c r="Q699" s="271"/>
    </row>
    <row r="700" spans="1:17" ht="13.5" customHeight="1" x14ac:dyDescent="0.2">
      <c r="A700" s="233">
        <f t="shared" ca="1" si="100"/>
        <v>0</v>
      </c>
      <c r="B700" s="233">
        <f t="shared" ca="1" si="101"/>
        <v>21</v>
      </c>
      <c r="C700" s="233">
        <f t="shared" ca="1" si="102"/>
        <v>1</v>
      </c>
      <c r="D700" s="234">
        <f t="shared" ca="1" si="103"/>
        <v>1</v>
      </c>
      <c r="E700" s="234">
        <f t="shared" ca="1" si="94"/>
        <v>1</v>
      </c>
      <c r="F700" s="244"/>
      <c r="G700" s="269"/>
      <c r="H700" s="269"/>
      <c r="I700" s="269"/>
      <c r="J700" s="270"/>
      <c r="K700" s="271"/>
      <c r="L700" s="272"/>
      <c r="M700" s="272"/>
      <c r="N700" s="278"/>
      <c r="O700" s="270"/>
      <c r="P700" s="275"/>
      <c r="Q700" s="271"/>
    </row>
    <row r="701" spans="1:17" ht="13.5" customHeight="1" x14ac:dyDescent="0.2">
      <c r="A701" s="233">
        <f t="shared" ca="1" si="100"/>
        <v>0</v>
      </c>
      <c r="B701" s="233">
        <f t="shared" ca="1" si="101"/>
        <v>21</v>
      </c>
      <c r="C701" s="233">
        <f t="shared" ca="1" si="102"/>
        <v>1</v>
      </c>
      <c r="D701" s="234">
        <f t="shared" ca="1" si="103"/>
        <v>1</v>
      </c>
      <c r="E701" s="234">
        <f t="shared" ca="1" si="94"/>
        <v>1</v>
      </c>
      <c r="F701" s="244"/>
      <c r="G701" s="269"/>
      <c r="H701" s="269"/>
      <c r="I701" s="269"/>
      <c r="J701" s="270"/>
      <c r="K701" s="271"/>
      <c r="L701" s="272"/>
      <c r="M701" s="272"/>
      <c r="N701" s="278"/>
      <c r="O701" s="270"/>
      <c r="P701" s="275"/>
      <c r="Q701" s="271"/>
    </row>
    <row r="702" spans="1:17" ht="13.5" customHeight="1" x14ac:dyDescent="0.2">
      <c r="A702" s="233">
        <f t="shared" ca="1" si="100"/>
        <v>0</v>
      </c>
      <c r="B702" s="233">
        <f t="shared" ca="1" si="101"/>
        <v>21</v>
      </c>
      <c r="C702" s="233">
        <f t="shared" ca="1" si="102"/>
        <v>1</v>
      </c>
      <c r="D702" s="234">
        <f t="shared" ca="1" si="103"/>
        <v>1</v>
      </c>
      <c r="E702" s="234">
        <f t="shared" ca="1" si="94"/>
        <v>1</v>
      </c>
      <c r="F702" s="244"/>
      <c r="G702" s="269"/>
      <c r="H702" s="269"/>
      <c r="I702" s="269"/>
      <c r="J702" s="270"/>
      <c r="K702" s="271"/>
      <c r="L702" s="272"/>
      <c r="M702" s="272"/>
      <c r="N702" s="278"/>
      <c r="O702" s="270"/>
      <c r="P702" s="275"/>
      <c r="Q702" s="271"/>
    </row>
    <row r="703" spans="1:17" ht="13.5" customHeight="1" x14ac:dyDescent="0.2">
      <c r="A703" s="233">
        <f t="shared" ca="1" si="100"/>
        <v>0</v>
      </c>
      <c r="B703" s="233">
        <f t="shared" ca="1" si="101"/>
        <v>21</v>
      </c>
      <c r="C703" s="233">
        <f t="shared" ca="1" si="102"/>
        <v>1</v>
      </c>
      <c r="D703" s="234">
        <f t="shared" ca="1" si="103"/>
        <v>1</v>
      </c>
      <c r="E703" s="234">
        <f t="shared" ca="1" si="94"/>
        <v>1</v>
      </c>
      <c r="F703" s="244"/>
      <c r="G703" s="269"/>
      <c r="H703" s="269"/>
      <c r="I703" s="269"/>
      <c r="J703" s="270"/>
      <c r="K703" s="271"/>
      <c r="L703" s="272"/>
      <c r="M703" s="272"/>
      <c r="N703" s="278"/>
      <c r="O703" s="270"/>
      <c r="P703" s="275"/>
      <c r="Q703" s="271"/>
    </row>
    <row r="704" spans="1:17" ht="13.5" customHeight="1" x14ac:dyDescent="0.2">
      <c r="A704" s="233">
        <f t="shared" ca="1" si="100"/>
        <v>0</v>
      </c>
      <c r="B704" s="233">
        <f t="shared" ca="1" si="101"/>
        <v>21</v>
      </c>
      <c r="C704" s="233">
        <f t="shared" ca="1" si="102"/>
        <v>1</v>
      </c>
      <c r="D704" s="234">
        <f t="shared" ca="1" si="103"/>
        <v>1</v>
      </c>
      <c r="E704" s="234">
        <f t="shared" ca="1" si="94"/>
        <v>1</v>
      </c>
      <c r="F704" s="244"/>
      <c r="G704" s="269"/>
      <c r="H704" s="269"/>
      <c r="I704" s="269"/>
      <c r="J704" s="270"/>
      <c r="K704" s="271"/>
      <c r="L704" s="272"/>
      <c r="M704" s="272"/>
      <c r="N704" s="278"/>
      <c r="O704" s="270"/>
      <c r="P704" s="275"/>
      <c r="Q704" s="271"/>
    </row>
    <row r="705" spans="1:17" ht="13.5" customHeight="1" x14ac:dyDescent="0.2">
      <c r="A705" s="233">
        <f t="shared" ca="1" si="100"/>
        <v>0</v>
      </c>
      <c r="B705" s="233">
        <f t="shared" ca="1" si="101"/>
        <v>21</v>
      </c>
      <c r="C705" s="233">
        <f t="shared" ca="1" si="102"/>
        <v>1</v>
      </c>
      <c r="D705" s="234">
        <f t="shared" ca="1" si="103"/>
        <v>1</v>
      </c>
      <c r="E705" s="234">
        <f t="shared" ca="1" si="94"/>
        <v>1</v>
      </c>
      <c r="F705" s="244"/>
      <c r="G705" s="269"/>
      <c r="H705" s="269"/>
      <c r="I705" s="269"/>
      <c r="J705" s="270"/>
      <c r="K705" s="271"/>
      <c r="L705" s="272"/>
      <c r="M705" s="272"/>
      <c r="N705" s="278"/>
      <c r="O705" s="270"/>
      <c r="P705" s="275"/>
      <c r="Q705" s="271"/>
    </row>
    <row r="706" spans="1:17" ht="13.5" customHeight="1" x14ac:dyDescent="0.2">
      <c r="A706" s="233">
        <f t="shared" ref="A706:A769" ca="1" si="104">IF($H706="UNIDADE CONSTRUTIVA",OFFSET(A706,-1,0)+1,LARGE(A$3:A705,1))</f>
        <v>0</v>
      </c>
      <c r="B706" s="233">
        <f t="shared" ca="1" si="101"/>
        <v>21</v>
      </c>
      <c r="C706" s="233">
        <f t="shared" ca="1" si="102"/>
        <v>1</v>
      </c>
      <c r="D706" s="234">
        <f t="shared" ca="1" si="103"/>
        <v>1</v>
      </c>
      <c r="E706" s="234">
        <f t="shared" ca="1" si="94"/>
        <v>1</v>
      </c>
      <c r="F706" s="244"/>
      <c r="G706" s="269"/>
      <c r="H706" s="269"/>
      <c r="I706" s="269"/>
      <c r="J706" s="270"/>
      <c r="K706" s="271"/>
      <c r="L706" s="272"/>
      <c r="M706" s="272"/>
      <c r="N706" s="278"/>
      <c r="O706" s="270"/>
      <c r="P706" s="275"/>
      <c r="Q706" s="271"/>
    </row>
    <row r="707" spans="1:17" ht="13.5" customHeight="1" x14ac:dyDescent="0.2">
      <c r="A707" s="233">
        <f t="shared" ca="1" si="104"/>
        <v>0</v>
      </c>
      <c r="B707" s="233">
        <f t="shared" ref="B707:B770" ca="1" si="105">IF(H707="UNIDADE CONSTRUTIVA",0,IF(H707="CÉLULA CONSTRUTIVA",OFFSET(B707,-1,0)+1,OFFSET(B707,-1,0)))</f>
        <v>21</v>
      </c>
      <c r="C707" s="233">
        <f t="shared" ref="C707:C770" ca="1" si="106">IF(H707="CÉLULA CONSTRUTIVA",0,IF(H707="ETAPA",OFFSET(C707,-1,0)+1,OFFSET(C707,-1,0)))</f>
        <v>1</v>
      </c>
      <c r="D707" s="234">
        <f t="shared" ca="1" si="103"/>
        <v>1</v>
      </c>
      <c r="E707" s="234">
        <f t="shared" ca="1" si="94"/>
        <v>1</v>
      </c>
      <c r="F707" s="244"/>
      <c r="G707" s="269"/>
      <c r="H707" s="269"/>
      <c r="I707" s="269"/>
      <c r="J707" s="270"/>
      <c r="K707" s="271"/>
      <c r="L707" s="272"/>
      <c r="M707" s="272"/>
      <c r="N707" s="278"/>
      <c r="O707" s="270"/>
      <c r="P707" s="275"/>
      <c r="Q707" s="271"/>
    </row>
    <row r="708" spans="1:17" ht="13.5" customHeight="1" x14ac:dyDescent="0.2">
      <c r="A708" s="233">
        <f t="shared" ca="1" si="104"/>
        <v>0</v>
      </c>
      <c r="B708" s="233">
        <f t="shared" ca="1" si="105"/>
        <v>21</v>
      </c>
      <c r="C708" s="233">
        <f t="shared" ca="1" si="106"/>
        <v>1</v>
      </c>
      <c r="D708" s="234">
        <f t="shared" ca="1" si="103"/>
        <v>1</v>
      </c>
      <c r="E708" s="234">
        <f t="shared" ca="1" si="94"/>
        <v>1</v>
      </c>
      <c r="F708" s="244"/>
      <c r="G708" s="269"/>
      <c r="H708" s="269"/>
      <c r="I708" s="269"/>
      <c r="J708" s="270"/>
      <c r="K708" s="271"/>
      <c r="L708" s="272"/>
      <c r="M708" s="272"/>
      <c r="N708" s="278"/>
      <c r="O708" s="270"/>
      <c r="P708" s="275"/>
      <c r="Q708" s="271"/>
    </row>
    <row r="709" spans="1:17" ht="13.5" customHeight="1" x14ac:dyDescent="0.2">
      <c r="A709" s="233">
        <f t="shared" ca="1" si="104"/>
        <v>0</v>
      </c>
      <c r="B709" s="233">
        <f t="shared" ca="1" si="105"/>
        <v>21</v>
      </c>
      <c r="C709" s="233">
        <f t="shared" ca="1" si="106"/>
        <v>1</v>
      </c>
      <c r="D709" s="234">
        <f t="shared" ca="1" si="103"/>
        <v>1</v>
      </c>
      <c r="E709" s="234">
        <f t="shared" ca="1" si="94"/>
        <v>1</v>
      </c>
      <c r="F709" s="244"/>
      <c r="G709" s="269"/>
      <c r="H709" s="269"/>
      <c r="I709" s="269"/>
      <c r="J709" s="270"/>
      <c r="K709" s="271"/>
      <c r="L709" s="272"/>
      <c r="M709" s="272"/>
      <c r="N709" s="278"/>
      <c r="O709" s="270"/>
      <c r="P709" s="275"/>
      <c r="Q709" s="271"/>
    </row>
    <row r="710" spans="1:17" ht="13.5" customHeight="1" x14ac:dyDescent="0.2">
      <c r="A710" s="233">
        <f t="shared" ca="1" si="104"/>
        <v>0</v>
      </c>
      <c r="B710" s="233">
        <f t="shared" ca="1" si="105"/>
        <v>21</v>
      </c>
      <c r="C710" s="233">
        <f t="shared" ca="1" si="106"/>
        <v>1</v>
      </c>
      <c r="D710" s="234">
        <f t="shared" ca="1" si="103"/>
        <v>1</v>
      </c>
      <c r="E710" s="234">
        <f t="shared" ca="1" si="94"/>
        <v>1</v>
      </c>
      <c r="F710" s="244"/>
      <c r="G710" s="269"/>
      <c r="H710" s="269"/>
      <c r="I710" s="269"/>
      <c r="J710" s="270"/>
      <c r="K710" s="271"/>
      <c r="L710" s="272"/>
      <c r="M710" s="272"/>
      <c r="N710" s="278"/>
      <c r="O710" s="270"/>
      <c r="P710" s="275"/>
      <c r="Q710" s="271"/>
    </row>
    <row r="711" spans="1:17" ht="13.5" customHeight="1" x14ac:dyDescent="0.2">
      <c r="A711" s="233">
        <f t="shared" ca="1" si="104"/>
        <v>0</v>
      </c>
      <c r="B711" s="233">
        <f t="shared" ca="1" si="105"/>
        <v>21</v>
      </c>
      <c r="C711" s="233">
        <f t="shared" ca="1" si="106"/>
        <v>1</v>
      </c>
      <c r="D711" s="234">
        <f t="shared" ca="1" si="103"/>
        <v>1</v>
      </c>
      <c r="E711" s="234">
        <f t="shared" ca="1" si="94"/>
        <v>1</v>
      </c>
      <c r="F711" s="244"/>
      <c r="G711" s="269"/>
      <c r="H711" s="269"/>
      <c r="I711" s="269"/>
      <c r="J711" s="270"/>
      <c r="K711" s="271"/>
      <c r="L711" s="272"/>
      <c r="M711" s="272"/>
      <c r="N711" s="278"/>
      <c r="O711" s="270"/>
      <c r="P711" s="275"/>
      <c r="Q711" s="271"/>
    </row>
    <row r="712" spans="1:17" ht="13.5" customHeight="1" x14ac:dyDescent="0.2">
      <c r="A712" s="233">
        <f t="shared" ca="1" si="104"/>
        <v>0</v>
      </c>
      <c r="B712" s="233">
        <f t="shared" ca="1" si="105"/>
        <v>21</v>
      </c>
      <c r="C712" s="233">
        <f t="shared" ca="1" si="106"/>
        <v>1</v>
      </c>
      <c r="D712" s="234">
        <f t="shared" ca="1" si="103"/>
        <v>1</v>
      </c>
      <c r="E712" s="234">
        <f t="shared" ca="1" si="94"/>
        <v>1</v>
      </c>
      <c r="F712" s="244"/>
      <c r="G712" s="269"/>
      <c r="H712" s="269"/>
      <c r="I712" s="269"/>
      <c r="J712" s="270"/>
      <c r="K712" s="271"/>
      <c r="L712" s="272"/>
      <c r="M712" s="272"/>
      <c r="N712" s="278"/>
      <c r="O712" s="270"/>
      <c r="P712" s="275"/>
      <c r="Q712" s="271"/>
    </row>
    <row r="713" spans="1:17" ht="13.5" customHeight="1" x14ac:dyDescent="0.2">
      <c r="A713" s="233">
        <f t="shared" ca="1" si="104"/>
        <v>0</v>
      </c>
      <c r="B713" s="233">
        <f t="shared" ca="1" si="105"/>
        <v>21</v>
      </c>
      <c r="C713" s="233">
        <f t="shared" ca="1" si="106"/>
        <v>1</v>
      </c>
      <c r="D713" s="234">
        <f t="shared" ca="1" si="103"/>
        <v>1</v>
      </c>
      <c r="E713" s="234">
        <f t="shared" ca="1" si="94"/>
        <v>1</v>
      </c>
      <c r="F713" s="244"/>
      <c r="G713" s="269"/>
      <c r="H713" s="269"/>
      <c r="I713" s="269"/>
      <c r="J713" s="270"/>
      <c r="K713" s="271"/>
      <c r="L713" s="272"/>
      <c r="M713" s="272"/>
      <c r="N713" s="278"/>
      <c r="O713" s="270"/>
      <c r="P713" s="275"/>
      <c r="Q713" s="271"/>
    </row>
    <row r="714" spans="1:17" ht="13.5" customHeight="1" x14ac:dyDescent="0.2">
      <c r="A714" s="233">
        <f t="shared" ca="1" si="104"/>
        <v>0</v>
      </c>
      <c r="B714" s="233">
        <f t="shared" ca="1" si="105"/>
        <v>21</v>
      </c>
      <c r="C714" s="233">
        <f t="shared" ca="1" si="106"/>
        <v>1</v>
      </c>
      <c r="D714" s="234">
        <f t="shared" ca="1" si="103"/>
        <v>1</v>
      </c>
      <c r="E714" s="234">
        <f t="shared" ca="1" si="94"/>
        <v>1</v>
      </c>
      <c r="F714" s="244"/>
      <c r="G714" s="269"/>
      <c r="H714" s="269"/>
      <c r="I714" s="269"/>
      <c r="J714" s="270"/>
      <c r="K714" s="271"/>
      <c r="L714" s="272"/>
      <c r="M714" s="272"/>
      <c r="N714" s="278"/>
      <c r="O714" s="270"/>
      <c r="P714" s="275"/>
      <c r="Q714" s="271"/>
    </row>
    <row r="715" spans="1:17" ht="13.5" customHeight="1" x14ac:dyDescent="0.2">
      <c r="A715" s="233">
        <f t="shared" ca="1" si="104"/>
        <v>0</v>
      </c>
      <c r="B715" s="233">
        <f t="shared" ca="1" si="105"/>
        <v>21</v>
      </c>
      <c r="C715" s="233">
        <f t="shared" ca="1" si="106"/>
        <v>1</v>
      </c>
      <c r="D715" s="234">
        <f t="shared" ca="1" si="103"/>
        <v>1</v>
      </c>
      <c r="E715" s="234">
        <f t="shared" ca="1" si="94"/>
        <v>1</v>
      </c>
      <c r="F715" s="244"/>
      <c r="G715" s="269"/>
      <c r="H715" s="269"/>
      <c r="I715" s="269"/>
      <c r="J715" s="270"/>
      <c r="K715" s="271"/>
      <c r="L715" s="272"/>
      <c r="M715" s="272"/>
      <c r="N715" s="278"/>
      <c r="O715" s="270"/>
      <c r="P715" s="275"/>
      <c r="Q715" s="271"/>
    </row>
    <row r="716" spans="1:17" ht="13.5" customHeight="1" x14ac:dyDescent="0.2">
      <c r="A716" s="233">
        <f t="shared" ca="1" si="104"/>
        <v>0</v>
      </c>
      <c r="B716" s="233">
        <f t="shared" ca="1" si="105"/>
        <v>21</v>
      </c>
      <c r="C716" s="233">
        <f t="shared" ca="1" si="106"/>
        <v>1</v>
      </c>
      <c r="D716" s="234">
        <f t="shared" ca="1" si="103"/>
        <v>1</v>
      </c>
      <c r="E716" s="234">
        <f t="shared" ca="1" si="94"/>
        <v>1</v>
      </c>
      <c r="F716" s="244"/>
      <c r="G716" s="269"/>
      <c r="H716" s="269"/>
      <c r="I716" s="269"/>
      <c r="J716" s="270"/>
      <c r="K716" s="271"/>
      <c r="L716" s="272"/>
      <c r="M716" s="272"/>
      <c r="N716" s="278"/>
      <c r="O716" s="270"/>
      <c r="P716" s="275"/>
      <c r="Q716" s="271"/>
    </row>
    <row r="717" spans="1:17" ht="13.5" customHeight="1" x14ac:dyDescent="0.2">
      <c r="A717" s="233">
        <f t="shared" ca="1" si="104"/>
        <v>0</v>
      </c>
      <c r="B717" s="233">
        <f t="shared" ca="1" si="105"/>
        <v>21</v>
      </c>
      <c r="C717" s="233">
        <f t="shared" ca="1" si="106"/>
        <v>1</v>
      </c>
      <c r="D717" s="234">
        <f t="shared" ca="1" si="103"/>
        <v>1</v>
      </c>
      <c r="E717" s="234">
        <f t="shared" ca="1" si="94"/>
        <v>1</v>
      </c>
      <c r="F717" s="244"/>
      <c r="G717" s="269"/>
      <c r="H717" s="269"/>
      <c r="I717" s="269"/>
      <c r="J717" s="270"/>
      <c r="K717" s="271"/>
      <c r="L717" s="272"/>
      <c r="M717" s="272"/>
      <c r="N717" s="278"/>
      <c r="O717" s="270"/>
      <c r="P717" s="275"/>
      <c r="Q717" s="271"/>
    </row>
    <row r="718" spans="1:17" ht="13.5" customHeight="1" x14ac:dyDescent="0.2">
      <c r="A718" s="233">
        <f t="shared" ca="1" si="104"/>
        <v>0</v>
      </c>
      <c r="B718" s="233">
        <f t="shared" ca="1" si="105"/>
        <v>21</v>
      </c>
      <c r="C718" s="233">
        <f t="shared" ca="1" si="106"/>
        <v>1</v>
      </c>
      <c r="D718" s="234">
        <f t="shared" ca="1" si="103"/>
        <v>1</v>
      </c>
      <c r="E718" s="234">
        <f t="shared" ca="1" si="94"/>
        <v>1</v>
      </c>
      <c r="F718" s="244"/>
      <c r="G718" s="269"/>
      <c r="H718" s="269"/>
      <c r="I718" s="269"/>
      <c r="J718" s="270"/>
      <c r="K718" s="271"/>
      <c r="L718" s="272"/>
      <c r="M718" s="272"/>
      <c r="N718" s="278"/>
      <c r="O718" s="270"/>
      <c r="P718" s="275"/>
      <c r="Q718" s="271"/>
    </row>
    <row r="719" spans="1:17" ht="13.5" customHeight="1" x14ac:dyDescent="0.2">
      <c r="A719" s="233">
        <f t="shared" ca="1" si="104"/>
        <v>0</v>
      </c>
      <c r="B719" s="233">
        <f t="shared" ca="1" si="105"/>
        <v>21</v>
      </c>
      <c r="C719" s="233">
        <f t="shared" ca="1" si="106"/>
        <v>1</v>
      </c>
      <c r="D719" s="234">
        <f t="shared" ca="1" si="103"/>
        <v>1</v>
      </c>
      <c r="E719" s="234">
        <f t="shared" ca="1" si="94"/>
        <v>1</v>
      </c>
      <c r="F719" s="244"/>
      <c r="G719" s="269"/>
      <c r="H719" s="269"/>
      <c r="I719" s="269"/>
      <c r="J719" s="270"/>
      <c r="K719" s="271"/>
      <c r="L719" s="272"/>
      <c r="M719" s="272"/>
      <c r="N719" s="278"/>
      <c r="O719" s="270"/>
      <c r="P719" s="275"/>
      <c r="Q719" s="271"/>
    </row>
    <row r="720" spans="1:17" ht="13.5" customHeight="1" x14ac:dyDescent="0.2">
      <c r="A720" s="233">
        <f t="shared" ca="1" si="104"/>
        <v>0</v>
      </c>
      <c r="B720" s="233">
        <f t="shared" ca="1" si="105"/>
        <v>21</v>
      </c>
      <c r="C720" s="233">
        <f t="shared" ca="1" si="106"/>
        <v>1</v>
      </c>
      <c r="D720" s="234">
        <f t="shared" ca="1" si="103"/>
        <v>1</v>
      </c>
      <c r="E720" s="234">
        <f t="shared" ca="1" si="94"/>
        <v>1</v>
      </c>
      <c r="F720" s="244"/>
      <c r="G720" s="269"/>
      <c r="H720" s="269"/>
      <c r="I720" s="269"/>
      <c r="J720" s="270"/>
      <c r="K720" s="271"/>
      <c r="L720" s="272"/>
      <c r="M720" s="272"/>
      <c r="N720" s="278"/>
      <c r="O720" s="270"/>
      <c r="P720" s="275"/>
      <c r="Q720" s="271"/>
    </row>
    <row r="721" spans="1:17" ht="13.5" customHeight="1" x14ac:dyDescent="0.2">
      <c r="A721" s="233">
        <f t="shared" ca="1" si="104"/>
        <v>0</v>
      </c>
      <c r="B721" s="233">
        <f t="shared" ca="1" si="105"/>
        <v>21</v>
      </c>
      <c r="C721" s="233">
        <f t="shared" ca="1" si="106"/>
        <v>1</v>
      </c>
      <c r="D721" s="234">
        <f t="shared" ref="D721:D784" ca="1" si="107">IF(H721="ETAPA",0,IF(H721="SUBETAPA",OFFSET(D721,-1,0)+1,OFFSET(D721,-1,0)))</f>
        <v>1</v>
      </c>
      <c r="E721" s="234">
        <f t="shared" ca="1" si="94"/>
        <v>1</v>
      </c>
      <c r="F721" s="244"/>
      <c r="G721" s="269"/>
      <c r="H721" s="269"/>
      <c r="I721" s="269"/>
      <c r="J721" s="270"/>
      <c r="K721" s="271"/>
      <c r="L721" s="272"/>
      <c r="M721" s="272"/>
      <c r="N721" s="278"/>
      <c r="O721" s="270"/>
      <c r="P721" s="275"/>
      <c r="Q721" s="271"/>
    </row>
    <row r="722" spans="1:17" ht="13.5" customHeight="1" x14ac:dyDescent="0.2">
      <c r="A722" s="233">
        <f t="shared" ca="1" si="104"/>
        <v>0</v>
      </c>
      <c r="B722" s="233">
        <f t="shared" ca="1" si="105"/>
        <v>21</v>
      </c>
      <c r="C722" s="233">
        <f t="shared" ca="1" si="106"/>
        <v>1</v>
      </c>
      <c r="D722" s="234">
        <f t="shared" ca="1" si="107"/>
        <v>1</v>
      </c>
      <c r="E722" s="234">
        <f t="shared" ca="1" si="94"/>
        <v>1</v>
      </c>
      <c r="F722" s="244"/>
      <c r="G722" s="269"/>
      <c r="H722" s="269"/>
      <c r="I722" s="269"/>
      <c r="J722" s="270"/>
      <c r="K722" s="271"/>
      <c r="L722" s="272"/>
      <c r="M722" s="272"/>
      <c r="N722" s="278"/>
      <c r="O722" s="270"/>
      <c r="P722" s="275"/>
      <c r="Q722" s="271"/>
    </row>
    <row r="723" spans="1:17" ht="13.5" customHeight="1" x14ac:dyDescent="0.2">
      <c r="A723" s="233">
        <f t="shared" ca="1" si="104"/>
        <v>0</v>
      </c>
      <c r="B723" s="233">
        <f t="shared" ca="1" si="105"/>
        <v>21</v>
      </c>
      <c r="C723" s="233">
        <f t="shared" ca="1" si="106"/>
        <v>1</v>
      </c>
      <c r="D723" s="234">
        <f t="shared" ca="1" si="107"/>
        <v>1</v>
      </c>
      <c r="E723" s="234">
        <f t="shared" ca="1" si="94"/>
        <v>1</v>
      </c>
      <c r="F723" s="244"/>
      <c r="G723" s="269"/>
      <c r="H723" s="269"/>
      <c r="I723" s="269"/>
      <c r="J723" s="270"/>
      <c r="K723" s="271"/>
      <c r="L723" s="272"/>
      <c r="M723" s="272"/>
      <c r="N723" s="278"/>
      <c r="O723" s="270"/>
      <c r="P723" s="275"/>
      <c r="Q723" s="271"/>
    </row>
    <row r="724" spans="1:17" ht="13.5" customHeight="1" x14ac:dyDescent="0.2">
      <c r="A724" s="233">
        <f t="shared" ca="1" si="104"/>
        <v>0</v>
      </c>
      <c r="B724" s="233">
        <f t="shared" ca="1" si="105"/>
        <v>21</v>
      </c>
      <c r="C724" s="233">
        <f t="shared" ca="1" si="106"/>
        <v>1</v>
      </c>
      <c r="D724" s="234">
        <f t="shared" ca="1" si="107"/>
        <v>1</v>
      </c>
      <c r="E724" s="234">
        <f t="shared" ca="1" si="94"/>
        <v>1</v>
      </c>
      <c r="F724" s="244"/>
      <c r="G724" s="269"/>
      <c r="H724" s="269"/>
      <c r="I724" s="269"/>
      <c r="J724" s="270"/>
      <c r="K724" s="271"/>
      <c r="L724" s="272"/>
      <c r="M724" s="272"/>
      <c r="N724" s="278"/>
      <c r="O724" s="270"/>
      <c r="P724" s="275"/>
      <c r="Q724" s="271"/>
    </row>
    <row r="725" spans="1:17" ht="13.5" customHeight="1" x14ac:dyDescent="0.2">
      <c r="A725" s="233">
        <f t="shared" ca="1" si="104"/>
        <v>0</v>
      </c>
      <c r="B725" s="233">
        <f t="shared" ca="1" si="105"/>
        <v>21</v>
      </c>
      <c r="C725" s="233">
        <f t="shared" ca="1" si="106"/>
        <v>1</v>
      </c>
      <c r="D725" s="234">
        <f t="shared" ca="1" si="107"/>
        <v>1</v>
      </c>
      <c r="E725" s="234">
        <f t="shared" ca="1" si="94"/>
        <v>1</v>
      </c>
      <c r="F725" s="244"/>
      <c r="G725" s="269"/>
      <c r="H725" s="269"/>
      <c r="I725" s="269"/>
      <c r="J725" s="270"/>
      <c r="K725" s="271"/>
      <c r="L725" s="272"/>
      <c r="M725" s="272"/>
      <c r="N725" s="278"/>
      <c r="O725" s="270"/>
      <c r="P725" s="275"/>
      <c r="Q725" s="271"/>
    </row>
    <row r="726" spans="1:17" ht="13.5" customHeight="1" x14ac:dyDescent="0.2">
      <c r="A726" s="233">
        <f t="shared" ca="1" si="104"/>
        <v>0</v>
      </c>
      <c r="B726" s="233">
        <f t="shared" ca="1" si="105"/>
        <v>21</v>
      </c>
      <c r="C726" s="233">
        <f t="shared" ca="1" si="106"/>
        <v>1</v>
      </c>
      <c r="D726" s="234">
        <f t="shared" ca="1" si="107"/>
        <v>1</v>
      </c>
      <c r="E726" s="234">
        <f t="shared" ca="1" si="94"/>
        <v>1</v>
      </c>
      <c r="F726" s="244"/>
      <c r="G726" s="269"/>
      <c r="H726" s="269"/>
      <c r="I726" s="269"/>
      <c r="J726" s="270"/>
      <c r="K726" s="271"/>
      <c r="L726" s="272"/>
      <c r="M726" s="272"/>
      <c r="N726" s="278"/>
      <c r="O726" s="270"/>
      <c r="P726" s="275"/>
      <c r="Q726" s="271"/>
    </row>
    <row r="727" spans="1:17" ht="13.5" customHeight="1" x14ac:dyDescent="0.2">
      <c r="A727" s="233">
        <f t="shared" ca="1" si="104"/>
        <v>0</v>
      </c>
      <c r="B727" s="233">
        <f t="shared" ca="1" si="105"/>
        <v>21</v>
      </c>
      <c r="C727" s="233">
        <f t="shared" ca="1" si="106"/>
        <v>1</v>
      </c>
      <c r="D727" s="234">
        <f t="shared" ca="1" si="107"/>
        <v>1</v>
      </c>
      <c r="E727" s="234">
        <f t="shared" ca="1" si="94"/>
        <v>1</v>
      </c>
      <c r="F727" s="244"/>
      <c r="G727" s="269"/>
      <c r="H727" s="269"/>
      <c r="I727" s="269"/>
      <c r="J727" s="270"/>
      <c r="K727" s="271"/>
      <c r="L727" s="272"/>
      <c r="M727" s="272"/>
      <c r="N727" s="278"/>
      <c r="O727" s="270"/>
      <c r="P727" s="275"/>
      <c r="Q727" s="271"/>
    </row>
    <row r="728" spans="1:17" ht="13.5" customHeight="1" x14ac:dyDescent="0.2">
      <c r="A728" s="233">
        <f t="shared" ca="1" si="104"/>
        <v>0</v>
      </c>
      <c r="B728" s="233">
        <f t="shared" ca="1" si="105"/>
        <v>21</v>
      </c>
      <c r="C728" s="233">
        <f t="shared" ca="1" si="106"/>
        <v>1</v>
      </c>
      <c r="D728" s="234">
        <f t="shared" ca="1" si="107"/>
        <v>1</v>
      </c>
      <c r="E728" s="234">
        <f t="shared" ca="1" si="94"/>
        <v>1</v>
      </c>
      <c r="F728" s="244"/>
      <c r="G728" s="269"/>
      <c r="H728" s="269"/>
      <c r="I728" s="269"/>
      <c r="J728" s="270"/>
      <c r="K728" s="271"/>
      <c r="L728" s="272"/>
      <c r="M728" s="272"/>
      <c r="N728" s="278"/>
      <c r="O728" s="270"/>
      <c r="P728" s="275"/>
      <c r="Q728" s="271"/>
    </row>
    <row r="729" spans="1:17" ht="13.5" customHeight="1" x14ac:dyDescent="0.2">
      <c r="A729" s="233">
        <f t="shared" ca="1" si="104"/>
        <v>0</v>
      </c>
      <c r="B729" s="233">
        <f t="shared" ca="1" si="105"/>
        <v>21</v>
      </c>
      <c r="C729" s="233">
        <f t="shared" ca="1" si="106"/>
        <v>1</v>
      </c>
      <c r="D729" s="234">
        <f t="shared" ca="1" si="107"/>
        <v>1</v>
      </c>
      <c r="E729" s="234">
        <f t="shared" ca="1" si="94"/>
        <v>1</v>
      </c>
      <c r="F729" s="244"/>
      <c r="G729" s="269"/>
      <c r="H729" s="269"/>
      <c r="I729" s="269"/>
      <c r="J729" s="270"/>
      <c r="K729" s="271"/>
      <c r="L729" s="272"/>
      <c r="M729" s="272"/>
      <c r="N729" s="278"/>
      <c r="O729" s="270"/>
      <c r="P729" s="275"/>
      <c r="Q729" s="271"/>
    </row>
    <row r="730" spans="1:17" ht="13.5" customHeight="1" x14ac:dyDescent="0.2">
      <c r="A730" s="233">
        <f t="shared" ca="1" si="104"/>
        <v>0</v>
      </c>
      <c r="B730" s="233">
        <f t="shared" ca="1" si="105"/>
        <v>21</v>
      </c>
      <c r="C730" s="233">
        <f t="shared" ca="1" si="106"/>
        <v>1</v>
      </c>
      <c r="D730" s="234">
        <f t="shared" ca="1" si="107"/>
        <v>1</v>
      </c>
      <c r="E730" s="234">
        <f t="shared" ca="1" si="94"/>
        <v>1</v>
      </c>
      <c r="F730" s="244"/>
      <c r="G730" s="269"/>
      <c r="H730" s="269"/>
      <c r="I730" s="269"/>
      <c r="J730" s="270"/>
      <c r="K730" s="271"/>
      <c r="L730" s="272"/>
      <c r="M730" s="272"/>
      <c r="N730" s="278"/>
      <c r="O730" s="270"/>
      <c r="P730" s="275"/>
      <c r="Q730" s="271"/>
    </row>
    <row r="731" spans="1:17" ht="13.5" customHeight="1" x14ac:dyDescent="0.2">
      <c r="A731" s="233">
        <f t="shared" ca="1" si="104"/>
        <v>0</v>
      </c>
      <c r="B731" s="233">
        <f t="shared" ca="1" si="105"/>
        <v>21</v>
      </c>
      <c r="C731" s="233">
        <f t="shared" ca="1" si="106"/>
        <v>1</v>
      </c>
      <c r="D731" s="234">
        <f t="shared" ca="1" si="107"/>
        <v>1</v>
      </c>
      <c r="E731" s="234">
        <f t="shared" ca="1" si="94"/>
        <v>1</v>
      </c>
      <c r="F731" s="244"/>
      <c r="G731" s="269"/>
      <c r="H731" s="269"/>
      <c r="I731" s="269"/>
      <c r="J731" s="270"/>
      <c r="K731" s="271"/>
      <c r="L731" s="272"/>
      <c r="M731" s="272"/>
      <c r="N731" s="278"/>
      <c r="O731" s="270"/>
      <c r="P731" s="275"/>
      <c r="Q731" s="271"/>
    </row>
    <row r="732" spans="1:17" ht="13.5" customHeight="1" x14ac:dyDescent="0.2">
      <c r="A732" s="233">
        <f t="shared" ca="1" si="104"/>
        <v>0</v>
      </c>
      <c r="B732" s="233">
        <f t="shared" ca="1" si="105"/>
        <v>21</v>
      </c>
      <c r="C732" s="233">
        <f t="shared" ca="1" si="106"/>
        <v>1</v>
      </c>
      <c r="D732" s="234">
        <f t="shared" ca="1" si="107"/>
        <v>1</v>
      </c>
      <c r="E732" s="234">
        <f t="shared" ca="1" si="94"/>
        <v>1</v>
      </c>
      <c r="F732" s="244"/>
      <c r="G732" s="269"/>
      <c r="H732" s="269"/>
      <c r="I732" s="269"/>
      <c r="J732" s="270"/>
      <c r="K732" s="271"/>
      <c r="L732" s="272"/>
      <c r="M732" s="272"/>
      <c r="N732" s="278"/>
      <c r="O732" s="270"/>
      <c r="P732" s="275"/>
      <c r="Q732" s="271"/>
    </row>
    <row r="733" spans="1:17" ht="13.5" customHeight="1" x14ac:dyDescent="0.2">
      <c r="A733" s="233">
        <f t="shared" ca="1" si="104"/>
        <v>0</v>
      </c>
      <c r="B733" s="233">
        <f t="shared" ca="1" si="105"/>
        <v>21</v>
      </c>
      <c r="C733" s="233">
        <f t="shared" ca="1" si="106"/>
        <v>1</v>
      </c>
      <c r="D733" s="234">
        <f t="shared" ca="1" si="107"/>
        <v>1</v>
      </c>
      <c r="E733" s="234">
        <f t="shared" ca="1" si="94"/>
        <v>1</v>
      </c>
      <c r="F733" s="244"/>
      <c r="G733" s="269"/>
      <c r="H733" s="269"/>
      <c r="I733" s="269"/>
      <c r="J733" s="270"/>
      <c r="K733" s="271"/>
      <c r="L733" s="272"/>
      <c r="M733" s="272"/>
      <c r="N733" s="278"/>
      <c r="O733" s="270"/>
      <c r="P733" s="275"/>
      <c r="Q733" s="271"/>
    </row>
    <row r="734" spans="1:17" ht="13.5" customHeight="1" x14ac:dyDescent="0.2">
      <c r="A734" s="233">
        <f t="shared" ca="1" si="104"/>
        <v>0</v>
      </c>
      <c r="B734" s="233">
        <f t="shared" ca="1" si="105"/>
        <v>21</v>
      </c>
      <c r="C734" s="233">
        <f t="shared" ca="1" si="106"/>
        <v>1</v>
      </c>
      <c r="D734" s="234">
        <f t="shared" ca="1" si="107"/>
        <v>1</v>
      </c>
      <c r="E734" s="234">
        <f t="shared" ca="1" si="94"/>
        <v>1</v>
      </c>
      <c r="F734" s="244"/>
      <c r="G734" s="269"/>
      <c r="H734" s="269"/>
      <c r="I734" s="269"/>
      <c r="J734" s="270"/>
      <c r="K734" s="271"/>
      <c r="L734" s="272"/>
      <c r="M734" s="272"/>
      <c r="N734" s="278"/>
      <c r="O734" s="270"/>
      <c r="P734" s="275"/>
      <c r="Q734" s="271"/>
    </row>
    <row r="735" spans="1:17" ht="13.5" customHeight="1" x14ac:dyDescent="0.2">
      <c r="A735" s="233">
        <f t="shared" ca="1" si="104"/>
        <v>0</v>
      </c>
      <c r="B735" s="233">
        <f t="shared" ca="1" si="105"/>
        <v>21</v>
      </c>
      <c r="C735" s="233">
        <f t="shared" ca="1" si="106"/>
        <v>1</v>
      </c>
      <c r="D735" s="234">
        <f t="shared" ca="1" si="107"/>
        <v>1</v>
      </c>
      <c r="E735" s="234">
        <f t="shared" ca="1" si="94"/>
        <v>1</v>
      </c>
      <c r="F735" s="244"/>
      <c r="G735" s="269"/>
      <c r="H735" s="269"/>
      <c r="I735" s="269"/>
      <c r="J735" s="270"/>
      <c r="K735" s="271"/>
      <c r="L735" s="272"/>
      <c r="M735" s="272"/>
      <c r="N735" s="278"/>
      <c r="O735" s="270"/>
      <c r="P735" s="275"/>
      <c r="Q735" s="271"/>
    </row>
    <row r="736" spans="1:17" ht="13.5" customHeight="1" x14ac:dyDescent="0.2">
      <c r="A736" s="233">
        <f t="shared" ca="1" si="104"/>
        <v>0</v>
      </c>
      <c r="B736" s="233">
        <f t="shared" ca="1" si="105"/>
        <v>21</v>
      </c>
      <c r="C736" s="233">
        <f t="shared" ca="1" si="106"/>
        <v>1</v>
      </c>
      <c r="D736" s="234">
        <f t="shared" ca="1" si="107"/>
        <v>1</v>
      </c>
      <c r="E736" s="234">
        <f t="shared" ca="1" si="94"/>
        <v>1</v>
      </c>
      <c r="F736" s="244"/>
      <c r="G736" s="269"/>
      <c r="H736" s="269"/>
      <c r="I736" s="269"/>
      <c r="J736" s="270"/>
      <c r="K736" s="271"/>
      <c r="L736" s="272"/>
      <c r="M736" s="272"/>
      <c r="N736" s="278"/>
      <c r="O736" s="270"/>
      <c r="P736" s="275"/>
      <c r="Q736" s="271"/>
    </row>
    <row r="737" spans="1:17" ht="13.5" customHeight="1" x14ac:dyDescent="0.2">
      <c r="A737" s="233">
        <f t="shared" ca="1" si="104"/>
        <v>0</v>
      </c>
      <c r="B737" s="233">
        <f t="shared" ca="1" si="105"/>
        <v>21</v>
      </c>
      <c r="C737" s="233">
        <f t="shared" ca="1" si="106"/>
        <v>1</v>
      </c>
      <c r="D737" s="234">
        <f t="shared" ca="1" si="107"/>
        <v>1</v>
      </c>
      <c r="E737" s="234">
        <f t="shared" ca="1" si="94"/>
        <v>1</v>
      </c>
      <c r="F737" s="244"/>
      <c r="G737" s="269"/>
      <c r="H737" s="269"/>
      <c r="I737" s="269"/>
      <c r="J737" s="270"/>
      <c r="K737" s="271"/>
      <c r="L737" s="272"/>
      <c r="M737" s="272"/>
      <c r="N737" s="278"/>
      <c r="O737" s="270"/>
      <c r="P737" s="275"/>
      <c r="Q737" s="271"/>
    </row>
    <row r="738" spans="1:17" ht="13.5" customHeight="1" x14ac:dyDescent="0.2">
      <c r="A738" s="233">
        <f t="shared" ca="1" si="104"/>
        <v>0</v>
      </c>
      <c r="B738" s="233">
        <f t="shared" ca="1" si="105"/>
        <v>21</v>
      </c>
      <c r="C738" s="233">
        <f t="shared" ca="1" si="106"/>
        <v>1</v>
      </c>
      <c r="D738" s="234">
        <f t="shared" ca="1" si="107"/>
        <v>1</v>
      </c>
      <c r="E738" s="234">
        <f t="shared" ca="1" si="94"/>
        <v>1</v>
      </c>
      <c r="F738" s="244"/>
      <c r="G738" s="269"/>
      <c r="H738" s="269"/>
      <c r="I738" s="269"/>
      <c r="J738" s="270"/>
      <c r="K738" s="271"/>
      <c r="L738" s="272"/>
      <c r="M738" s="272"/>
      <c r="N738" s="278"/>
      <c r="O738" s="270"/>
      <c r="P738" s="275"/>
      <c r="Q738" s="271"/>
    </row>
    <row r="739" spans="1:17" ht="13.5" customHeight="1" x14ac:dyDescent="0.2">
      <c r="A739" s="233">
        <f t="shared" ca="1" si="104"/>
        <v>0</v>
      </c>
      <c r="B739" s="233">
        <f t="shared" ca="1" si="105"/>
        <v>21</v>
      </c>
      <c r="C739" s="233">
        <f t="shared" ca="1" si="106"/>
        <v>1</v>
      </c>
      <c r="D739" s="234">
        <f t="shared" ca="1" si="107"/>
        <v>1</v>
      </c>
      <c r="E739" s="234">
        <f t="shared" ca="1" si="94"/>
        <v>1</v>
      </c>
      <c r="F739" s="244"/>
      <c r="G739" s="269"/>
      <c r="H739" s="269"/>
      <c r="I739" s="269"/>
      <c r="J739" s="270"/>
      <c r="K739" s="271"/>
      <c r="L739" s="272"/>
      <c r="M739" s="272"/>
      <c r="N739" s="278"/>
      <c r="O739" s="270"/>
      <c r="P739" s="275"/>
      <c r="Q739" s="271"/>
    </row>
    <row r="740" spans="1:17" ht="13.5" customHeight="1" x14ac:dyDescent="0.2">
      <c r="A740" s="233">
        <f t="shared" ca="1" si="104"/>
        <v>0</v>
      </c>
      <c r="B740" s="233">
        <f t="shared" ca="1" si="105"/>
        <v>21</v>
      </c>
      <c r="C740" s="233">
        <f t="shared" ca="1" si="106"/>
        <v>1</v>
      </c>
      <c r="D740" s="234">
        <f t="shared" ca="1" si="107"/>
        <v>1</v>
      </c>
      <c r="E740" s="234">
        <f t="shared" ca="1" si="94"/>
        <v>1</v>
      </c>
      <c r="F740" s="244"/>
      <c r="G740" s="269"/>
      <c r="H740" s="269"/>
      <c r="I740" s="269"/>
      <c r="J740" s="270"/>
      <c r="K740" s="271"/>
      <c r="L740" s="272"/>
      <c r="M740" s="272"/>
      <c r="N740" s="278"/>
      <c r="O740" s="270"/>
      <c r="P740" s="275"/>
      <c r="Q740" s="271"/>
    </row>
    <row r="741" spans="1:17" ht="13.5" customHeight="1" x14ac:dyDescent="0.2">
      <c r="A741" s="233">
        <f t="shared" ca="1" si="104"/>
        <v>0</v>
      </c>
      <c r="B741" s="233">
        <f t="shared" ca="1" si="105"/>
        <v>21</v>
      </c>
      <c r="C741" s="233">
        <f t="shared" ca="1" si="106"/>
        <v>1</v>
      </c>
      <c r="D741" s="234">
        <f t="shared" ca="1" si="107"/>
        <v>1</v>
      </c>
      <c r="E741" s="234">
        <f t="shared" ca="1" si="94"/>
        <v>1</v>
      </c>
      <c r="F741" s="244"/>
      <c r="G741" s="269"/>
      <c r="H741" s="269"/>
      <c r="I741" s="269"/>
      <c r="J741" s="270"/>
      <c r="K741" s="271"/>
      <c r="L741" s="272"/>
      <c r="M741" s="272"/>
      <c r="N741" s="278"/>
      <c r="O741" s="270"/>
      <c r="P741" s="275"/>
      <c r="Q741" s="271"/>
    </row>
    <row r="742" spans="1:17" ht="13.5" customHeight="1" x14ac:dyDescent="0.2">
      <c r="A742" s="233">
        <f t="shared" ca="1" si="104"/>
        <v>0</v>
      </c>
      <c r="B742" s="233">
        <f t="shared" ca="1" si="105"/>
        <v>21</v>
      </c>
      <c r="C742" s="233">
        <f t="shared" ca="1" si="106"/>
        <v>1</v>
      </c>
      <c r="D742" s="234">
        <f t="shared" ca="1" si="107"/>
        <v>1</v>
      </c>
      <c r="E742" s="234">
        <f t="shared" ca="1" si="94"/>
        <v>1</v>
      </c>
      <c r="F742" s="244"/>
      <c r="G742" s="269"/>
      <c r="H742" s="269"/>
      <c r="I742" s="269"/>
      <c r="J742" s="270"/>
      <c r="K742" s="271"/>
      <c r="L742" s="272"/>
      <c r="M742" s="272"/>
      <c r="N742" s="278"/>
      <c r="O742" s="270"/>
      <c r="P742" s="275"/>
      <c r="Q742" s="271"/>
    </row>
    <row r="743" spans="1:17" ht="13.5" customHeight="1" x14ac:dyDescent="0.2">
      <c r="A743" s="233">
        <f t="shared" ca="1" si="104"/>
        <v>0</v>
      </c>
      <c r="B743" s="233">
        <f t="shared" ca="1" si="105"/>
        <v>21</v>
      </c>
      <c r="C743" s="233">
        <f t="shared" ca="1" si="106"/>
        <v>1</v>
      </c>
      <c r="D743" s="234">
        <f t="shared" ca="1" si="107"/>
        <v>1</v>
      </c>
      <c r="E743" s="234">
        <f t="shared" ca="1" si="94"/>
        <v>1</v>
      </c>
      <c r="F743" s="244"/>
      <c r="G743" s="269"/>
      <c r="H743" s="269"/>
      <c r="I743" s="269"/>
      <c r="J743" s="270"/>
      <c r="K743" s="271"/>
      <c r="L743" s="272"/>
      <c r="M743" s="272"/>
      <c r="N743" s="278"/>
      <c r="O743" s="270"/>
      <c r="P743" s="275"/>
      <c r="Q743" s="271"/>
    </row>
    <row r="744" spans="1:17" ht="13.5" customHeight="1" x14ac:dyDescent="0.2">
      <c r="A744" s="233">
        <f t="shared" ca="1" si="104"/>
        <v>0</v>
      </c>
      <c r="B744" s="233">
        <f t="shared" ca="1" si="105"/>
        <v>21</v>
      </c>
      <c r="C744" s="233">
        <f t="shared" ca="1" si="106"/>
        <v>1</v>
      </c>
      <c r="D744" s="234">
        <f t="shared" ca="1" si="107"/>
        <v>1</v>
      </c>
      <c r="E744" s="234">
        <f t="shared" ca="1" si="94"/>
        <v>1</v>
      </c>
      <c r="F744" s="244"/>
      <c r="G744" s="269"/>
      <c r="H744" s="269"/>
      <c r="I744" s="269"/>
      <c r="J744" s="270"/>
      <c r="K744" s="271"/>
      <c r="L744" s="272"/>
      <c r="M744" s="272"/>
      <c r="N744" s="278"/>
      <c r="O744" s="270"/>
      <c r="P744" s="275"/>
      <c r="Q744" s="271"/>
    </row>
    <row r="745" spans="1:17" ht="13.5" customHeight="1" x14ac:dyDescent="0.2">
      <c r="A745" s="233">
        <f t="shared" ca="1" si="104"/>
        <v>0</v>
      </c>
      <c r="B745" s="233">
        <f t="shared" ca="1" si="105"/>
        <v>21</v>
      </c>
      <c r="C745" s="233">
        <f t="shared" ca="1" si="106"/>
        <v>1</v>
      </c>
      <c r="D745" s="234">
        <f t="shared" ca="1" si="107"/>
        <v>1</v>
      </c>
      <c r="E745" s="234">
        <f t="shared" ca="1" si="94"/>
        <v>1</v>
      </c>
      <c r="F745" s="244"/>
      <c r="G745" s="269"/>
      <c r="H745" s="269"/>
      <c r="I745" s="269"/>
      <c r="J745" s="270"/>
      <c r="K745" s="271"/>
      <c r="L745" s="272"/>
      <c r="M745" s="272"/>
      <c r="N745" s="278"/>
      <c r="O745" s="270"/>
      <c r="P745" s="275"/>
      <c r="Q745" s="271"/>
    </row>
    <row r="746" spans="1:17" ht="13.5" customHeight="1" x14ac:dyDescent="0.2">
      <c r="A746" s="233">
        <f t="shared" ca="1" si="104"/>
        <v>0</v>
      </c>
      <c r="B746" s="233">
        <f t="shared" ca="1" si="105"/>
        <v>21</v>
      </c>
      <c r="C746" s="233">
        <f t="shared" ca="1" si="106"/>
        <v>1</v>
      </c>
      <c r="D746" s="234">
        <f t="shared" ca="1" si="107"/>
        <v>1</v>
      </c>
      <c r="E746" s="234">
        <f t="shared" ca="1" si="94"/>
        <v>1</v>
      </c>
      <c r="F746" s="244"/>
      <c r="G746" s="269"/>
      <c r="H746" s="269"/>
      <c r="I746" s="269"/>
      <c r="J746" s="270"/>
      <c r="K746" s="271"/>
      <c r="L746" s="272"/>
      <c r="M746" s="272"/>
      <c r="N746" s="278"/>
      <c r="O746" s="270"/>
      <c r="P746" s="275"/>
      <c r="Q746" s="271"/>
    </row>
    <row r="747" spans="1:17" ht="13.5" customHeight="1" x14ac:dyDescent="0.2">
      <c r="A747" s="233">
        <f t="shared" ca="1" si="104"/>
        <v>0</v>
      </c>
      <c r="B747" s="233">
        <f t="shared" ca="1" si="105"/>
        <v>21</v>
      </c>
      <c r="C747" s="233">
        <f t="shared" ca="1" si="106"/>
        <v>1</v>
      </c>
      <c r="D747" s="234">
        <f t="shared" ca="1" si="107"/>
        <v>1</v>
      </c>
      <c r="E747" s="234">
        <f t="shared" ca="1" si="94"/>
        <v>1</v>
      </c>
      <c r="F747" s="244"/>
      <c r="G747" s="269"/>
      <c r="H747" s="269"/>
      <c r="I747" s="269"/>
      <c r="J747" s="270"/>
      <c r="K747" s="271"/>
      <c r="L747" s="272"/>
      <c r="M747" s="272"/>
      <c r="N747" s="278"/>
      <c r="O747" s="270"/>
      <c r="P747" s="275"/>
      <c r="Q747" s="271"/>
    </row>
    <row r="748" spans="1:17" ht="13.5" customHeight="1" x14ac:dyDescent="0.2">
      <c r="A748" s="233">
        <f t="shared" ca="1" si="104"/>
        <v>0</v>
      </c>
      <c r="B748" s="233">
        <f t="shared" ca="1" si="105"/>
        <v>21</v>
      </c>
      <c r="C748" s="233">
        <f t="shared" ca="1" si="106"/>
        <v>1</v>
      </c>
      <c r="D748" s="234">
        <f t="shared" ca="1" si="107"/>
        <v>1</v>
      </c>
      <c r="E748" s="234">
        <f t="shared" ca="1" si="94"/>
        <v>1</v>
      </c>
      <c r="F748" s="244"/>
      <c r="G748" s="269"/>
      <c r="H748" s="269"/>
      <c r="I748" s="269"/>
      <c r="J748" s="270"/>
      <c r="K748" s="271"/>
      <c r="L748" s="272"/>
      <c r="M748" s="272"/>
      <c r="N748" s="278"/>
      <c r="O748" s="270"/>
      <c r="P748" s="275"/>
      <c r="Q748" s="271"/>
    </row>
    <row r="749" spans="1:17" ht="13.5" customHeight="1" x14ac:dyDescent="0.2">
      <c r="A749" s="233">
        <f t="shared" ca="1" si="104"/>
        <v>0</v>
      </c>
      <c r="B749" s="233">
        <f t="shared" ca="1" si="105"/>
        <v>21</v>
      </c>
      <c r="C749" s="233">
        <f t="shared" ca="1" si="106"/>
        <v>1</v>
      </c>
      <c r="D749" s="234">
        <f t="shared" ca="1" si="107"/>
        <v>1</v>
      </c>
      <c r="E749" s="234">
        <f t="shared" ca="1" si="94"/>
        <v>1</v>
      </c>
      <c r="F749" s="244"/>
      <c r="G749" s="269"/>
      <c r="H749" s="269"/>
      <c r="I749" s="269"/>
      <c r="J749" s="270"/>
      <c r="K749" s="271"/>
      <c r="L749" s="272"/>
      <c r="M749" s="272"/>
      <c r="N749" s="278"/>
      <c r="O749" s="270"/>
      <c r="P749" s="275"/>
      <c r="Q749" s="271"/>
    </row>
    <row r="750" spans="1:17" ht="13.5" customHeight="1" x14ac:dyDescent="0.2">
      <c r="A750" s="233">
        <f t="shared" ca="1" si="104"/>
        <v>0</v>
      </c>
      <c r="B750" s="233">
        <f t="shared" ca="1" si="105"/>
        <v>21</v>
      </c>
      <c r="C750" s="233">
        <f t="shared" ca="1" si="106"/>
        <v>1</v>
      </c>
      <c r="D750" s="234">
        <f t="shared" ca="1" si="107"/>
        <v>1</v>
      </c>
      <c r="E750" s="234">
        <f t="shared" ca="1" si="94"/>
        <v>1</v>
      </c>
      <c r="F750" s="244"/>
      <c r="G750" s="269"/>
      <c r="H750" s="269"/>
      <c r="I750" s="269"/>
      <c r="J750" s="270"/>
      <c r="K750" s="271"/>
      <c r="L750" s="272"/>
      <c r="M750" s="272"/>
      <c r="N750" s="278"/>
      <c r="O750" s="270"/>
      <c r="P750" s="275"/>
      <c r="Q750" s="271"/>
    </row>
    <row r="751" spans="1:17" ht="13.5" customHeight="1" x14ac:dyDescent="0.2">
      <c r="A751" s="233">
        <f t="shared" ca="1" si="104"/>
        <v>0</v>
      </c>
      <c r="B751" s="233">
        <f t="shared" ca="1" si="105"/>
        <v>21</v>
      </c>
      <c r="C751" s="233">
        <f t="shared" ca="1" si="106"/>
        <v>1</v>
      </c>
      <c r="D751" s="234">
        <f t="shared" ca="1" si="107"/>
        <v>1</v>
      </c>
      <c r="E751" s="234">
        <f t="shared" ca="1" si="94"/>
        <v>1</v>
      </c>
      <c r="F751" s="244"/>
      <c r="G751" s="269"/>
      <c r="H751" s="269"/>
      <c r="I751" s="269"/>
      <c r="J751" s="270"/>
      <c r="K751" s="271"/>
      <c r="L751" s="272"/>
      <c r="M751" s="272"/>
      <c r="N751" s="278"/>
      <c r="O751" s="270"/>
      <c r="P751" s="275"/>
      <c r="Q751" s="271"/>
    </row>
    <row r="752" spans="1:17" ht="13.5" customHeight="1" x14ac:dyDescent="0.2">
      <c r="A752" s="233">
        <f t="shared" ca="1" si="104"/>
        <v>0</v>
      </c>
      <c r="B752" s="233">
        <f t="shared" ca="1" si="105"/>
        <v>21</v>
      </c>
      <c r="C752" s="233">
        <f t="shared" ca="1" si="106"/>
        <v>1</v>
      </c>
      <c r="D752" s="234">
        <f t="shared" ca="1" si="107"/>
        <v>1</v>
      </c>
      <c r="E752" s="234">
        <f t="shared" ca="1" si="94"/>
        <v>1</v>
      </c>
      <c r="F752" s="244"/>
      <c r="G752" s="269"/>
      <c r="H752" s="269"/>
      <c r="I752" s="269"/>
      <c r="J752" s="270"/>
      <c r="K752" s="271"/>
      <c r="L752" s="272"/>
      <c r="M752" s="272"/>
      <c r="N752" s="278"/>
      <c r="O752" s="270"/>
      <c r="P752" s="275"/>
      <c r="Q752" s="271"/>
    </row>
    <row r="753" spans="1:17" ht="13.5" customHeight="1" x14ac:dyDescent="0.2">
      <c r="A753" s="233">
        <f t="shared" ca="1" si="104"/>
        <v>0</v>
      </c>
      <c r="B753" s="233">
        <f t="shared" ca="1" si="105"/>
        <v>21</v>
      </c>
      <c r="C753" s="233">
        <f t="shared" ca="1" si="106"/>
        <v>1</v>
      </c>
      <c r="D753" s="234">
        <f t="shared" ca="1" si="107"/>
        <v>1</v>
      </c>
      <c r="E753" s="234">
        <f t="shared" ca="1" si="94"/>
        <v>1</v>
      </c>
      <c r="F753" s="244"/>
      <c r="G753" s="269"/>
      <c r="H753" s="269"/>
      <c r="I753" s="269"/>
      <c r="J753" s="270"/>
      <c r="K753" s="271"/>
      <c r="L753" s="272"/>
      <c r="M753" s="272"/>
      <c r="N753" s="278"/>
      <c r="O753" s="270"/>
      <c r="P753" s="275"/>
      <c r="Q753" s="271"/>
    </row>
    <row r="754" spans="1:17" ht="13.5" customHeight="1" x14ac:dyDescent="0.2">
      <c r="A754" s="233">
        <f t="shared" ca="1" si="104"/>
        <v>0</v>
      </c>
      <c r="B754" s="233">
        <f t="shared" ca="1" si="105"/>
        <v>21</v>
      </c>
      <c r="C754" s="233">
        <f t="shared" ca="1" si="106"/>
        <v>1</v>
      </c>
      <c r="D754" s="234">
        <f t="shared" ca="1" si="107"/>
        <v>1</v>
      </c>
      <c r="E754" s="234">
        <f t="shared" ca="1" si="94"/>
        <v>1</v>
      </c>
      <c r="F754" s="244"/>
      <c r="G754" s="269"/>
      <c r="H754" s="269"/>
      <c r="I754" s="269"/>
      <c r="J754" s="270"/>
      <c r="K754" s="271"/>
      <c r="L754" s="272"/>
      <c r="M754" s="272"/>
      <c r="N754" s="278"/>
      <c r="O754" s="270"/>
      <c r="P754" s="275"/>
      <c r="Q754" s="271"/>
    </row>
    <row r="755" spans="1:17" ht="13.5" customHeight="1" x14ac:dyDescent="0.2">
      <c r="A755" s="233">
        <f t="shared" ca="1" si="104"/>
        <v>0</v>
      </c>
      <c r="B755" s="233">
        <f t="shared" ca="1" si="105"/>
        <v>21</v>
      </c>
      <c r="C755" s="233">
        <f t="shared" ca="1" si="106"/>
        <v>1</v>
      </c>
      <c r="D755" s="234">
        <f t="shared" ca="1" si="107"/>
        <v>1</v>
      </c>
      <c r="E755" s="234">
        <f t="shared" ca="1" si="94"/>
        <v>1</v>
      </c>
      <c r="F755" s="244"/>
      <c r="G755" s="269"/>
      <c r="H755" s="269"/>
      <c r="I755" s="269"/>
      <c r="J755" s="270"/>
      <c r="K755" s="271"/>
      <c r="L755" s="272"/>
      <c r="M755" s="272"/>
      <c r="N755" s="278"/>
      <c r="O755" s="270"/>
      <c r="P755" s="275"/>
      <c r="Q755" s="271"/>
    </row>
    <row r="756" spans="1:17" ht="13.5" customHeight="1" x14ac:dyDescent="0.2">
      <c r="A756" s="233">
        <f t="shared" ca="1" si="104"/>
        <v>0</v>
      </c>
      <c r="B756" s="233">
        <f t="shared" ca="1" si="105"/>
        <v>21</v>
      </c>
      <c r="C756" s="233">
        <f t="shared" ca="1" si="106"/>
        <v>1</v>
      </c>
      <c r="D756" s="234">
        <f t="shared" ca="1" si="107"/>
        <v>1</v>
      </c>
      <c r="E756" s="234">
        <f t="shared" ca="1" si="94"/>
        <v>1</v>
      </c>
      <c r="F756" s="244"/>
      <c r="G756" s="269"/>
      <c r="H756" s="269"/>
      <c r="I756" s="269"/>
      <c r="J756" s="270"/>
      <c r="K756" s="271"/>
      <c r="L756" s="272"/>
      <c r="M756" s="272"/>
      <c r="N756" s="278"/>
      <c r="O756" s="270"/>
      <c r="P756" s="275"/>
      <c r="Q756" s="271"/>
    </row>
    <row r="757" spans="1:17" ht="13.5" customHeight="1" x14ac:dyDescent="0.2">
      <c r="A757" s="233">
        <f t="shared" ca="1" si="104"/>
        <v>0</v>
      </c>
      <c r="B757" s="233">
        <f t="shared" ca="1" si="105"/>
        <v>21</v>
      </c>
      <c r="C757" s="233">
        <f t="shared" ca="1" si="106"/>
        <v>1</v>
      </c>
      <c r="D757" s="234">
        <f t="shared" ca="1" si="107"/>
        <v>1</v>
      </c>
      <c r="E757" s="234">
        <f t="shared" ca="1" si="94"/>
        <v>1</v>
      </c>
      <c r="F757" s="244"/>
      <c r="G757" s="269"/>
      <c r="H757" s="269"/>
      <c r="I757" s="269"/>
      <c r="J757" s="270"/>
      <c r="K757" s="271"/>
      <c r="L757" s="272"/>
      <c r="M757" s="272"/>
      <c r="N757" s="278"/>
      <c r="O757" s="270"/>
      <c r="P757" s="275"/>
      <c r="Q757" s="271"/>
    </row>
    <row r="758" spans="1:17" ht="13.5" customHeight="1" x14ac:dyDescent="0.2">
      <c r="A758" s="233">
        <f t="shared" ca="1" si="104"/>
        <v>0</v>
      </c>
      <c r="B758" s="233">
        <f t="shared" ca="1" si="105"/>
        <v>21</v>
      </c>
      <c r="C758" s="233">
        <f t="shared" ca="1" si="106"/>
        <v>1</v>
      </c>
      <c r="D758" s="234">
        <f t="shared" ca="1" si="107"/>
        <v>1</v>
      </c>
      <c r="E758" s="234">
        <f t="shared" ca="1" si="94"/>
        <v>1</v>
      </c>
      <c r="F758" s="244"/>
      <c r="G758" s="269"/>
      <c r="H758" s="269"/>
      <c r="I758" s="269"/>
      <c r="J758" s="270"/>
      <c r="K758" s="271"/>
      <c r="L758" s="272"/>
      <c r="M758" s="272"/>
      <c r="N758" s="278"/>
      <c r="O758" s="270"/>
      <c r="P758" s="275"/>
      <c r="Q758" s="271"/>
    </row>
    <row r="759" spans="1:17" ht="13.5" customHeight="1" x14ac:dyDescent="0.2">
      <c r="A759" s="233">
        <f t="shared" ca="1" si="104"/>
        <v>0</v>
      </c>
      <c r="B759" s="233">
        <f t="shared" ca="1" si="105"/>
        <v>21</v>
      </c>
      <c r="C759" s="233">
        <f t="shared" ca="1" si="106"/>
        <v>1</v>
      </c>
      <c r="D759" s="234">
        <f t="shared" ca="1" si="107"/>
        <v>1</v>
      </c>
      <c r="E759" s="234">
        <f t="shared" ca="1" si="94"/>
        <v>1</v>
      </c>
      <c r="F759" s="244"/>
      <c r="G759" s="269"/>
      <c r="H759" s="269"/>
      <c r="I759" s="269"/>
      <c r="J759" s="270"/>
      <c r="K759" s="271"/>
      <c r="L759" s="272"/>
      <c r="M759" s="272"/>
      <c r="N759" s="278"/>
      <c r="O759" s="270"/>
      <c r="P759" s="275"/>
      <c r="Q759" s="271"/>
    </row>
    <row r="760" spans="1:17" ht="13.5" customHeight="1" x14ac:dyDescent="0.2">
      <c r="A760" s="233">
        <f t="shared" ca="1" si="104"/>
        <v>0</v>
      </c>
      <c r="B760" s="233">
        <f t="shared" ca="1" si="105"/>
        <v>21</v>
      </c>
      <c r="C760" s="233">
        <f t="shared" ca="1" si="106"/>
        <v>1</v>
      </c>
      <c r="D760" s="234">
        <f t="shared" ca="1" si="107"/>
        <v>1</v>
      </c>
      <c r="E760" s="234">
        <f t="shared" ca="1" si="94"/>
        <v>1</v>
      </c>
      <c r="F760" s="244"/>
      <c r="G760" s="269"/>
      <c r="H760" s="269"/>
      <c r="I760" s="269"/>
      <c r="J760" s="270"/>
      <c r="K760" s="271"/>
      <c r="L760" s="272"/>
      <c r="M760" s="272"/>
      <c r="N760" s="278"/>
      <c r="O760" s="270"/>
      <c r="P760" s="275"/>
      <c r="Q760" s="271"/>
    </row>
    <row r="761" spans="1:17" ht="13.5" customHeight="1" x14ac:dyDescent="0.2">
      <c r="A761" s="233">
        <f t="shared" ca="1" si="104"/>
        <v>0</v>
      </c>
      <c r="B761" s="233">
        <f t="shared" ca="1" si="105"/>
        <v>21</v>
      </c>
      <c r="C761" s="233">
        <f t="shared" ca="1" si="106"/>
        <v>1</v>
      </c>
      <c r="D761" s="234">
        <f t="shared" ca="1" si="107"/>
        <v>1</v>
      </c>
      <c r="E761" s="234">
        <f t="shared" ca="1" si="94"/>
        <v>1</v>
      </c>
      <c r="F761" s="244"/>
      <c r="G761" s="269"/>
      <c r="H761" s="269"/>
      <c r="I761" s="269"/>
      <c r="J761" s="270"/>
      <c r="K761" s="271"/>
      <c r="L761" s="272"/>
      <c r="M761" s="272"/>
      <c r="N761" s="278"/>
      <c r="O761" s="270"/>
      <c r="P761" s="275"/>
      <c r="Q761" s="271"/>
    </row>
    <row r="762" spans="1:17" ht="13.5" customHeight="1" x14ac:dyDescent="0.2">
      <c r="A762" s="233">
        <f t="shared" ca="1" si="104"/>
        <v>0</v>
      </c>
      <c r="B762" s="233">
        <f t="shared" ca="1" si="105"/>
        <v>21</v>
      </c>
      <c r="C762" s="233">
        <f t="shared" ca="1" si="106"/>
        <v>1</v>
      </c>
      <c r="D762" s="234">
        <f t="shared" ca="1" si="107"/>
        <v>1</v>
      </c>
      <c r="E762" s="234">
        <f t="shared" ca="1" si="94"/>
        <v>1</v>
      </c>
      <c r="F762" s="244"/>
      <c r="G762" s="269"/>
      <c r="H762" s="269"/>
      <c r="I762" s="269"/>
      <c r="J762" s="270"/>
      <c r="K762" s="271"/>
      <c r="L762" s="272"/>
      <c r="M762" s="272"/>
      <c r="N762" s="278"/>
      <c r="O762" s="270"/>
      <c r="P762" s="275"/>
      <c r="Q762" s="271"/>
    </row>
    <row r="763" spans="1:17" ht="13.5" customHeight="1" x14ac:dyDescent="0.2">
      <c r="A763" s="233">
        <f t="shared" ca="1" si="104"/>
        <v>0</v>
      </c>
      <c r="B763" s="233">
        <f t="shared" ca="1" si="105"/>
        <v>21</v>
      </c>
      <c r="C763" s="233">
        <f t="shared" ca="1" si="106"/>
        <v>1</v>
      </c>
      <c r="D763" s="234">
        <f t="shared" ca="1" si="107"/>
        <v>1</v>
      </c>
      <c r="E763" s="234">
        <f t="shared" ca="1" si="94"/>
        <v>1</v>
      </c>
      <c r="F763" s="244"/>
      <c r="G763" s="269"/>
      <c r="H763" s="269"/>
      <c r="I763" s="269"/>
      <c r="J763" s="270"/>
      <c r="K763" s="271"/>
      <c r="L763" s="272"/>
      <c r="M763" s="272"/>
      <c r="N763" s="278"/>
      <c r="O763" s="270"/>
      <c r="P763" s="275"/>
      <c r="Q763" s="271"/>
    </row>
    <row r="764" spans="1:17" ht="13.5" customHeight="1" x14ac:dyDescent="0.2">
      <c r="A764" s="233">
        <f t="shared" ca="1" si="104"/>
        <v>0</v>
      </c>
      <c r="B764" s="233">
        <f t="shared" ca="1" si="105"/>
        <v>21</v>
      </c>
      <c r="C764" s="233">
        <f t="shared" ca="1" si="106"/>
        <v>1</v>
      </c>
      <c r="D764" s="234">
        <f t="shared" ca="1" si="107"/>
        <v>1</v>
      </c>
      <c r="E764" s="234">
        <f t="shared" ca="1" si="94"/>
        <v>1</v>
      </c>
      <c r="F764" s="244"/>
      <c r="G764" s="269"/>
      <c r="H764" s="269"/>
      <c r="I764" s="269"/>
      <c r="J764" s="270"/>
      <c r="K764" s="271"/>
      <c r="L764" s="272"/>
      <c r="M764" s="272"/>
      <c r="N764" s="278"/>
      <c r="O764" s="270"/>
      <c r="P764" s="275"/>
      <c r="Q764" s="271"/>
    </row>
    <row r="765" spans="1:17" ht="13.5" customHeight="1" x14ac:dyDescent="0.2">
      <c r="A765" s="233">
        <f t="shared" ca="1" si="104"/>
        <v>0</v>
      </c>
      <c r="B765" s="233">
        <f t="shared" ca="1" si="105"/>
        <v>21</v>
      </c>
      <c r="C765" s="233">
        <f t="shared" ca="1" si="106"/>
        <v>1</v>
      </c>
      <c r="D765" s="234">
        <f t="shared" ca="1" si="107"/>
        <v>1</v>
      </c>
      <c r="E765" s="234">
        <f t="shared" ca="1" si="94"/>
        <v>1</v>
      </c>
      <c r="F765" s="244"/>
      <c r="G765" s="269"/>
      <c r="H765" s="269"/>
      <c r="I765" s="269"/>
      <c r="J765" s="270"/>
      <c r="K765" s="271"/>
      <c r="L765" s="272"/>
      <c r="M765" s="272"/>
      <c r="N765" s="278"/>
      <c r="O765" s="270"/>
      <c r="P765" s="275"/>
      <c r="Q765" s="271"/>
    </row>
    <row r="766" spans="1:17" ht="13.5" customHeight="1" x14ac:dyDescent="0.2">
      <c r="A766" s="233">
        <f t="shared" ca="1" si="104"/>
        <v>0</v>
      </c>
      <c r="B766" s="233">
        <f t="shared" ca="1" si="105"/>
        <v>21</v>
      </c>
      <c r="C766" s="233">
        <f t="shared" ca="1" si="106"/>
        <v>1</v>
      </c>
      <c r="D766" s="234">
        <f t="shared" ca="1" si="107"/>
        <v>1</v>
      </c>
      <c r="E766" s="234">
        <f t="shared" ca="1" si="94"/>
        <v>1</v>
      </c>
      <c r="F766" s="244"/>
      <c r="G766" s="269"/>
      <c r="H766" s="269"/>
      <c r="I766" s="269"/>
      <c r="J766" s="270"/>
      <c r="K766" s="271"/>
      <c r="L766" s="272"/>
      <c r="M766" s="272"/>
      <c r="N766" s="278"/>
      <c r="O766" s="270"/>
      <c r="P766" s="275"/>
      <c r="Q766" s="271"/>
    </row>
    <row r="767" spans="1:17" ht="13.5" customHeight="1" x14ac:dyDescent="0.2">
      <c r="A767" s="233">
        <f t="shared" ca="1" si="104"/>
        <v>0</v>
      </c>
      <c r="B767" s="233">
        <f t="shared" ca="1" si="105"/>
        <v>21</v>
      </c>
      <c r="C767" s="233">
        <f t="shared" ca="1" si="106"/>
        <v>1</v>
      </c>
      <c r="D767" s="234">
        <f t="shared" ca="1" si="107"/>
        <v>1</v>
      </c>
      <c r="E767" s="234">
        <f t="shared" ca="1" si="94"/>
        <v>1</v>
      </c>
      <c r="F767" s="244"/>
      <c r="G767" s="269"/>
      <c r="H767" s="269"/>
      <c r="I767" s="269"/>
      <c r="J767" s="270"/>
      <c r="K767" s="271"/>
      <c r="L767" s="272"/>
      <c r="M767" s="272"/>
      <c r="N767" s="278"/>
      <c r="O767" s="270"/>
      <c r="P767" s="275"/>
      <c r="Q767" s="271"/>
    </row>
    <row r="768" spans="1:17" ht="13.5" customHeight="1" x14ac:dyDescent="0.2">
      <c r="A768" s="233">
        <f t="shared" ca="1" si="104"/>
        <v>0</v>
      </c>
      <c r="B768" s="233">
        <f t="shared" ca="1" si="105"/>
        <v>21</v>
      </c>
      <c r="C768" s="233">
        <f t="shared" ca="1" si="106"/>
        <v>1</v>
      </c>
      <c r="D768" s="234">
        <f t="shared" ca="1" si="107"/>
        <v>1</v>
      </c>
      <c r="E768" s="234">
        <f t="shared" ca="1" si="94"/>
        <v>1</v>
      </c>
      <c r="F768" s="244"/>
      <c r="G768" s="269"/>
      <c r="H768" s="269"/>
      <c r="I768" s="269"/>
      <c r="J768" s="270"/>
      <c r="K768" s="271"/>
      <c r="L768" s="272"/>
      <c r="M768" s="272"/>
      <c r="N768" s="278"/>
      <c r="O768" s="270"/>
      <c r="P768" s="275"/>
      <c r="Q768" s="271"/>
    </row>
    <row r="769" spans="1:17" ht="13.5" customHeight="1" x14ac:dyDescent="0.2">
      <c r="A769" s="233">
        <f t="shared" ca="1" si="104"/>
        <v>0</v>
      </c>
      <c r="B769" s="233">
        <f t="shared" ca="1" si="105"/>
        <v>21</v>
      </c>
      <c r="C769" s="233">
        <f t="shared" ca="1" si="106"/>
        <v>1</v>
      </c>
      <c r="D769" s="234">
        <f t="shared" ca="1" si="107"/>
        <v>1</v>
      </c>
      <c r="E769" s="234">
        <f t="shared" ca="1" si="94"/>
        <v>1</v>
      </c>
      <c r="F769" s="244"/>
      <c r="G769" s="269"/>
      <c r="H769" s="269"/>
      <c r="I769" s="269"/>
      <c r="J769" s="270"/>
      <c r="K769" s="271"/>
      <c r="L769" s="272"/>
      <c r="M769" s="272"/>
      <c r="N769" s="278"/>
      <c r="O769" s="270"/>
      <c r="P769" s="275"/>
      <c r="Q769" s="271"/>
    </row>
    <row r="770" spans="1:17" ht="13.5" customHeight="1" x14ac:dyDescent="0.2">
      <c r="A770" s="233">
        <f t="shared" ref="A770:A833" ca="1" si="108">IF($H770="UNIDADE CONSTRUTIVA",OFFSET(A770,-1,0)+1,LARGE(A$3:A769,1))</f>
        <v>0</v>
      </c>
      <c r="B770" s="233">
        <f t="shared" ca="1" si="105"/>
        <v>21</v>
      </c>
      <c r="C770" s="233">
        <f t="shared" ca="1" si="106"/>
        <v>1</v>
      </c>
      <c r="D770" s="234">
        <f t="shared" ca="1" si="107"/>
        <v>1</v>
      </c>
      <c r="E770" s="234">
        <f t="shared" ca="1" si="94"/>
        <v>1</v>
      </c>
      <c r="F770" s="244"/>
      <c r="G770" s="269"/>
      <c r="H770" s="269"/>
      <c r="I770" s="269"/>
      <c r="J770" s="270"/>
      <c r="K770" s="271"/>
      <c r="L770" s="272"/>
      <c r="M770" s="272"/>
      <c r="N770" s="278"/>
      <c r="O770" s="270"/>
      <c r="P770" s="275"/>
      <c r="Q770" s="271"/>
    </row>
    <row r="771" spans="1:17" ht="13.5" customHeight="1" x14ac:dyDescent="0.2">
      <c r="A771" s="233">
        <f t="shared" ca="1" si="108"/>
        <v>0</v>
      </c>
      <c r="B771" s="233">
        <f t="shared" ref="B771:B834" ca="1" si="109">IF(H771="UNIDADE CONSTRUTIVA",0,IF(H771="CÉLULA CONSTRUTIVA",OFFSET(B771,-1,0)+1,OFFSET(B771,-1,0)))</f>
        <v>21</v>
      </c>
      <c r="C771" s="233">
        <f t="shared" ref="C771:C834" ca="1" si="110">IF(H771="CÉLULA CONSTRUTIVA",0,IF(H771="ETAPA",OFFSET(C771,-1,0)+1,OFFSET(C771,-1,0)))</f>
        <v>1</v>
      </c>
      <c r="D771" s="234">
        <f t="shared" ca="1" si="107"/>
        <v>1</v>
      </c>
      <c r="E771" s="234">
        <f t="shared" ca="1" si="94"/>
        <v>1</v>
      </c>
      <c r="F771" s="244"/>
      <c r="G771" s="269"/>
      <c r="H771" s="269"/>
      <c r="I771" s="269"/>
      <c r="J771" s="270"/>
      <c r="K771" s="271"/>
      <c r="L771" s="272"/>
      <c r="M771" s="272"/>
      <c r="N771" s="278"/>
      <c r="O771" s="270"/>
      <c r="P771" s="275"/>
      <c r="Q771" s="271"/>
    </row>
    <row r="772" spans="1:17" ht="13.5" customHeight="1" x14ac:dyDescent="0.2">
      <c r="A772" s="233">
        <f t="shared" ca="1" si="108"/>
        <v>0</v>
      </c>
      <c r="B772" s="233">
        <f t="shared" ca="1" si="109"/>
        <v>21</v>
      </c>
      <c r="C772" s="233">
        <f t="shared" ca="1" si="110"/>
        <v>1</v>
      </c>
      <c r="D772" s="234">
        <f t="shared" ca="1" si="107"/>
        <v>1</v>
      </c>
      <c r="E772" s="234">
        <f t="shared" ca="1" si="94"/>
        <v>1</v>
      </c>
      <c r="F772" s="244"/>
      <c r="G772" s="269"/>
      <c r="H772" s="269"/>
      <c r="I772" s="269"/>
      <c r="J772" s="270"/>
      <c r="K772" s="271"/>
      <c r="L772" s="272"/>
      <c r="M772" s="272"/>
      <c r="N772" s="278"/>
      <c r="O772" s="270"/>
      <c r="P772" s="275"/>
      <c r="Q772" s="271"/>
    </row>
    <row r="773" spans="1:17" ht="13.5" customHeight="1" x14ac:dyDescent="0.2">
      <c r="A773" s="233">
        <f t="shared" ca="1" si="108"/>
        <v>0</v>
      </c>
      <c r="B773" s="233">
        <f t="shared" ca="1" si="109"/>
        <v>21</v>
      </c>
      <c r="C773" s="233">
        <f t="shared" ca="1" si="110"/>
        <v>1</v>
      </c>
      <c r="D773" s="234">
        <f t="shared" ca="1" si="107"/>
        <v>1</v>
      </c>
      <c r="E773" s="234">
        <f t="shared" ca="1" si="94"/>
        <v>1</v>
      </c>
      <c r="F773" s="244"/>
      <c r="G773" s="269"/>
      <c r="H773" s="269"/>
      <c r="I773" s="269"/>
      <c r="J773" s="270"/>
      <c r="K773" s="271"/>
      <c r="L773" s="272"/>
      <c r="M773" s="272"/>
      <c r="N773" s="278"/>
      <c r="O773" s="270"/>
      <c r="P773" s="275"/>
      <c r="Q773" s="271"/>
    </row>
    <row r="774" spans="1:17" ht="13.5" customHeight="1" x14ac:dyDescent="0.2">
      <c r="A774" s="233">
        <f t="shared" ca="1" si="108"/>
        <v>0</v>
      </c>
      <c r="B774" s="233">
        <f t="shared" ca="1" si="109"/>
        <v>21</v>
      </c>
      <c r="C774" s="233">
        <f t="shared" ca="1" si="110"/>
        <v>1</v>
      </c>
      <c r="D774" s="234">
        <f t="shared" ca="1" si="107"/>
        <v>1</v>
      </c>
      <c r="E774" s="234">
        <f t="shared" ca="1" si="94"/>
        <v>1</v>
      </c>
      <c r="F774" s="244"/>
      <c r="G774" s="269"/>
      <c r="H774" s="269"/>
      <c r="I774" s="269"/>
      <c r="J774" s="270"/>
      <c r="K774" s="271"/>
      <c r="L774" s="272"/>
      <c r="M774" s="272"/>
      <c r="N774" s="278"/>
      <c r="O774" s="270"/>
      <c r="P774" s="275"/>
      <c r="Q774" s="271"/>
    </row>
    <row r="775" spans="1:17" ht="13.5" customHeight="1" x14ac:dyDescent="0.2">
      <c r="A775" s="233">
        <f t="shared" ca="1" si="108"/>
        <v>0</v>
      </c>
      <c r="B775" s="233">
        <f t="shared" ca="1" si="109"/>
        <v>21</v>
      </c>
      <c r="C775" s="233">
        <f t="shared" ca="1" si="110"/>
        <v>1</v>
      </c>
      <c r="D775" s="234">
        <f t="shared" ca="1" si="107"/>
        <v>1</v>
      </c>
      <c r="E775" s="234">
        <f t="shared" ca="1" si="94"/>
        <v>1</v>
      </c>
      <c r="F775" s="244"/>
      <c r="G775" s="269"/>
      <c r="H775" s="269"/>
      <c r="I775" s="269"/>
      <c r="J775" s="270"/>
      <c r="K775" s="271"/>
      <c r="L775" s="272"/>
      <c r="M775" s="272"/>
      <c r="N775" s="278"/>
      <c r="O775" s="270"/>
      <c r="P775" s="275"/>
      <c r="Q775" s="271"/>
    </row>
    <row r="776" spans="1:17" ht="13.5" customHeight="1" x14ac:dyDescent="0.2">
      <c r="A776" s="233">
        <f t="shared" ca="1" si="108"/>
        <v>0</v>
      </c>
      <c r="B776" s="233">
        <f t="shared" ca="1" si="109"/>
        <v>21</v>
      </c>
      <c r="C776" s="233">
        <f t="shared" ca="1" si="110"/>
        <v>1</v>
      </c>
      <c r="D776" s="234">
        <f t="shared" ca="1" si="107"/>
        <v>1</v>
      </c>
      <c r="E776" s="234">
        <f t="shared" ca="1" si="94"/>
        <v>1</v>
      </c>
      <c r="F776" s="244"/>
      <c r="G776" s="269"/>
      <c r="H776" s="269"/>
      <c r="I776" s="269"/>
      <c r="J776" s="270"/>
      <c r="K776" s="271"/>
      <c r="L776" s="272"/>
      <c r="M776" s="272"/>
      <c r="N776" s="278"/>
      <c r="O776" s="270"/>
      <c r="P776" s="275"/>
      <c r="Q776" s="271"/>
    </row>
    <row r="777" spans="1:17" ht="13.5" customHeight="1" x14ac:dyDescent="0.2">
      <c r="A777" s="233">
        <f t="shared" ca="1" si="108"/>
        <v>0</v>
      </c>
      <c r="B777" s="233">
        <f t="shared" ca="1" si="109"/>
        <v>21</v>
      </c>
      <c r="C777" s="233">
        <f t="shared" ca="1" si="110"/>
        <v>1</v>
      </c>
      <c r="D777" s="234">
        <f t="shared" ca="1" si="107"/>
        <v>1</v>
      </c>
      <c r="E777" s="234">
        <f t="shared" ca="1" si="94"/>
        <v>1</v>
      </c>
      <c r="F777" s="244"/>
      <c r="G777" s="269"/>
      <c r="H777" s="269"/>
      <c r="I777" s="269"/>
      <c r="J777" s="270"/>
      <c r="K777" s="271"/>
      <c r="L777" s="272"/>
      <c r="M777" s="272"/>
      <c r="N777" s="278"/>
      <c r="O777" s="270"/>
      <c r="P777" s="275"/>
      <c r="Q777" s="271"/>
    </row>
    <row r="778" spans="1:17" ht="13.5" customHeight="1" x14ac:dyDescent="0.2">
      <c r="A778" s="233">
        <f t="shared" ca="1" si="108"/>
        <v>0</v>
      </c>
      <c r="B778" s="233">
        <f t="shared" ca="1" si="109"/>
        <v>21</v>
      </c>
      <c r="C778" s="233">
        <f t="shared" ca="1" si="110"/>
        <v>1</v>
      </c>
      <c r="D778" s="234">
        <f t="shared" ca="1" si="107"/>
        <v>1</v>
      </c>
      <c r="E778" s="234">
        <f t="shared" ca="1" si="94"/>
        <v>1</v>
      </c>
      <c r="F778" s="244"/>
      <c r="G778" s="269"/>
      <c r="H778" s="269"/>
      <c r="I778" s="269"/>
      <c r="J778" s="270"/>
      <c r="K778" s="271"/>
      <c r="L778" s="272"/>
      <c r="M778" s="272"/>
      <c r="N778" s="278"/>
      <c r="O778" s="270"/>
      <c r="P778" s="275"/>
      <c r="Q778" s="271"/>
    </row>
    <row r="779" spans="1:17" ht="13.5" customHeight="1" x14ac:dyDescent="0.2">
      <c r="A779" s="233">
        <f t="shared" ca="1" si="108"/>
        <v>0</v>
      </c>
      <c r="B779" s="233">
        <f t="shared" ca="1" si="109"/>
        <v>21</v>
      </c>
      <c r="C779" s="233">
        <f t="shared" ca="1" si="110"/>
        <v>1</v>
      </c>
      <c r="D779" s="234">
        <f t="shared" ca="1" si="107"/>
        <v>1</v>
      </c>
      <c r="E779" s="234">
        <f t="shared" ca="1" si="94"/>
        <v>1</v>
      </c>
      <c r="F779" s="244"/>
      <c r="G779" s="269"/>
      <c r="H779" s="269"/>
      <c r="I779" s="269"/>
      <c r="J779" s="270"/>
      <c r="K779" s="271"/>
      <c r="L779" s="272"/>
      <c r="M779" s="272"/>
      <c r="N779" s="278"/>
      <c r="O779" s="270"/>
      <c r="P779" s="275"/>
      <c r="Q779" s="271"/>
    </row>
    <row r="780" spans="1:17" ht="13.5" customHeight="1" x14ac:dyDescent="0.2">
      <c r="A780" s="233">
        <f t="shared" ca="1" si="108"/>
        <v>0</v>
      </c>
      <c r="B780" s="233">
        <f t="shared" ca="1" si="109"/>
        <v>21</v>
      </c>
      <c r="C780" s="233">
        <f t="shared" ca="1" si="110"/>
        <v>1</v>
      </c>
      <c r="D780" s="234">
        <f t="shared" ca="1" si="107"/>
        <v>1</v>
      </c>
      <c r="E780" s="234">
        <f t="shared" ca="1" si="94"/>
        <v>1</v>
      </c>
      <c r="F780" s="244"/>
      <c r="G780" s="269"/>
      <c r="H780" s="269"/>
      <c r="I780" s="269"/>
      <c r="J780" s="270"/>
      <c r="K780" s="271"/>
      <c r="L780" s="272"/>
      <c r="M780" s="272"/>
      <c r="N780" s="278"/>
      <c r="O780" s="270"/>
      <c r="P780" s="275"/>
      <c r="Q780" s="271"/>
    </row>
    <row r="781" spans="1:17" ht="13.5" customHeight="1" x14ac:dyDescent="0.2">
      <c r="A781" s="233">
        <f t="shared" ca="1" si="108"/>
        <v>0</v>
      </c>
      <c r="B781" s="233">
        <f t="shared" ca="1" si="109"/>
        <v>21</v>
      </c>
      <c r="C781" s="233">
        <f t="shared" ca="1" si="110"/>
        <v>1</v>
      </c>
      <c r="D781" s="234">
        <f t="shared" ca="1" si="107"/>
        <v>1</v>
      </c>
      <c r="E781" s="234">
        <f t="shared" ref="E781:E985" ca="1" si="111">IF(H781="Subetapa",0,IF(H781="serviço",OFFSET(E781,-1,0)+1,OFFSET(E781,-1,0)))</f>
        <v>1</v>
      </c>
      <c r="F781" s="244"/>
      <c r="G781" s="269"/>
      <c r="H781" s="269"/>
      <c r="I781" s="269"/>
      <c r="J781" s="270"/>
      <c r="K781" s="271"/>
      <c r="L781" s="272"/>
      <c r="M781" s="272"/>
      <c r="N781" s="278"/>
      <c r="O781" s="270"/>
      <c r="P781" s="275"/>
      <c r="Q781" s="271"/>
    </row>
    <row r="782" spans="1:17" ht="13.5" customHeight="1" x14ac:dyDescent="0.2">
      <c r="A782" s="233">
        <f t="shared" ca="1" si="108"/>
        <v>0</v>
      </c>
      <c r="B782" s="233">
        <f t="shared" ca="1" si="109"/>
        <v>21</v>
      </c>
      <c r="C782" s="233">
        <f t="shared" ca="1" si="110"/>
        <v>1</v>
      </c>
      <c r="D782" s="234">
        <f t="shared" ca="1" si="107"/>
        <v>1</v>
      </c>
      <c r="E782" s="234">
        <f t="shared" ca="1" si="111"/>
        <v>1</v>
      </c>
      <c r="F782" s="244"/>
      <c r="G782" s="269"/>
      <c r="H782" s="269"/>
      <c r="I782" s="269"/>
      <c r="J782" s="270"/>
      <c r="K782" s="271"/>
      <c r="L782" s="272"/>
      <c r="M782" s="272"/>
      <c r="N782" s="278"/>
      <c r="O782" s="270"/>
      <c r="P782" s="275"/>
      <c r="Q782" s="271"/>
    </row>
    <row r="783" spans="1:17" ht="13.5" customHeight="1" x14ac:dyDescent="0.2">
      <c r="A783" s="233">
        <f t="shared" ca="1" si="108"/>
        <v>0</v>
      </c>
      <c r="B783" s="233">
        <f t="shared" ca="1" si="109"/>
        <v>21</v>
      </c>
      <c r="C783" s="233">
        <f t="shared" ca="1" si="110"/>
        <v>1</v>
      </c>
      <c r="D783" s="234">
        <f t="shared" ca="1" si="107"/>
        <v>1</v>
      </c>
      <c r="E783" s="234">
        <f t="shared" ca="1" si="111"/>
        <v>1</v>
      </c>
      <c r="F783" s="244"/>
      <c r="G783" s="269"/>
      <c r="H783" s="269"/>
      <c r="I783" s="269"/>
      <c r="J783" s="270"/>
      <c r="K783" s="271"/>
      <c r="L783" s="272"/>
      <c r="M783" s="272"/>
      <c r="N783" s="278"/>
      <c r="O783" s="270"/>
      <c r="P783" s="275"/>
      <c r="Q783" s="271"/>
    </row>
    <row r="784" spans="1:17" ht="13.5" customHeight="1" x14ac:dyDescent="0.2">
      <c r="A784" s="233">
        <f t="shared" ca="1" si="108"/>
        <v>0</v>
      </c>
      <c r="B784" s="233">
        <f t="shared" ca="1" si="109"/>
        <v>21</v>
      </c>
      <c r="C784" s="233">
        <f t="shared" ca="1" si="110"/>
        <v>1</v>
      </c>
      <c r="D784" s="234">
        <f t="shared" ca="1" si="107"/>
        <v>1</v>
      </c>
      <c r="E784" s="234">
        <f t="shared" ca="1" si="111"/>
        <v>1</v>
      </c>
      <c r="F784" s="244"/>
      <c r="G784" s="269"/>
      <c r="H784" s="269"/>
      <c r="I784" s="269"/>
      <c r="J784" s="270"/>
      <c r="K784" s="271"/>
      <c r="L784" s="272"/>
      <c r="M784" s="272"/>
      <c r="N784" s="278"/>
      <c r="O784" s="270"/>
      <c r="P784" s="275"/>
      <c r="Q784" s="271"/>
    </row>
    <row r="785" spans="1:17" ht="13.5" customHeight="1" x14ac:dyDescent="0.2">
      <c r="A785" s="233">
        <f t="shared" ca="1" si="108"/>
        <v>0</v>
      </c>
      <c r="B785" s="233">
        <f t="shared" ca="1" si="109"/>
        <v>21</v>
      </c>
      <c r="C785" s="233">
        <f t="shared" ca="1" si="110"/>
        <v>1</v>
      </c>
      <c r="D785" s="234">
        <f t="shared" ref="D785:D848" ca="1" si="112">IF(H785="ETAPA",0,IF(H785="SUBETAPA",OFFSET(D785,-1,0)+1,OFFSET(D785,-1,0)))</f>
        <v>1</v>
      </c>
      <c r="E785" s="234">
        <f t="shared" ca="1" si="111"/>
        <v>1</v>
      </c>
      <c r="F785" s="244"/>
      <c r="G785" s="269"/>
      <c r="H785" s="269"/>
      <c r="I785" s="269"/>
      <c r="J785" s="270"/>
      <c r="K785" s="271"/>
      <c r="L785" s="272"/>
      <c r="M785" s="272"/>
      <c r="N785" s="278"/>
      <c r="O785" s="270"/>
      <c r="P785" s="275"/>
      <c r="Q785" s="271"/>
    </row>
    <row r="786" spans="1:17" ht="13.5" customHeight="1" x14ac:dyDescent="0.2">
      <c r="A786" s="233">
        <f t="shared" ca="1" si="108"/>
        <v>0</v>
      </c>
      <c r="B786" s="233">
        <f t="shared" ca="1" si="109"/>
        <v>21</v>
      </c>
      <c r="C786" s="233">
        <f t="shared" ca="1" si="110"/>
        <v>1</v>
      </c>
      <c r="D786" s="234">
        <f t="shared" ca="1" si="112"/>
        <v>1</v>
      </c>
      <c r="E786" s="234">
        <f t="shared" ca="1" si="111"/>
        <v>1</v>
      </c>
      <c r="F786" s="244"/>
      <c r="G786" s="269"/>
      <c r="H786" s="269"/>
      <c r="I786" s="269"/>
      <c r="J786" s="270"/>
      <c r="K786" s="271"/>
      <c r="L786" s="272"/>
      <c r="M786" s="272"/>
      <c r="N786" s="278"/>
      <c r="O786" s="270"/>
      <c r="P786" s="275"/>
      <c r="Q786" s="271"/>
    </row>
    <row r="787" spans="1:17" ht="13.5" customHeight="1" x14ac:dyDescent="0.2">
      <c r="A787" s="233">
        <f t="shared" ca="1" si="108"/>
        <v>0</v>
      </c>
      <c r="B787" s="233">
        <f t="shared" ca="1" si="109"/>
        <v>21</v>
      </c>
      <c r="C787" s="233">
        <f t="shared" ca="1" si="110"/>
        <v>1</v>
      </c>
      <c r="D787" s="234">
        <f t="shared" ca="1" si="112"/>
        <v>1</v>
      </c>
      <c r="E787" s="234">
        <f t="shared" ca="1" si="111"/>
        <v>1</v>
      </c>
      <c r="F787" s="244"/>
      <c r="G787" s="269"/>
      <c r="H787" s="269"/>
      <c r="I787" s="269"/>
      <c r="J787" s="270"/>
      <c r="K787" s="271"/>
      <c r="L787" s="272"/>
      <c r="M787" s="272"/>
      <c r="N787" s="278"/>
      <c r="O787" s="270"/>
      <c r="P787" s="275"/>
      <c r="Q787" s="271"/>
    </row>
    <row r="788" spans="1:17" ht="13.5" customHeight="1" x14ac:dyDescent="0.2">
      <c r="A788" s="233">
        <f t="shared" ca="1" si="108"/>
        <v>0</v>
      </c>
      <c r="B788" s="233">
        <f t="shared" ca="1" si="109"/>
        <v>21</v>
      </c>
      <c r="C788" s="233">
        <f t="shared" ca="1" si="110"/>
        <v>1</v>
      </c>
      <c r="D788" s="234">
        <f t="shared" ca="1" si="112"/>
        <v>1</v>
      </c>
      <c r="E788" s="234">
        <f t="shared" ca="1" si="111"/>
        <v>1</v>
      </c>
      <c r="F788" s="244"/>
      <c r="G788" s="269"/>
      <c r="H788" s="269"/>
      <c r="I788" s="269"/>
      <c r="J788" s="270"/>
      <c r="K788" s="271"/>
      <c r="L788" s="272"/>
      <c r="M788" s="272"/>
      <c r="N788" s="278"/>
      <c r="O788" s="270"/>
      <c r="P788" s="275"/>
      <c r="Q788" s="271"/>
    </row>
    <row r="789" spans="1:17" ht="13.5" customHeight="1" x14ac:dyDescent="0.2">
      <c r="A789" s="233">
        <f t="shared" ca="1" si="108"/>
        <v>0</v>
      </c>
      <c r="B789" s="233">
        <f t="shared" ca="1" si="109"/>
        <v>21</v>
      </c>
      <c r="C789" s="233">
        <f t="shared" ca="1" si="110"/>
        <v>1</v>
      </c>
      <c r="D789" s="234">
        <f t="shared" ca="1" si="112"/>
        <v>1</v>
      </c>
      <c r="E789" s="234">
        <f t="shared" ca="1" si="111"/>
        <v>1</v>
      </c>
      <c r="F789" s="244"/>
      <c r="G789" s="269"/>
      <c r="H789" s="269"/>
      <c r="I789" s="269"/>
      <c r="J789" s="270"/>
      <c r="K789" s="271"/>
      <c r="L789" s="272"/>
      <c r="M789" s="272"/>
      <c r="N789" s="278"/>
      <c r="O789" s="270"/>
      <c r="P789" s="275"/>
      <c r="Q789" s="271"/>
    </row>
    <row r="790" spans="1:17" ht="13.5" customHeight="1" x14ac:dyDescent="0.2">
      <c r="A790" s="233">
        <f t="shared" ca="1" si="108"/>
        <v>0</v>
      </c>
      <c r="B790" s="233">
        <f t="shared" ca="1" si="109"/>
        <v>21</v>
      </c>
      <c r="C790" s="233">
        <f t="shared" ca="1" si="110"/>
        <v>1</v>
      </c>
      <c r="D790" s="234">
        <f t="shared" ca="1" si="112"/>
        <v>1</v>
      </c>
      <c r="E790" s="234">
        <f t="shared" ca="1" si="111"/>
        <v>1</v>
      </c>
      <c r="F790" s="244"/>
      <c r="G790" s="269"/>
      <c r="H790" s="269"/>
      <c r="I790" s="269"/>
      <c r="J790" s="270"/>
      <c r="K790" s="271"/>
      <c r="L790" s="272"/>
      <c r="M790" s="272"/>
      <c r="N790" s="278"/>
      <c r="O790" s="270"/>
      <c r="P790" s="275"/>
      <c r="Q790" s="271"/>
    </row>
    <row r="791" spans="1:17" ht="13.5" customHeight="1" x14ac:dyDescent="0.2">
      <c r="A791" s="233">
        <f t="shared" ca="1" si="108"/>
        <v>0</v>
      </c>
      <c r="B791" s="233">
        <f t="shared" ca="1" si="109"/>
        <v>21</v>
      </c>
      <c r="C791" s="233">
        <f t="shared" ca="1" si="110"/>
        <v>1</v>
      </c>
      <c r="D791" s="234">
        <f t="shared" ca="1" si="112"/>
        <v>1</v>
      </c>
      <c r="E791" s="234">
        <f t="shared" ca="1" si="111"/>
        <v>1</v>
      </c>
      <c r="F791" s="244"/>
      <c r="G791" s="269"/>
      <c r="H791" s="269"/>
      <c r="I791" s="269"/>
      <c r="J791" s="270"/>
      <c r="K791" s="271"/>
      <c r="L791" s="272"/>
      <c r="M791" s="272"/>
      <c r="N791" s="278"/>
      <c r="O791" s="270"/>
      <c r="P791" s="275"/>
      <c r="Q791" s="271"/>
    </row>
    <row r="792" spans="1:17" ht="13.5" customHeight="1" x14ac:dyDescent="0.2">
      <c r="A792" s="233">
        <f t="shared" ca="1" si="108"/>
        <v>0</v>
      </c>
      <c r="B792" s="233">
        <f t="shared" ca="1" si="109"/>
        <v>21</v>
      </c>
      <c r="C792" s="233">
        <f t="shared" ca="1" si="110"/>
        <v>1</v>
      </c>
      <c r="D792" s="234">
        <f t="shared" ca="1" si="112"/>
        <v>1</v>
      </c>
      <c r="E792" s="234">
        <f t="shared" ca="1" si="111"/>
        <v>1</v>
      </c>
      <c r="F792" s="244"/>
      <c r="G792" s="269"/>
      <c r="H792" s="269"/>
      <c r="I792" s="269"/>
      <c r="J792" s="270"/>
      <c r="K792" s="271"/>
      <c r="L792" s="272"/>
      <c r="M792" s="272"/>
      <c r="N792" s="278"/>
      <c r="O792" s="270"/>
      <c r="P792" s="275"/>
      <c r="Q792" s="271"/>
    </row>
    <row r="793" spans="1:17" ht="13.5" customHeight="1" x14ac:dyDescent="0.2">
      <c r="A793" s="233">
        <f t="shared" ca="1" si="108"/>
        <v>0</v>
      </c>
      <c r="B793" s="233">
        <f t="shared" ca="1" si="109"/>
        <v>21</v>
      </c>
      <c r="C793" s="233">
        <f t="shared" ca="1" si="110"/>
        <v>1</v>
      </c>
      <c r="D793" s="234">
        <f t="shared" ca="1" si="112"/>
        <v>1</v>
      </c>
      <c r="E793" s="234">
        <f t="shared" ca="1" si="111"/>
        <v>1</v>
      </c>
      <c r="F793" s="244"/>
      <c r="G793" s="269"/>
      <c r="H793" s="269"/>
      <c r="I793" s="269"/>
      <c r="J793" s="270"/>
      <c r="K793" s="271"/>
      <c r="L793" s="272"/>
      <c r="M793" s="272"/>
      <c r="N793" s="278"/>
      <c r="O793" s="270"/>
      <c r="P793" s="275"/>
      <c r="Q793" s="271"/>
    </row>
    <row r="794" spans="1:17" ht="13.5" customHeight="1" x14ac:dyDescent="0.2">
      <c r="A794" s="233">
        <f t="shared" ca="1" si="108"/>
        <v>0</v>
      </c>
      <c r="B794" s="233">
        <f t="shared" ca="1" si="109"/>
        <v>21</v>
      </c>
      <c r="C794" s="233">
        <f t="shared" ca="1" si="110"/>
        <v>1</v>
      </c>
      <c r="D794" s="234">
        <f t="shared" ca="1" si="112"/>
        <v>1</v>
      </c>
      <c r="E794" s="234">
        <f t="shared" ca="1" si="111"/>
        <v>1</v>
      </c>
      <c r="F794" s="244"/>
      <c r="G794" s="269"/>
      <c r="H794" s="269"/>
      <c r="I794" s="269"/>
      <c r="J794" s="270"/>
      <c r="K794" s="271"/>
      <c r="L794" s="272"/>
      <c r="M794" s="272"/>
      <c r="N794" s="278"/>
      <c r="O794" s="270"/>
      <c r="P794" s="275"/>
      <c r="Q794" s="271"/>
    </row>
    <row r="795" spans="1:17" ht="13.5" customHeight="1" x14ac:dyDescent="0.2">
      <c r="A795" s="233">
        <f t="shared" ca="1" si="108"/>
        <v>0</v>
      </c>
      <c r="B795" s="233">
        <f t="shared" ca="1" si="109"/>
        <v>21</v>
      </c>
      <c r="C795" s="233">
        <f t="shared" ca="1" si="110"/>
        <v>1</v>
      </c>
      <c r="D795" s="234">
        <f t="shared" ca="1" si="112"/>
        <v>1</v>
      </c>
      <c r="E795" s="234">
        <f t="shared" ca="1" si="111"/>
        <v>1</v>
      </c>
      <c r="F795" s="244"/>
      <c r="G795" s="269"/>
      <c r="H795" s="269"/>
      <c r="I795" s="269"/>
      <c r="J795" s="270"/>
      <c r="K795" s="271"/>
      <c r="L795" s="272"/>
      <c r="M795" s="272"/>
      <c r="N795" s="278"/>
      <c r="O795" s="270"/>
      <c r="P795" s="275"/>
      <c r="Q795" s="271"/>
    </row>
    <row r="796" spans="1:17" ht="13.5" customHeight="1" x14ac:dyDescent="0.2">
      <c r="A796" s="233">
        <f t="shared" ca="1" si="108"/>
        <v>0</v>
      </c>
      <c r="B796" s="233">
        <f t="shared" ca="1" si="109"/>
        <v>21</v>
      </c>
      <c r="C796" s="233">
        <f t="shared" ca="1" si="110"/>
        <v>1</v>
      </c>
      <c r="D796" s="234">
        <f t="shared" ca="1" si="112"/>
        <v>1</v>
      </c>
      <c r="E796" s="234">
        <f t="shared" ca="1" si="111"/>
        <v>1</v>
      </c>
      <c r="F796" s="244"/>
      <c r="G796" s="269"/>
      <c r="H796" s="269"/>
      <c r="I796" s="269"/>
      <c r="J796" s="270"/>
      <c r="K796" s="271"/>
      <c r="L796" s="272"/>
      <c r="M796" s="272"/>
      <c r="N796" s="278"/>
      <c r="O796" s="270"/>
      <c r="P796" s="275"/>
      <c r="Q796" s="271"/>
    </row>
    <row r="797" spans="1:17" ht="13.5" customHeight="1" x14ac:dyDescent="0.2">
      <c r="A797" s="233">
        <f t="shared" ca="1" si="108"/>
        <v>0</v>
      </c>
      <c r="B797" s="233">
        <f t="shared" ca="1" si="109"/>
        <v>21</v>
      </c>
      <c r="C797" s="233">
        <f t="shared" ca="1" si="110"/>
        <v>1</v>
      </c>
      <c r="D797" s="234">
        <f t="shared" ca="1" si="112"/>
        <v>1</v>
      </c>
      <c r="E797" s="234">
        <f t="shared" ca="1" si="111"/>
        <v>1</v>
      </c>
      <c r="F797" s="244"/>
      <c r="G797" s="269"/>
      <c r="H797" s="269"/>
      <c r="I797" s="269"/>
      <c r="J797" s="270"/>
      <c r="K797" s="271"/>
      <c r="L797" s="272"/>
      <c r="M797" s="272"/>
      <c r="N797" s="278"/>
      <c r="O797" s="270"/>
      <c r="P797" s="275"/>
      <c r="Q797" s="271"/>
    </row>
    <row r="798" spans="1:17" ht="13.5" customHeight="1" x14ac:dyDescent="0.2">
      <c r="A798" s="233">
        <f t="shared" ca="1" si="108"/>
        <v>0</v>
      </c>
      <c r="B798" s="233">
        <f t="shared" ca="1" si="109"/>
        <v>21</v>
      </c>
      <c r="C798" s="233">
        <f t="shared" ca="1" si="110"/>
        <v>1</v>
      </c>
      <c r="D798" s="234">
        <f t="shared" ca="1" si="112"/>
        <v>1</v>
      </c>
      <c r="E798" s="234">
        <f t="shared" ca="1" si="111"/>
        <v>1</v>
      </c>
      <c r="F798" s="244"/>
      <c r="G798" s="269"/>
      <c r="H798" s="269"/>
      <c r="I798" s="269"/>
      <c r="J798" s="270"/>
      <c r="K798" s="271"/>
      <c r="L798" s="272"/>
      <c r="M798" s="272"/>
      <c r="N798" s="278"/>
      <c r="O798" s="270"/>
      <c r="P798" s="275"/>
      <c r="Q798" s="271"/>
    </row>
    <row r="799" spans="1:17" ht="13.5" customHeight="1" x14ac:dyDescent="0.2">
      <c r="A799" s="233">
        <f t="shared" ca="1" si="108"/>
        <v>0</v>
      </c>
      <c r="B799" s="233">
        <f t="shared" ca="1" si="109"/>
        <v>21</v>
      </c>
      <c r="C799" s="233">
        <f t="shared" ca="1" si="110"/>
        <v>1</v>
      </c>
      <c r="D799" s="234">
        <f t="shared" ca="1" si="112"/>
        <v>1</v>
      </c>
      <c r="E799" s="234">
        <f t="shared" ca="1" si="111"/>
        <v>1</v>
      </c>
      <c r="F799" s="244"/>
      <c r="G799" s="269"/>
      <c r="H799" s="269"/>
      <c r="I799" s="269"/>
      <c r="J799" s="270"/>
      <c r="K799" s="271"/>
      <c r="L799" s="272"/>
      <c r="M799" s="272"/>
      <c r="N799" s="278"/>
      <c r="O799" s="270"/>
      <c r="P799" s="275"/>
      <c r="Q799" s="271"/>
    </row>
    <row r="800" spans="1:17" ht="13.5" customHeight="1" x14ac:dyDescent="0.2">
      <c r="A800" s="233">
        <f t="shared" ca="1" si="108"/>
        <v>0</v>
      </c>
      <c r="B800" s="233">
        <f t="shared" ca="1" si="109"/>
        <v>21</v>
      </c>
      <c r="C800" s="233">
        <f t="shared" ca="1" si="110"/>
        <v>1</v>
      </c>
      <c r="D800" s="234">
        <f t="shared" ca="1" si="112"/>
        <v>1</v>
      </c>
      <c r="E800" s="234">
        <f t="shared" ca="1" si="111"/>
        <v>1</v>
      </c>
      <c r="F800" s="244"/>
      <c r="G800" s="269"/>
      <c r="H800" s="269"/>
      <c r="I800" s="269"/>
      <c r="J800" s="270"/>
      <c r="K800" s="271"/>
      <c r="L800" s="272"/>
      <c r="M800" s="272"/>
      <c r="N800" s="278"/>
      <c r="O800" s="270"/>
      <c r="P800" s="275"/>
      <c r="Q800" s="271"/>
    </row>
    <row r="801" spans="1:17" ht="13.5" customHeight="1" x14ac:dyDescent="0.2">
      <c r="A801" s="233">
        <f t="shared" ca="1" si="108"/>
        <v>0</v>
      </c>
      <c r="B801" s="233">
        <f t="shared" ca="1" si="109"/>
        <v>21</v>
      </c>
      <c r="C801" s="233">
        <f t="shared" ca="1" si="110"/>
        <v>1</v>
      </c>
      <c r="D801" s="234">
        <f t="shared" ca="1" si="112"/>
        <v>1</v>
      </c>
      <c r="E801" s="234">
        <f t="shared" ca="1" si="111"/>
        <v>1</v>
      </c>
      <c r="F801" s="244"/>
      <c r="G801" s="269"/>
      <c r="H801" s="269"/>
      <c r="I801" s="269"/>
      <c r="J801" s="270"/>
      <c r="K801" s="271"/>
      <c r="L801" s="272"/>
      <c r="M801" s="272"/>
      <c r="N801" s="278"/>
      <c r="O801" s="270"/>
      <c r="P801" s="275"/>
      <c r="Q801" s="271"/>
    </row>
    <row r="802" spans="1:17" ht="13.5" customHeight="1" x14ac:dyDescent="0.2">
      <c r="A802" s="233">
        <f t="shared" ca="1" si="108"/>
        <v>0</v>
      </c>
      <c r="B802" s="233">
        <f t="shared" ca="1" si="109"/>
        <v>21</v>
      </c>
      <c r="C802" s="233">
        <f t="shared" ca="1" si="110"/>
        <v>1</v>
      </c>
      <c r="D802" s="234">
        <f t="shared" ca="1" si="112"/>
        <v>1</v>
      </c>
      <c r="E802" s="234">
        <f t="shared" ca="1" si="111"/>
        <v>1</v>
      </c>
      <c r="F802" s="244"/>
      <c r="G802" s="269"/>
      <c r="H802" s="269"/>
      <c r="I802" s="269"/>
      <c r="J802" s="270"/>
      <c r="K802" s="271"/>
      <c r="L802" s="272"/>
      <c r="M802" s="272"/>
      <c r="N802" s="278"/>
      <c r="O802" s="270"/>
      <c r="P802" s="275"/>
      <c r="Q802" s="271"/>
    </row>
    <row r="803" spans="1:17" ht="13.5" customHeight="1" x14ac:dyDescent="0.2">
      <c r="A803" s="233">
        <f t="shared" ca="1" si="108"/>
        <v>0</v>
      </c>
      <c r="B803" s="233">
        <f t="shared" ca="1" si="109"/>
        <v>21</v>
      </c>
      <c r="C803" s="233">
        <f t="shared" ca="1" si="110"/>
        <v>1</v>
      </c>
      <c r="D803" s="234">
        <f t="shared" ca="1" si="112"/>
        <v>1</v>
      </c>
      <c r="E803" s="234">
        <f t="shared" ca="1" si="111"/>
        <v>1</v>
      </c>
      <c r="F803" s="244"/>
      <c r="G803" s="269"/>
      <c r="H803" s="269"/>
      <c r="I803" s="269"/>
      <c r="J803" s="270"/>
      <c r="K803" s="271"/>
      <c r="L803" s="272"/>
      <c r="M803" s="272"/>
      <c r="N803" s="278"/>
      <c r="O803" s="270"/>
      <c r="P803" s="275"/>
      <c r="Q803" s="271"/>
    </row>
    <row r="804" spans="1:17" ht="13.5" customHeight="1" x14ac:dyDescent="0.2">
      <c r="A804" s="233">
        <f t="shared" ca="1" si="108"/>
        <v>0</v>
      </c>
      <c r="B804" s="233">
        <f t="shared" ca="1" si="109"/>
        <v>21</v>
      </c>
      <c r="C804" s="233">
        <f t="shared" ca="1" si="110"/>
        <v>1</v>
      </c>
      <c r="D804" s="234">
        <f t="shared" ca="1" si="112"/>
        <v>1</v>
      </c>
      <c r="E804" s="234">
        <f t="shared" ca="1" si="111"/>
        <v>1</v>
      </c>
      <c r="F804" s="244"/>
      <c r="G804" s="269"/>
      <c r="H804" s="269"/>
      <c r="I804" s="269"/>
      <c r="J804" s="270"/>
      <c r="K804" s="271"/>
      <c r="L804" s="272"/>
      <c r="M804" s="272"/>
      <c r="N804" s="278"/>
      <c r="O804" s="270"/>
      <c r="P804" s="275"/>
      <c r="Q804" s="271"/>
    </row>
    <row r="805" spans="1:17" ht="13.5" customHeight="1" x14ac:dyDescent="0.2">
      <c r="A805" s="233">
        <f t="shared" ca="1" si="108"/>
        <v>0</v>
      </c>
      <c r="B805" s="233">
        <f t="shared" ca="1" si="109"/>
        <v>21</v>
      </c>
      <c r="C805" s="233">
        <f t="shared" ca="1" si="110"/>
        <v>1</v>
      </c>
      <c r="D805" s="234">
        <f t="shared" ca="1" si="112"/>
        <v>1</v>
      </c>
      <c r="E805" s="234">
        <f t="shared" ca="1" si="111"/>
        <v>1</v>
      </c>
      <c r="F805" s="244"/>
      <c r="G805" s="269"/>
      <c r="H805" s="269"/>
      <c r="I805" s="269"/>
      <c r="J805" s="270"/>
      <c r="K805" s="271"/>
      <c r="L805" s="272"/>
      <c r="M805" s="272"/>
      <c r="N805" s="278"/>
      <c r="O805" s="270"/>
      <c r="P805" s="275"/>
      <c r="Q805" s="271"/>
    </row>
    <row r="806" spans="1:17" ht="13.5" customHeight="1" x14ac:dyDescent="0.2">
      <c r="A806" s="233">
        <f t="shared" ca="1" si="108"/>
        <v>0</v>
      </c>
      <c r="B806" s="233">
        <f t="shared" ca="1" si="109"/>
        <v>21</v>
      </c>
      <c r="C806" s="233">
        <f t="shared" ca="1" si="110"/>
        <v>1</v>
      </c>
      <c r="D806" s="234">
        <f t="shared" ca="1" si="112"/>
        <v>1</v>
      </c>
      <c r="E806" s="234">
        <f t="shared" ca="1" si="111"/>
        <v>1</v>
      </c>
      <c r="F806" s="244"/>
      <c r="G806" s="269"/>
      <c r="H806" s="269"/>
      <c r="I806" s="269"/>
      <c r="J806" s="270"/>
      <c r="K806" s="271"/>
      <c r="L806" s="272"/>
      <c r="M806" s="272"/>
      <c r="N806" s="278"/>
      <c r="O806" s="270"/>
      <c r="P806" s="275"/>
      <c r="Q806" s="271"/>
    </row>
    <row r="807" spans="1:17" ht="13.5" customHeight="1" x14ac:dyDescent="0.2">
      <c r="A807" s="233">
        <f t="shared" ca="1" si="108"/>
        <v>0</v>
      </c>
      <c r="B807" s="233">
        <f t="shared" ca="1" si="109"/>
        <v>21</v>
      </c>
      <c r="C807" s="233">
        <f t="shared" ca="1" si="110"/>
        <v>1</v>
      </c>
      <c r="D807" s="234">
        <f t="shared" ca="1" si="112"/>
        <v>1</v>
      </c>
      <c r="E807" s="234">
        <f t="shared" ca="1" si="111"/>
        <v>1</v>
      </c>
      <c r="F807" s="244"/>
      <c r="G807" s="269"/>
      <c r="H807" s="269"/>
      <c r="I807" s="269"/>
      <c r="J807" s="270"/>
      <c r="K807" s="271"/>
      <c r="L807" s="272"/>
      <c r="M807" s="272"/>
      <c r="N807" s="278"/>
      <c r="O807" s="270"/>
      <c r="P807" s="275"/>
      <c r="Q807" s="271"/>
    </row>
    <row r="808" spans="1:17" ht="13.5" customHeight="1" x14ac:dyDescent="0.2">
      <c r="A808" s="233">
        <f t="shared" ca="1" si="108"/>
        <v>0</v>
      </c>
      <c r="B808" s="233">
        <f t="shared" ca="1" si="109"/>
        <v>21</v>
      </c>
      <c r="C808" s="233">
        <f t="shared" ca="1" si="110"/>
        <v>1</v>
      </c>
      <c r="D808" s="234">
        <f t="shared" ca="1" si="112"/>
        <v>1</v>
      </c>
      <c r="E808" s="234">
        <f t="shared" ca="1" si="111"/>
        <v>1</v>
      </c>
      <c r="F808" s="244"/>
      <c r="G808" s="269"/>
      <c r="H808" s="269"/>
      <c r="I808" s="269"/>
      <c r="J808" s="270"/>
      <c r="K808" s="271"/>
      <c r="L808" s="272"/>
      <c r="M808" s="272"/>
      <c r="N808" s="278"/>
      <c r="O808" s="270"/>
      <c r="P808" s="275"/>
      <c r="Q808" s="271"/>
    </row>
    <row r="809" spans="1:17" ht="13.5" customHeight="1" x14ac:dyDescent="0.2">
      <c r="A809" s="233">
        <f t="shared" ca="1" si="108"/>
        <v>0</v>
      </c>
      <c r="B809" s="233">
        <f t="shared" ca="1" si="109"/>
        <v>21</v>
      </c>
      <c r="C809" s="233">
        <f t="shared" ca="1" si="110"/>
        <v>1</v>
      </c>
      <c r="D809" s="234">
        <f t="shared" ca="1" si="112"/>
        <v>1</v>
      </c>
      <c r="E809" s="234">
        <f t="shared" ca="1" si="111"/>
        <v>1</v>
      </c>
      <c r="F809" s="244"/>
      <c r="G809" s="269"/>
      <c r="H809" s="269"/>
      <c r="I809" s="269"/>
      <c r="J809" s="270"/>
      <c r="K809" s="271"/>
      <c r="L809" s="272"/>
      <c r="M809" s="272"/>
      <c r="N809" s="278"/>
      <c r="O809" s="270"/>
      <c r="P809" s="275"/>
      <c r="Q809" s="271"/>
    </row>
    <row r="810" spans="1:17" ht="13.5" customHeight="1" x14ac:dyDescent="0.2">
      <c r="A810" s="233">
        <f t="shared" ca="1" si="108"/>
        <v>0</v>
      </c>
      <c r="B810" s="233">
        <f t="shared" ca="1" si="109"/>
        <v>21</v>
      </c>
      <c r="C810" s="233">
        <f t="shared" ca="1" si="110"/>
        <v>1</v>
      </c>
      <c r="D810" s="234">
        <f t="shared" ca="1" si="112"/>
        <v>1</v>
      </c>
      <c r="E810" s="234">
        <f t="shared" ca="1" si="111"/>
        <v>1</v>
      </c>
      <c r="F810" s="244"/>
      <c r="G810" s="269"/>
      <c r="H810" s="269"/>
      <c r="I810" s="269"/>
      <c r="J810" s="270"/>
      <c r="K810" s="271"/>
      <c r="L810" s="272"/>
      <c r="M810" s="272"/>
      <c r="N810" s="278"/>
      <c r="O810" s="270"/>
      <c r="P810" s="275"/>
      <c r="Q810" s="271"/>
    </row>
    <row r="811" spans="1:17" ht="13.5" customHeight="1" x14ac:dyDescent="0.2">
      <c r="A811" s="233">
        <f t="shared" ca="1" si="108"/>
        <v>0</v>
      </c>
      <c r="B811" s="233">
        <f t="shared" ca="1" si="109"/>
        <v>21</v>
      </c>
      <c r="C811" s="233">
        <f t="shared" ca="1" si="110"/>
        <v>1</v>
      </c>
      <c r="D811" s="234">
        <f t="shared" ca="1" si="112"/>
        <v>1</v>
      </c>
      <c r="E811" s="234">
        <f t="shared" ca="1" si="111"/>
        <v>1</v>
      </c>
      <c r="F811" s="244"/>
      <c r="G811" s="269"/>
      <c r="H811" s="269"/>
      <c r="I811" s="269"/>
      <c r="J811" s="270"/>
      <c r="K811" s="271"/>
      <c r="L811" s="272"/>
      <c r="M811" s="272"/>
      <c r="N811" s="278"/>
      <c r="O811" s="270"/>
      <c r="P811" s="275"/>
      <c r="Q811" s="271"/>
    </row>
    <row r="812" spans="1:17" ht="13.5" customHeight="1" x14ac:dyDescent="0.2">
      <c r="A812" s="233">
        <f t="shared" ca="1" si="108"/>
        <v>0</v>
      </c>
      <c r="B812" s="233">
        <f t="shared" ca="1" si="109"/>
        <v>21</v>
      </c>
      <c r="C812" s="233">
        <f t="shared" ca="1" si="110"/>
        <v>1</v>
      </c>
      <c r="D812" s="234">
        <f t="shared" ca="1" si="112"/>
        <v>1</v>
      </c>
      <c r="E812" s="234">
        <f t="shared" ca="1" si="111"/>
        <v>1</v>
      </c>
      <c r="F812" s="244"/>
      <c r="G812" s="269"/>
      <c r="H812" s="269"/>
      <c r="I812" s="269"/>
      <c r="J812" s="270"/>
      <c r="K812" s="271"/>
      <c r="L812" s="272"/>
      <c r="M812" s="272"/>
      <c r="N812" s="278"/>
      <c r="O812" s="270"/>
      <c r="P812" s="275"/>
      <c r="Q812" s="271"/>
    </row>
    <row r="813" spans="1:17" ht="13.5" customHeight="1" x14ac:dyDescent="0.2">
      <c r="A813" s="233">
        <f t="shared" ca="1" si="108"/>
        <v>0</v>
      </c>
      <c r="B813" s="233">
        <f t="shared" ca="1" si="109"/>
        <v>21</v>
      </c>
      <c r="C813" s="233">
        <f t="shared" ca="1" si="110"/>
        <v>1</v>
      </c>
      <c r="D813" s="234">
        <f t="shared" ca="1" si="112"/>
        <v>1</v>
      </c>
      <c r="E813" s="234">
        <f t="shared" ca="1" si="111"/>
        <v>1</v>
      </c>
      <c r="F813" s="244"/>
      <c r="G813" s="269"/>
      <c r="H813" s="269"/>
      <c r="I813" s="269"/>
      <c r="J813" s="270"/>
      <c r="K813" s="271"/>
      <c r="L813" s="272"/>
      <c r="M813" s="272"/>
      <c r="N813" s="278"/>
      <c r="O813" s="270"/>
      <c r="P813" s="275"/>
      <c r="Q813" s="271"/>
    </row>
    <row r="814" spans="1:17" ht="13.5" customHeight="1" x14ac:dyDescent="0.2">
      <c r="A814" s="233">
        <f t="shared" ca="1" si="108"/>
        <v>0</v>
      </c>
      <c r="B814" s="233">
        <f t="shared" ca="1" si="109"/>
        <v>21</v>
      </c>
      <c r="C814" s="233">
        <f t="shared" ca="1" si="110"/>
        <v>1</v>
      </c>
      <c r="D814" s="234">
        <f t="shared" ca="1" si="112"/>
        <v>1</v>
      </c>
      <c r="E814" s="234">
        <f t="shared" ca="1" si="111"/>
        <v>1</v>
      </c>
      <c r="F814" s="244"/>
      <c r="G814" s="269"/>
      <c r="H814" s="269"/>
      <c r="I814" s="269"/>
      <c r="J814" s="270"/>
      <c r="K814" s="271"/>
      <c r="L814" s="272"/>
      <c r="M814" s="272"/>
      <c r="N814" s="278"/>
      <c r="O814" s="270"/>
      <c r="P814" s="275"/>
      <c r="Q814" s="271"/>
    </row>
    <row r="815" spans="1:17" ht="13.5" customHeight="1" x14ac:dyDescent="0.2">
      <c r="A815" s="233">
        <f t="shared" ca="1" si="108"/>
        <v>0</v>
      </c>
      <c r="B815" s="233">
        <f t="shared" ca="1" si="109"/>
        <v>21</v>
      </c>
      <c r="C815" s="233">
        <f t="shared" ca="1" si="110"/>
        <v>1</v>
      </c>
      <c r="D815" s="234">
        <f t="shared" ca="1" si="112"/>
        <v>1</v>
      </c>
      <c r="E815" s="234">
        <f t="shared" ca="1" si="111"/>
        <v>1</v>
      </c>
      <c r="F815" s="244"/>
      <c r="G815" s="269"/>
      <c r="H815" s="269"/>
      <c r="I815" s="269"/>
      <c r="J815" s="270"/>
      <c r="K815" s="271"/>
      <c r="L815" s="272"/>
      <c r="M815" s="272"/>
      <c r="N815" s="278"/>
      <c r="O815" s="270"/>
      <c r="P815" s="275"/>
      <c r="Q815" s="271"/>
    </row>
    <row r="816" spans="1:17" ht="13.5" customHeight="1" x14ac:dyDescent="0.2">
      <c r="A816" s="233">
        <f t="shared" ca="1" si="108"/>
        <v>0</v>
      </c>
      <c r="B816" s="233">
        <f t="shared" ca="1" si="109"/>
        <v>21</v>
      </c>
      <c r="C816" s="233">
        <f t="shared" ca="1" si="110"/>
        <v>1</v>
      </c>
      <c r="D816" s="234">
        <f t="shared" ca="1" si="112"/>
        <v>1</v>
      </c>
      <c r="E816" s="234">
        <f t="shared" ca="1" si="111"/>
        <v>1</v>
      </c>
      <c r="F816" s="244"/>
      <c r="G816" s="269"/>
      <c r="H816" s="269"/>
      <c r="I816" s="269"/>
      <c r="J816" s="270"/>
      <c r="K816" s="271"/>
      <c r="L816" s="272"/>
      <c r="M816" s="272"/>
      <c r="N816" s="278"/>
      <c r="O816" s="270"/>
      <c r="P816" s="275"/>
      <c r="Q816" s="271"/>
    </row>
    <row r="817" spans="1:17" ht="13.5" customHeight="1" x14ac:dyDescent="0.2">
      <c r="A817" s="233">
        <f t="shared" ca="1" si="108"/>
        <v>0</v>
      </c>
      <c r="B817" s="233">
        <f t="shared" ca="1" si="109"/>
        <v>21</v>
      </c>
      <c r="C817" s="233">
        <f t="shared" ca="1" si="110"/>
        <v>1</v>
      </c>
      <c r="D817" s="234">
        <f t="shared" ca="1" si="112"/>
        <v>1</v>
      </c>
      <c r="E817" s="234">
        <f t="shared" ca="1" si="111"/>
        <v>1</v>
      </c>
      <c r="F817" s="244"/>
      <c r="G817" s="269"/>
      <c r="H817" s="269"/>
      <c r="I817" s="269"/>
      <c r="J817" s="270"/>
      <c r="K817" s="271"/>
      <c r="L817" s="272"/>
      <c r="M817" s="272"/>
      <c r="N817" s="278"/>
      <c r="O817" s="270"/>
      <c r="P817" s="275"/>
      <c r="Q817" s="271"/>
    </row>
    <row r="818" spans="1:17" ht="13.5" customHeight="1" x14ac:dyDescent="0.2">
      <c r="A818" s="233">
        <f t="shared" ca="1" si="108"/>
        <v>0</v>
      </c>
      <c r="B818" s="233">
        <f t="shared" ca="1" si="109"/>
        <v>21</v>
      </c>
      <c r="C818" s="233">
        <f t="shared" ca="1" si="110"/>
        <v>1</v>
      </c>
      <c r="D818" s="234">
        <f t="shared" ca="1" si="112"/>
        <v>1</v>
      </c>
      <c r="E818" s="234">
        <f t="shared" ca="1" si="111"/>
        <v>1</v>
      </c>
      <c r="F818" s="244"/>
      <c r="G818" s="269"/>
      <c r="H818" s="269"/>
      <c r="I818" s="269"/>
      <c r="J818" s="270"/>
      <c r="K818" s="271"/>
      <c r="L818" s="272"/>
      <c r="M818" s="272"/>
      <c r="N818" s="278"/>
      <c r="O818" s="270"/>
      <c r="P818" s="275"/>
      <c r="Q818" s="271"/>
    </row>
    <row r="819" spans="1:17" ht="13.5" customHeight="1" x14ac:dyDescent="0.2">
      <c r="A819" s="233">
        <f t="shared" ca="1" si="108"/>
        <v>0</v>
      </c>
      <c r="B819" s="233">
        <f t="shared" ca="1" si="109"/>
        <v>21</v>
      </c>
      <c r="C819" s="233">
        <f t="shared" ca="1" si="110"/>
        <v>1</v>
      </c>
      <c r="D819" s="234">
        <f t="shared" ca="1" si="112"/>
        <v>1</v>
      </c>
      <c r="E819" s="234">
        <f t="shared" ca="1" si="111"/>
        <v>1</v>
      </c>
      <c r="F819" s="244"/>
      <c r="G819" s="269"/>
      <c r="H819" s="269"/>
      <c r="I819" s="269"/>
      <c r="J819" s="270"/>
      <c r="K819" s="271"/>
      <c r="L819" s="272"/>
      <c r="M819" s="272"/>
      <c r="N819" s="278"/>
      <c r="O819" s="270"/>
      <c r="P819" s="275"/>
      <c r="Q819" s="271"/>
    </row>
    <row r="820" spans="1:17" ht="13.5" customHeight="1" x14ac:dyDescent="0.2">
      <c r="A820" s="233">
        <f t="shared" ca="1" si="108"/>
        <v>0</v>
      </c>
      <c r="B820" s="233">
        <f t="shared" ca="1" si="109"/>
        <v>21</v>
      </c>
      <c r="C820" s="233">
        <f t="shared" ca="1" si="110"/>
        <v>1</v>
      </c>
      <c r="D820" s="234">
        <f t="shared" ca="1" si="112"/>
        <v>1</v>
      </c>
      <c r="E820" s="234">
        <f t="shared" ca="1" si="111"/>
        <v>1</v>
      </c>
      <c r="F820" s="244"/>
      <c r="G820" s="269"/>
      <c r="H820" s="269"/>
      <c r="I820" s="269"/>
      <c r="J820" s="270"/>
      <c r="K820" s="271"/>
      <c r="L820" s="272"/>
      <c r="M820" s="272"/>
      <c r="N820" s="278"/>
      <c r="O820" s="270"/>
      <c r="P820" s="275"/>
      <c r="Q820" s="271"/>
    </row>
    <row r="821" spans="1:17" ht="13.5" customHeight="1" x14ac:dyDescent="0.2">
      <c r="A821" s="233">
        <f t="shared" ca="1" si="108"/>
        <v>0</v>
      </c>
      <c r="B821" s="233">
        <f t="shared" ca="1" si="109"/>
        <v>21</v>
      </c>
      <c r="C821" s="233">
        <f t="shared" ca="1" si="110"/>
        <v>1</v>
      </c>
      <c r="D821" s="234">
        <f t="shared" ca="1" si="112"/>
        <v>1</v>
      </c>
      <c r="E821" s="234">
        <f t="shared" ca="1" si="111"/>
        <v>1</v>
      </c>
      <c r="F821" s="244"/>
      <c r="G821" s="269"/>
      <c r="H821" s="269"/>
      <c r="I821" s="269"/>
      <c r="J821" s="270"/>
      <c r="K821" s="271"/>
      <c r="L821" s="272"/>
      <c r="M821" s="272"/>
      <c r="N821" s="278"/>
      <c r="O821" s="270"/>
      <c r="P821" s="275"/>
      <c r="Q821" s="271"/>
    </row>
    <row r="822" spans="1:17" ht="13.5" customHeight="1" x14ac:dyDescent="0.2">
      <c r="A822" s="233">
        <f t="shared" ca="1" si="108"/>
        <v>0</v>
      </c>
      <c r="B822" s="233">
        <f t="shared" ca="1" si="109"/>
        <v>21</v>
      </c>
      <c r="C822" s="233">
        <f t="shared" ca="1" si="110"/>
        <v>1</v>
      </c>
      <c r="D822" s="234">
        <f t="shared" ca="1" si="112"/>
        <v>1</v>
      </c>
      <c r="E822" s="234">
        <f t="shared" ca="1" si="111"/>
        <v>1</v>
      </c>
      <c r="F822" s="244"/>
      <c r="G822" s="269"/>
      <c r="H822" s="269"/>
      <c r="I822" s="269"/>
      <c r="J822" s="270"/>
      <c r="K822" s="271"/>
      <c r="L822" s="272"/>
      <c r="M822" s="272"/>
      <c r="N822" s="278"/>
      <c r="O822" s="270"/>
      <c r="P822" s="275"/>
      <c r="Q822" s="271"/>
    </row>
    <row r="823" spans="1:17" ht="13.5" customHeight="1" x14ac:dyDescent="0.2">
      <c r="A823" s="233">
        <f t="shared" ca="1" si="108"/>
        <v>0</v>
      </c>
      <c r="B823" s="233">
        <f t="shared" ca="1" si="109"/>
        <v>21</v>
      </c>
      <c r="C823" s="233">
        <f t="shared" ca="1" si="110"/>
        <v>1</v>
      </c>
      <c r="D823" s="234">
        <f t="shared" ca="1" si="112"/>
        <v>1</v>
      </c>
      <c r="E823" s="234">
        <f t="shared" ca="1" si="111"/>
        <v>1</v>
      </c>
      <c r="F823" s="244"/>
      <c r="G823" s="269"/>
      <c r="H823" s="269"/>
      <c r="I823" s="269"/>
      <c r="J823" s="270"/>
      <c r="K823" s="271"/>
      <c r="L823" s="272"/>
      <c r="M823" s="272"/>
      <c r="N823" s="278"/>
      <c r="O823" s="270"/>
      <c r="P823" s="275"/>
      <c r="Q823" s="271"/>
    </row>
    <row r="824" spans="1:17" ht="13.5" customHeight="1" x14ac:dyDescent="0.2">
      <c r="A824" s="233">
        <f t="shared" ca="1" si="108"/>
        <v>0</v>
      </c>
      <c r="B824" s="233">
        <f t="shared" ca="1" si="109"/>
        <v>21</v>
      </c>
      <c r="C824" s="233">
        <f t="shared" ca="1" si="110"/>
        <v>1</v>
      </c>
      <c r="D824" s="234">
        <f t="shared" ca="1" si="112"/>
        <v>1</v>
      </c>
      <c r="E824" s="234">
        <f t="shared" ca="1" si="111"/>
        <v>1</v>
      </c>
      <c r="F824" s="244"/>
      <c r="G824" s="269"/>
      <c r="H824" s="269"/>
      <c r="I824" s="269"/>
      <c r="J824" s="270"/>
      <c r="K824" s="271"/>
      <c r="L824" s="272"/>
      <c r="M824" s="272"/>
      <c r="N824" s="278"/>
      <c r="O824" s="270"/>
      <c r="P824" s="275"/>
      <c r="Q824" s="271"/>
    </row>
    <row r="825" spans="1:17" ht="13.5" customHeight="1" x14ac:dyDescent="0.2">
      <c r="A825" s="233">
        <f t="shared" ca="1" si="108"/>
        <v>0</v>
      </c>
      <c r="B825" s="233">
        <f t="shared" ca="1" si="109"/>
        <v>21</v>
      </c>
      <c r="C825" s="233">
        <f t="shared" ca="1" si="110"/>
        <v>1</v>
      </c>
      <c r="D825" s="234">
        <f t="shared" ca="1" si="112"/>
        <v>1</v>
      </c>
      <c r="E825" s="234">
        <f t="shared" ca="1" si="111"/>
        <v>1</v>
      </c>
      <c r="F825" s="244"/>
      <c r="G825" s="269"/>
      <c r="H825" s="269"/>
      <c r="I825" s="269"/>
      <c r="J825" s="270"/>
      <c r="K825" s="271"/>
      <c r="L825" s="272"/>
      <c r="M825" s="272"/>
      <c r="N825" s="278"/>
      <c r="O825" s="270"/>
      <c r="P825" s="275"/>
      <c r="Q825" s="271"/>
    </row>
    <row r="826" spans="1:17" ht="13.5" customHeight="1" x14ac:dyDescent="0.2">
      <c r="A826" s="233">
        <f t="shared" ca="1" si="108"/>
        <v>0</v>
      </c>
      <c r="B826" s="233">
        <f t="shared" ca="1" si="109"/>
        <v>21</v>
      </c>
      <c r="C826" s="233">
        <f t="shared" ca="1" si="110"/>
        <v>1</v>
      </c>
      <c r="D826" s="234">
        <f t="shared" ca="1" si="112"/>
        <v>1</v>
      </c>
      <c r="E826" s="234">
        <f t="shared" ca="1" si="111"/>
        <v>1</v>
      </c>
      <c r="F826" s="244"/>
      <c r="G826" s="269"/>
      <c r="H826" s="269"/>
      <c r="I826" s="269"/>
      <c r="J826" s="270"/>
      <c r="K826" s="271"/>
      <c r="L826" s="272"/>
      <c r="M826" s="272"/>
      <c r="N826" s="278"/>
      <c r="O826" s="270"/>
      <c r="P826" s="275"/>
      <c r="Q826" s="271"/>
    </row>
    <row r="827" spans="1:17" ht="13.5" customHeight="1" x14ac:dyDescent="0.2">
      <c r="A827" s="233">
        <f t="shared" ca="1" si="108"/>
        <v>0</v>
      </c>
      <c r="B827" s="233">
        <f t="shared" ca="1" si="109"/>
        <v>21</v>
      </c>
      <c r="C827" s="233">
        <f t="shared" ca="1" si="110"/>
        <v>1</v>
      </c>
      <c r="D827" s="234">
        <f t="shared" ca="1" si="112"/>
        <v>1</v>
      </c>
      <c r="E827" s="234">
        <f t="shared" ca="1" si="111"/>
        <v>1</v>
      </c>
      <c r="F827" s="244"/>
      <c r="G827" s="269"/>
      <c r="H827" s="269"/>
      <c r="I827" s="269"/>
      <c r="J827" s="270"/>
      <c r="K827" s="271"/>
      <c r="L827" s="272"/>
      <c r="M827" s="272"/>
      <c r="N827" s="278"/>
      <c r="O827" s="270"/>
      <c r="P827" s="275"/>
      <c r="Q827" s="271"/>
    </row>
    <row r="828" spans="1:17" ht="13.5" customHeight="1" x14ac:dyDescent="0.2">
      <c r="A828" s="233">
        <f t="shared" ca="1" si="108"/>
        <v>0</v>
      </c>
      <c r="B828" s="233">
        <f t="shared" ca="1" si="109"/>
        <v>21</v>
      </c>
      <c r="C828" s="233">
        <f t="shared" ca="1" si="110"/>
        <v>1</v>
      </c>
      <c r="D828" s="234">
        <f t="shared" ca="1" si="112"/>
        <v>1</v>
      </c>
      <c r="E828" s="234">
        <f t="shared" ca="1" si="111"/>
        <v>1</v>
      </c>
      <c r="F828" s="244"/>
      <c r="G828" s="269"/>
      <c r="H828" s="269"/>
      <c r="I828" s="269"/>
      <c r="J828" s="270"/>
      <c r="K828" s="271"/>
      <c r="L828" s="272"/>
      <c r="M828" s="272"/>
      <c r="N828" s="278"/>
      <c r="O828" s="270"/>
      <c r="P828" s="275"/>
      <c r="Q828" s="271"/>
    </row>
    <row r="829" spans="1:17" ht="13.5" customHeight="1" x14ac:dyDescent="0.2">
      <c r="A829" s="233">
        <f t="shared" ca="1" si="108"/>
        <v>0</v>
      </c>
      <c r="B829" s="233">
        <f t="shared" ca="1" si="109"/>
        <v>21</v>
      </c>
      <c r="C829" s="233">
        <f t="shared" ca="1" si="110"/>
        <v>1</v>
      </c>
      <c r="D829" s="234">
        <f t="shared" ca="1" si="112"/>
        <v>1</v>
      </c>
      <c r="E829" s="234">
        <f t="shared" ca="1" si="111"/>
        <v>1</v>
      </c>
      <c r="F829" s="244"/>
      <c r="G829" s="269"/>
      <c r="H829" s="269"/>
      <c r="I829" s="269"/>
      <c r="J829" s="270"/>
      <c r="K829" s="271"/>
      <c r="L829" s="272"/>
      <c r="M829" s="272"/>
      <c r="N829" s="278"/>
      <c r="O829" s="270"/>
      <c r="P829" s="275"/>
      <c r="Q829" s="271"/>
    </row>
    <row r="830" spans="1:17" ht="13.5" customHeight="1" x14ac:dyDescent="0.2">
      <c r="A830" s="233">
        <f t="shared" ca="1" si="108"/>
        <v>0</v>
      </c>
      <c r="B830" s="233">
        <f t="shared" ca="1" si="109"/>
        <v>21</v>
      </c>
      <c r="C830" s="233">
        <f t="shared" ca="1" si="110"/>
        <v>1</v>
      </c>
      <c r="D830" s="234">
        <f t="shared" ca="1" si="112"/>
        <v>1</v>
      </c>
      <c r="E830" s="234">
        <f t="shared" ca="1" si="111"/>
        <v>1</v>
      </c>
      <c r="F830" s="244"/>
      <c r="G830" s="269"/>
      <c r="H830" s="269"/>
      <c r="I830" s="269"/>
      <c r="J830" s="270"/>
      <c r="K830" s="271"/>
      <c r="L830" s="272"/>
      <c r="M830" s="272"/>
      <c r="N830" s="278"/>
      <c r="O830" s="270"/>
      <c r="P830" s="275"/>
      <c r="Q830" s="271"/>
    </row>
    <row r="831" spans="1:17" ht="13.5" customHeight="1" x14ac:dyDescent="0.2">
      <c r="A831" s="233">
        <f t="shared" ca="1" si="108"/>
        <v>0</v>
      </c>
      <c r="B831" s="233">
        <f t="shared" ca="1" si="109"/>
        <v>21</v>
      </c>
      <c r="C831" s="233">
        <f t="shared" ca="1" si="110"/>
        <v>1</v>
      </c>
      <c r="D831" s="234">
        <f t="shared" ca="1" si="112"/>
        <v>1</v>
      </c>
      <c r="E831" s="234">
        <f t="shared" ca="1" si="111"/>
        <v>1</v>
      </c>
      <c r="F831" s="244"/>
      <c r="G831" s="269"/>
      <c r="H831" s="269"/>
      <c r="I831" s="269"/>
      <c r="J831" s="270"/>
      <c r="K831" s="271"/>
      <c r="L831" s="272"/>
      <c r="M831" s="272"/>
      <c r="N831" s="278"/>
      <c r="O831" s="270"/>
      <c r="P831" s="275"/>
      <c r="Q831" s="271"/>
    </row>
    <row r="832" spans="1:17" ht="13.5" customHeight="1" x14ac:dyDescent="0.2">
      <c r="A832" s="233">
        <f t="shared" ca="1" si="108"/>
        <v>0</v>
      </c>
      <c r="B832" s="233">
        <f t="shared" ca="1" si="109"/>
        <v>21</v>
      </c>
      <c r="C832" s="233">
        <f t="shared" ca="1" si="110"/>
        <v>1</v>
      </c>
      <c r="D832" s="234">
        <f t="shared" ca="1" si="112"/>
        <v>1</v>
      </c>
      <c r="E832" s="234">
        <f t="shared" ca="1" si="111"/>
        <v>1</v>
      </c>
      <c r="F832" s="244"/>
      <c r="G832" s="269"/>
      <c r="H832" s="269"/>
      <c r="I832" s="269"/>
      <c r="J832" s="270"/>
      <c r="K832" s="271"/>
      <c r="L832" s="272"/>
      <c r="M832" s="272"/>
      <c r="N832" s="278"/>
      <c r="O832" s="270"/>
      <c r="P832" s="275"/>
      <c r="Q832" s="271"/>
    </row>
    <row r="833" spans="1:17" ht="13.5" customHeight="1" x14ac:dyDescent="0.2">
      <c r="A833" s="233">
        <f t="shared" ca="1" si="108"/>
        <v>0</v>
      </c>
      <c r="B833" s="233">
        <f t="shared" ca="1" si="109"/>
        <v>21</v>
      </c>
      <c r="C833" s="233">
        <f t="shared" ca="1" si="110"/>
        <v>1</v>
      </c>
      <c r="D833" s="234">
        <f t="shared" ca="1" si="112"/>
        <v>1</v>
      </c>
      <c r="E833" s="234">
        <f t="shared" ca="1" si="111"/>
        <v>1</v>
      </c>
      <c r="F833" s="244"/>
      <c r="G833" s="269"/>
      <c r="H833" s="269"/>
      <c r="I833" s="269"/>
      <c r="J833" s="270"/>
      <c r="K833" s="271"/>
      <c r="L833" s="272"/>
      <c r="M833" s="272"/>
      <c r="N833" s="278"/>
      <c r="O833" s="270"/>
      <c r="P833" s="275"/>
      <c r="Q833" s="271"/>
    </row>
    <row r="834" spans="1:17" ht="13.5" customHeight="1" x14ac:dyDescent="0.2">
      <c r="A834" s="233">
        <f t="shared" ref="A834:A897" ca="1" si="113">IF($H834="UNIDADE CONSTRUTIVA",OFFSET(A834,-1,0)+1,LARGE(A$3:A833,1))</f>
        <v>0</v>
      </c>
      <c r="B834" s="233">
        <f t="shared" ca="1" si="109"/>
        <v>21</v>
      </c>
      <c r="C834" s="233">
        <f t="shared" ca="1" si="110"/>
        <v>1</v>
      </c>
      <c r="D834" s="234">
        <f t="shared" ca="1" si="112"/>
        <v>1</v>
      </c>
      <c r="E834" s="234">
        <f t="shared" ca="1" si="111"/>
        <v>1</v>
      </c>
      <c r="F834" s="244"/>
      <c r="G834" s="269"/>
      <c r="H834" s="269"/>
      <c r="I834" s="269"/>
      <c r="J834" s="270"/>
      <c r="K834" s="271"/>
      <c r="L834" s="272"/>
      <c r="M834" s="272"/>
      <c r="N834" s="278"/>
      <c r="O834" s="270"/>
      <c r="P834" s="275"/>
      <c r="Q834" s="271"/>
    </row>
    <row r="835" spans="1:17" ht="13.5" customHeight="1" x14ac:dyDescent="0.2">
      <c r="A835" s="233">
        <f t="shared" ca="1" si="113"/>
        <v>0</v>
      </c>
      <c r="B835" s="233">
        <f t="shared" ref="B835:B898" ca="1" si="114">IF(H835="UNIDADE CONSTRUTIVA",0,IF(H835="CÉLULA CONSTRUTIVA",OFFSET(B835,-1,0)+1,OFFSET(B835,-1,0)))</f>
        <v>21</v>
      </c>
      <c r="C835" s="233">
        <f t="shared" ref="C835:C898" ca="1" si="115">IF(H835="CÉLULA CONSTRUTIVA",0,IF(H835="ETAPA",OFFSET(C835,-1,0)+1,OFFSET(C835,-1,0)))</f>
        <v>1</v>
      </c>
      <c r="D835" s="234">
        <f t="shared" ca="1" si="112"/>
        <v>1</v>
      </c>
      <c r="E835" s="234">
        <f t="shared" ca="1" si="111"/>
        <v>1</v>
      </c>
      <c r="F835" s="244"/>
      <c r="G835" s="269"/>
      <c r="H835" s="269"/>
      <c r="I835" s="269"/>
      <c r="J835" s="270"/>
      <c r="K835" s="271"/>
      <c r="L835" s="272"/>
      <c r="M835" s="272"/>
      <c r="N835" s="278"/>
      <c r="O835" s="270"/>
      <c r="P835" s="275"/>
      <c r="Q835" s="271"/>
    </row>
    <row r="836" spans="1:17" ht="13.5" customHeight="1" x14ac:dyDescent="0.2">
      <c r="A836" s="233">
        <f t="shared" ca="1" si="113"/>
        <v>0</v>
      </c>
      <c r="B836" s="233">
        <f t="shared" ca="1" si="114"/>
        <v>21</v>
      </c>
      <c r="C836" s="233">
        <f t="shared" ca="1" si="115"/>
        <v>1</v>
      </c>
      <c r="D836" s="234">
        <f t="shared" ca="1" si="112"/>
        <v>1</v>
      </c>
      <c r="E836" s="234">
        <f t="shared" ca="1" si="111"/>
        <v>1</v>
      </c>
      <c r="F836" s="244"/>
      <c r="G836" s="269"/>
      <c r="H836" s="269"/>
      <c r="I836" s="269"/>
      <c r="J836" s="270"/>
      <c r="K836" s="271"/>
      <c r="L836" s="272"/>
      <c r="M836" s="272"/>
      <c r="N836" s="278"/>
      <c r="O836" s="270"/>
      <c r="P836" s="275"/>
      <c r="Q836" s="271"/>
    </row>
    <row r="837" spans="1:17" ht="13.5" customHeight="1" x14ac:dyDescent="0.2">
      <c r="A837" s="233">
        <f t="shared" ca="1" si="113"/>
        <v>0</v>
      </c>
      <c r="B837" s="233">
        <f t="shared" ca="1" si="114"/>
        <v>21</v>
      </c>
      <c r="C837" s="233">
        <f t="shared" ca="1" si="115"/>
        <v>1</v>
      </c>
      <c r="D837" s="234">
        <f t="shared" ca="1" si="112"/>
        <v>1</v>
      </c>
      <c r="E837" s="234">
        <f t="shared" ca="1" si="111"/>
        <v>1</v>
      </c>
      <c r="F837" s="244"/>
      <c r="G837" s="269"/>
      <c r="H837" s="269"/>
      <c r="I837" s="269"/>
      <c r="J837" s="270"/>
      <c r="K837" s="271"/>
      <c r="L837" s="272"/>
      <c r="M837" s="272"/>
      <c r="N837" s="278"/>
      <c r="O837" s="270"/>
      <c r="P837" s="275"/>
      <c r="Q837" s="271"/>
    </row>
    <row r="838" spans="1:17" ht="13.5" customHeight="1" x14ac:dyDescent="0.2">
      <c r="A838" s="233">
        <f t="shared" ca="1" si="113"/>
        <v>0</v>
      </c>
      <c r="B838" s="233">
        <f t="shared" ca="1" si="114"/>
        <v>21</v>
      </c>
      <c r="C838" s="233">
        <f t="shared" ca="1" si="115"/>
        <v>1</v>
      </c>
      <c r="D838" s="234">
        <f t="shared" ca="1" si="112"/>
        <v>1</v>
      </c>
      <c r="E838" s="234">
        <f t="shared" ca="1" si="111"/>
        <v>1</v>
      </c>
      <c r="F838" s="244"/>
      <c r="G838" s="269"/>
      <c r="H838" s="269"/>
      <c r="I838" s="269"/>
      <c r="J838" s="270"/>
      <c r="K838" s="271"/>
      <c r="L838" s="272"/>
      <c r="M838" s="272"/>
      <c r="N838" s="278"/>
      <c r="O838" s="270"/>
      <c r="P838" s="275"/>
      <c r="Q838" s="271"/>
    </row>
    <row r="839" spans="1:17" ht="13.5" customHeight="1" x14ac:dyDescent="0.2">
      <c r="A839" s="233">
        <f t="shared" ca="1" si="113"/>
        <v>0</v>
      </c>
      <c r="B839" s="233">
        <f t="shared" ca="1" si="114"/>
        <v>21</v>
      </c>
      <c r="C839" s="233">
        <f t="shared" ca="1" si="115"/>
        <v>1</v>
      </c>
      <c r="D839" s="234">
        <f t="shared" ca="1" si="112"/>
        <v>1</v>
      </c>
      <c r="E839" s="234">
        <f t="shared" ca="1" si="111"/>
        <v>1</v>
      </c>
      <c r="F839" s="244"/>
      <c r="G839" s="269"/>
      <c r="H839" s="269"/>
      <c r="I839" s="269"/>
      <c r="J839" s="270"/>
      <c r="K839" s="271"/>
      <c r="L839" s="272"/>
      <c r="M839" s="272"/>
      <c r="N839" s="278"/>
      <c r="O839" s="270"/>
      <c r="P839" s="275"/>
      <c r="Q839" s="271"/>
    </row>
    <row r="840" spans="1:17" ht="13.5" customHeight="1" x14ac:dyDescent="0.2">
      <c r="A840" s="233">
        <f t="shared" ca="1" si="113"/>
        <v>0</v>
      </c>
      <c r="B840" s="233">
        <f t="shared" ca="1" si="114"/>
        <v>21</v>
      </c>
      <c r="C840" s="233">
        <f t="shared" ca="1" si="115"/>
        <v>1</v>
      </c>
      <c r="D840" s="234">
        <f t="shared" ca="1" si="112"/>
        <v>1</v>
      </c>
      <c r="E840" s="234">
        <f t="shared" ca="1" si="111"/>
        <v>1</v>
      </c>
      <c r="F840" s="244"/>
      <c r="G840" s="269"/>
      <c r="H840" s="269"/>
      <c r="I840" s="269"/>
      <c r="J840" s="270"/>
      <c r="K840" s="271"/>
      <c r="L840" s="272"/>
      <c r="M840" s="272"/>
      <c r="N840" s="278"/>
      <c r="O840" s="270"/>
      <c r="P840" s="275"/>
      <c r="Q840" s="271"/>
    </row>
    <row r="841" spans="1:17" ht="13.5" customHeight="1" x14ac:dyDescent="0.2">
      <c r="A841" s="233">
        <f t="shared" ca="1" si="113"/>
        <v>0</v>
      </c>
      <c r="B841" s="233">
        <f t="shared" ca="1" si="114"/>
        <v>21</v>
      </c>
      <c r="C841" s="233">
        <f t="shared" ca="1" si="115"/>
        <v>1</v>
      </c>
      <c r="D841" s="234">
        <f t="shared" ca="1" si="112"/>
        <v>1</v>
      </c>
      <c r="E841" s="234">
        <f t="shared" ca="1" si="111"/>
        <v>1</v>
      </c>
      <c r="F841" s="244"/>
      <c r="G841" s="269"/>
      <c r="H841" s="269"/>
      <c r="I841" s="269"/>
      <c r="J841" s="270"/>
      <c r="K841" s="271"/>
      <c r="L841" s="272"/>
      <c r="M841" s="272"/>
      <c r="N841" s="278"/>
      <c r="O841" s="270"/>
      <c r="P841" s="275"/>
      <c r="Q841" s="271"/>
    </row>
    <row r="842" spans="1:17" ht="13.5" customHeight="1" x14ac:dyDescent="0.2">
      <c r="A842" s="233">
        <f t="shared" ca="1" si="113"/>
        <v>0</v>
      </c>
      <c r="B842" s="233">
        <f t="shared" ca="1" si="114"/>
        <v>21</v>
      </c>
      <c r="C842" s="233">
        <f t="shared" ca="1" si="115"/>
        <v>1</v>
      </c>
      <c r="D842" s="234">
        <f t="shared" ca="1" si="112"/>
        <v>1</v>
      </c>
      <c r="E842" s="234">
        <f t="shared" ca="1" si="111"/>
        <v>1</v>
      </c>
      <c r="F842" s="244"/>
      <c r="G842" s="269"/>
      <c r="H842" s="269"/>
      <c r="I842" s="269"/>
      <c r="J842" s="270"/>
      <c r="K842" s="271"/>
      <c r="L842" s="272"/>
      <c r="M842" s="272"/>
      <c r="N842" s="278"/>
      <c r="O842" s="270"/>
      <c r="P842" s="275"/>
      <c r="Q842" s="271"/>
    </row>
    <row r="843" spans="1:17" ht="13.5" customHeight="1" x14ac:dyDescent="0.2">
      <c r="A843" s="233">
        <f t="shared" ca="1" si="113"/>
        <v>0</v>
      </c>
      <c r="B843" s="233">
        <f t="shared" ca="1" si="114"/>
        <v>21</v>
      </c>
      <c r="C843" s="233">
        <f t="shared" ca="1" si="115"/>
        <v>1</v>
      </c>
      <c r="D843" s="234">
        <f t="shared" ca="1" si="112"/>
        <v>1</v>
      </c>
      <c r="E843" s="234">
        <f t="shared" ca="1" si="111"/>
        <v>1</v>
      </c>
      <c r="F843" s="244"/>
      <c r="G843" s="269"/>
      <c r="H843" s="269"/>
      <c r="I843" s="269"/>
      <c r="J843" s="270"/>
      <c r="K843" s="271"/>
      <c r="L843" s="272"/>
      <c r="M843" s="272"/>
      <c r="N843" s="278"/>
      <c r="O843" s="270"/>
      <c r="P843" s="275"/>
      <c r="Q843" s="271"/>
    </row>
    <row r="844" spans="1:17" ht="13.5" customHeight="1" x14ac:dyDescent="0.2">
      <c r="A844" s="233">
        <f t="shared" ca="1" si="113"/>
        <v>0</v>
      </c>
      <c r="B844" s="233">
        <f t="shared" ca="1" si="114"/>
        <v>21</v>
      </c>
      <c r="C844" s="233">
        <f t="shared" ca="1" si="115"/>
        <v>1</v>
      </c>
      <c r="D844" s="234">
        <f t="shared" ca="1" si="112"/>
        <v>1</v>
      </c>
      <c r="E844" s="234">
        <f t="shared" ca="1" si="111"/>
        <v>1</v>
      </c>
      <c r="F844" s="244"/>
      <c r="G844" s="269"/>
      <c r="H844" s="269"/>
      <c r="I844" s="269"/>
      <c r="J844" s="270"/>
      <c r="K844" s="271"/>
      <c r="L844" s="272"/>
      <c r="M844" s="272"/>
      <c r="N844" s="278"/>
      <c r="O844" s="270"/>
      <c r="P844" s="275"/>
      <c r="Q844" s="271"/>
    </row>
    <row r="845" spans="1:17" ht="13.5" customHeight="1" x14ac:dyDescent="0.2">
      <c r="A845" s="233">
        <f t="shared" ca="1" si="113"/>
        <v>0</v>
      </c>
      <c r="B845" s="233">
        <f t="shared" ca="1" si="114"/>
        <v>21</v>
      </c>
      <c r="C845" s="233">
        <f t="shared" ca="1" si="115"/>
        <v>1</v>
      </c>
      <c r="D845" s="234">
        <f t="shared" ca="1" si="112"/>
        <v>1</v>
      </c>
      <c r="E845" s="234">
        <f t="shared" ca="1" si="111"/>
        <v>1</v>
      </c>
      <c r="F845" s="244"/>
      <c r="G845" s="269"/>
      <c r="H845" s="269"/>
      <c r="I845" s="269"/>
      <c r="J845" s="270"/>
      <c r="K845" s="271"/>
      <c r="L845" s="272"/>
      <c r="M845" s="272"/>
      <c r="N845" s="278"/>
      <c r="O845" s="270"/>
      <c r="P845" s="275"/>
      <c r="Q845" s="271"/>
    </row>
    <row r="846" spans="1:17" ht="13.5" customHeight="1" x14ac:dyDescent="0.2">
      <c r="A846" s="233">
        <f t="shared" ca="1" si="113"/>
        <v>0</v>
      </c>
      <c r="B846" s="233">
        <f t="shared" ca="1" si="114"/>
        <v>21</v>
      </c>
      <c r="C846" s="233">
        <f t="shared" ca="1" si="115"/>
        <v>1</v>
      </c>
      <c r="D846" s="234">
        <f t="shared" ca="1" si="112"/>
        <v>1</v>
      </c>
      <c r="E846" s="234">
        <f t="shared" ca="1" si="111"/>
        <v>1</v>
      </c>
      <c r="F846" s="244"/>
      <c r="G846" s="269"/>
      <c r="H846" s="269"/>
      <c r="I846" s="269"/>
      <c r="J846" s="270"/>
      <c r="K846" s="271"/>
      <c r="L846" s="272"/>
      <c r="M846" s="272"/>
      <c r="N846" s="278"/>
      <c r="O846" s="270"/>
      <c r="P846" s="275"/>
      <c r="Q846" s="271"/>
    </row>
    <row r="847" spans="1:17" ht="13.5" customHeight="1" x14ac:dyDescent="0.2">
      <c r="A847" s="233">
        <f t="shared" ca="1" si="113"/>
        <v>0</v>
      </c>
      <c r="B847" s="233">
        <f t="shared" ca="1" si="114"/>
        <v>21</v>
      </c>
      <c r="C847" s="233">
        <f t="shared" ca="1" si="115"/>
        <v>1</v>
      </c>
      <c r="D847" s="234">
        <f t="shared" ca="1" si="112"/>
        <v>1</v>
      </c>
      <c r="E847" s="234">
        <f t="shared" ca="1" si="111"/>
        <v>1</v>
      </c>
      <c r="F847" s="244"/>
      <c r="G847" s="269"/>
      <c r="H847" s="269"/>
      <c r="I847" s="269"/>
      <c r="J847" s="270"/>
      <c r="K847" s="271"/>
      <c r="L847" s="272"/>
      <c r="M847" s="272"/>
      <c r="N847" s="278"/>
      <c r="O847" s="270"/>
      <c r="P847" s="275"/>
      <c r="Q847" s="271"/>
    </row>
    <row r="848" spans="1:17" ht="13.5" customHeight="1" x14ac:dyDescent="0.2">
      <c r="A848" s="233">
        <f t="shared" ca="1" si="113"/>
        <v>0</v>
      </c>
      <c r="B848" s="233">
        <f t="shared" ca="1" si="114"/>
        <v>21</v>
      </c>
      <c r="C848" s="233">
        <f t="shared" ca="1" si="115"/>
        <v>1</v>
      </c>
      <c r="D848" s="234">
        <f t="shared" ca="1" si="112"/>
        <v>1</v>
      </c>
      <c r="E848" s="234">
        <f t="shared" ca="1" si="111"/>
        <v>1</v>
      </c>
      <c r="F848" s="244"/>
      <c r="G848" s="269"/>
      <c r="H848" s="269"/>
      <c r="I848" s="269"/>
      <c r="J848" s="270"/>
      <c r="K848" s="271"/>
      <c r="L848" s="272"/>
      <c r="M848" s="272"/>
      <c r="N848" s="278"/>
      <c r="O848" s="270"/>
      <c r="P848" s="275"/>
      <c r="Q848" s="271"/>
    </row>
    <row r="849" spans="1:17" ht="13.5" customHeight="1" x14ac:dyDescent="0.2">
      <c r="A849" s="233">
        <f t="shared" ca="1" si="113"/>
        <v>0</v>
      </c>
      <c r="B849" s="233">
        <f t="shared" ca="1" si="114"/>
        <v>21</v>
      </c>
      <c r="C849" s="233">
        <f t="shared" ca="1" si="115"/>
        <v>1</v>
      </c>
      <c r="D849" s="234">
        <f t="shared" ref="D849:D912" ca="1" si="116">IF(H849="ETAPA",0,IF(H849="SUBETAPA",OFFSET(D849,-1,0)+1,OFFSET(D849,-1,0)))</f>
        <v>1</v>
      </c>
      <c r="E849" s="234">
        <f t="shared" ca="1" si="111"/>
        <v>1</v>
      </c>
      <c r="F849" s="244"/>
      <c r="G849" s="269"/>
      <c r="H849" s="269"/>
      <c r="I849" s="269"/>
      <c r="J849" s="270"/>
      <c r="K849" s="271"/>
      <c r="L849" s="272"/>
      <c r="M849" s="272"/>
      <c r="N849" s="278"/>
      <c r="O849" s="270"/>
      <c r="P849" s="275"/>
      <c r="Q849" s="271"/>
    </row>
    <row r="850" spans="1:17" ht="13.5" customHeight="1" x14ac:dyDescent="0.2">
      <c r="A850" s="233">
        <f t="shared" ca="1" si="113"/>
        <v>0</v>
      </c>
      <c r="B850" s="233">
        <f t="shared" ca="1" si="114"/>
        <v>21</v>
      </c>
      <c r="C850" s="233">
        <f t="shared" ca="1" si="115"/>
        <v>1</v>
      </c>
      <c r="D850" s="234">
        <f t="shared" ca="1" si="116"/>
        <v>1</v>
      </c>
      <c r="E850" s="234">
        <f t="shared" ca="1" si="111"/>
        <v>1</v>
      </c>
      <c r="F850" s="244"/>
      <c r="G850" s="269"/>
      <c r="H850" s="269"/>
      <c r="I850" s="269"/>
      <c r="J850" s="270"/>
      <c r="K850" s="271"/>
      <c r="L850" s="272"/>
      <c r="M850" s="272"/>
      <c r="N850" s="278"/>
      <c r="O850" s="270"/>
      <c r="P850" s="275"/>
      <c r="Q850" s="271"/>
    </row>
    <row r="851" spans="1:17" ht="13.5" customHeight="1" x14ac:dyDescent="0.2">
      <c r="A851" s="233">
        <f t="shared" ca="1" si="113"/>
        <v>0</v>
      </c>
      <c r="B851" s="233">
        <f t="shared" ca="1" si="114"/>
        <v>21</v>
      </c>
      <c r="C851" s="233">
        <f t="shared" ca="1" si="115"/>
        <v>1</v>
      </c>
      <c r="D851" s="234">
        <f t="shared" ca="1" si="116"/>
        <v>1</v>
      </c>
      <c r="E851" s="234">
        <f t="shared" ca="1" si="111"/>
        <v>1</v>
      </c>
      <c r="F851" s="244"/>
      <c r="G851" s="269"/>
      <c r="H851" s="269"/>
      <c r="I851" s="269"/>
      <c r="J851" s="270"/>
      <c r="K851" s="271"/>
      <c r="L851" s="272"/>
      <c r="M851" s="272"/>
      <c r="N851" s="278"/>
      <c r="O851" s="270"/>
      <c r="P851" s="275"/>
      <c r="Q851" s="271"/>
    </row>
    <row r="852" spans="1:17" ht="13.5" customHeight="1" x14ac:dyDescent="0.2">
      <c r="A852" s="233">
        <f t="shared" ca="1" si="113"/>
        <v>0</v>
      </c>
      <c r="B852" s="233">
        <f t="shared" ca="1" si="114"/>
        <v>21</v>
      </c>
      <c r="C852" s="233">
        <f t="shared" ca="1" si="115"/>
        <v>1</v>
      </c>
      <c r="D852" s="234">
        <f t="shared" ca="1" si="116"/>
        <v>1</v>
      </c>
      <c r="E852" s="234">
        <f t="shared" ca="1" si="111"/>
        <v>1</v>
      </c>
      <c r="F852" s="244"/>
      <c r="G852" s="269"/>
      <c r="H852" s="269"/>
      <c r="I852" s="269"/>
      <c r="J852" s="270"/>
      <c r="K852" s="271"/>
      <c r="L852" s="272"/>
      <c r="M852" s="272"/>
      <c r="N852" s="278"/>
      <c r="O852" s="270"/>
      <c r="P852" s="275"/>
      <c r="Q852" s="271"/>
    </row>
    <row r="853" spans="1:17" ht="13.5" customHeight="1" x14ac:dyDescent="0.2">
      <c r="A853" s="233">
        <f t="shared" ca="1" si="113"/>
        <v>0</v>
      </c>
      <c r="B853" s="233">
        <f t="shared" ca="1" si="114"/>
        <v>21</v>
      </c>
      <c r="C853" s="233">
        <f t="shared" ca="1" si="115"/>
        <v>1</v>
      </c>
      <c r="D853" s="234">
        <f t="shared" ca="1" si="116"/>
        <v>1</v>
      </c>
      <c r="E853" s="234">
        <f t="shared" ca="1" si="111"/>
        <v>1</v>
      </c>
      <c r="F853" s="244"/>
      <c r="G853" s="269"/>
      <c r="H853" s="269"/>
      <c r="I853" s="269"/>
      <c r="J853" s="270"/>
      <c r="K853" s="271"/>
      <c r="L853" s="272"/>
      <c r="M853" s="272"/>
      <c r="N853" s="278"/>
      <c r="O853" s="270"/>
      <c r="P853" s="275"/>
      <c r="Q853" s="271"/>
    </row>
    <row r="854" spans="1:17" ht="13.5" customHeight="1" x14ac:dyDescent="0.2">
      <c r="A854" s="233">
        <f t="shared" ca="1" si="113"/>
        <v>0</v>
      </c>
      <c r="B854" s="233">
        <f t="shared" ca="1" si="114"/>
        <v>21</v>
      </c>
      <c r="C854" s="233">
        <f t="shared" ca="1" si="115"/>
        <v>1</v>
      </c>
      <c r="D854" s="234">
        <f t="shared" ca="1" si="116"/>
        <v>1</v>
      </c>
      <c r="E854" s="234">
        <f t="shared" ca="1" si="111"/>
        <v>1</v>
      </c>
      <c r="F854" s="244"/>
      <c r="G854" s="269"/>
      <c r="H854" s="269"/>
      <c r="I854" s="269"/>
      <c r="J854" s="270"/>
      <c r="K854" s="271"/>
      <c r="L854" s="272"/>
      <c r="M854" s="272"/>
      <c r="N854" s="278"/>
      <c r="O854" s="270"/>
      <c r="P854" s="275"/>
      <c r="Q854" s="271"/>
    </row>
    <row r="855" spans="1:17" ht="13.5" customHeight="1" x14ac:dyDescent="0.2">
      <c r="A855" s="233">
        <f t="shared" ca="1" si="113"/>
        <v>0</v>
      </c>
      <c r="B855" s="233">
        <f t="shared" ca="1" si="114"/>
        <v>21</v>
      </c>
      <c r="C855" s="233">
        <f t="shared" ca="1" si="115"/>
        <v>1</v>
      </c>
      <c r="D855" s="234">
        <f t="shared" ca="1" si="116"/>
        <v>1</v>
      </c>
      <c r="E855" s="234">
        <f t="shared" ca="1" si="111"/>
        <v>1</v>
      </c>
      <c r="F855" s="244"/>
      <c r="G855" s="269"/>
      <c r="H855" s="269"/>
      <c r="I855" s="269"/>
      <c r="J855" s="270"/>
      <c r="K855" s="271"/>
      <c r="L855" s="272"/>
      <c r="M855" s="272"/>
      <c r="N855" s="278"/>
      <c r="O855" s="270"/>
      <c r="P855" s="275"/>
      <c r="Q855" s="271"/>
    </row>
    <row r="856" spans="1:17" ht="13.5" customHeight="1" x14ac:dyDescent="0.2">
      <c r="A856" s="233">
        <f t="shared" ca="1" si="113"/>
        <v>0</v>
      </c>
      <c r="B856" s="233">
        <f t="shared" ca="1" si="114"/>
        <v>21</v>
      </c>
      <c r="C856" s="233">
        <f t="shared" ca="1" si="115"/>
        <v>1</v>
      </c>
      <c r="D856" s="234">
        <f t="shared" ca="1" si="116"/>
        <v>1</v>
      </c>
      <c r="E856" s="234">
        <f t="shared" ca="1" si="111"/>
        <v>1</v>
      </c>
      <c r="F856" s="244"/>
      <c r="G856" s="269"/>
      <c r="H856" s="269"/>
      <c r="I856" s="269"/>
      <c r="J856" s="270"/>
      <c r="K856" s="271"/>
      <c r="L856" s="272"/>
      <c r="M856" s="272"/>
      <c r="N856" s="278"/>
      <c r="O856" s="270"/>
      <c r="P856" s="275"/>
      <c r="Q856" s="271"/>
    </row>
    <row r="857" spans="1:17" ht="13.5" customHeight="1" x14ac:dyDescent="0.2">
      <c r="A857" s="233">
        <f t="shared" ca="1" si="113"/>
        <v>0</v>
      </c>
      <c r="B857" s="233">
        <f t="shared" ca="1" si="114"/>
        <v>21</v>
      </c>
      <c r="C857" s="233">
        <f t="shared" ca="1" si="115"/>
        <v>1</v>
      </c>
      <c r="D857" s="234">
        <f t="shared" ca="1" si="116"/>
        <v>1</v>
      </c>
      <c r="E857" s="234">
        <f t="shared" ca="1" si="111"/>
        <v>1</v>
      </c>
      <c r="F857" s="244"/>
      <c r="G857" s="269"/>
      <c r="H857" s="269"/>
      <c r="I857" s="269"/>
      <c r="J857" s="270"/>
      <c r="K857" s="271"/>
      <c r="L857" s="272"/>
      <c r="M857" s="272"/>
      <c r="N857" s="278"/>
      <c r="O857" s="270"/>
      <c r="P857" s="275"/>
      <c r="Q857" s="271"/>
    </row>
    <row r="858" spans="1:17" ht="13.5" customHeight="1" x14ac:dyDescent="0.2">
      <c r="A858" s="233">
        <f t="shared" ca="1" si="113"/>
        <v>0</v>
      </c>
      <c r="B858" s="233">
        <f t="shared" ca="1" si="114"/>
        <v>21</v>
      </c>
      <c r="C858" s="233">
        <f t="shared" ca="1" si="115"/>
        <v>1</v>
      </c>
      <c r="D858" s="234">
        <f t="shared" ca="1" si="116"/>
        <v>1</v>
      </c>
      <c r="E858" s="234">
        <f t="shared" ca="1" si="111"/>
        <v>1</v>
      </c>
      <c r="F858" s="244"/>
      <c r="G858" s="269"/>
      <c r="H858" s="269"/>
      <c r="I858" s="269"/>
      <c r="J858" s="270"/>
      <c r="K858" s="271"/>
      <c r="L858" s="272"/>
      <c r="M858" s="272"/>
      <c r="N858" s="278"/>
      <c r="O858" s="270"/>
      <c r="P858" s="275"/>
      <c r="Q858" s="271"/>
    </row>
    <row r="859" spans="1:17" ht="13.5" customHeight="1" x14ac:dyDescent="0.2">
      <c r="A859" s="233">
        <f t="shared" ca="1" si="113"/>
        <v>0</v>
      </c>
      <c r="B859" s="233">
        <f t="shared" ca="1" si="114"/>
        <v>21</v>
      </c>
      <c r="C859" s="233">
        <f t="shared" ca="1" si="115"/>
        <v>1</v>
      </c>
      <c r="D859" s="234">
        <f t="shared" ca="1" si="116"/>
        <v>1</v>
      </c>
      <c r="E859" s="234">
        <f t="shared" ca="1" si="111"/>
        <v>1</v>
      </c>
      <c r="F859" s="244"/>
      <c r="G859" s="269"/>
      <c r="H859" s="269"/>
      <c r="I859" s="269"/>
      <c r="J859" s="270"/>
      <c r="K859" s="271"/>
      <c r="L859" s="272"/>
      <c r="M859" s="272"/>
      <c r="N859" s="278"/>
      <c r="O859" s="270"/>
      <c r="P859" s="275"/>
      <c r="Q859" s="271"/>
    </row>
    <row r="860" spans="1:17" ht="13.5" customHeight="1" x14ac:dyDescent="0.2">
      <c r="A860" s="233">
        <f t="shared" ca="1" si="113"/>
        <v>0</v>
      </c>
      <c r="B860" s="233">
        <f t="shared" ca="1" si="114"/>
        <v>21</v>
      </c>
      <c r="C860" s="233">
        <f t="shared" ca="1" si="115"/>
        <v>1</v>
      </c>
      <c r="D860" s="234">
        <f t="shared" ca="1" si="116"/>
        <v>1</v>
      </c>
      <c r="E860" s="234">
        <f t="shared" ca="1" si="111"/>
        <v>1</v>
      </c>
      <c r="F860" s="244"/>
      <c r="G860" s="269"/>
      <c r="H860" s="269"/>
      <c r="I860" s="269"/>
      <c r="J860" s="270"/>
      <c r="K860" s="271"/>
      <c r="L860" s="272"/>
      <c r="M860" s="272"/>
      <c r="N860" s="278"/>
      <c r="O860" s="270"/>
      <c r="P860" s="275"/>
      <c r="Q860" s="271"/>
    </row>
    <row r="861" spans="1:17" ht="13.5" customHeight="1" x14ac:dyDescent="0.2">
      <c r="A861" s="233">
        <f t="shared" ca="1" si="113"/>
        <v>0</v>
      </c>
      <c r="B861" s="233">
        <f t="shared" ca="1" si="114"/>
        <v>21</v>
      </c>
      <c r="C861" s="233">
        <f t="shared" ca="1" si="115"/>
        <v>1</v>
      </c>
      <c r="D861" s="234">
        <f t="shared" ca="1" si="116"/>
        <v>1</v>
      </c>
      <c r="E861" s="234">
        <f t="shared" ca="1" si="111"/>
        <v>1</v>
      </c>
      <c r="F861" s="244"/>
      <c r="G861" s="269"/>
      <c r="H861" s="269"/>
      <c r="I861" s="269"/>
      <c r="J861" s="270"/>
      <c r="K861" s="271"/>
      <c r="L861" s="272"/>
      <c r="M861" s="272"/>
      <c r="N861" s="278"/>
      <c r="O861" s="270"/>
      <c r="P861" s="275"/>
      <c r="Q861" s="271"/>
    </row>
    <row r="862" spans="1:17" ht="13.5" customHeight="1" x14ac:dyDescent="0.2">
      <c r="A862" s="233">
        <f t="shared" ca="1" si="113"/>
        <v>0</v>
      </c>
      <c r="B862" s="233">
        <f t="shared" ca="1" si="114"/>
        <v>21</v>
      </c>
      <c r="C862" s="233">
        <f t="shared" ca="1" si="115"/>
        <v>1</v>
      </c>
      <c r="D862" s="234">
        <f t="shared" ca="1" si="116"/>
        <v>1</v>
      </c>
      <c r="E862" s="234">
        <f t="shared" ca="1" si="111"/>
        <v>1</v>
      </c>
      <c r="F862" s="244"/>
      <c r="G862" s="269"/>
      <c r="H862" s="269"/>
      <c r="I862" s="269"/>
      <c r="J862" s="270"/>
      <c r="K862" s="271"/>
      <c r="L862" s="272"/>
      <c r="M862" s="272"/>
      <c r="N862" s="278"/>
      <c r="O862" s="270"/>
      <c r="P862" s="275"/>
      <c r="Q862" s="271"/>
    </row>
    <row r="863" spans="1:17" ht="13.5" customHeight="1" x14ac:dyDescent="0.2">
      <c r="A863" s="233">
        <f t="shared" ca="1" si="113"/>
        <v>0</v>
      </c>
      <c r="B863" s="233">
        <f t="shared" ca="1" si="114"/>
        <v>21</v>
      </c>
      <c r="C863" s="233">
        <f t="shared" ca="1" si="115"/>
        <v>1</v>
      </c>
      <c r="D863" s="234">
        <f t="shared" ca="1" si="116"/>
        <v>1</v>
      </c>
      <c r="E863" s="234">
        <f t="shared" ca="1" si="111"/>
        <v>1</v>
      </c>
      <c r="F863" s="244"/>
      <c r="G863" s="269"/>
      <c r="H863" s="269"/>
      <c r="I863" s="269"/>
      <c r="J863" s="270"/>
      <c r="K863" s="271"/>
      <c r="L863" s="272"/>
      <c r="M863" s="272"/>
      <c r="N863" s="278"/>
      <c r="O863" s="270"/>
      <c r="P863" s="275"/>
      <c r="Q863" s="271"/>
    </row>
    <row r="864" spans="1:17" ht="13.5" customHeight="1" x14ac:dyDescent="0.2">
      <c r="A864" s="233">
        <f t="shared" ca="1" si="113"/>
        <v>0</v>
      </c>
      <c r="B864" s="233">
        <f t="shared" ca="1" si="114"/>
        <v>21</v>
      </c>
      <c r="C864" s="233">
        <f t="shared" ca="1" si="115"/>
        <v>1</v>
      </c>
      <c r="D864" s="234">
        <f t="shared" ca="1" si="116"/>
        <v>1</v>
      </c>
      <c r="E864" s="234">
        <f t="shared" ca="1" si="111"/>
        <v>1</v>
      </c>
      <c r="F864" s="244"/>
      <c r="G864" s="269"/>
      <c r="H864" s="269"/>
      <c r="I864" s="269"/>
      <c r="J864" s="270"/>
      <c r="K864" s="271"/>
      <c r="L864" s="272"/>
      <c r="M864" s="272"/>
      <c r="N864" s="278"/>
      <c r="O864" s="270"/>
      <c r="P864" s="275"/>
      <c r="Q864" s="271"/>
    </row>
    <row r="865" spans="1:17" ht="13.5" customHeight="1" x14ac:dyDescent="0.2">
      <c r="A865" s="233">
        <f t="shared" ca="1" si="113"/>
        <v>0</v>
      </c>
      <c r="B865" s="233">
        <f t="shared" ca="1" si="114"/>
        <v>21</v>
      </c>
      <c r="C865" s="233">
        <f t="shared" ca="1" si="115"/>
        <v>1</v>
      </c>
      <c r="D865" s="234">
        <f t="shared" ca="1" si="116"/>
        <v>1</v>
      </c>
      <c r="E865" s="234">
        <f t="shared" ca="1" si="111"/>
        <v>1</v>
      </c>
      <c r="F865" s="244"/>
      <c r="G865" s="269"/>
      <c r="H865" s="269"/>
      <c r="I865" s="269"/>
      <c r="J865" s="270"/>
      <c r="K865" s="271"/>
      <c r="L865" s="272"/>
      <c r="M865" s="272"/>
      <c r="N865" s="278"/>
      <c r="O865" s="270"/>
      <c r="P865" s="275"/>
      <c r="Q865" s="271"/>
    </row>
    <row r="866" spans="1:17" ht="13.5" customHeight="1" x14ac:dyDescent="0.2">
      <c r="A866" s="233">
        <f t="shared" ca="1" si="113"/>
        <v>0</v>
      </c>
      <c r="B866" s="233">
        <f t="shared" ca="1" si="114"/>
        <v>21</v>
      </c>
      <c r="C866" s="233">
        <f t="shared" ca="1" si="115"/>
        <v>1</v>
      </c>
      <c r="D866" s="234">
        <f t="shared" ca="1" si="116"/>
        <v>1</v>
      </c>
      <c r="E866" s="234">
        <f t="shared" ca="1" si="111"/>
        <v>1</v>
      </c>
      <c r="F866" s="244"/>
      <c r="G866" s="269"/>
      <c r="H866" s="269"/>
      <c r="I866" s="269"/>
      <c r="J866" s="270"/>
      <c r="K866" s="271"/>
      <c r="L866" s="272"/>
      <c r="M866" s="272"/>
      <c r="N866" s="278"/>
      <c r="O866" s="270"/>
      <c r="P866" s="275"/>
      <c r="Q866" s="271"/>
    </row>
    <row r="867" spans="1:17" ht="13.5" customHeight="1" x14ac:dyDescent="0.2">
      <c r="A867" s="233">
        <f t="shared" ca="1" si="113"/>
        <v>0</v>
      </c>
      <c r="B867" s="233">
        <f t="shared" ca="1" si="114"/>
        <v>21</v>
      </c>
      <c r="C867" s="233">
        <f t="shared" ca="1" si="115"/>
        <v>1</v>
      </c>
      <c r="D867" s="234">
        <f t="shared" ca="1" si="116"/>
        <v>1</v>
      </c>
      <c r="E867" s="234">
        <f t="shared" ca="1" si="111"/>
        <v>1</v>
      </c>
      <c r="F867" s="244"/>
      <c r="G867" s="269"/>
      <c r="H867" s="269"/>
      <c r="I867" s="269"/>
      <c r="J867" s="270"/>
      <c r="K867" s="271"/>
      <c r="L867" s="272"/>
      <c r="M867" s="272"/>
      <c r="N867" s="278"/>
      <c r="O867" s="270"/>
      <c r="P867" s="275"/>
      <c r="Q867" s="271"/>
    </row>
    <row r="868" spans="1:17" ht="13.5" customHeight="1" x14ac:dyDescent="0.2">
      <c r="A868" s="233">
        <f t="shared" ca="1" si="113"/>
        <v>0</v>
      </c>
      <c r="B868" s="233">
        <f t="shared" ca="1" si="114"/>
        <v>21</v>
      </c>
      <c r="C868" s="233">
        <f t="shared" ca="1" si="115"/>
        <v>1</v>
      </c>
      <c r="D868" s="234">
        <f t="shared" ca="1" si="116"/>
        <v>1</v>
      </c>
      <c r="E868" s="234">
        <f t="shared" ca="1" si="111"/>
        <v>1</v>
      </c>
      <c r="F868" s="244"/>
      <c r="G868" s="269"/>
      <c r="H868" s="269"/>
      <c r="I868" s="269"/>
      <c r="J868" s="270"/>
      <c r="K868" s="271"/>
      <c r="L868" s="272"/>
      <c r="M868" s="272"/>
      <c r="N868" s="278"/>
      <c r="O868" s="270"/>
      <c r="P868" s="275"/>
      <c r="Q868" s="271"/>
    </row>
    <row r="869" spans="1:17" ht="13.5" customHeight="1" x14ac:dyDescent="0.2">
      <c r="A869" s="233">
        <f t="shared" ca="1" si="113"/>
        <v>0</v>
      </c>
      <c r="B869" s="233">
        <f t="shared" ca="1" si="114"/>
        <v>21</v>
      </c>
      <c r="C869" s="233">
        <f t="shared" ca="1" si="115"/>
        <v>1</v>
      </c>
      <c r="D869" s="234">
        <f t="shared" ca="1" si="116"/>
        <v>1</v>
      </c>
      <c r="E869" s="234">
        <f t="shared" ca="1" si="111"/>
        <v>1</v>
      </c>
      <c r="F869" s="244"/>
      <c r="G869" s="269"/>
      <c r="H869" s="269"/>
      <c r="I869" s="269"/>
      <c r="J869" s="270"/>
      <c r="K869" s="271"/>
      <c r="L869" s="272"/>
      <c r="M869" s="272"/>
      <c r="N869" s="278"/>
      <c r="O869" s="270"/>
      <c r="P869" s="275"/>
      <c r="Q869" s="271"/>
    </row>
    <row r="870" spans="1:17" ht="13.5" customHeight="1" x14ac:dyDescent="0.2">
      <c r="A870" s="233">
        <f t="shared" ca="1" si="113"/>
        <v>0</v>
      </c>
      <c r="B870" s="233">
        <f t="shared" ca="1" si="114"/>
        <v>21</v>
      </c>
      <c r="C870" s="233">
        <f t="shared" ca="1" si="115"/>
        <v>1</v>
      </c>
      <c r="D870" s="234">
        <f t="shared" ca="1" si="116"/>
        <v>1</v>
      </c>
      <c r="E870" s="234">
        <f t="shared" ca="1" si="111"/>
        <v>1</v>
      </c>
      <c r="F870" s="244"/>
      <c r="G870" s="269"/>
      <c r="H870" s="269"/>
      <c r="I870" s="269"/>
      <c r="J870" s="270"/>
      <c r="K870" s="271"/>
      <c r="L870" s="272"/>
      <c r="M870" s="272"/>
      <c r="N870" s="278"/>
      <c r="O870" s="270"/>
      <c r="P870" s="275"/>
      <c r="Q870" s="271"/>
    </row>
    <row r="871" spans="1:17" ht="13.5" customHeight="1" x14ac:dyDescent="0.2">
      <c r="A871" s="233">
        <f t="shared" ca="1" si="113"/>
        <v>0</v>
      </c>
      <c r="B871" s="233">
        <f t="shared" ca="1" si="114"/>
        <v>21</v>
      </c>
      <c r="C871" s="233">
        <f t="shared" ca="1" si="115"/>
        <v>1</v>
      </c>
      <c r="D871" s="234">
        <f t="shared" ca="1" si="116"/>
        <v>1</v>
      </c>
      <c r="E871" s="234">
        <f t="shared" ca="1" si="111"/>
        <v>1</v>
      </c>
      <c r="F871" s="244"/>
      <c r="G871" s="269"/>
      <c r="H871" s="269"/>
      <c r="I871" s="269"/>
      <c r="J871" s="270"/>
      <c r="K871" s="271"/>
      <c r="L871" s="272"/>
      <c r="M871" s="272"/>
      <c r="N871" s="278"/>
      <c r="O871" s="270"/>
      <c r="P871" s="275"/>
      <c r="Q871" s="271"/>
    </row>
    <row r="872" spans="1:17" ht="13.5" customHeight="1" x14ac:dyDescent="0.2">
      <c r="A872" s="233">
        <f t="shared" ca="1" si="113"/>
        <v>0</v>
      </c>
      <c r="B872" s="233">
        <f t="shared" ca="1" si="114"/>
        <v>21</v>
      </c>
      <c r="C872" s="233">
        <f t="shared" ca="1" si="115"/>
        <v>1</v>
      </c>
      <c r="D872" s="234">
        <f t="shared" ca="1" si="116"/>
        <v>1</v>
      </c>
      <c r="E872" s="234">
        <f t="shared" ca="1" si="111"/>
        <v>1</v>
      </c>
      <c r="F872" s="244"/>
      <c r="G872" s="269"/>
      <c r="H872" s="269"/>
      <c r="I872" s="269"/>
      <c r="J872" s="270"/>
      <c r="K872" s="271"/>
      <c r="L872" s="272"/>
      <c r="M872" s="272"/>
      <c r="N872" s="278"/>
      <c r="O872" s="270"/>
      <c r="P872" s="275"/>
      <c r="Q872" s="271"/>
    </row>
    <row r="873" spans="1:17" ht="13.5" customHeight="1" x14ac:dyDescent="0.2">
      <c r="A873" s="233">
        <f t="shared" ca="1" si="113"/>
        <v>0</v>
      </c>
      <c r="B873" s="233">
        <f t="shared" ca="1" si="114"/>
        <v>21</v>
      </c>
      <c r="C873" s="233">
        <f t="shared" ca="1" si="115"/>
        <v>1</v>
      </c>
      <c r="D873" s="234">
        <f t="shared" ca="1" si="116"/>
        <v>1</v>
      </c>
      <c r="E873" s="234">
        <f t="shared" ca="1" si="111"/>
        <v>1</v>
      </c>
      <c r="F873" s="244"/>
      <c r="G873" s="269"/>
      <c r="H873" s="269"/>
      <c r="I873" s="269"/>
      <c r="J873" s="270"/>
      <c r="K873" s="271"/>
      <c r="L873" s="272"/>
      <c r="M873" s="272"/>
      <c r="N873" s="278"/>
      <c r="O873" s="270"/>
      <c r="P873" s="275"/>
      <c r="Q873" s="271"/>
    </row>
    <row r="874" spans="1:17" ht="13.5" customHeight="1" x14ac:dyDescent="0.2">
      <c r="A874" s="233">
        <f t="shared" ca="1" si="113"/>
        <v>0</v>
      </c>
      <c r="B874" s="233">
        <f t="shared" ca="1" si="114"/>
        <v>21</v>
      </c>
      <c r="C874" s="233">
        <f t="shared" ca="1" si="115"/>
        <v>1</v>
      </c>
      <c r="D874" s="234">
        <f t="shared" ca="1" si="116"/>
        <v>1</v>
      </c>
      <c r="E874" s="234">
        <f t="shared" ca="1" si="111"/>
        <v>1</v>
      </c>
      <c r="F874" s="244"/>
      <c r="G874" s="269"/>
      <c r="H874" s="269"/>
      <c r="I874" s="269"/>
      <c r="J874" s="270"/>
      <c r="K874" s="271"/>
      <c r="L874" s="272"/>
      <c r="M874" s="272"/>
      <c r="N874" s="278"/>
      <c r="O874" s="270"/>
      <c r="P874" s="275"/>
      <c r="Q874" s="271"/>
    </row>
    <row r="875" spans="1:17" ht="13.5" customHeight="1" x14ac:dyDescent="0.2">
      <c r="A875" s="233">
        <f t="shared" ca="1" si="113"/>
        <v>0</v>
      </c>
      <c r="B875" s="233">
        <f t="shared" ca="1" si="114"/>
        <v>21</v>
      </c>
      <c r="C875" s="233">
        <f t="shared" ca="1" si="115"/>
        <v>1</v>
      </c>
      <c r="D875" s="234">
        <f t="shared" ca="1" si="116"/>
        <v>1</v>
      </c>
      <c r="E875" s="234">
        <f t="shared" ca="1" si="111"/>
        <v>1</v>
      </c>
      <c r="F875" s="244"/>
      <c r="G875" s="269"/>
      <c r="H875" s="269"/>
      <c r="I875" s="269"/>
      <c r="J875" s="270"/>
      <c r="K875" s="271"/>
      <c r="L875" s="272"/>
      <c r="M875" s="272"/>
      <c r="N875" s="278"/>
      <c r="O875" s="270"/>
      <c r="P875" s="275"/>
      <c r="Q875" s="271"/>
    </row>
    <row r="876" spans="1:17" ht="13.5" customHeight="1" x14ac:dyDescent="0.2">
      <c r="A876" s="233">
        <f t="shared" ca="1" si="113"/>
        <v>0</v>
      </c>
      <c r="B876" s="233">
        <f t="shared" ca="1" si="114"/>
        <v>21</v>
      </c>
      <c r="C876" s="233">
        <f t="shared" ca="1" si="115"/>
        <v>1</v>
      </c>
      <c r="D876" s="234">
        <f t="shared" ca="1" si="116"/>
        <v>1</v>
      </c>
      <c r="E876" s="234">
        <f t="shared" ca="1" si="111"/>
        <v>1</v>
      </c>
      <c r="F876" s="244"/>
      <c r="G876" s="269"/>
      <c r="H876" s="269"/>
      <c r="I876" s="269"/>
      <c r="J876" s="270"/>
      <c r="K876" s="271"/>
      <c r="L876" s="272"/>
      <c r="M876" s="272"/>
      <c r="N876" s="278"/>
      <c r="O876" s="270"/>
      <c r="P876" s="275"/>
      <c r="Q876" s="271"/>
    </row>
    <row r="877" spans="1:17" ht="13.5" customHeight="1" x14ac:dyDescent="0.2">
      <c r="A877" s="233">
        <f t="shared" ca="1" si="113"/>
        <v>0</v>
      </c>
      <c r="B877" s="233">
        <f t="shared" ca="1" si="114"/>
        <v>21</v>
      </c>
      <c r="C877" s="233">
        <f t="shared" ca="1" si="115"/>
        <v>1</v>
      </c>
      <c r="D877" s="234">
        <f t="shared" ca="1" si="116"/>
        <v>1</v>
      </c>
      <c r="E877" s="234">
        <f t="shared" ca="1" si="111"/>
        <v>1</v>
      </c>
      <c r="F877" s="244"/>
      <c r="G877" s="269"/>
      <c r="H877" s="269"/>
      <c r="I877" s="269"/>
      <c r="J877" s="270"/>
      <c r="K877" s="271"/>
      <c r="L877" s="272"/>
      <c r="M877" s="272"/>
      <c r="N877" s="278"/>
      <c r="O877" s="270"/>
      <c r="P877" s="275"/>
      <c r="Q877" s="271"/>
    </row>
    <row r="878" spans="1:17" ht="13.5" customHeight="1" x14ac:dyDescent="0.2">
      <c r="A878" s="233">
        <f t="shared" ca="1" si="113"/>
        <v>0</v>
      </c>
      <c r="B878" s="233">
        <f t="shared" ca="1" si="114"/>
        <v>21</v>
      </c>
      <c r="C878" s="233">
        <f t="shared" ca="1" si="115"/>
        <v>1</v>
      </c>
      <c r="D878" s="234">
        <f t="shared" ca="1" si="116"/>
        <v>1</v>
      </c>
      <c r="E878" s="234">
        <f t="shared" ca="1" si="111"/>
        <v>1</v>
      </c>
      <c r="F878" s="244"/>
      <c r="G878" s="269"/>
      <c r="H878" s="269"/>
      <c r="I878" s="269"/>
      <c r="J878" s="270"/>
      <c r="K878" s="271"/>
      <c r="L878" s="272"/>
      <c r="M878" s="272"/>
      <c r="N878" s="278"/>
      <c r="O878" s="270"/>
      <c r="P878" s="275"/>
      <c r="Q878" s="271"/>
    </row>
    <row r="879" spans="1:17" ht="13.5" customHeight="1" x14ac:dyDescent="0.2">
      <c r="A879" s="233">
        <f t="shared" ca="1" si="113"/>
        <v>0</v>
      </c>
      <c r="B879" s="233">
        <f t="shared" ca="1" si="114"/>
        <v>21</v>
      </c>
      <c r="C879" s="233">
        <f t="shared" ca="1" si="115"/>
        <v>1</v>
      </c>
      <c r="D879" s="234">
        <f t="shared" ca="1" si="116"/>
        <v>1</v>
      </c>
      <c r="E879" s="234">
        <f t="shared" ca="1" si="111"/>
        <v>1</v>
      </c>
      <c r="F879" s="244"/>
      <c r="G879" s="269"/>
      <c r="H879" s="269"/>
      <c r="I879" s="269"/>
      <c r="J879" s="270"/>
      <c r="K879" s="271"/>
      <c r="L879" s="272"/>
      <c r="M879" s="272"/>
      <c r="N879" s="278"/>
      <c r="O879" s="270"/>
      <c r="P879" s="275"/>
      <c r="Q879" s="271"/>
    </row>
    <row r="880" spans="1:17" ht="13.5" customHeight="1" x14ac:dyDescent="0.2">
      <c r="A880" s="233">
        <f t="shared" ca="1" si="113"/>
        <v>0</v>
      </c>
      <c r="B880" s="233">
        <f t="shared" ca="1" si="114"/>
        <v>21</v>
      </c>
      <c r="C880" s="233">
        <f t="shared" ca="1" si="115"/>
        <v>1</v>
      </c>
      <c r="D880" s="234">
        <f t="shared" ca="1" si="116"/>
        <v>1</v>
      </c>
      <c r="E880" s="234">
        <f t="shared" ca="1" si="111"/>
        <v>1</v>
      </c>
      <c r="F880" s="244"/>
      <c r="G880" s="269"/>
      <c r="H880" s="269"/>
      <c r="I880" s="269"/>
      <c r="J880" s="270"/>
      <c r="K880" s="271"/>
      <c r="L880" s="272"/>
      <c r="M880" s="272"/>
      <c r="N880" s="278"/>
      <c r="O880" s="270"/>
      <c r="P880" s="275"/>
      <c r="Q880" s="271"/>
    </row>
    <row r="881" spans="1:17" ht="13.5" customHeight="1" x14ac:dyDescent="0.2">
      <c r="A881" s="233">
        <f t="shared" ca="1" si="113"/>
        <v>0</v>
      </c>
      <c r="B881" s="233">
        <f t="shared" ca="1" si="114"/>
        <v>21</v>
      </c>
      <c r="C881" s="233">
        <f t="shared" ca="1" si="115"/>
        <v>1</v>
      </c>
      <c r="D881" s="234">
        <f t="shared" ca="1" si="116"/>
        <v>1</v>
      </c>
      <c r="E881" s="234">
        <f t="shared" ca="1" si="111"/>
        <v>1</v>
      </c>
      <c r="F881" s="244"/>
      <c r="G881" s="269"/>
      <c r="H881" s="269"/>
      <c r="I881" s="269"/>
      <c r="J881" s="270"/>
      <c r="K881" s="271"/>
      <c r="L881" s="272"/>
      <c r="M881" s="272"/>
      <c r="N881" s="278"/>
      <c r="O881" s="270"/>
      <c r="P881" s="275"/>
      <c r="Q881" s="271"/>
    </row>
    <row r="882" spans="1:17" ht="13.5" customHeight="1" x14ac:dyDescent="0.2">
      <c r="A882" s="233">
        <f t="shared" ca="1" si="113"/>
        <v>0</v>
      </c>
      <c r="B882" s="233">
        <f t="shared" ca="1" si="114"/>
        <v>21</v>
      </c>
      <c r="C882" s="233">
        <f t="shared" ca="1" si="115"/>
        <v>1</v>
      </c>
      <c r="D882" s="234">
        <f t="shared" ca="1" si="116"/>
        <v>1</v>
      </c>
      <c r="E882" s="234">
        <f t="shared" ca="1" si="111"/>
        <v>1</v>
      </c>
      <c r="F882" s="244"/>
      <c r="G882" s="269"/>
      <c r="H882" s="269"/>
      <c r="I882" s="269"/>
      <c r="J882" s="270"/>
      <c r="K882" s="271"/>
      <c r="L882" s="272"/>
      <c r="M882" s="272"/>
      <c r="N882" s="278"/>
      <c r="O882" s="270"/>
      <c r="P882" s="275"/>
      <c r="Q882" s="271"/>
    </row>
    <row r="883" spans="1:17" ht="13.5" customHeight="1" x14ac:dyDescent="0.2">
      <c r="A883" s="233">
        <f t="shared" ca="1" si="113"/>
        <v>0</v>
      </c>
      <c r="B883" s="233">
        <f t="shared" ca="1" si="114"/>
        <v>21</v>
      </c>
      <c r="C883" s="233">
        <f t="shared" ca="1" si="115"/>
        <v>1</v>
      </c>
      <c r="D883" s="234">
        <f t="shared" ca="1" si="116"/>
        <v>1</v>
      </c>
      <c r="E883" s="234">
        <f t="shared" ca="1" si="111"/>
        <v>1</v>
      </c>
      <c r="F883" s="244"/>
      <c r="G883" s="269"/>
      <c r="H883" s="269"/>
      <c r="I883" s="269"/>
      <c r="J883" s="270"/>
      <c r="K883" s="271"/>
      <c r="L883" s="272"/>
      <c r="M883" s="272"/>
      <c r="N883" s="278"/>
      <c r="O883" s="270"/>
      <c r="P883" s="275"/>
      <c r="Q883" s="271"/>
    </row>
    <row r="884" spans="1:17" ht="13.5" customHeight="1" x14ac:dyDescent="0.2">
      <c r="A884" s="233">
        <f t="shared" ca="1" si="113"/>
        <v>0</v>
      </c>
      <c r="B884" s="233">
        <f t="shared" ca="1" si="114"/>
        <v>21</v>
      </c>
      <c r="C884" s="233">
        <f t="shared" ca="1" si="115"/>
        <v>1</v>
      </c>
      <c r="D884" s="234">
        <f t="shared" ca="1" si="116"/>
        <v>1</v>
      </c>
      <c r="E884" s="234">
        <f t="shared" ca="1" si="111"/>
        <v>1</v>
      </c>
      <c r="F884" s="244"/>
      <c r="G884" s="269"/>
      <c r="H884" s="269"/>
      <c r="I884" s="269"/>
      <c r="J884" s="270"/>
      <c r="K884" s="271"/>
      <c r="L884" s="272"/>
      <c r="M884" s="272"/>
      <c r="N884" s="278"/>
      <c r="O884" s="270"/>
      <c r="P884" s="275"/>
      <c r="Q884" s="271"/>
    </row>
    <row r="885" spans="1:17" ht="13.5" customHeight="1" x14ac:dyDescent="0.2">
      <c r="A885" s="233">
        <f t="shared" ca="1" si="113"/>
        <v>0</v>
      </c>
      <c r="B885" s="233">
        <f t="shared" ca="1" si="114"/>
        <v>21</v>
      </c>
      <c r="C885" s="233">
        <f t="shared" ca="1" si="115"/>
        <v>1</v>
      </c>
      <c r="D885" s="234">
        <f t="shared" ca="1" si="116"/>
        <v>1</v>
      </c>
      <c r="E885" s="234">
        <f t="shared" ca="1" si="111"/>
        <v>1</v>
      </c>
      <c r="F885" s="244"/>
      <c r="G885" s="269"/>
      <c r="H885" s="269"/>
      <c r="I885" s="269"/>
      <c r="J885" s="270"/>
      <c r="K885" s="271"/>
      <c r="L885" s="272"/>
      <c r="M885" s="272"/>
      <c r="N885" s="278"/>
      <c r="O885" s="270"/>
      <c r="P885" s="275"/>
      <c r="Q885" s="271"/>
    </row>
    <row r="886" spans="1:17" ht="13.5" customHeight="1" x14ac:dyDescent="0.2">
      <c r="A886" s="233">
        <f t="shared" ca="1" si="113"/>
        <v>0</v>
      </c>
      <c r="B886" s="233">
        <f t="shared" ca="1" si="114"/>
        <v>21</v>
      </c>
      <c r="C886" s="233">
        <f t="shared" ca="1" si="115"/>
        <v>1</v>
      </c>
      <c r="D886" s="234">
        <f t="shared" ca="1" si="116"/>
        <v>1</v>
      </c>
      <c r="E886" s="234">
        <f t="shared" ca="1" si="111"/>
        <v>1</v>
      </c>
      <c r="F886" s="244"/>
      <c r="G886" s="269"/>
      <c r="H886" s="269"/>
      <c r="I886" s="269"/>
      <c r="J886" s="270"/>
      <c r="K886" s="271"/>
      <c r="L886" s="272"/>
      <c r="M886" s="272"/>
      <c r="N886" s="278"/>
      <c r="O886" s="270"/>
      <c r="P886" s="275"/>
      <c r="Q886" s="271"/>
    </row>
    <row r="887" spans="1:17" ht="13.5" customHeight="1" x14ac:dyDescent="0.2">
      <c r="A887" s="233">
        <f t="shared" ca="1" si="113"/>
        <v>0</v>
      </c>
      <c r="B887" s="233">
        <f t="shared" ca="1" si="114"/>
        <v>21</v>
      </c>
      <c r="C887" s="233">
        <f t="shared" ca="1" si="115"/>
        <v>1</v>
      </c>
      <c r="D887" s="234">
        <f t="shared" ca="1" si="116"/>
        <v>1</v>
      </c>
      <c r="E887" s="234">
        <f t="shared" ca="1" si="111"/>
        <v>1</v>
      </c>
      <c r="F887" s="244"/>
      <c r="G887" s="269"/>
      <c r="H887" s="269"/>
      <c r="I887" s="269"/>
      <c r="J887" s="270"/>
      <c r="K887" s="271"/>
      <c r="L887" s="272"/>
      <c r="M887" s="272"/>
      <c r="N887" s="278"/>
      <c r="O887" s="270"/>
      <c r="P887" s="275"/>
      <c r="Q887" s="271"/>
    </row>
    <row r="888" spans="1:17" ht="13.5" customHeight="1" x14ac:dyDescent="0.2">
      <c r="A888" s="233">
        <f t="shared" ca="1" si="113"/>
        <v>0</v>
      </c>
      <c r="B888" s="233">
        <f t="shared" ca="1" si="114"/>
        <v>21</v>
      </c>
      <c r="C888" s="233">
        <f t="shared" ca="1" si="115"/>
        <v>1</v>
      </c>
      <c r="D888" s="234">
        <f t="shared" ca="1" si="116"/>
        <v>1</v>
      </c>
      <c r="E888" s="234">
        <f t="shared" ca="1" si="111"/>
        <v>1</v>
      </c>
      <c r="F888" s="244"/>
      <c r="G888" s="269"/>
      <c r="H888" s="269"/>
      <c r="I888" s="269"/>
      <c r="J888" s="270"/>
      <c r="K888" s="271"/>
      <c r="L888" s="272"/>
      <c r="M888" s="272"/>
      <c r="N888" s="278"/>
      <c r="O888" s="270"/>
      <c r="P888" s="275"/>
      <c r="Q888" s="271"/>
    </row>
    <row r="889" spans="1:17" ht="13.5" customHeight="1" x14ac:dyDescent="0.2">
      <c r="A889" s="233">
        <f t="shared" ca="1" si="113"/>
        <v>0</v>
      </c>
      <c r="B889" s="233">
        <f t="shared" ca="1" si="114"/>
        <v>21</v>
      </c>
      <c r="C889" s="233">
        <f t="shared" ca="1" si="115"/>
        <v>1</v>
      </c>
      <c r="D889" s="234">
        <f t="shared" ca="1" si="116"/>
        <v>1</v>
      </c>
      <c r="E889" s="234">
        <f t="shared" ca="1" si="111"/>
        <v>1</v>
      </c>
      <c r="F889" s="244"/>
      <c r="G889" s="269"/>
      <c r="H889" s="269"/>
      <c r="I889" s="269"/>
      <c r="J889" s="270"/>
      <c r="K889" s="271"/>
      <c r="L889" s="272"/>
      <c r="M889" s="272"/>
      <c r="N889" s="278"/>
      <c r="O889" s="270"/>
      <c r="P889" s="275"/>
      <c r="Q889" s="271"/>
    </row>
    <row r="890" spans="1:17" ht="13.5" customHeight="1" x14ac:dyDescent="0.2">
      <c r="A890" s="233">
        <f t="shared" ca="1" si="113"/>
        <v>0</v>
      </c>
      <c r="B890" s="233">
        <f t="shared" ca="1" si="114"/>
        <v>21</v>
      </c>
      <c r="C890" s="233">
        <f t="shared" ca="1" si="115"/>
        <v>1</v>
      </c>
      <c r="D890" s="234">
        <f t="shared" ca="1" si="116"/>
        <v>1</v>
      </c>
      <c r="E890" s="234">
        <f t="shared" ca="1" si="111"/>
        <v>1</v>
      </c>
      <c r="F890" s="244"/>
      <c r="G890" s="269"/>
      <c r="H890" s="269"/>
      <c r="I890" s="269"/>
      <c r="J890" s="270"/>
      <c r="K890" s="271"/>
      <c r="L890" s="272"/>
      <c r="M890" s="272"/>
      <c r="N890" s="278"/>
      <c r="O890" s="270"/>
      <c r="P890" s="275"/>
      <c r="Q890" s="271"/>
    </row>
    <row r="891" spans="1:17" ht="13.5" customHeight="1" x14ac:dyDescent="0.2">
      <c r="A891" s="233">
        <f t="shared" ca="1" si="113"/>
        <v>0</v>
      </c>
      <c r="B891" s="233">
        <f t="shared" ca="1" si="114"/>
        <v>21</v>
      </c>
      <c r="C891" s="233">
        <f t="shared" ca="1" si="115"/>
        <v>1</v>
      </c>
      <c r="D891" s="234">
        <f t="shared" ca="1" si="116"/>
        <v>1</v>
      </c>
      <c r="E891" s="234">
        <f t="shared" ca="1" si="111"/>
        <v>1</v>
      </c>
      <c r="F891" s="244"/>
      <c r="G891" s="269"/>
      <c r="H891" s="269"/>
      <c r="I891" s="269"/>
      <c r="J891" s="270"/>
      <c r="K891" s="271"/>
      <c r="L891" s="272"/>
      <c r="M891" s="272"/>
      <c r="N891" s="278"/>
      <c r="O891" s="270"/>
      <c r="P891" s="275"/>
      <c r="Q891" s="271"/>
    </row>
    <row r="892" spans="1:17" ht="13.5" customHeight="1" x14ac:dyDescent="0.2">
      <c r="A892" s="233">
        <f t="shared" ca="1" si="113"/>
        <v>0</v>
      </c>
      <c r="B892" s="233">
        <f t="shared" ca="1" si="114"/>
        <v>21</v>
      </c>
      <c r="C892" s="233">
        <f t="shared" ca="1" si="115"/>
        <v>1</v>
      </c>
      <c r="D892" s="234">
        <f t="shared" ca="1" si="116"/>
        <v>1</v>
      </c>
      <c r="E892" s="234">
        <f t="shared" ca="1" si="111"/>
        <v>1</v>
      </c>
      <c r="F892" s="244"/>
      <c r="G892" s="269"/>
      <c r="H892" s="269"/>
      <c r="I892" s="269"/>
      <c r="J892" s="270"/>
      <c r="K892" s="271"/>
      <c r="L892" s="272"/>
      <c r="M892" s="272"/>
      <c r="N892" s="278"/>
      <c r="O892" s="270"/>
      <c r="P892" s="275"/>
      <c r="Q892" s="271"/>
    </row>
    <row r="893" spans="1:17" ht="13.5" customHeight="1" x14ac:dyDescent="0.2">
      <c r="A893" s="233">
        <f t="shared" ca="1" si="113"/>
        <v>0</v>
      </c>
      <c r="B893" s="233">
        <f t="shared" ca="1" si="114"/>
        <v>21</v>
      </c>
      <c r="C893" s="233">
        <f t="shared" ca="1" si="115"/>
        <v>1</v>
      </c>
      <c r="D893" s="234">
        <f t="shared" ca="1" si="116"/>
        <v>1</v>
      </c>
      <c r="E893" s="234">
        <f t="shared" ca="1" si="111"/>
        <v>1</v>
      </c>
      <c r="F893" s="244"/>
      <c r="G893" s="269"/>
      <c r="H893" s="269"/>
      <c r="I893" s="269"/>
      <c r="J893" s="270"/>
      <c r="K893" s="271"/>
      <c r="L893" s="272"/>
      <c r="M893" s="272"/>
      <c r="N893" s="278"/>
      <c r="O893" s="270"/>
      <c r="P893" s="275"/>
      <c r="Q893" s="271"/>
    </row>
    <row r="894" spans="1:17" ht="13.5" customHeight="1" x14ac:dyDescent="0.2">
      <c r="A894" s="233">
        <f t="shared" ca="1" si="113"/>
        <v>0</v>
      </c>
      <c r="B894" s="233">
        <f t="shared" ca="1" si="114"/>
        <v>21</v>
      </c>
      <c r="C894" s="233">
        <f t="shared" ca="1" si="115"/>
        <v>1</v>
      </c>
      <c r="D894" s="234">
        <f t="shared" ca="1" si="116"/>
        <v>1</v>
      </c>
      <c r="E894" s="234">
        <f t="shared" ca="1" si="111"/>
        <v>1</v>
      </c>
      <c r="F894" s="244"/>
      <c r="G894" s="269"/>
      <c r="H894" s="269"/>
      <c r="I894" s="269"/>
      <c r="J894" s="270"/>
      <c r="K894" s="271"/>
      <c r="L894" s="272"/>
      <c r="M894" s="272"/>
      <c r="N894" s="278"/>
      <c r="O894" s="270"/>
      <c r="P894" s="275"/>
      <c r="Q894" s="271"/>
    </row>
    <row r="895" spans="1:17" ht="13.5" customHeight="1" x14ac:dyDescent="0.2">
      <c r="A895" s="233">
        <f t="shared" ca="1" si="113"/>
        <v>0</v>
      </c>
      <c r="B895" s="233">
        <f t="shared" ca="1" si="114"/>
        <v>21</v>
      </c>
      <c r="C895" s="233">
        <f t="shared" ca="1" si="115"/>
        <v>1</v>
      </c>
      <c r="D895" s="234">
        <f t="shared" ca="1" si="116"/>
        <v>1</v>
      </c>
      <c r="E895" s="234">
        <f t="shared" ca="1" si="111"/>
        <v>1</v>
      </c>
      <c r="F895" s="244"/>
      <c r="G895" s="269"/>
      <c r="H895" s="269"/>
      <c r="I895" s="269"/>
      <c r="J895" s="270"/>
      <c r="K895" s="271"/>
      <c r="L895" s="272"/>
      <c r="M895" s="272"/>
      <c r="N895" s="278"/>
      <c r="O895" s="270"/>
      <c r="P895" s="275"/>
      <c r="Q895" s="271"/>
    </row>
    <row r="896" spans="1:17" ht="13.5" customHeight="1" x14ac:dyDescent="0.2">
      <c r="A896" s="233">
        <f t="shared" ca="1" si="113"/>
        <v>0</v>
      </c>
      <c r="B896" s="233">
        <f t="shared" ca="1" si="114"/>
        <v>21</v>
      </c>
      <c r="C896" s="233">
        <f t="shared" ca="1" si="115"/>
        <v>1</v>
      </c>
      <c r="D896" s="234">
        <f t="shared" ca="1" si="116"/>
        <v>1</v>
      </c>
      <c r="E896" s="234">
        <f t="shared" ca="1" si="111"/>
        <v>1</v>
      </c>
      <c r="F896" s="244"/>
      <c r="G896" s="269"/>
      <c r="H896" s="269"/>
      <c r="I896" s="269"/>
      <c r="J896" s="270"/>
      <c r="K896" s="271"/>
      <c r="L896" s="272"/>
      <c r="M896" s="272"/>
      <c r="N896" s="278"/>
      <c r="O896" s="270"/>
      <c r="P896" s="275"/>
      <c r="Q896" s="271"/>
    </row>
    <row r="897" spans="1:17" ht="13.5" customHeight="1" x14ac:dyDescent="0.2">
      <c r="A897" s="233">
        <f t="shared" ca="1" si="113"/>
        <v>0</v>
      </c>
      <c r="B897" s="233">
        <f t="shared" ca="1" si="114"/>
        <v>21</v>
      </c>
      <c r="C897" s="233">
        <f t="shared" ca="1" si="115"/>
        <v>1</v>
      </c>
      <c r="D897" s="234">
        <f t="shared" ca="1" si="116"/>
        <v>1</v>
      </c>
      <c r="E897" s="234">
        <f t="shared" ca="1" si="111"/>
        <v>1</v>
      </c>
      <c r="F897" s="244"/>
      <c r="G897" s="269"/>
      <c r="H897" s="269"/>
      <c r="I897" s="269"/>
      <c r="J897" s="270"/>
      <c r="K897" s="271"/>
      <c r="L897" s="272"/>
      <c r="M897" s="272"/>
      <c r="N897" s="278"/>
      <c r="O897" s="270"/>
      <c r="P897" s="275"/>
      <c r="Q897" s="271"/>
    </row>
    <row r="898" spans="1:17" ht="13.5" customHeight="1" x14ac:dyDescent="0.2">
      <c r="A898" s="233">
        <f t="shared" ref="A898:A961" ca="1" si="117">IF($H898="UNIDADE CONSTRUTIVA",OFFSET(A898,-1,0)+1,LARGE(A$3:A897,1))</f>
        <v>0</v>
      </c>
      <c r="B898" s="233">
        <f t="shared" ca="1" si="114"/>
        <v>21</v>
      </c>
      <c r="C898" s="233">
        <f t="shared" ca="1" si="115"/>
        <v>1</v>
      </c>
      <c r="D898" s="234">
        <f t="shared" ca="1" si="116"/>
        <v>1</v>
      </c>
      <c r="E898" s="234">
        <f t="shared" ca="1" si="111"/>
        <v>1</v>
      </c>
      <c r="F898" s="244"/>
      <c r="G898" s="269"/>
      <c r="H898" s="269"/>
      <c r="I898" s="269"/>
      <c r="J898" s="270"/>
      <c r="K898" s="271"/>
      <c r="L898" s="272"/>
      <c r="M898" s="272"/>
      <c r="N898" s="278"/>
      <c r="O898" s="270"/>
      <c r="P898" s="275"/>
      <c r="Q898" s="271"/>
    </row>
    <row r="899" spans="1:17" ht="13.5" customHeight="1" x14ac:dyDescent="0.2">
      <c r="A899" s="233">
        <f t="shared" ca="1" si="117"/>
        <v>0</v>
      </c>
      <c r="B899" s="233">
        <f t="shared" ref="B899:B962" ca="1" si="118">IF(H899="UNIDADE CONSTRUTIVA",0,IF(H899="CÉLULA CONSTRUTIVA",OFFSET(B899,-1,0)+1,OFFSET(B899,-1,0)))</f>
        <v>21</v>
      </c>
      <c r="C899" s="233">
        <f t="shared" ref="C899:C962" ca="1" si="119">IF(H899="CÉLULA CONSTRUTIVA",0,IF(H899="ETAPA",OFFSET(C899,-1,0)+1,OFFSET(C899,-1,0)))</f>
        <v>1</v>
      </c>
      <c r="D899" s="234">
        <f t="shared" ca="1" si="116"/>
        <v>1</v>
      </c>
      <c r="E899" s="234">
        <f t="shared" ca="1" si="111"/>
        <v>1</v>
      </c>
      <c r="F899" s="244"/>
      <c r="G899" s="269"/>
      <c r="H899" s="269"/>
      <c r="I899" s="269"/>
      <c r="J899" s="270"/>
      <c r="K899" s="271"/>
      <c r="L899" s="272"/>
      <c r="M899" s="272"/>
      <c r="N899" s="278"/>
      <c r="O899" s="270"/>
      <c r="P899" s="275"/>
      <c r="Q899" s="271"/>
    </row>
    <row r="900" spans="1:17" ht="13.5" customHeight="1" x14ac:dyDescent="0.2">
      <c r="A900" s="233">
        <f t="shared" ca="1" si="117"/>
        <v>0</v>
      </c>
      <c r="B900" s="233">
        <f t="shared" ca="1" si="118"/>
        <v>21</v>
      </c>
      <c r="C900" s="233">
        <f t="shared" ca="1" si="119"/>
        <v>1</v>
      </c>
      <c r="D900" s="234">
        <f t="shared" ca="1" si="116"/>
        <v>1</v>
      </c>
      <c r="E900" s="234">
        <f t="shared" ca="1" si="111"/>
        <v>1</v>
      </c>
      <c r="F900" s="244"/>
      <c r="G900" s="269"/>
      <c r="H900" s="269"/>
      <c r="I900" s="269"/>
      <c r="J900" s="270"/>
      <c r="K900" s="271"/>
      <c r="L900" s="272"/>
      <c r="M900" s="272"/>
      <c r="N900" s="278"/>
      <c r="O900" s="270"/>
      <c r="P900" s="275"/>
      <c r="Q900" s="271"/>
    </row>
    <row r="901" spans="1:17" ht="13.5" customHeight="1" x14ac:dyDescent="0.2">
      <c r="A901" s="233">
        <f t="shared" ca="1" si="117"/>
        <v>0</v>
      </c>
      <c r="B901" s="233">
        <f t="shared" ca="1" si="118"/>
        <v>21</v>
      </c>
      <c r="C901" s="233">
        <f t="shared" ca="1" si="119"/>
        <v>1</v>
      </c>
      <c r="D901" s="234">
        <f t="shared" ca="1" si="116"/>
        <v>1</v>
      </c>
      <c r="E901" s="234">
        <f t="shared" ca="1" si="111"/>
        <v>1</v>
      </c>
      <c r="F901" s="244"/>
      <c r="G901" s="269"/>
      <c r="H901" s="269"/>
      <c r="I901" s="269"/>
      <c r="J901" s="270"/>
      <c r="K901" s="271"/>
      <c r="L901" s="272"/>
      <c r="M901" s="272"/>
      <c r="N901" s="278"/>
      <c r="O901" s="270"/>
      <c r="P901" s="275"/>
      <c r="Q901" s="271"/>
    </row>
    <row r="902" spans="1:17" ht="13.5" customHeight="1" x14ac:dyDescent="0.2">
      <c r="A902" s="233">
        <f t="shared" ca="1" si="117"/>
        <v>0</v>
      </c>
      <c r="B902" s="233">
        <f t="shared" ca="1" si="118"/>
        <v>21</v>
      </c>
      <c r="C902" s="233">
        <f t="shared" ca="1" si="119"/>
        <v>1</v>
      </c>
      <c r="D902" s="234">
        <f t="shared" ca="1" si="116"/>
        <v>1</v>
      </c>
      <c r="E902" s="234">
        <f t="shared" ca="1" si="111"/>
        <v>1</v>
      </c>
      <c r="F902" s="244"/>
      <c r="G902" s="269"/>
      <c r="H902" s="269"/>
      <c r="I902" s="269"/>
      <c r="J902" s="270"/>
      <c r="K902" s="271"/>
      <c r="L902" s="272"/>
      <c r="M902" s="272"/>
      <c r="N902" s="278"/>
      <c r="O902" s="270"/>
      <c r="P902" s="275"/>
      <c r="Q902" s="271"/>
    </row>
    <row r="903" spans="1:17" ht="13.5" customHeight="1" x14ac:dyDescent="0.2">
      <c r="A903" s="233">
        <f t="shared" ca="1" si="117"/>
        <v>0</v>
      </c>
      <c r="B903" s="233">
        <f t="shared" ca="1" si="118"/>
        <v>21</v>
      </c>
      <c r="C903" s="233">
        <f t="shared" ca="1" si="119"/>
        <v>1</v>
      </c>
      <c r="D903" s="234">
        <f t="shared" ca="1" si="116"/>
        <v>1</v>
      </c>
      <c r="E903" s="234">
        <f t="shared" ca="1" si="111"/>
        <v>1</v>
      </c>
      <c r="F903" s="244"/>
      <c r="G903" s="269"/>
      <c r="H903" s="269"/>
      <c r="I903" s="269"/>
      <c r="J903" s="270"/>
      <c r="K903" s="271"/>
      <c r="L903" s="272"/>
      <c r="M903" s="272"/>
      <c r="N903" s="278"/>
      <c r="O903" s="270"/>
      <c r="P903" s="275"/>
      <c r="Q903" s="271"/>
    </row>
    <row r="904" spans="1:17" ht="13.5" customHeight="1" x14ac:dyDescent="0.2">
      <c r="A904" s="233">
        <f t="shared" ca="1" si="117"/>
        <v>0</v>
      </c>
      <c r="B904" s="233">
        <f t="shared" ca="1" si="118"/>
        <v>21</v>
      </c>
      <c r="C904" s="233">
        <f t="shared" ca="1" si="119"/>
        <v>1</v>
      </c>
      <c r="D904" s="234">
        <f t="shared" ca="1" si="116"/>
        <v>1</v>
      </c>
      <c r="E904" s="234">
        <f t="shared" ca="1" si="111"/>
        <v>1</v>
      </c>
      <c r="F904" s="244"/>
      <c r="G904" s="269"/>
      <c r="H904" s="269"/>
      <c r="I904" s="269"/>
      <c r="J904" s="270"/>
      <c r="K904" s="271"/>
      <c r="L904" s="272"/>
      <c r="M904" s="272"/>
      <c r="N904" s="278"/>
      <c r="O904" s="270"/>
      <c r="P904" s="275"/>
      <c r="Q904" s="271"/>
    </row>
    <row r="905" spans="1:17" ht="13.5" customHeight="1" x14ac:dyDescent="0.2">
      <c r="A905" s="233">
        <f t="shared" ca="1" si="117"/>
        <v>0</v>
      </c>
      <c r="B905" s="233">
        <f t="shared" ca="1" si="118"/>
        <v>21</v>
      </c>
      <c r="C905" s="233">
        <f t="shared" ca="1" si="119"/>
        <v>1</v>
      </c>
      <c r="D905" s="234">
        <f t="shared" ca="1" si="116"/>
        <v>1</v>
      </c>
      <c r="E905" s="234">
        <f t="shared" ca="1" si="111"/>
        <v>1</v>
      </c>
      <c r="F905" s="244"/>
      <c r="G905" s="269"/>
      <c r="H905" s="269"/>
      <c r="I905" s="269"/>
      <c r="J905" s="270"/>
      <c r="K905" s="271"/>
      <c r="L905" s="272"/>
      <c r="M905" s="272"/>
      <c r="N905" s="278"/>
      <c r="O905" s="270"/>
      <c r="P905" s="275"/>
      <c r="Q905" s="271"/>
    </row>
    <row r="906" spans="1:17" ht="13.5" customHeight="1" x14ac:dyDescent="0.2">
      <c r="A906" s="233">
        <f t="shared" ca="1" si="117"/>
        <v>0</v>
      </c>
      <c r="B906" s="233">
        <f t="shared" ca="1" si="118"/>
        <v>21</v>
      </c>
      <c r="C906" s="233">
        <f t="shared" ca="1" si="119"/>
        <v>1</v>
      </c>
      <c r="D906" s="234">
        <f t="shared" ca="1" si="116"/>
        <v>1</v>
      </c>
      <c r="E906" s="234">
        <f t="shared" ca="1" si="111"/>
        <v>1</v>
      </c>
      <c r="F906" s="244"/>
      <c r="G906" s="269"/>
      <c r="H906" s="269"/>
      <c r="I906" s="269"/>
      <c r="J906" s="270"/>
      <c r="K906" s="271"/>
      <c r="L906" s="272"/>
      <c r="M906" s="272"/>
      <c r="N906" s="278"/>
      <c r="O906" s="270"/>
      <c r="P906" s="275"/>
      <c r="Q906" s="271"/>
    </row>
    <row r="907" spans="1:17" ht="13.5" customHeight="1" x14ac:dyDescent="0.2">
      <c r="A907" s="233">
        <f t="shared" ca="1" si="117"/>
        <v>0</v>
      </c>
      <c r="B907" s="233">
        <f t="shared" ca="1" si="118"/>
        <v>21</v>
      </c>
      <c r="C907" s="233">
        <f t="shared" ca="1" si="119"/>
        <v>1</v>
      </c>
      <c r="D907" s="234">
        <f t="shared" ca="1" si="116"/>
        <v>1</v>
      </c>
      <c r="E907" s="234">
        <f t="shared" ca="1" si="111"/>
        <v>1</v>
      </c>
      <c r="F907" s="244"/>
      <c r="G907" s="269"/>
      <c r="H907" s="269"/>
      <c r="I907" s="269"/>
      <c r="J907" s="270"/>
      <c r="K907" s="271"/>
      <c r="L907" s="272"/>
      <c r="M907" s="272"/>
      <c r="N907" s="278"/>
      <c r="O907" s="270"/>
      <c r="P907" s="275"/>
      <c r="Q907" s="271"/>
    </row>
    <row r="908" spans="1:17" ht="13.5" customHeight="1" x14ac:dyDescent="0.2">
      <c r="A908" s="233">
        <f t="shared" ca="1" si="117"/>
        <v>0</v>
      </c>
      <c r="B908" s="233">
        <f t="shared" ca="1" si="118"/>
        <v>21</v>
      </c>
      <c r="C908" s="233">
        <f t="shared" ca="1" si="119"/>
        <v>1</v>
      </c>
      <c r="D908" s="234">
        <f t="shared" ca="1" si="116"/>
        <v>1</v>
      </c>
      <c r="E908" s="234">
        <f t="shared" ca="1" si="111"/>
        <v>1</v>
      </c>
      <c r="F908" s="244"/>
      <c r="G908" s="269"/>
      <c r="H908" s="269"/>
      <c r="I908" s="269"/>
      <c r="J908" s="270"/>
      <c r="K908" s="271"/>
      <c r="L908" s="272"/>
      <c r="M908" s="272"/>
      <c r="N908" s="278"/>
      <c r="O908" s="270"/>
      <c r="P908" s="275"/>
      <c r="Q908" s="271"/>
    </row>
    <row r="909" spans="1:17" ht="13.5" customHeight="1" x14ac:dyDescent="0.2">
      <c r="A909" s="233">
        <f t="shared" ca="1" si="117"/>
        <v>0</v>
      </c>
      <c r="B909" s="233">
        <f t="shared" ca="1" si="118"/>
        <v>21</v>
      </c>
      <c r="C909" s="233">
        <f t="shared" ca="1" si="119"/>
        <v>1</v>
      </c>
      <c r="D909" s="234">
        <f t="shared" ca="1" si="116"/>
        <v>1</v>
      </c>
      <c r="E909" s="234">
        <f t="shared" ca="1" si="111"/>
        <v>1</v>
      </c>
      <c r="F909" s="244"/>
      <c r="G909" s="269"/>
      <c r="H909" s="269"/>
      <c r="I909" s="269"/>
      <c r="J909" s="270"/>
      <c r="K909" s="271"/>
      <c r="L909" s="272"/>
      <c r="M909" s="272"/>
      <c r="N909" s="278"/>
      <c r="O909" s="270"/>
      <c r="P909" s="275"/>
      <c r="Q909" s="271"/>
    </row>
    <row r="910" spans="1:17" ht="13.5" customHeight="1" x14ac:dyDescent="0.2">
      <c r="A910" s="233">
        <f t="shared" ca="1" si="117"/>
        <v>0</v>
      </c>
      <c r="B910" s="233">
        <f t="shared" ca="1" si="118"/>
        <v>21</v>
      </c>
      <c r="C910" s="233">
        <f t="shared" ca="1" si="119"/>
        <v>1</v>
      </c>
      <c r="D910" s="234">
        <f t="shared" ca="1" si="116"/>
        <v>1</v>
      </c>
      <c r="E910" s="234">
        <f t="shared" ca="1" si="111"/>
        <v>1</v>
      </c>
      <c r="F910" s="244"/>
      <c r="G910" s="269"/>
      <c r="H910" s="269"/>
      <c r="I910" s="269"/>
      <c r="J910" s="270"/>
      <c r="K910" s="271"/>
      <c r="L910" s="272"/>
      <c r="M910" s="272"/>
      <c r="N910" s="278"/>
      <c r="O910" s="270"/>
      <c r="P910" s="275"/>
      <c r="Q910" s="271"/>
    </row>
    <row r="911" spans="1:17" ht="13.5" customHeight="1" x14ac:dyDescent="0.2">
      <c r="A911" s="233">
        <f t="shared" ca="1" si="117"/>
        <v>0</v>
      </c>
      <c r="B911" s="233">
        <f t="shared" ca="1" si="118"/>
        <v>21</v>
      </c>
      <c r="C911" s="233">
        <f t="shared" ca="1" si="119"/>
        <v>1</v>
      </c>
      <c r="D911" s="234">
        <f t="shared" ca="1" si="116"/>
        <v>1</v>
      </c>
      <c r="E911" s="234">
        <f t="shared" ca="1" si="111"/>
        <v>1</v>
      </c>
      <c r="F911" s="244"/>
      <c r="G911" s="269"/>
      <c r="H911" s="269"/>
      <c r="I911" s="269"/>
      <c r="J911" s="270"/>
      <c r="K911" s="271"/>
      <c r="L911" s="272"/>
      <c r="M911" s="272"/>
      <c r="N911" s="278"/>
      <c r="O911" s="270"/>
      <c r="P911" s="275"/>
      <c r="Q911" s="271"/>
    </row>
    <row r="912" spans="1:17" ht="13.5" customHeight="1" x14ac:dyDescent="0.2">
      <c r="A912" s="233">
        <f t="shared" ca="1" si="117"/>
        <v>0</v>
      </c>
      <c r="B912" s="233">
        <f t="shared" ca="1" si="118"/>
        <v>21</v>
      </c>
      <c r="C912" s="233">
        <f t="shared" ca="1" si="119"/>
        <v>1</v>
      </c>
      <c r="D912" s="234">
        <f t="shared" ca="1" si="116"/>
        <v>1</v>
      </c>
      <c r="E912" s="234">
        <f t="shared" ca="1" si="111"/>
        <v>1</v>
      </c>
      <c r="F912" s="244"/>
      <c r="G912" s="269"/>
      <c r="H912" s="269"/>
      <c r="I912" s="269"/>
      <c r="J912" s="270"/>
      <c r="K912" s="271"/>
      <c r="L912" s="272"/>
      <c r="M912" s="272"/>
      <c r="N912" s="278"/>
      <c r="O912" s="270"/>
      <c r="P912" s="275"/>
      <c r="Q912" s="271"/>
    </row>
    <row r="913" spans="1:17" ht="13.5" customHeight="1" x14ac:dyDescent="0.2">
      <c r="A913" s="233">
        <f t="shared" ca="1" si="117"/>
        <v>0</v>
      </c>
      <c r="B913" s="233">
        <f t="shared" ca="1" si="118"/>
        <v>21</v>
      </c>
      <c r="C913" s="233">
        <f t="shared" ca="1" si="119"/>
        <v>1</v>
      </c>
      <c r="D913" s="234">
        <f t="shared" ref="D913:D976" ca="1" si="120">IF(H913="ETAPA",0,IF(H913="SUBETAPA",OFFSET(D913,-1,0)+1,OFFSET(D913,-1,0)))</f>
        <v>1</v>
      </c>
      <c r="E913" s="234">
        <f t="shared" ca="1" si="111"/>
        <v>1</v>
      </c>
      <c r="F913" s="244"/>
      <c r="G913" s="269"/>
      <c r="H913" s="269"/>
      <c r="I913" s="269"/>
      <c r="J913" s="270"/>
      <c r="K913" s="271"/>
      <c r="L913" s="272"/>
      <c r="M913" s="272"/>
      <c r="N913" s="278"/>
      <c r="O913" s="270"/>
      <c r="P913" s="275"/>
      <c r="Q913" s="271"/>
    </row>
    <row r="914" spans="1:17" ht="13.5" customHeight="1" x14ac:dyDescent="0.2">
      <c r="A914" s="233">
        <f t="shared" ca="1" si="117"/>
        <v>0</v>
      </c>
      <c r="B914" s="233">
        <f t="shared" ca="1" si="118"/>
        <v>21</v>
      </c>
      <c r="C914" s="233">
        <f t="shared" ca="1" si="119"/>
        <v>1</v>
      </c>
      <c r="D914" s="234">
        <f t="shared" ca="1" si="120"/>
        <v>1</v>
      </c>
      <c r="E914" s="234">
        <f t="shared" ca="1" si="111"/>
        <v>1</v>
      </c>
      <c r="F914" s="244"/>
      <c r="G914" s="269"/>
      <c r="H914" s="269"/>
      <c r="I914" s="269"/>
      <c r="J914" s="270"/>
      <c r="K914" s="271"/>
      <c r="L914" s="272"/>
      <c r="M914" s="272"/>
      <c r="N914" s="278"/>
      <c r="O914" s="270"/>
      <c r="P914" s="275"/>
      <c r="Q914" s="271"/>
    </row>
    <row r="915" spans="1:17" ht="13.5" customHeight="1" x14ac:dyDescent="0.2">
      <c r="A915" s="233">
        <f t="shared" ca="1" si="117"/>
        <v>0</v>
      </c>
      <c r="B915" s="233">
        <f t="shared" ca="1" si="118"/>
        <v>21</v>
      </c>
      <c r="C915" s="233">
        <f t="shared" ca="1" si="119"/>
        <v>1</v>
      </c>
      <c r="D915" s="234">
        <f t="shared" ca="1" si="120"/>
        <v>1</v>
      </c>
      <c r="E915" s="234">
        <f t="shared" ca="1" si="111"/>
        <v>1</v>
      </c>
      <c r="F915" s="244"/>
      <c r="G915" s="269"/>
      <c r="H915" s="269"/>
      <c r="I915" s="269"/>
      <c r="J915" s="270"/>
      <c r="K915" s="271"/>
      <c r="L915" s="272"/>
      <c r="M915" s="272"/>
      <c r="N915" s="278"/>
      <c r="O915" s="270"/>
      <c r="P915" s="275"/>
      <c r="Q915" s="271"/>
    </row>
    <row r="916" spans="1:17" ht="13.5" customHeight="1" x14ac:dyDescent="0.2">
      <c r="A916" s="233">
        <f t="shared" ca="1" si="117"/>
        <v>0</v>
      </c>
      <c r="B916" s="233">
        <f t="shared" ca="1" si="118"/>
        <v>21</v>
      </c>
      <c r="C916" s="233">
        <f t="shared" ca="1" si="119"/>
        <v>1</v>
      </c>
      <c r="D916" s="234">
        <f t="shared" ca="1" si="120"/>
        <v>1</v>
      </c>
      <c r="E916" s="234">
        <f t="shared" ca="1" si="111"/>
        <v>1</v>
      </c>
      <c r="F916" s="244"/>
      <c r="G916" s="269"/>
      <c r="H916" s="269"/>
      <c r="I916" s="269"/>
      <c r="J916" s="270"/>
      <c r="K916" s="271"/>
      <c r="L916" s="272"/>
      <c r="M916" s="272"/>
      <c r="N916" s="278"/>
      <c r="O916" s="270"/>
      <c r="P916" s="275"/>
      <c r="Q916" s="271"/>
    </row>
    <row r="917" spans="1:17" ht="13.5" customHeight="1" x14ac:dyDescent="0.2">
      <c r="A917" s="233">
        <f t="shared" ca="1" si="117"/>
        <v>0</v>
      </c>
      <c r="B917" s="233">
        <f t="shared" ca="1" si="118"/>
        <v>21</v>
      </c>
      <c r="C917" s="233">
        <f t="shared" ca="1" si="119"/>
        <v>1</v>
      </c>
      <c r="D917" s="234">
        <f t="shared" ca="1" si="120"/>
        <v>1</v>
      </c>
      <c r="E917" s="234">
        <f t="shared" ca="1" si="111"/>
        <v>1</v>
      </c>
      <c r="F917" s="244"/>
      <c r="G917" s="269"/>
      <c r="H917" s="269"/>
      <c r="I917" s="269"/>
      <c r="J917" s="270"/>
      <c r="K917" s="271"/>
      <c r="L917" s="272"/>
      <c r="M917" s="272"/>
      <c r="N917" s="278"/>
      <c r="O917" s="270"/>
      <c r="P917" s="275"/>
      <c r="Q917" s="271"/>
    </row>
    <row r="918" spans="1:17" ht="13.5" customHeight="1" x14ac:dyDescent="0.2">
      <c r="A918" s="233">
        <f t="shared" ca="1" si="117"/>
        <v>0</v>
      </c>
      <c r="B918" s="233">
        <f t="shared" ca="1" si="118"/>
        <v>21</v>
      </c>
      <c r="C918" s="233">
        <f t="shared" ca="1" si="119"/>
        <v>1</v>
      </c>
      <c r="D918" s="234">
        <f t="shared" ca="1" si="120"/>
        <v>1</v>
      </c>
      <c r="E918" s="234">
        <f t="shared" ca="1" si="111"/>
        <v>1</v>
      </c>
      <c r="F918" s="244"/>
      <c r="G918" s="269"/>
      <c r="H918" s="269"/>
      <c r="I918" s="269"/>
      <c r="J918" s="270"/>
      <c r="K918" s="271"/>
      <c r="L918" s="272"/>
      <c r="M918" s="272"/>
      <c r="N918" s="278"/>
      <c r="O918" s="270"/>
      <c r="P918" s="275"/>
      <c r="Q918" s="271"/>
    </row>
    <row r="919" spans="1:17" ht="13.5" customHeight="1" x14ac:dyDescent="0.2">
      <c r="A919" s="233">
        <f t="shared" ca="1" si="117"/>
        <v>0</v>
      </c>
      <c r="B919" s="233">
        <f t="shared" ca="1" si="118"/>
        <v>21</v>
      </c>
      <c r="C919" s="233">
        <f t="shared" ca="1" si="119"/>
        <v>1</v>
      </c>
      <c r="D919" s="234">
        <f t="shared" ca="1" si="120"/>
        <v>1</v>
      </c>
      <c r="E919" s="234">
        <f t="shared" ca="1" si="111"/>
        <v>1</v>
      </c>
      <c r="F919" s="244"/>
      <c r="G919" s="269"/>
      <c r="H919" s="269"/>
      <c r="I919" s="269"/>
      <c r="J919" s="270"/>
      <c r="K919" s="271"/>
      <c r="L919" s="272"/>
      <c r="M919" s="272"/>
      <c r="N919" s="278"/>
      <c r="O919" s="270"/>
      <c r="P919" s="275"/>
      <c r="Q919" s="271"/>
    </row>
    <row r="920" spans="1:17" ht="13.5" customHeight="1" x14ac:dyDescent="0.2">
      <c r="A920" s="233">
        <f t="shared" ca="1" si="117"/>
        <v>0</v>
      </c>
      <c r="B920" s="233">
        <f t="shared" ca="1" si="118"/>
        <v>21</v>
      </c>
      <c r="C920" s="233">
        <f t="shared" ca="1" si="119"/>
        <v>1</v>
      </c>
      <c r="D920" s="234">
        <f t="shared" ca="1" si="120"/>
        <v>1</v>
      </c>
      <c r="E920" s="234">
        <f t="shared" ca="1" si="111"/>
        <v>1</v>
      </c>
      <c r="F920" s="244"/>
      <c r="G920" s="269"/>
      <c r="H920" s="269"/>
      <c r="I920" s="269"/>
      <c r="J920" s="270"/>
      <c r="K920" s="271"/>
      <c r="L920" s="272"/>
      <c r="M920" s="272"/>
      <c r="N920" s="278"/>
      <c r="O920" s="270"/>
      <c r="P920" s="275"/>
      <c r="Q920" s="271"/>
    </row>
    <row r="921" spans="1:17" ht="13.5" customHeight="1" x14ac:dyDescent="0.2">
      <c r="A921" s="233">
        <f t="shared" ca="1" si="117"/>
        <v>0</v>
      </c>
      <c r="B921" s="233">
        <f t="shared" ca="1" si="118"/>
        <v>21</v>
      </c>
      <c r="C921" s="233">
        <f t="shared" ca="1" si="119"/>
        <v>1</v>
      </c>
      <c r="D921" s="234">
        <f t="shared" ca="1" si="120"/>
        <v>1</v>
      </c>
      <c r="E921" s="234">
        <f t="shared" ca="1" si="111"/>
        <v>1</v>
      </c>
      <c r="F921" s="244"/>
      <c r="G921" s="269"/>
      <c r="H921" s="269"/>
      <c r="I921" s="269"/>
      <c r="J921" s="270"/>
      <c r="K921" s="271"/>
      <c r="L921" s="272"/>
      <c r="M921" s="272"/>
      <c r="N921" s="278"/>
      <c r="O921" s="270"/>
      <c r="P921" s="275"/>
      <c r="Q921" s="271"/>
    </row>
    <row r="922" spans="1:17" ht="13.5" customHeight="1" x14ac:dyDescent="0.2">
      <c r="A922" s="233">
        <f t="shared" ca="1" si="117"/>
        <v>0</v>
      </c>
      <c r="B922" s="233">
        <f t="shared" ca="1" si="118"/>
        <v>21</v>
      </c>
      <c r="C922" s="233">
        <f t="shared" ca="1" si="119"/>
        <v>1</v>
      </c>
      <c r="D922" s="234">
        <f t="shared" ca="1" si="120"/>
        <v>1</v>
      </c>
      <c r="E922" s="234">
        <f t="shared" ca="1" si="111"/>
        <v>1</v>
      </c>
      <c r="F922" s="244"/>
      <c r="G922" s="269"/>
      <c r="H922" s="269"/>
      <c r="I922" s="269"/>
      <c r="J922" s="270"/>
      <c r="K922" s="271"/>
      <c r="L922" s="272"/>
      <c r="M922" s="272"/>
      <c r="N922" s="278"/>
      <c r="O922" s="270"/>
      <c r="P922" s="275"/>
      <c r="Q922" s="271"/>
    </row>
    <row r="923" spans="1:17" ht="13.5" customHeight="1" x14ac:dyDescent="0.2">
      <c r="A923" s="233">
        <f t="shared" ca="1" si="117"/>
        <v>0</v>
      </c>
      <c r="B923" s="233">
        <f t="shared" ca="1" si="118"/>
        <v>21</v>
      </c>
      <c r="C923" s="233">
        <f t="shared" ca="1" si="119"/>
        <v>1</v>
      </c>
      <c r="D923" s="234">
        <f t="shared" ca="1" si="120"/>
        <v>1</v>
      </c>
      <c r="E923" s="234">
        <f t="shared" ca="1" si="111"/>
        <v>1</v>
      </c>
      <c r="F923" s="244"/>
      <c r="G923" s="269"/>
      <c r="H923" s="269"/>
      <c r="I923" s="269"/>
      <c r="J923" s="270"/>
      <c r="K923" s="271"/>
      <c r="L923" s="272"/>
      <c r="M923" s="272"/>
      <c r="N923" s="278"/>
      <c r="O923" s="270"/>
      <c r="P923" s="275"/>
      <c r="Q923" s="271"/>
    </row>
    <row r="924" spans="1:17" ht="13.5" customHeight="1" x14ac:dyDescent="0.2">
      <c r="A924" s="233">
        <f t="shared" ca="1" si="117"/>
        <v>0</v>
      </c>
      <c r="B924" s="233">
        <f t="shared" ca="1" si="118"/>
        <v>21</v>
      </c>
      <c r="C924" s="233">
        <f t="shared" ca="1" si="119"/>
        <v>1</v>
      </c>
      <c r="D924" s="234">
        <f t="shared" ca="1" si="120"/>
        <v>1</v>
      </c>
      <c r="E924" s="234">
        <f t="shared" ca="1" si="111"/>
        <v>1</v>
      </c>
      <c r="F924" s="244"/>
      <c r="G924" s="269"/>
      <c r="H924" s="269"/>
      <c r="I924" s="269"/>
      <c r="J924" s="270"/>
      <c r="K924" s="271"/>
      <c r="L924" s="272"/>
      <c r="M924" s="272"/>
      <c r="N924" s="278"/>
      <c r="O924" s="270"/>
      <c r="P924" s="275"/>
      <c r="Q924" s="271"/>
    </row>
    <row r="925" spans="1:17" ht="13.5" customHeight="1" x14ac:dyDescent="0.2">
      <c r="A925" s="233">
        <f t="shared" ca="1" si="117"/>
        <v>0</v>
      </c>
      <c r="B925" s="233">
        <f t="shared" ca="1" si="118"/>
        <v>21</v>
      </c>
      <c r="C925" s="233">
        <f t="shared" ca="1" si="119"/>
        <v>1</v>
      </c>
      <c r="D925" s="234">
        <f t="shared" ca="1" si="120"/>
        <v>1</v>
      </c>
      <c r="E925" s="234">
        <f t="shared" ca="1" si="111"/>
        <v>1</v>
      </c>
      <c r="F925" s="244"/>
      <c r="G925" s="269"/>
      <c r="H925" s="269"/>
      <c r="I925" s="269"/>
      <c r="J925" s="270"/>
      <c r="K925" s="271"/>
      <c r="L925" s="272"/>
      <c r="M925" s="272"/>
      <c r="N925" s="278"/>
      <c r="O925" s="270"/>
      <c r="P925" s="275"/>
      <c r="Q925" s="271"/>
    </row>
    <row r="926" spans="1:17" ht="13.5" customHeight="1" x14ac:dyDescent="0.2">
      <c r="A926" s="233">
        <f t="shared" ca="1" si="117"/>
        <v>0</v>
      </c>
      <c r="B926" s="233">
        <f t="shared" ca="1" si="118"/>
        <v>21</v>
      </c>
      <c r="C926" s="233">
        <f t="shared" ca="1" si="119"/>
        <v>1</v>
      </c>
      <c r="D926" s="234">
        <f t="shared" ca="1" si="120"/>
        <v>1</v>
      </c>
      <c r="E926" s="234">
        <f t="shared" ca="1" si="111"/>
        <v>1</v>
      </c>
      <c r="F926" s="244"/>
      <c r="G926" s="269"/>
      <c r="H926" s="269"/>
      <c r="I926" s="269"/>
      <c r="J926" s="270"/>
      <c r="K926" s="271"/>
      <c r="L926" s="272"/>
      <c r="M926" s="272"/>
      <c r="N926" s="278"/>
      <c r="O926" s="270"/>
      <c r="P926" s="275"/>
      <c r="Q926" s="271"/>
    </row>
    <row r="927" spans="1:17" ht="13.5" customHeight="1" x14ac:dyDescent="0.2">
      <c r="A927" s="233">
        <f t="shared" ca="1" si="117"/>
        <v>0</v>
      </c>
      <c r="B927" s="233">
        <f t="shared" ca="1" si="118"/>
        <v>21</v>
      </c>
      <c r="C927" s="233">
        <f t="shared" ca="1" si="119"/>
        <v>1</v>
      </c>
      <c r="D927" s="234">
        <f t="shared" ca="1" si="120"/>
        <v>1</v>
      </c>
      <c r="E927" s="234">
        <f t="shared" ca="1" si="111"/>
        <v>1</v>
      </c>
      <c r="F927" s="244"/>
      <c r="G927" s="269"/>
      <c r="H927" s="269"/>
      <c r="I927" s="269"/>
      <c r="J927" s="270"/>
      <c r="K927" s="271"/>
      <c r="L927" s="272"/>
      <c r="M927" s="272"/>
      <c r="N927" s="278"/>
      <c r="O927" s="270"/>
      <c r="P927" s="275"/>
      <c r="Q927" s="271"/>
    </row>
    <row r="928" spans="1:17" ht="13.5" customHeight="1" x14ac:dyDescent="0.2">
      <c r="A928" s="233">
        <f t="shared" ca="1" si="117"/>
        <v>0</v>
      </c>
      <c r="B928" s="233">
        <f t="shared" ca="1" si="118"/>
        <v>21</v>
      </c>
      <c r="C928" s="233">
        <f t="shared" ca="1" si="119"/>
        <v>1</v>
      </c>
      <c r="D928" s="234">
        <f t="shared" ca="1" si="120"/>
        <v>1</v>
      </c>
      <c r="E928" s="234">
        <f t="shared" ca="1" si="111"/>
        <v>1</v>
      </c>
      <c r="F928" s="270"/>
      <c r="G928" s="269"/>
      <c r="H928" s="269"/>
      <c r="I928" s="269"/>
      <c r="J928" s="270"/>
      <c r="K928" s="271"/>
      <c r="L928" s="272"/>
      <c r="M928" s="272"/>
      <c r="N928" s="278"/>
      <c r="O928" s="270"/>
      <c r="P928" s="275"/>
      <c r="Q928" s="271"/>
    </row>
    <row r="929" spans="1:17" ht="13.5" customHeight="1" x14ac:dyDescent="0.2">
      <c r="A929" s="233">
        <f t="shared" ca="1" si="117"/>
        <v>0</v>
      </c>
      <c r="B929" s="233">
        <f t="shared" ca="1" si="118"/>
        <v>21</v>
      </c>
      <c r="C929" s="233">
        <f t="shared" ca="1" si="119"/>
        <v>1</v>
      </c>
      <c r="D929" s="234">
        <f t="shared" ca="1" si="120"/>
        <v>1</v>
      </c>
      <c r="E929" s="234">
        <f t="shared" ca="1" si="111"/>
        <v>1</v>
      </c>
      <c r="F929" s="270"/>
      <c r="G929" s="269"/>
      <c r="H929" s="269"/>
      <c r="I929" s="269"/>
      <c r="J929" s="270"/>
      <c r="K929" s="271"/>
      <c r="L929" s="272"/>
      <c r="M929" s="272"/>
      <c r="N929" s="278"/>
      <c r="O929" s="270"/>
      <c r="P929" s="275"/>
      <c r="Q929" s="271"/>
    </row>
    <row r="930" spans="1:17" ht="13.5" customHeight="1" x14ac:dyDescent="0.2">
      <c r="A930" s="233">
        <f t="shared" ca="1" si="117"/>
        <v>0</v>
      </c>
      <c r="B930" s="233">
        <f t="shared" ca="1" si="118"/>
        <v>21</v>
      </c>
      <c r="C930" s="233">
        <f t="shared" ca="1" si="119"/>
        <v>1</v>
      </c>
      <c r="D930" s="234">
        <f t="shared" ca="1" si="120"/>
        <v>1</v>
      </c>
      <c r="E930" s="234">
        <f t="shared" ca="1" si="111"/>
        <v>1</v>
      </c>
      <c r="F930" s="270"/>
      <c r="G930" s="269"/>
      <c r="H930" s="269"/>
      <c r="I930" s="269"/>
      <c r="J930" s="270"/>
      <c r="K930" s="271"/>
      <c r="L930" s="272"/>
      <c r="M930" s="272"/>
      <c r="N930" s="278"/>
      <c r="O930" s="270"/>
      <c r="P930" s="275"/>
      <c r="Q930" s="271"/>
    </row>
    <row r="931" spans="1:17" ht="13.5" customHeight="1" x14ac:dyDescent="0.2">
      <c r="A931" s="233">
        <f t="shared" ca="1" si="117"/>
        <v>0</v>
      </c>
      <c r="B931" s="233">
        <f t="shared" ca="1" si="118"/>
        <v>21</v>
      </c>
      <c r="C931" s="233">
        <f t="shared" ca="1" si="119"/>
        <v>1</v>
      </c>
      <c r="D931" s="234">
        <f t="shared" ca="1" si="120"/>
        <v>1</v>
      </c>
      <c r="E931" s="234">
        <f t="shared" ca="1" si="111"/>
        <v>1</v>
      </c>
      <c r="F931" s="270"/>
      <c r="G931" s="269"/>
      <c r="H931" s="269"/>
      <c r="I931" s="269"/>
      <c r="J931" s="270"/>
      <c r="K931" s="271"/>
      <c r="L931" s="272"/>
      <c r="M931" s="272"/>
      <c r="N931" s="278"/>
      <c r="O931" s="270"/>
      <c r="P931" s="275"/>
      <c r="Q931" s="271"/>
    </row>
    <row r="932" spans="1:17" ht="13.5" customHeight="1" x14ac:dyDescent="0.2">
      <c r="A932" s="233">
        <f t="shared" ca="1" si="117"/>
        <v>0</v>
      </c>
      <c r="B932" s="233">
        <f t="shared" ca="1" si="118"/>
        <v>21</v>
      </c>
      <c r="C932" s="233">
        <f t="shared" ca="1" si="119"/>
        <v>1</v>
      </c>
      <c r="D932" s="234">
        <f t="shared" ca="1" si="120"/>
        <v>1</v>
      </c>
      <c r="E932" s="234">
        <f t="shared" ca="1" si="111"/>
        <v>1</v>
      </c>
      <c r="F932" s="270"/>
      <c r="G932" s="269"/>
      <c r="H932" s="269"/>
      <c r="I932" s="269"/>
      <c r="J932" s="270"/>
      <c r="K932" s="271"/>
      <c r="L932" s="272"/>
      <c r="M932" s="272"/>
      <c r="N932" s="278"/>
      <c r="O932" s="270"/>
      <c r="P932" s="275"/>
      <c r="Q932" s="271"/>
    </row>
    <row r="933" spans="1:17" ht="13.5" customHeight="1" x14ac:dyDescent="0.2">
      <c r="A933" s="233">
        <f t="shared" ca="1" si="117"/>
        <v>0</v>
      </c>
      <c r="B933" s="233">
        <f t="shared" ca="1" si="118"/>
        <v>21</v>
      </c>
      <c r="C933" s="233">
        <f t="shared" ca="1" si="119"/>
        <v>1</v>
      </c>
      <c r="D933" s="234">
        <f t="shared" ca="1" si="120"/>
        <v>1</v>
      </c>
      <c r="E933" s="234">
        <f t="shared" ca="1" si="111"/>
        <v>1</v>
      </c>
      <c r="F933" s="270"/>
      <c r="G933" s="269"/>
      <c r="H933" s="269"/>
      <c r="I933" s="269"/>
      <c r="J933" s="270"/>
      <c r="K933" s="271"/>
      <c r="L933" s="272"/>
      <c r="M933" s="272"/>
      <c r="N933" s="278"/>
      <c r="O933" s="270"/>
      <c r="P933" s="275"/>
      <c r="Q933" s="271"/>
    </row>
    <row r="934" spans="1:17" ht="13.5" customHeight="1" x14ac:dyDescent="0.2">
      <c r="A934" s="233">
        <f t="shared" ca="1" si="117"/>
        <v>0</v>
      </c>
      <c r="B934" s="233">
        <f t="shared" ca="1" si="118"/>
        <v>21</v>
      </c>
      <c r="C934" s="233">
        <f t="shared" ca="1" si="119"/>
        <v>1</v>
      </c>
      <c r="D934" s="234">
        <f t="shared" ca="1" si="120"/>
        <v>1</v>
      </c>
      <c r="E934" s="234">
        <f t="shared" ca="1" si="111"/>
        <v>1</v>
      </c>
      <c r="F934" s="270"/>
      <c r="G934" s="269"/>
      <c r="H934" s="269"/>
      <c r="I934" s="269"/>
      <c r="J934" s="270"/>
      <c r="K934" s="271"/>
      <c r="L934" s="272"/>
      <c r="M934" s="272"/>
      <c r="N934" s="278"/>
      <c r="O934" s="270"/>
      <c r="P934" s="275"/>
      <c r="Q934" s="271"/>
    </row>
    <row r="935" spans="1:17" ht="13.5" customHeight="1" x14ac:dyDescent="0.2">
      <c r="A935" s="233">
        <f t="shared" ca="1" si="117"/>
        <v>0</v>
      </c>
      <c r="B935" s="233">
        <f t="shared" ca="1" si="118"/>
        <v>21</v>
      </c>
      <c r="C935" s="233">
        <f t="shared" ca="1" si="119"/>
        <v>1</v>
      </c>
      <c r="D935" s="234">
        <f t="shared" ca="1" si="120"/>
        <v>1</v>
      </c>
      <c r="E935" s="234">
        <f t="shared" ca="1" si="111"/>
        <v>1</v>
      </c>
      <c r="F935" s="270"/>
      <c r="G935" s="269"/>
      <c r="H935" s="269"/>
      <c r="I935" s="269"/>
      <c r="J935" s="270"/>
      <c r="K935" s="271"/>
      <c r="L935" s="272"/>
      <c r="M935" s="272"/>
      <c r="N935" s="278"/>
      <c r="O935" s="270"/>
      <c r="P935" s="275"/>
      <c r="Q935" s="271"/>
    </row>
    <row r="936" spans="1:17" ht="13.5" customHeight="1" x14ac:dyDescent="0.2">
      <c r="A936" s="233">
        <f t="shared" ca="1" si="117"/>
        <v>0</v>
      </c>
      <c r="B936" s="233">
        <f t="shared" ca="1" si="118"/>
        <v>21</v>
      </c>
      <c r="C936" s="233">
        <f t="shared" ca="1" si="119"/>
        <v>1</v>
      </c>
      <c r="D936" s="234">
        <f t="shared" ca="1" si="120"/>
        <v>1</v>
      </c>
      <c r="E936" s="234">
        <f t="shared" ca="1" si="111"/>
        <v>1</v>
      </c>
      <c r="F936" s="270"/>
      <c r="G936" s="269"/>
      <c r="H936" s="269"/>
      <c r="I936" s="269"/>
      <c r="J936" s="270"/>
      <c r="K936" s="271"/>
      <c r="L936" s="272"/>
      <c r="M936" s="272"/>
      <c r="N936" s="278"/>
      <c r="O936" s="270"/>
      <c r="P936" s="275"/>
      <c r="Q936" s="271"/>
    </row>
    <row r="937" spans="1:17" ht="13.5" customHeight="1" x14ac:dyDescent="0.2">
      <c r="A937" s="233">
        <f t="shared" ca="1" si="117"/>
        <v>0</v>
      </c>
      <c r="B937" s="233">
        <f t="shared" ca="1" si="118"/>
        <v>21</v>
      </c>
      <c r="C937" s="233">
        <f t="shared" ca="1" si="119"/>
        <v>1</v>
      </c>
      <c r="D937" s="234">
        <f t="shared" ca="1" si="120"/>
        <v>1</v>
      </c>
      <c r="E937" s="234">
        <f t="shared" ca="1" si="111"/>
        <v>1</v>
      </c>
      <c r="F937" s="270"/>
      <c r="G937" s="269"/>
      <c r="H937" s="269"/>
      <c r="I937" s="269"/>
      <c r="J937" s="270"/>
      <c r="K937" s="271"/>
      <c r="L937" s="272"/>
      <c r="M937" s="272"/>
      <c r="N937" s="278"/>
      <c r="O937" s="270"/>
      <c r="P937" s="275"/>
      <c r="Q937" s="271"/>
    </row>
    <row r="938" spans="1:17" ht="13.5" customHeight="1" x14ac:dyDescent="0.2">
      <c r="A938" s="233">
        <f t="shared" ca="1" si="117"/>
        <v>0</v>
      </c>
      <c r="B938" s="233">
        <f t="shared" ca="1" si="118"/>
        <v>21</v>
      </c>
      <c r="C938" s="233">
        <f t="shared" ca="1" si="119"/>
        <v>1</v>
      </c>
      <c r="D938" s="234">
        <f t="shared" ca="1" si="120"/>
        <v>1</v>
      </c>
      <c r="E938" s="234">
        <f t="shared" ca="1" si="111"/>
        <v>1</v>
      </c>
      <c r="F938" s="270"/>
      <c r="G938" s="269"/>
      <c r="H938" s="269"/>
      <c r="I938" s="269"/>
      <c r="J938" s="270"/>
      <c r="K938" s="271"/>
      <c r="L938" s="272"/>
      <c r="M938" s="272"/>
      <c r="N938" s="278"/>
      <c r="O938" s="270"/>
      <c r="P938" s="275"/>
      <c r="Q938" s="271"/>
    </row>
    <row r="939" spans="1:17" ht="13.5" customHeight="1" x14ac:dyDescent="0.2">
      <c r="A939" s="233">
        <f t="shared" ca="1" si="117"/>
        <v>0</v>
      </c>
      <c r="B939" s="233">
        <f t="shared" ca="1" si="118"/>
        <v>21</v>
      </c>
      <c r="C939" s="233">
        <f t="shared" ca="1" si="119"/>
        <v>1</v>
      </c>
      <c r="D939" s="234">
        <f t="shared" ca="1" si="120"/>
        <v>1</v>
      </c>
      <c r="E939" s="234">
        <f t="shared" ca="1" si="111"/>
        <v>1</v>
      </c>
      <c r="F939" s="270"/>
      <c r="G939" s="269"/>
      <c r="H939" s="269"/>
      <c r="I939" s="269"/>
      <c r="J939" s="270"/>
      <c r="K939" s="271"/>
      <c r="L939" s="272"/>
      <c r="M939" s="272"/>
      <c r="N939" s="278"/>
      <c r="O939" s="270"/>
      <c r="P939" s="275"/>
      <c r="Q939" s="271"/>
    </row>
    <row r="940" spans="1:17" ht="13.5" customHeight="1" x14ac:dyDescent="0.2">
      <c r="A940" s="233">
        <f t="shared" ca="1" si="117"/>
        <v>0</v>
      </c>
      <c r="B940" s="233">
        <f t="shared" ca="1" si="118"/>
        <v>21</v>
      </c>
      <c r="C940" s="233">
        <f t="shared" ca="1" si="119"/>
        <v>1</v>
      </c>
      <c r="D940" s="234">
        <f t="shared" ca="1" si="120"/>
        <v>1</v>
      </c>
      <c r="E940" s="234">
        <f t="shared" ca="1" si="111"/>
        <v>1</v>
      </c>
      <c r="F940" s="270"/>
      <c r="G940" s="269"/>
      <c r="H940" s="269"/>
      <c r="I940" s="269"/>
      <c r="J940" s="270"/>
      <c r="K940" s="271"/>
      <c r="L940" s="272"/>
      <c r="M940" s="272"/>
      <c r="N940" s="278"/>
      <c r="O940" s="270"/>
      <c r="P940" s="275"/>
      <c r="Q940" s="271"/>
    </row>
    <row r="941" spans="1:17" ht="13.5" customHeight="1" x14ac:dyDescent="0.2">
      <c r="A941" s="233">
        <f t="shared" ca="1" si="117"/>
        <v>0</v>
      </c>
      <c r="B941" s="233">
        <f t="shared" ca="1" si="118"/>
        <v>21</v>
      </c>
      <c r="C941" s="233">
        <f t="shared" ca="1" si="119"/>
        <v>1</v>
      </c>
      <c r="D941" s="234">
        <f t="shared" ca="1" si="120"/>
        <v>1</v>
      </c>
      <c r="E941" s="234">
        <f t="shared" ca="1" si="111"/>
        <v>1</v>
      </c>
      <c r="F941" s="270"/>
      <c r="G941" s="269"/>
      <c r="H941" s="269"/>
      <c r="I941" s="269"/>
      <c r="J941" s="270"/>
      <c r="K941" s="271"/>
      <c r="L941" s="272"/>
      <c r="M941" s="272"/>
      <c r="N941" s="278"/>
      <c r="O941" s="270"/>
      <c r="P941" s="275"/>
      <c r="Q941" s="271"/>
    </row>
    <row r="942" spans="1:17" ht="13.5" customHeight="1" x14ac:dyDescent="0.2">
      <c r="A942" s="233">
        <f t="shared" ca="1" si="117"/>
        <v>0</v>
      </c>
      <c r="B942" s="233">
        <f t="shared" ca="1" si="118"/>
        <v>21</v>
      </c>
      <c r="C942" s="233">
        <f t="shared" ca="1" si="119"/>
        <v>1</v>
      </c>
      <c r="D942" s="234">
        <f t="shared" ca="1" si="120"/>
        <v>1</v>
      </c>
      <c r="E942" s="234">
        <f t="shared" ca="1" si="111"/>
        <v>1</v>
      </c>
      <c r="F942" s="270"/>
      <c r="G942" s="269"/>
      <c r="H942" s="269"/>
      <c r="I942" s="269"/>
      <c r="J942" s="270"/>
      <c r="K942" s="271"/>
      <c r="L942" s="272"/>
      <c r="M942" s="272"/>
      <c r="N942" s="278"/>
      <c r="O942" s="270"/>
      <c r="P942" s="275"/>
      <c r="Q942" s="271"/>
    </row>
    <row r="943" spans="1:17" ht="13.5" customHeight="1" x14ac:dyDescent="0.2">
      <c r="A943" s="233">
        <f t="shared" ca="1" si="117"/>
        <v>0</v>
      </c>
      <c r="B943" s="233">
        <f t="shared" ca="1" si="118"/>
        <v>21</v>
      </c>
      <c r="C943" s="233">
        <f t="shared" ca="1" si="119"/>
        <v>1</v>
      </c>
      <c r="D943" s="234">
        <f t="shared" ca="1" si="120"/>
        <v>1</v>
      </c>
      <c r="E943" s="234">
        <f t="shared" ca="1" si="111"/>
        <v>1</v>
      </c>
      <c r="F943" s="270"/>
      <c r="G943" s="269"/>
      <c r="H943" s="269"/>
      <c r="I943" s="269"/>
      <c r="J943" s="270"/>
      <c r="K943" s="271"/>
      <c r="L943" s="272"/>
      <c r="M943" s="272"/>
      <c r="N943" s="278"/>
      <c r="O943" s="270"/>
      <c r="P943" s="275"/>
      <c r="Q943" s="271"/>
    </row>
    <row r="944" spans="1:17" ht="13.5" customHeight="1" x14ac:dyDescent="0.2">
      <c r="A944" s="233">
        <f t="shared" ca="1" si="117"/>
        <v>0</v>
      </c>
      <c r="B944" s="233">
        <f t="shared" ca="1" si="118"/>
        <v>21</v>
      </c>
      <c r="C944" s="233">
        <f t="shared" ca="1" si="119"/>
        <v>1</v>
      </c>
      <c r="D944" s="234">
        <f t="shared" ca="1" si="120"/>
        <v>1</v>
      </c>
      <c r="E944" s="234">
        <f t="shared" ca="1" si="111"/>
        <v>1</v>
      </c>
      <c r="F944" s="270"/>
      <c r="G944" s="269"/>
      <c r="H944" s="269"/>
      <c r="I944" s="269"/>
      <c r="J944" s="270"/>
      <c r="K944" s="271"/>
      <c r="L944" s="272"/>
      <c r="M944" s="272"/>
      <c r="N944" s="278"/>
      <c r="O944" s="270"/>
      <c r="P944" s="275"/>
      <c r="Q944" s="271"/>
    </row>
    <row r="945" spans="1:17" ht="13.5" customHeight="1" x14ac:dyDescent="0.2">
      <c r="A945" s="233">
        <f t="shared" ca="1" si="117"/>
        <v>0</v>
      </c>
      <c r="B945" s="233">
        <f t="shared" ca="1" si="118"/>
        <v>21</v>
      </c>
      <c r="C945" s="233">
        <f t="shared" ca="1" si="119"/>
        <v>1</v>
      </c>
      <c r="D945" s="234">
        <f t="shared" ca="1" si="120"/>
        <v>1</v>
      </c>
      <c r="E945" s="234">
        <f t="shared" ca="1" si="111"/>
        <v>1</v>
      </c>
      <c r="F945" s="270"/>
      <c r="G945" s="269"/>
      <c r="H945" s="269"/>
      <c r="I945" s="269"/>
      <c r="J945" s="270"/>
      <c r="K945" s="271"/>
      <c r="L945" s="272"/>
      <c r="M945" s="272"/>
      <c r="N945" s="278"/>
      <c r="O945" s="270"/>
      <c r="P945" s="275"/>
      <c r="Q945" s="271"/>
    </row>
    <row r="946" spans="1:17" ht="13.5" customHeight="1" x14ac:dyDescent="0.2">
      <c r="A946" s="233">
        <f t="shared" ca="1" si="117"/>
        <v>0</v>
      </c>
      <c r="B946" s="233">
        <f t="shared" ca="1" si="118"/>
        <v>21</v>
      </c>
      <c r="C946" s="233">
        <f t="shared" ca="1" si="119"/>
        <v>1</v>
      </c>
      <c r="D946" s="234">
        <f t="shared" ca="1" si="120"/>
        <v>1</v>
      </c>
      <c r="E946" s="234">
        <f t="shared" ca="1" si="111"/>
        <v>1</v>
      </c>
      <c r="F946" s="270"/>
      <c r="G946" s="269"/>
      <c r="H946" s="269"/>
      <c r="I946" s="269"/>
      <c r="J946" s="270"/>
      <c r="K946" s="271"/>
      <c r="L946" s="272"/>
      <c r="M946" s="272"/>
      <c r="N946" s="278"/>
      <c r="O946" s="270"/>
      <c r="P946" s="275"/>
      <c r="Q946" s="271"/>
    </row>
    <row r="947" spans="1:17" ht="13.5" customHeight="1" x14ac:dyDescent="0.2">
      <c r="A947" s="233">
        <f t="shared" ca="1" si="117"/>
        <v>0</v>
      </c>
      <c r="B947" s="233">
        <f t="shared" ca="1" si="118"/>
        <v>21</v>
      </c>
      <c r="C947" s="233">
        <f t="shared" ca="1" si="119"/>
        <v>1</v>
      </c>
      <c r="D947" s="234">
        <f t="shared" ca="1" si="120"/>
        <v>1</v>
      </c>
      <c r="E947" s="234">
        <f t="shared" ca="1" si="111"/>
        <v>1</v>
      </c>
      <c r="F947" s="270"/>
      <c r="G947" s="269"/>
      <c r="H947" s="269"/>
      <c r="I947" s="269"/>
      <c r="J947" s="270"/>
      <c r="K947" s="271"/>
      <c r="L947" s="272"/>
      <c r="M947" s="272"/>
      <c r="N947" s="278"/>
      <c r="O947" s="270"/>
      <c r="P947" s="275"/>
      <c r="Q947" s="271"/>
    </row>
    <row r="948" spans="1:17" ht="13.5" customHeight="1" x14ac:dyDescent="0.2">
      <c r="A948" s="233">
        <f t="shared" ca="1" si="117"/>
        <v>0</v>
      </c>
      <c r="B948" s="233">
        <f t="shared" ca="1" si="118"/>
        <v>21</v>
      </c>
      <c r="C948" s="233">
        <f t="shared" ca="1" si="119"/>
        <v>1</v>
      </c>
      <c r="D948" s="234">
        <f t="shared" ca="1" si="120"/>
        <v>1</v>
      </c>
      <c r="E948" s="234">
        <f t="shared" ca="1" si="111"/>
        <v>1</v>
      </c>
      <c r="F948" s="270"/>
      <c r="G948" s="269"/>
      <c r="H948" s="269"/>
      <c r="I948" s="269"/>
      <c r="J948" s="270"/>
      <c r="K948" s="271"/>
      <c r="L948" s="272"/>
      <c r="M948" s="272"/>
      <c r="N948" s="278"/>
      <c r="O948" s="270"/>
      <c r="P948" s="275"/>
      <c r="Q948" s="271"/>
    </row>
    <row r="949" spans="1:17" ht="13.5" customHeight="1" x14ac:dyDescent="0.2">
      <c r="A949" s="233">
        <f t="shared" ca="1" si="117"/>
        <v>0</v>
      </c>
      <c r="B949" s="233">
        <f t="shared" ca="1" si="118"/>
        <v>21</v>
      </c>
      <c r="C949" s="233">
        <f t="shared" ca="1" si="119"/>
        <v>1</v>
      </c>
      <c r="D949" s="234">
        <f t="shared" ca="1" si="120"/>
        <v>1</v>
      </c>
      <c r="E949" s="234">
        <f t="shared" ca="1" si="111"/>
        <v>1</v>
      </c>
      <c r="F949" s="270"/>
      <c r="G949" s="269"/>
      <c r="H949" s="269"/>
      <c r="I949" s="269"/>
      <c r="J949" s="270"/>
      <c r="K949" s="271"/>
      <c r="L949" s="272"/>
      <c r="M949" s="272"/>
      <c r="N949" s="278"/>
      <c r="O949" s="270"/>
      <c r="P949" s="275"/>
      <c r="Q949" s="271"/>
    </row>
    <row r="950" spans="1:17" ht="13.5" customHeight="1" x14ac:dyDescent="0.2">
      <c r="A950" s="233">
        <f t="shared" ca="1" si="117"/>
        <v>0</v>
      </c>
      <c r="B950" s="233">
        <f t="shared" ca="1" si="118"/>
        <v>21</v>
      </c>
      <c r="C950" s="233">
        <f t="shared" ca="1" si="119"/>
        <v>1</v>
      </c>
      <c r="D950" s="234">
        <f t="shared" ca="1" si="120"/>
        <v>1</v>
      </c>
      <c r="E950" s="234">
        <f t="shared" ca="1" si="111"/>
        <v>1</v>
      </c>
      <c r="F950" s="270"/>
      <c r="G950" s="269"/>
      <c r="H950" s="269"/>
      <c r="I950" s="269"/>
      <c r="J950" s="270"/>
      <c r="K950" s="271"/>
      <c r="L950" s="272"/>
      <c r="M950" s="272"/>
      <c r="N950" s="278"/>
      <c r="O950" s="270"/>
      <c r="P950" s="275"/>
      <c r="Q950" s="271"/>
    </row>
    <row r="951" spans="1:17" ht="13.5" customHeight="1" x14ac:dyDescent="0.2">
      <c r="A951" s="233">
        <f t="shared" ca="1" si="117"/>
        <v>0</v>
      </c>
      <c r="B951" s="233">
        <f t="shared" ca="1" si="118"/>
        <v>21</v>
      </c>
      <c r="C951" s="233">
        <f t="shared" ca="1" si="119"/>
        <v>1</v>
      </c>
      <c r="D951" s="234">
        <f t="shared" ca="1" si="120"/>
        <v>1</v>
      </c>
      <c r="E951" s="234">
        <f t="shared" ca="1" si="111"/>
        <v>1</v>
      </c>
      <c r="F951" s="270"/>
      <c r="G951" s="269"/>
      <c r="H951" s="269"/>
      <c r="I951" s="269"/>
      <c r="J951" s="270"/>
      <c r="K951" s="271"/>
      <c r="L951" s="272"/>
      <c r="M951" s="272"/>
      <c r="N951" s="278"/>
      <c r="O951" s="270"/>
      <c r="P951" s="275"/>
      <c r="Q951" s="271"/>
    </row>
    <row r="952" spans="1:17" ht="13.5" customHeight="1" x14ac:dyDescent="0.2">
      <c r="A952" s="233">
        <f t="shared" ca="1" si="117"/>
        <v>0</v>
      </c>
      <c r="B952" s="233">
        <f t="shared" ca="1" si="118"/>
        <v>21</v>
      </c>
      <c r="C952" s="233">
        <f t="shared" ca="1" si="119"/>
        <v>1</v>
      </c>
      <c r="D952" s="234">
        <f t="shared" ca="1" si="120"/>
        <v>1</v>
      </c>
      <c r="E952" s="234">
        <f t="shared" ca="1" si="111"/>
        <v>1</v>
      </c>
      <c r="F952" s="270"/>
      <c r="G952" s="269"/>
      <c r="H952" s="269"/>
      <c r="I952" s="269"/>
      <c r="J952" s="270"/>
      <c r="K952" s="271"/>
      <c r="L952" s="272"/>
      <c r="M952" s="272"/>
      <c r="N952" s="278"/>
      <c r="O952" s="270"/>
      <c r="P952" s="275"/>
      <c r="Q952" s="271"/>
    </row>
    <row r="953" spans="1:17" ht="13.5" customHeight="1" x14ac:dyDescent="0.2">
      <c r="A953" s="233">
        <f t="shared" ca="1" si="117"/>
        <v>0</v>
      </c>
      <c r="B953" s="233">
        <f t="shared" ca="1" si="118"/>
        <v>21</v>
      </c>
      <c r="C953" s="233">
        <f t="shared" ca="1" si="119"/>
        <v>1</v>
      </c>
      <c r="D953" s="234">
        <f t="shared" ca="1" si="120"/>
        <v>1</v>
      </c>
      <c r="E953" s="234">
        <f t="shared" ca="1" si="111"/>
        <v>1</v>
      </c>
      <c r="F953" s="270"/>
      <c r="G953" s="269"/>
      <c r="H953" s="269"/>
      <c r="I953" s="269"/>
      <c r="J953" s="270"/>
      <c r="K953" s="271"/>
      <c r="L953" s="272"/>
      <c r="M953" s="272"/>
      <c r="N953" s="278"/>
      <c r="O953" s="270"/>
      <c r="P953" s="275"/>
      <c r="Q953" s="271"/>
    </row>
    <row r="954" spans="1:17" ht="13.5" customHeight="1" x14ac:dyDescent="0.2">
      <c r="A954" s="233">
        <f t="shared" ca="1" si="117"/>
        <v>0</v>
      </c>
      <c r="B954" s="233">
        <f t="shared" ca="1" si="118"/>
        <v>21</v>
      </c>
      <c r="C954" s="233">
        <f t="shared" ca="1" si="119"/>
        <v>1</v>
      </c>
      <c r="D954" s="234">
        <f t="shared" ca="1" si="120"/>
        <v>1</v>
      </c>
      <c r="E954" s="234">
        <f t="shared" ca="1" si="111"/>
        <v>1</v>
      </c>
      <c r="F954" s="270"/>
      <c r="G954" s="269"/>
      <c r="H954" s="269"/>
      <c r="I954" s="269"/>
      <c r="J954" s="270"/>
      <c r="K954" s="271"/>
      <c r="L954" s="272"/>
      <c r="M954" s="272"/>
      <c r="N954" s="278"/>
      <c r="O954" s="270"/>
      <c r="P954" s="275"/>
      <c r="Q954" s="271"/>
    </row>
    <row r="955" spans="1:17" ht="13.5" customHeight="1" x14ac:dyDescent="0.2">
      <c r="A955" s="233">
        <f t="shared" ca="1" si="117"/>
        <v>0</v>
      </c>
      <c r="B955" s="233">
        <f t="shared" ca="1" si="118"/>
        <v>21</v>
      </c>
      <c r="C955" s="233">
        <f t="shared" ca="1" si="119"/>
        <v>1</v>
      </c>
      <c r="D955" s="234">
        <f t="shared" ca="1" si="120"/>
        <v>1</v>
      </c>
      <c r="E955" s="234">
        <f t="shared" ca="1" si="111"/>
        <v>1</v>
      </c>
      <c r="F955" s="270"/>
      <c r="G955" s="269"/>
      <c r="H955" s="269"/>
      <c r="I955" s="269"/>
      <c r="J955" s="270"/>
      <c r="K955" s="271"/>
      <c r="L955" s="272"/>
      <c r="M955" s="272"/>
      <c r="N955" s="278"/>
      <c r="O955" s="270"/>
      <c r="P955" s="275"/>
      <c r="Q955" s="271"/>
    </row>
    <row r="956" spans="1:17" ht="13.5" customHeight="1" x14ac:dyDescent="0.2">
      <c r="A956" s="233">
        <f t="shared" ca="1" si="117"/>
        <v>0</v>
      </c>
      <c r="B956" s="233">
        <f t="shared" ca="1" si="118"/>
        <v>21</v>
      </c>
      <c r="C956" s="233">
        <f t="shared" ca="1" si="119"/>
        <v>1</v>
      </c>
      <c r="D956" s="234">
        <f t="shared" ca="1" si="120"/>
        <v>1</v>
      </c>
      <c r="E956" s="234">
        <f t="shared" ca="1" si="111"/>
        <v>1</v>
      </c>
      <c r="F956" s="270"/>
      <c r="G956" s="269"/>
      <c r="H956" s="269"/>
      <c r="I956" s="269"/>
      <c r="J956" s="270"/>
      <c r="K956" s="271"/>
      <c r="L956" s="272"/>
      <c r="M956" s="272"/>
      <c r="N956" s="278"/>
      <c r="O956" s="270"/>
      <c r="P956" s="275"/>
      <c r="Q956" s="271"/>
    </row>
    <row r="957" spans="1:17" ht="13.5" customHeight="1" x14ac:dyDescent="0.2">
      <c r="A957" s="233">
        <f t="shared" ca="1" si="117"/>
        <v>0</v>
      </c>
      <c r="B957" s="233">
        <f t="shared" ca="1" si="118"/>
        <v>21</v>
      </c>
      <c r="C957" s="233">
        <f t="shared" ca="1" si="119"/>
        <v>1</v>
      </c>
      <c r="D957" s="234">
        <f t="shared" ca="1" si="120"/>
        <v>1</v>
      </c>
      <c r="E957" s="234">
        <f t="shared" ca="1" si="111"/>
        <v>1</v>
      </c>
      <c r="F957" s="270"/>
      <c r="G957" s="269"/>
      <c r="H957" s="269"/>
      <c r="I957" s="269"/>
      <c r="J957" s="270"/>
      <c r="K957" s="271"/>
      <c r="L957" s="272"/>
      <c r="M957" s="272"/>
      <c r="N957" s="278"/>
      <c r="O957" s="270"/>
      <c r="P957" s="275"/>
      <c r="Q957" s="271"/>
    </row>
    <row r="958" spans="1:17" ht="13.5" customHeight="1" x14ac:dyDescent="0.2">
      <c r="A958" s="233">
        <f t="shared" ca="1" si="117"/>
        <v>0</v>
      </c>
      <c r="B958" s="233">
        <f t="shared" ca="1" si="118"/>
        <v>21</v>
      </c>
      <c r="C958" s="233">
        <f t="shared" ca="1" si="119"/>
        <v>1</v>
      </c>
      <c r="D958" s="234">
        <f t="shared" ca="1" si="120"/>
        <v>1</v>
      </c>
      <c r="E958" s="234">
        <f t="shared" ca="1" si="111"/>
        <v>1</v>
      </c>
      <c r="F958" s="270"/>
      <c r="G958" s="269"/>
      <c r="H958" s="269"/>
      <c r="I958" s="269"/>
      <c r="J958" s="270"/>
      <c r="K958" s="271"/>
      <c r="L958" s="272"/>
      <c r="M958" s="272"/>
      <c r="N958" s="278"/>
      <c r="O958" s="270"/>
      <c r="P958" s="275"/>
      <c r="Q958" s="271"/>
    </row>
    <row r="959" spans="1:17" ht="13.5" customHeight="1" x14ac:dyDescent="0.2">
      <c r="A959" s="233">
        <f t="shared" ca="1" si="117"/>
        <v>0</v>
      </c>
      <c r="B959" s="233">
        <f t="shared" ca="1" si="118"/>
        <v>21</v>
      </c>
      <c r="C959" s="233">
        <f t="shared" ca="1" si="119"/>
        <v>1</v>
      </c>
      <c r="D959" s="234">
        <f t="shared" ca="1" si="120"/>
        <v>1</v>
      </c>
      <c r="E959" s="234">
        <f t="shared" ca="1" si="111"/>
        <v>1</v>
      </c>
      <c r="F959" s="270"/>
      <c r="G959" s="269"/>
      <c r="H959" s="269"/>
      <c r="I959" s="269"/>
      <c r="J959" s="270"/>
      <c r="K959" s="271"/>
      <c r="L959" s="272"/>
      <c r="M959" s="272"/>
      <c r="N959" s="278"/>
      <c r="O959" s="270"/>
      <c r="P959" s="275"/>
      <c r="Q959" s="271"/>
    </row>
    <row r="960" spans="1:17" ht="13.5" customHeight="1" x14ac:dyDescent="0.2">
      <c r="A960" s="233">
        <f t="shared" ca="1" si="117"/>
        <v>0</v>
      </c>
      <c r="B960" s="233">
        <f t="shared" ca="1" si="118"/>
        <v>21</v>
      </c>
      <c r="C960" s="233">
        <f t="shared" ca="1" si="119"/>
        <v>1</v>
      </c>
      <c r="D960" s="234">
        <f t="shared" ca="1" si="120"/>
        <v>1</v>
      </c>
      <c r="E960" s="234">
        <f t="shared" ca="1" si="111"/>
        <v>1</v>
      </c>
      <c r="F960" s="270"/>
      <c r="G960" s="269"/>
      <c r="H960" s="269"/>
      <c r="I960" s="269"/>
      <c r="J960" s="270"/>
      <c r="K960" s="271"/>
      <c r="L960" s="272"/>
      <c r="M960" s="272"/>
      <c r="N960" s="278"/>
      <c r="O960" s="270"/>
      <c r="P960" s="275"/>
      <c r="Q960" s="271"/>
    </row>
    <row r="961" spans="1:17" ht="13.5" customHeight="1" x14ac:dyDescent="0.2">
      <c r="A961" s="233">
        <f t="shared" ca="1" si="117"/>
        <v>0</v>
      </c>
      <c r="B961" s="233">
        <f t="shared" ca="1" si="118"/>
        <v>21</v>
      </c>
      <c r="C961" s="233">
        <f t="shared" ca="1" si="119"/>
        <v>1</v>
      </c>
      <c r="D961" s="234">
        <f t="shared" ca="1" si="120"/>
        <v>1</v>
      </c>
      <c r="E961" s="234">
        <f t="shared" ca="1" si="111"/>
        <v>1</v>
      </c>
      <c r="F961" s="270"/>
      <c r="G961" s="269"/>
      <c r="H961" s="269"/>
      <c r="I961" s="269"/>
      <c r="J961" s="270"/>
      <c r="K961" s="271"/>
      <c r="L961" s="272"/>
      <c r="M961" s="272"/>
      <c r="N961" s="278"/>
      <c r="O961" s="270"/>
      <c r="P961" s="275"/>
      <c r="Q961" s="271"/>
    </row>
    <row r="962" spans="1:17" ht="13.5" customHeight="1" x14ac:dyDescent="0.2">
      <c r="A962" s="233">
        <f t="shared" ref="A962:A985" ca="1" si="121">IF($H962="UNIDADE CONSTRUTIVA",OFFSET(A962,-1,0)+1,LARGE(A$3:A961,1))</f>
        <v>0</v>
      </c>
      <c r="B962" s="233">
        <f t="shared" ca="1" si="118"/>
        <v>21</v>
      </c>
      <c r="C962" s="233">
        <f t="shared" ca="1" si="119"/>
        <v>1</v>
      </c>
      <c r="D962" s="234">
        <f t="shared" ca="1" si="120"/>
        <v>1</v>
      </c>
      <c r="E962" s="234">
        <f t="shared" ca="1" si="111"/>
        <v>1</v>
      </c>
      <c r="F962" s="270"/>
      <c r="G962" s="269"/>
      <c r="H962" s="269"/>
      <c r="I962" s="269"/>
      <c r="J962" s="270"/>
      <c r="K962" s="271"/>
      <c r="L962" s="272"/>
      <c r="M962" s="272"/>
      <c r="N962" s="278"/>
      <c r="O962" s="270"/>
      <c r="P962" s="275"/>
      <c r="Q962" s="271"/>
    </row>
    <row r="963" spans="1:17" ht="13.5" customHeight="1" x14ac:dyDescent="0.2">
      <c r="A963" s="233">
        <f t="shared" ca="1" si="121"/>
        <v>0</v>
      </c>
      <c r="B963" s="233">
        <f t="shared" ref="B963:B985" ca="1" si="122">IF(H963="UNIDADE CONSTRUTIVA",0,IF(H963="CÉLULA CONSTRUTIVA",OFFSET(B963,-1,0)+1,OFFSET(B963,-1,0)))</f>
        <v>21</v>
      </c>
      <c r="C963" s="233">
        <f t="shared" ref="C963:C985" ca="1" si="123">IF(H963="CÉLULA CONSTRUTIVA",0,IF(H963="ETAPA",OFFSET(C963,-1,0)+1,OFFSET(C963,-1,0)))</f>
        <v>1</v>
      </c>
      <c r="D963" s="234">
        <f t="shared" ca="1" si="120"/>
        <v>1</v>
      </c>
      <c r="E963" s="234">
        <f t="shared" ca="1" si="111"/>
        <v>1</v>
      </c>
      <c r="F963" s="270"/>
      <c r="G963" s="269"/>
      <c r="H963" s="269"/>
      <c r="I963" s="269"/>
      <c r="J963" s="270"/>
      <c r="K963" s="271"/>
      <c r="L963" s="272"/>
      <c r="M963" s="272"/>
      <c r="N963" s="278"/>
      <c r="O963" s="270"/>
      <c r="P963" s="275"/>
      <c r="Q963" s="271"/>
    </row>
    <row r="964" spans="1:17" ht="13.5" customHeight="1" x14ac:dyDescent="0.2">
      <c r="A964" s="233">
        <f t="shared" ca="1" si="121"/>
        <v>0</v>
      </c>
      <c r="B964" s="233">
        <f t="shared" ca="1" si="122"/>
        <v>21</v>
      </c>
      <c r="C964" s="233">
        <f t="shared" ca="1" si="123"/>
        <v>1</v>
      </c>
      <c r="D964" s="234">
        <f t="shared" ca="1" si="120"/>
        <v>1</v>
      </c>
      <c r="E964" s="234">
        <f t="shared" ca="1" si="111"/>
        <v>1</v>
      </c>
      <c r="F964" s="270"/>
      <c r="G964" s="269"/>
      <c r="H964" s="269"/>
      <c r="I964" s="269"/>
      <c r="J964" s="270"/>
      <c r="K964" s="271"/>
      <c r="L964" s="272"/>
      <c r="M964" s="272"/>
      <c r="N964" s="278"/>
      <c r="O964" s="270"/>
      <c r="P964" s="275"/>
      <c r="Q964" s="271"/>
    </row>
    <row r="965" spans="1:17" ht="13.5" customHeight="1" x14ac:dyDescent="0.2">
      <c r="A965" s="233">
        <f t="shared" ca="1" si="121"/>
        <v>0</v>
      </c>
      <c r="B965" s="233">
        <f t="shared" ca="1" si="122"/>
        <v>21</v>
      </c>
      <c r="C965" s="233">
        <f t="shared" ca="1" si="123"/>
        <v>1</v>
      </c>
      <c r="D965" s="234">
        <f t="shared" ca="1" si="120"/>
        <v>1</v>
      </c>
      <c r="E965" s="234">
        <f t="shared" ca="1" si="111"/>
        <v>1</v>
      </c>
      <c r="F965" s="270"/>
      <c r="G965" s="269"/>
      <c r="H965" s="269"/>
      <c r="I965" s="269"/>
      <c r="J965" s="270"/>
      <c r="K965" s="271"/>
      <c r="L965" s="272"/>
      <c r="M965" s="272"/>
      <c r="N965" s="278"/>
      <c r="O965" s="270"/>
      <c r="P965" s="275"/>
      <c r="Q965" s="271"/>
    </row>
    <row r="966" spans="1:17" ht="13.5" customHeight="1" x14ac:dyDescent="0.2">
      <c r="A966" s="233">
        <f t="shared" ca="1" si="121"/>
        <v>0</v>
      </c>
      <c r="B966" s="233">
        <f t="shared" ca="1" si="122"/>
        <v>21</v>
      </c>
      <c r="C966" s="233">
        <f t="shared" ca="1" si="123"/>
        <v>1</v>
      </c>
      <c r="D966" s="234">
        <f t="shared" ca="1" si="120"/>
        <v>1</v>
      </c>
      <c r="E966" s="234">
        <f t="shared" ca="1" si="111"/>
        <v>1</v>
      </c>
      <c r="F966" s="270"/>
      <c r="G966" s="269"/>
      <c r="H966" s="269"/>
      <c r="I966" s="269"/>
      <c r="J966" s="270"/>
      <c r="K966" s="271"/>
      <c r="L966" s="272"/>
      <c r="M966" s="272"/>
      <c r="N966" s="278"/>
      <c r="O966" s="270"/>
      <c r="P966" s="275"/>
      <c r="Q966" s="271"/>
    </row>
    <row r="967" spans="1:17" ht="13.5" customHeight="1" x14ac:dyDescent="0.2">
      <c r="A967" s="233">
        <f t="shared" ca="1" si="121"/>
        <v>0</v>
      </c>
      <c r="B967" s="233">
        <f t="shared" ca="1" si="122"/>
        <v>21</v>
      </c>
      <c r="C967" s="233">
        <f t="shared" ca="1" si="123"/>
        <v>1</v>
      </c>
      <c r="D967" s="234">
        <f t="shared" ca="1" si="120"/>
        <v>1</v>
      </c>
      <c r="E967" s="234">
        <f t="shared" ca="1" si="111"/>
        <v>1</v>
      </c>
      <c r="F967" s="270"/>
      <c r="G967" s="269"/>
      <c r="H967" s="269"/>
      <c r="I967" s="269"/>
      <c r="J967" s="270"/>
      <c r="K967" s="271"/>
      <c r="L967" s="272"/>
      <c r="M967" s="272"/>
      <c r="N967" s="278"/>
      <c r="O967" s="270"/>
      <c r="P967" s="275"/>
      <c r="Q967" s="271"/>
    </row>
    <row r="968" spans="1:17" ht="13.5" customHeight="1" x14ac:dyDescent="0.2">
      <c r="A968" s="233">
        <f t="shared" ca="1" si="121"/>
        <v>0</v>
      </c>
      <c r="B968" s="233">
        <f t="shared" ca="1" si="122"/>
        <v>21</v>
      </c>
      <c r="C968" s="233">
        <f t="shared" ca="1" si="123"/>
        <v>1</v>
      </c>
      <c r="D968" s="234">
        <f t="shared" ca="1" si="120"/>
        <v>1</v>
      </c>
      <c r="E968" s="234">
        <f t="shared" ca="1" si="111"/>
        <v>1</v>
      </c>
      <c r="F968" s="270"/>
      <c r="G968" s="269"/>
      <c r="H968" s="269"/>
      <c r="I968" s="269"/>
      <c r="J968" s="270"/>
      <c r="K968" s="271"/>
      <c r="L968" s="272"/>
      <c r="M968" s="272"/>
      <c r="N968" s="278"/>
      <c r="O968" s="270"/>
      <c r="P968" s="275"/>
      <c r="Q968" s="271"/>
    </row>
    <row r="969" spans="1:17" ht="13.5" customHeight="1" x14ac:dyDescent="0.2">
      <c r="A969" s="233">
        <f t="shared" ca="1" si="121"/>
        <v>0</v>
      </c>
      <c r="B969" s="233">
        <f t="shared" ca="1" si="122"/>
        <v>21</v>
      </c>
      <c r="C969" s="233">
        <f t="shared" ca="1" si="123"/>
        <v>1</v>
      </c>
      <c r="D969" s="234">
        <f t="shared" ca="1" si="120"/>
        <v>1</v>
      </c>
      <c r="E969" s="234">
        <f t="shared" ca="1" si="111"/>
        <v>1</v>
      </c>
      <c r="F969" s="270"/>
      <c r="G969" s="269"/>
      <c r="H969" s="269"/>
      <c r="I969" s="269"/>
      <c r="J969" s="270"/>
      <c r="K969" s="271"/>
      <c r="L969" s="272"/>
      <c r="M969" s="272"/>
      <c r="N969" s="278"/>
      <c r="O969" s="270"/>
      <c r="P969" s="275"/>
      <c r="Q969" s="271"/>
    </row>
    <row r="970" spans="1:17" ht="13.5" customHeight="1" x14ac:dyDescent="0.2">
      <c r="A970" s="233">
        <f t="shared" ca="1" si="121"/>
        <v>0</v>
      </c>
      <c r="B970" s="233">
        <f t="shared" ca="1" si="122"/>
        <v>21</v>
      </c>
      <c r="C970" s="233">
        <f t="shared" ca="1" si="123"/>
        <v>1</v>
      </c>
      <c r="D970" s="234">
        <f t="shared" ca="1" si="120"/>
        <v>1</v>
      </c>
      <c r="E970" s="234">
        <f t="shared" ca="1" si="111"/>
        <v>1</v>
      </c>
      <c r="F970" s="270"/>
      <c r="G970" s="269"/>
      <c r="H970" s="269"/>
      <c r="I970" s="269"/>
      <c r="J970" s="270"/>
      <c r="K970" s="271"/>
      <c r="L970" s="272"/>
      <c r="M970" s="272"/>
      <c r="N970" s="278"/>
      <c r="O970" s="270"/>
      <c r="P970" s="275"/>
      <c r="Q970" s="271"/>
    </row>
    <row r="971" spans="1:17" ht="13.5" customHeight="1" x14ac:dyDescent="0.2">
      <c r="A971" s="233">
        <f t="shared" ca="1" si="121"/>
        <v>0</v>
      </c>
      <c r="B971" s="233">
        <f t="shared" ca="1" si="122"/>
        <v>21</v>
      </c>
      <c r="C971" s="233">
        <f t="shared" ca="1" si="123"/>
        <v>1</v>
      </c>
      <c r="D971" s="234">
        <f t="shared" ca="1" si="120"/>
        <v>1</v>
      </c>
      <c r="E971" s="234">
        <f t="shared" ca="1" si="111"/>
        <v>1</v>
      </c>
      <c r="F971" s="270"/>
      <c r="G971" s="269"/>
      <c r="H971" s="269"/>
      <c r="I971" s="269"/>
      <c r="J971" s="270"/>
      <c r="K971" s="271"/>
      <c r="L971" s="272"/>
      <c r="M971" s="272"/>
      <c r="N971" s="278"/>
      <c r="O971" s="270"/>
      <c r="P971" s="275"/>
      <c r="Q971" s="271"/>
    </row>
    <row r="972" spans="1:17" ht="13.5" customHeight="1" x14ac:dyDescent="0.2">
      <c r="A972" s="233">
        <f t="shared" ca="1" si="121"/>
        <v>0</v>
      </c>
      <c r="B972" s="233">
        <f t="shared" ca="1" si="122"/>
        <v>21</v>
      </c>
      <c r="C972" s="233">
        <f t="shared" ca="1" si="123"/>
        <v>1</v>
      </c>
      <c r="D972" s="234">
        <f t="shared" ca="1" si="120"/>
        <v>1</v>
      </c>
      <c r="E972" s="234">
        <f t="shared" ca="1" si="111"/>
        <v>1</v>
      </c>
      <c r="F972" s="270"/>
      <c r="G972" s="269"/>
      <c r="H972" s="269"/>
      <c r="I972" s="269"/>
      <c r="J972" s="270"/>
      <c r="K972" s="271"/>
      <c r="L972" s="272"/>
      <c r="M972" s="272"/>
      <c r="N972" s="278"/>
      <c r="O972" s="270"/>
      <c r="P972" s="275"/>
      <c r="Q972" s="271"/>
    </row>
    <row r="973" spans="1:17" ht="13.5" customHeight="1" x14ac:dyDescent="0.2">
      <c r="A973" s="233">
        <f t="shared" ca="1" si="121"/>
        <v>0</v>
      </c>
      <c r="B973" s="233">
        <f t="shared" ca="1" si="122"/>
        <v>21</v>
      </c>
      <c r="C973" s="233">
        <f t="shared" ca="1" si="123"/>
        <v>1</v>
      </c>
      <c r="D973" s="234">
        <f t="shared" ca="1" si="120"/>
        <v>1</v>
      </c>
      <c r="E973" s="234">
        <f t="shared" ca="1" si="111"/>
        <v>1</v>
      </c>
      <c r="F973" s="270"/>
      <c r="G973" s="269"/>
      <c r="H973" s="269"/>
      <c r="I973" s="269"/>
      <c r="J973" s="270"/>
      <c r="K973" s="271"/>
      <c r="L973" s="272"/>
      <c r="M973" s="272"/>
      <c r="N973" s="278"/>
      <c r="O973" s="270"/>
      <c r="P973" s="275"/>
      <c r="Q973" s="271"/>
    </row>
    <row r="974" spans="1:17" ht="13.5" customHeight="1" x14ac:dyDescent="0.2">
      <c r="A974" s="233">
        <f t="shared" ca="1" si="121"/>
        <v>0</v>
      </c>
      <c r="B974" s="233">
        <f t="shared" ca="1" si="122"/>
        <v>21</v>
      </c>
      <c r="C974" s="233">
        <f t="shared" ca="1" si="123"/>
        <v>1</v>
      </c>
      <c r="D974" s="234">
        <f t="shared" ca="1" si="120"/>
        <v>1</v>
      </c>
      <c r="E974" s="234">
        <f t="shared" ca="1" si="111"/>
        <v>1</v>
      </c>
      <c r="F974" s="270"/>
      <c r="G974" s="269"/>
      <c r="H974" s="269"/>
      <c r="I974" s="269"/>
      <c r="J974" s="270"/>
      <c r="K974" s="271"/>
      <c r="L974" s="272"/>
      <c r="M974" s="272"/>
      <c r="N974" s="278"/>
      <c r="O974" s="270"/>
      <c r="P974" s="275"/>
      <c r="Q974" s="271"/>
    </row>
    <row r="975" spans="1:17" ht="13.5" customHeight="1" x14ac:dyDescent="0.2">
      <c r="A975" s="233">
        <f t="shared" ca="1" si="121"/>
        <v>0</v>
      </c>
      <c r="B975" s="233">
        <f t="shared" ca="1" si="122"/>
        <v>21</v>
      </c>
      <c r="C975" s="233">
        <f t="shared" ca="1" si="123"/>
        <v>1</v>
      </c>
      <c r="D975" s="234">
        <f t="shared" ca="1" si="120"/>
        <v>1</v>
      </c>
      <c r="E975" s="234">
        <f t="shared" ca="1" si="111"/>
        <v>1</v>
      </c>
      <c r="F975" s="270"/>
      <c r="G975" s="269"/>
      <c r="H975" s="269"/>
      <c r="I975" s="269"/>
      <c r="J975" s="270"/>
      <c r="K975" s="271"/>
      <c r="L975" s="272"/>
      <c r="M975" s="272"/>
      <c r="N975" s="278"/>
      <c r="O975" s="270"/>
      <c r="P975" s="275"/>
      <c r="Q975" s="271"/>
    </row>
    <row r="976" spans="1:17" ht="13.5" customHeight="1" x14ac:dyDescent="0.2">
      <c r="A976" s="233">
        <f t="shared" ca="1" si="121"/>
        <v>0</v>
      </c>
      <c r="B976" s="233">
        <f t="shared" ca="1" si="122"/>
        <v>21</v>
      </c>
      <c r="C976" s="233">
        <f t="shared" ca="1" si="123"/>
        <v>1</v>
      </c>
      <c r="D976" s="234">
        <f t="shared" ca="1" si="120"/>
        <v>1</v>
      </c>
      <c r="E976" s="234">
        <f t="shared" ca="1" si="111"/>
        <v>1</v>
      </c>
      <c r="F976" s="270"/>
      <c r="G976" s="269"/>
      <c r="H976" s="269"/>
      <c r="I976" s="269"/>
      <c r="J976" s="270"/>
      <c r="K976" s="271"/>
      <c r="L976" s="272"/>
      <c r="M976" s="272"/>
      <c r="N976" s="278"/>
      <c r="O976" s="270"/>
      <c r="P976" s="275"/>
      <c r="Q976" s="271"/>
    </row>
    <row r="977" spans="1:17" ht="13.5" customHeight="1" x14ac:dyDescent="0.2">
      <c r="A977" s="233">
        <f t="shared" ca="1" si="121"/>
        <v>0</v>
      </c>
      <c r="B977" s="233">
        <f t="shared" ca="1" si="122"/>
        <v>21</v>
      </c>
      <c r="C977" s="233">
        <f t="shared" ca="1" si="123"/>
        <v>1</v>
      </c>
      <c r="D977" s="234">
        <f t="shared" ref="D977:D985" ca="1" si="124">IF(H977="ETAPA",0,IF(H977="SUBETAPA",OFFSET(D977,-1,0)+1,OFFSET(D977,-1,0)))</f>
        <v>1</v>
      </c>
      <c r="E977" s="234">
        <f t="shared" ca="1" si="111"/>
        <v>1</v>
      </c>
      <c r="F977" s="270"/>
      <c r="G977" s="269"/>
      <c r="H977" s="269"/>
      <c r="I977" s="269"/>
      <c r="J977" s="270"/>
      <c r="K977" s="271"/>
      <c r="L977" s="272"/>
      <c r="M977" s="272"/>
      <c r="N977" s="278"/>
      <c r="O977" s="270"/>
      <c r="P977" s="275"/>
      <c r="Q977" s="271"/>
    </row>
    <row r="978" spans="1:17" ht="13.5" customHeight="1" x14ac:dyDescent="0.2">
      <c r="A978" s="233">
        <f t="shared" ca="1" si="121"/>
        <v>0</v>
      </c>
      <c r="B978" s="233">
        <f t="shared" ca="1" si="122"/>
        <v>21</v>
      </c>
      <c r="C978" s="233">
        <f t="shared" ca="1" si="123"/>
        <v>1</v>
      </c>
      <c r="D978" s="234">
        <f t="shared" ca="1" si="124"/>
        <v>1</v>
      </c>
      <c r="E978" s="234">
        <f t="shared" ca="1" si="111"/>
        <v>1</v>
      </c>
      <c r="F978" s="270"/>
      <c r="G978" s="269"/>
      <c r="H978" s="269"/>
      <c r="I978" s="269"/>
      <c r="J978" s="270"/>
      <c r="K978" s="271"/>
      <c r="L978" s="272"/>
      <c r="M978" s="272"/>
      <c r="N978" s="278"/>
      <c r="O978" s="270"/>
      <c r="P978" s="275"/>
      <c r="Q978" s="271"/>
    </row>
    <row r="979" spans="1:17" ht="13.5" customHeight="1" x14ac:dyDescent="0.2">
      <c r="A979" s="233">
        <f t="shared" ca="1" si="121"/>
        <v>0</v>
      </c>
      <c r="B979" s="233">
        <f t="shared" ca="1" si="122"/>
        <v>21</v>
      </c>
      <c r="C979" s="233">
        <f t="shared" ca="1" si="123"/>
        <v>1</v>
      </c>
      <c r="D979" s="234">
        <f t="shared" ca="1" si="124"/>
        <v>1</v>
      </c>
      <c r="E979" s="234">
        <f t="shared" ca="1" si="111"/>
        <v>1</v>
      </c>
      <c r="F979" s="270"/>
      <c r="G979" s="269"/>
      <c r="H979" s="269"/>
      <c r="I979" s="269"/>
      <c r="J979" s="270"/>
      <c r="K979" s="271"/>
      <c r="L979" s="272"/>
      <c r="M979" s="272"/>
      <c r="N979" s="278"/>
      <c r="O979" s="270"/>
      <c r="P979" s="275"/>
      <c r="Q979" s="271"/>
    </row>
    <row r="980" spans="1:17" ht="13.5" customHeight="1" x14ac:dyDescent="0.2">
      <c r="A980" s="233">
        <f t="shared" ca="1" si="121"/>
        <v>0</v>
      </c>
      <c r="B980" s="233">
        <f t="shared" ca="1" si="122"/>
        <v>21</v>
      </c>
      <c r="C980" s="233">
        <f t="shared" ca="1" si="123"/>
        <v>1</v>
      </c>
      <c r="D980" s="234">
        <f t="shared" ca="1" si="124"/>
        <v>1</v>
      </c>
      <c r="E980" s="234">
        <f t="shared" ca="1" si="111"/>
        <v>1</v>
      </c>
      <c r="F980" s="270"/>
      <c r="G980" s="269"/>
      <c r="H980" s="269"/>
      <c r="I980" s="269"/>
      <c r="J980" s="270"/>
      <c r="K980" s="271"/>
      <c r="L980" s="272"/>
      <c r="M980" s="272"/>
      <c r="N980" s="278"/>
      <c r="O980" s="270"/>
      <c r="P980" s="275"/>
      <c r="Q980" s="271"/>
    </row>
    <row r="981" spans="1:17" ht="13.5" customHeight="1" x14ac:dyDescent="0.2">
      <c r="A981" s="233">
        <f t="shared" ca="1" si="121"/>
        <v>0</v>
      </c>
      <c r="B981" s="233">
        <f t="shared" ca="1" si="122"/>
        <v>21</v>
      </c>
      <c r="C981" s="233">
        <f t="shared" ca="1" si="123"/>
        <v>1</v>
      </c>
      <c r="D981" s="234">
        <f t="shared" ca="1" si="124"/>
        <v>1</v>
      </c>
      <c r="E981" s="234">
        <f t="shared" ca="1" si="111"/>
        <v>1</v>
      </c>
      <c r="F981" s="270"/>
      <c r="G981" s="269"/>
      <c r="H981" s="269"/>
      <c r="I981" s="269"/>
      <c r="J981" s="270"/>
      <c r="K981" s="271"/>
      <c r="L981" s="272"/>
      <c r="M981" s="272"/>
      <c r="N981" s="278"/>
      <c r="O981" s="270"/>
      <c r="P981" s="275"/>
      <c r="Q981" s="271"/>
    </row>
    <row r="982" spans="1:17" ht="13.5" customHeight="1" x14ac:dyDescent="0.2">
      <c r="A982" s="233">
        <f t="shared" ca="1" si="121"/>
        <v>0</v>
      </c>
      <c r="B982" s="233">
        <f t="shared" ca="1" si="122"/>
        <v>21</v>
      </c>
      <c r="C982" s="233">
        <f t="shared" ca="1" si="123"/>
        <v>1</v>
      </c>
      <c r="D982" s="234">
        <f t="shared" ca="1" si="124"/>
        <v>1</v>
      </c>
      <c r="E982" s="234">
        <f t="shared" ca="1" si="111"/>
        <v>1</v>
      </c>
      <c r="F982" s="270"/>
      <c r="G982" s="269"/>
      <c r="H982" s="269"/>
      <c r="I982" s="269"/>
      <c r="J982" s="270"/>
      <c r="K982" s="271"/>
      <c r="L982" s="272"/>
      <c r="M982" s="272"/>
      <c r="N982" s="278"/>
      <c r="O982" s="270"/>
      <c r="P982" s="275"/>
      <c r="Q982" s="271"/>
    </row>
    <row r="983" spans="1:17" ht="13.5" customHeight="1" x14ac:dyDescent="0.2">
      <c r="A983" s="233">
        <f t="shared" ca="1" si="121"/>
        <v>0</v>
      </c>
      <c r="B983" s="233">
        <f t="shared" ca="1" si="122"/>
        <v>21</v>
      </c>
      <c r="C983" s="233">
        <f t="shared" ca="1" si="123"/>
        <v>1</v>
      </c>
      <c r="D983" s="234">
        <f t="shared" ca="1" si="124"/>
        <v>1</v>
      </c>
      <c r="E983" s="234">
        <f t="shared" ca="1" si="111"/>
        <v>1</v>
      </c>
      <c r="F983" s="270"/>
      <c r="G983" s="269"/>
      <c r="H983" s="269"/>
      <c r="I983" s="269"/>
      <c r="J983" s="270"/>
      <c r="K983" s="271"/>
      <c r="L983" s="272"/>
      <c r="M983" s="272"/>
      <c r="N983" s="278"/>
      <c r="O983" s="270"/>
      <c r="P983" s="275"/>
      <c r="Q983" s="271"/>
    </row>
    <row r="984" spans="1:17" ht="13.5" customHeight="1" x14ac:dyDescent="0.2">
      <c r="A984" s="233">
        <f t="shared" ca="1" si="121"/>
        <v>0</v>
      </c>
      <c r="B984" s="233">
        <f t="shared" ca="1" si="122"/>
        <v>21</v>
      </c>
      <c r="C984" s="233">
        <f t="shared" ca="1" si="123"/>
        <v>1</v>
      </c>
      <c r="D984" s="234">
        <f t="shared" ca="1" si="124"/>
        <v>1</v>
      </c>
      <c r="E984" s="234">
        <f t="shared" ca="1" si="111"/>
        <v>1</v>
      </c>
      <c r="F984" s="270"/>
      <c r="G984" s="269"/>
      <c r="H984" s="269"/>
      <c r="I984" s="269"/>
      <c r="J984" s="270"/>
      <c r="K984" s="271"/>
      <c r="L984" s="272"/>
      <c r="M984" s="272"/>
      <c r="N984" s="278"/>
      <c r="O984" s="270"/>
      <c r="P984" s="275"/>
      <c r="Q984" s="271"/>
    </row>
    <row r="985" spans="1:17" ht="13.5" customHeight="1" x14ac:dyDescent="0.2">
      <c r="A985" s="233">
        <f t="shared" ca="1" si="121"/>
        <v>0</v>
      </c>
      <c r="B985" s="233">
        <f t="shared" ca="1" si="122"/>
        <v>21</v>
      </c>
      <c r="C985" s="233">
        <f t="shared" ca="1" si="123"/>
        <v>1</v>
      </c>
      <c r="D985" s="234">
        <f t="shared" ca="1" si="124"/>
        <v>1</v>
      </c>
      <c r="E985" s="234">
        <f t="shared" ca="1" si="111"/>
        <v>1</v>
      </c>
      <c r="F985" s="270"/>
      <c r="G985" s="269"/>
      <c r="H985" s="269"/>
      <c r="I985" s="269"/>
      <c r="J985" s="270"/>
      <c r="K985" s="271"/>
      <c r="L985" s="272"/>
      <c r="M985" s="272"/>
      <c r="N985" s="278"/>
      <c r="O985" s="270"/>
      <c r="P985" s="275"/>
      <c r="Q985" s="271"/>
    </row>
  </sheetData>
  <autoFilter ref="G7:P351" xr:uid="{00000000-0009-0000-0000-000005000000}"/>
  <mergeCells count="1">
    <mergeCell ref="G6:P6"/>
  </mergeCells>
  <conditionalFormatting sqref="G122 J122 L122 L172">
    <cfRule type="expression" dxfId="4828" priority="2091">
      <formula>$H122="ETAPA"</formula>
    </cfRule>
    <cfRule type="expression" dxfId="4827" priority="2092">
      <formula>$H122="CÉLULA CONSTRUTIVA"</formula>
    </cfRule>
  </conditionalFormatting>
  <conditionalFormatting sqref="G124 J124 L124">
    <cfRule type="expression" dxfId="4826" priority="1953">
      <formula>$H124="ETAPA"</formula>
    </cfRule>
    <cfRule type="expression" dxfId="4825" priority="1954">
      <formula>$H124="CÉLULA CONSTRUTIVA"</formula>
    </cfRule>
  </conditionalFormatting>
  <conditionalFormatting sqref="G126 J126 L126">
    <cfRule type="expression" dxfId="4824" priority="1658">
      <formula>$H126="ETAPA"</formula>
    </cfRule>
    <cfRule type="expression" dxfId="4823" priority="1659">
      <formula>$H126="CÉLULA CONSTRUTIVA"</formula>
    </cfRule>
  </conditionalFormatting>
  <conditionalFormatting sqref="G138 J138 L138">
    <cfRule type="expression" dxfId="4822" priority="1520">
      <formula>$H138="ETAPA"</formula>
    </cfRule>
    <cfRule type="expression" dxfId="4821" priority="1521">
      <formula>$H138="CÉLULA CONSTRUTIVA"</formula>
    </cfRule>
  </conditionalFormatting>
  <conditionalFormatting sqref="G227:G229 O227:O228">
    <cfRule type="expression" dxfId="4820" priority="269">
      <formula>$H227="ETAPA"</formula>
    </cfRule>
  </conditionalFormatting>
  <conditionalFormatting sqref="G227:G229">
    <cfRule type="expression" dxfId="4819" priority="262">
      <formula>$H227="CÉLULA CONSTRUTIVA"</formula>
    </cfRule>
    <cfRule type="expression" dxfId="4818" priority="268">
      <formula>$H227="SUBETAPA"</formula>
    </cfRule>
  </conditionalFormatting>
  <conditionalFormatting sqref="G346 J101 J103:K106 K103:K107 P103:P108 N333:P339 O61:O67 G233:J234 L233:L234 G235:L236 G97 J97 L97 G99 J99 L99 L101:L109 G106 M103:M106 G101 G103 N103:O103 G109 J109 G230:L231 L62:L67 L71:M73 N230:N231 N264:P266 P291 G15:M15 M261:M270 L264:L266 M272:M274 M288:M295">
    <cfRule type="expression" dxfId="4817" priority="3101">
      <formula>$H15="ETAPA"</formula>
    </cfRule>
  </conditionalFormatting>
  <conditionalFormatting sqref="G109:H110 P109:P110 N110:O110">
    <cfRule type="expression" dxfId="4816" priority="6587">
      <formula>#REF!="ETAPA"</formula>
    </cfRule>
  </conditionalFormatting>
  <conditionalFormatting sqref="G122:H122 J122:K122 N122 J96:K106 M100:M102 G95:H104 I95:I115 K103:K108 P103:P108 G109:H109 J109:K109">
    <cfRule type="expression" dxfId="4815" priority="2097">
      <formula>$H95="CÉLULA CONSTRUTIVA"</formula>
    </cfRule>
  </conditionalFormatting>
  <conditionalFormatting sqref="G124:H124 J124:K124 N124">
    <cfRule type="expression" dxfId="4814" priority="1959">
      <formula>$H124="CÉLULA CONSTRUTIVA"</formula>
    </cfRule>
  </conditionalFormatting>
  <conditionalFormatting sqref="G126:H126 J126:K126 N126">
    <cfRule type="expression" dxfId="4813" priority="1664">
      <formula>$H126="CÉLULA CONSTRUTIVA"</formula>
    </cfRule>
  </conditionalFormatting>
  <conditionalFormatting sqref="G138:H138 J138:K138 N138">
    <cfRule type="expression" dxfId="4812" priority="1526">
      <formula>$H138="CÉLULA CONSTRUTIVA"</formula>
    </cfRule>
  </conditionalFormatting>
  <conditionalFormatting sqref="G261:J274 M333:P339 G113:H113 K264:L266 N264:P266 M288:M295 P291 G333:L344 M340:O343">
    <cfRule type="expression" dxfId="4811" priority="567">
      <formula>$H113="CÉLULA CONSTRUTIVA"</formula>
    </cfRule>
  </conditionalFormatting>
  <conditionalFormatting sqref="G19:K19 J21:K26 J28:K31 J33 G16:K17">
    <cfRule type="expression" dxfId="4810" priority="3155">
      <formula>$H16="CÉLULA CONSTRUTIVA"</formula>
    </cfRule>
  </conditionalFormatting>
  <conditionalFormatting sqref="G97:K97 M97 G99:K99 M99 G106:K106 M106 G300 G302 G307:K307 M307 G327:K327 M327 G332:K332 M332">
    <cfRule type="expression" dxfId="4809" priority="3060">
      <formula>$H96="ETAPA"</formula>
    </cfRule>
  </conditionalFormatting>
  <conditionalFormatting sqref="G101:K101 G109:K109 M109 G103:K103 M103 N139:N347">
    <cfRule type="expression" dxfId="4808" priority="6426">
      <formula>#REF!="ETAPA"</formula>
    </cfRule>
  </conditionalFormatting>
  <conditionalFormatting sqref="G101:K101 M101 G103:K103 M103 G109:K109 M109 O101:P101 O109:P109 O103:P103 N73:N347">
    <cfRule type="expression" dxfId="4807" priority="6445">
      <formula>#REF!="SUBETAPA"</formula>
    </cfRule>
  </conditionalFormatting>
  <conditionalFormatting sqref="G122:K122 M122 P122">
    <cfRule type="expression" dxfId="4806" priority="2088">
      <formula>$H121="SUBETAPA"</formula>
    </cfRule>
  </conditionalFormatting>
  <conditionalFormatting sqref="G122:K122 M122">
    <cfRule type="expression" dxfId="4805" priority="2089">
      <formula>$H121="ETAPA"</formula>
    </cfRule>
  </conditionalFormatting>
  <conditionalFormatting sqref="G124:K124 M124 P124">
    <cfRule type="expression" dxfId="4804" priority="1950">
      <formula>$H123="SUBETAPA"</formula>
    </cfRule>
  </conditionalFormatting>
  <conditionalFormatting sqref="G124:K124 M124">
    <cfRule type="expression" dxfId="4803" priority="1951">
      <formula>$H123="ETAPA"</formula>
    </cfRule>
  </conditionalFormatting>
  <conditionalFormatting sqref="G126:K126 M126 P126">
    <cfRule type="expression" dxfId="4802" priority="1655">
      <formula>$H125="SUBETAPA"</formula>
    </cfRule>
  </conditionalFormatting>
  <conditionalFormatting sqref="G126:K126 M126">
    <cfRule type="expression" dxfId="4801" priority="1656">
      <formula>$H125="ETAPA"</formula>
    </cfRule>
  </conditionalFormatting>
  <conditionalFormatting sqref="G138:K138 M138 O138:P138">
    <cfRule type="expression" dxfId="4800" priority="1517">
      <formula>$H137="SUBETAPA"</formula>
    </cfRule>
  </conditionalFormatting>
  <conditionalFormatting sqref="G138:K138 M138">
    <cfRule type="expression" dxfId="4799" priority="1518">
      <formula>$H137="ETAPA"</formula>
    </cfRule>
  </conditionalFormatting>
  <conditionalFormatting sqref="G157:K157 M157:O157 N61:O67 M195:N195 G210:P211 P231:P236 J233:J236 L233:L236 N233:O236">
    <cfRule type="expression" dxfId="4798" priority="3062">
      <formula>$H61="CÉLULA CONSTRUTIVA"</formula>
    </cfRule>
  </conditionalFormatting>
  <conditionalFormatting sqref="G250:K252">
    <cfRule type="expression" dxfId="4797" priority="3070">
      <formula>$H250="ETAPA"</formula>
    </cfRule>
  </conditionalFormatting>
  <conditionalFormatting sqref="G330:K331 G170:M171 G174:M174 O157 M99:M102 K101:K106 J101:J107 J103:K106 G300 G302 G164:L164 O164 G178:M178 G182:P182 P95:P115 O178:P178 G19:L20 N21:P26 N28:P31 N33:P33 L69:O69 M338:O338 M334 O334 G8:L14 P75 P77 G130:L130 M164:M165 M167:M168 L346:M346 G346:K348 M172:P172 P170:P175">
    <cfRule type="expression" dxfId="4796" priority="3072">
      <formula>$H8="SUBETAPA"</formula>
    </cfRule>
  </conditionalFormatting>
  <conditionalFormatting sqref="G330:K331">
    <cfRule type="expression" dxfId="4795" priority="3071">
      <formula>$H330="ETAPA"</formula>
    </cfRule>
  </conditionalFormatting>
  <conditionalFormatting sqref="G8:L14 G19:M19 G23:K26 G28:K31 N28:O31 G33:I34 I34:P34 G52:P52 G77:M77 O77:P77 L262 G346:K348 K33:K34 G93:M93 P93 G95:H95">
    <cfRule type="expression" dxfId="4794" priority="3074">
      <formula>$H8="ETAPA"</formula>
    </cfRule>
  </conditionalFormatting>
  <conditionalFormatting sqref="G8:L14 G19:M19 N28:O31 P77 G346:K348 K262:L262 G23:I26 G28:I31 G33:I34 G52:M52 G77:L77">
    <cfRule type="expression" dxfId="4793" priority="3073">
      <formula>$H8="CÉLULA CONSTRUTIVA"</formula>
    </cfRule>
  </conditionalFormatting>
  <conditionalFormatting sqref="G18:L18 M103:M106">
    <cfRule type="expression" dxfId="4792" priority="2961">
      <formula>$H18="SUBETAPA"</formula>
    </cfRule>
    <cfRule type="expression" dxfId="4791" priority="2962">
      <formula>$H18="CÉLULA CONSTRUTIVA"</formula>
    </cfRule>
  </conditionalFormatting>
  <conditionalFormatting sqref="G20:L20">
    <cfRule type="expression" dxfId="4790" priority="2667">
      <formula>$H20="ETAPA"</formula>
    </cfRule>
  </conditionalFormatting>
  <conditionalFormatting sqref="G27:L27">
    <cfRule type="expression" dxfId="4789" priority="2655">
      <formula>$H27="ETAPA"</formula>
    </cfRule>
  </conditionalFormatting>
  <conditionalFormatting sqref="G32:L32">
    <cfRule type="expression" dxfId="4788" priority="2641">
      <formula>$H32="ETAPA"</formula>
    </cfRule>
  </conditionalFormatting>
  <conditionalFormatting sqref="G35:L35 M333:M339 K336 K340:K343">
    <cfRule type="expression" dxfId="4787" priority="2627">
      <formula>$H35="ETAPA"</formula>
    </cfRule>
  </conditionalFormatting>
  <conditionalFormatting sqref="G35:L35">
    <cfRule type="expression" dxfId="4786" priority="2626">
      <formula>$H35="CÉLULA CONSTRUTIVA"</formula>
    </cfRule>
  </conditionalFormatting>
  <conditionalFormatting sqref="G37:L37 P101">
    <cfRule type="expression" dxfId="4785" priority="2613">
      <formula>$H37="ETAPA"</formula>
    </cfRule>
  </conditionalFormatting>
  <conditionalFormatting sqref="G47:L47">
    <cfRule type="expression" dxfId="4784" priority="2599">
      <formula>$H47="ETAPA"</formula>
    </cfRule>
  </conditionalFormatting>
  <conditionalFormatting sqref="G49:L49">
    <cfRule type="expression" dxfId="4783" priority="2585">
      <formula>$H49="ETAPA"</formula>
    </cfRule>
  </conditionalFormatting>
  <conditionalFormatting sqref="G51:L51">
    <cfRule type="expression" dxfId="4782" priority="2949">
      <formula>$H51="SUBETAPA"</formula>
    </cfRule>
    <cfRule type="expression" dxfId="4781" priority="2950">
      <formula>$H51="CÉLULA CONSTRUTIVA"</formula>
    </cfRule>
  </conditionalFormatting>
  <conditionalFormatting sqref="G53:L53">
    <cfRule type="expression" dxfId="4780" priority="2571">
      <formula>$H53="ETAPA"</formula>
    </cfRule>
  </conditionalFormatting>
  <conditionalFormatting sqref="G60:L60">
    <cfRule type="expression" dxfId="4779" priority="2557">
      <formula>$H60="ETAPA"</formula>
    </cfRule>
  </conditionalFormatting>
  <conditionalFormatting sqref="G68:L68">
    <cfRule type="expression" dxfId="4778" priority="2543">
      <formula>$H68="ETAPA"</formula>
    </cfRule>
  </conditionalFormatting>
  <conditionalFormatting sqref="G70:L70">
    <cfRule type="expression" dxfId="4777" priority="2529">
      <formula>$H70="ETAPA"</formula>
    </cfRule>
  </conditionalFormatting>
  <conditionalFormatting sqref="G74:L74">
    <cfRule type="expression" dxfId="4776" priority="2515">
      <formula>$H74="ETAPA"</formula>
    </cfRule>
  </conditionalFormatting>
  <conditionalFormatting sqref="G76:L76">
    <cfRule type="expression" dxfId="4775" priority="2935">
      <formula>$H76="SUBETAPA"</formula>
    </cfRule>
    <cfRule type="expression" dxfId="4774" priority="2936">
      <formula>$H76="CÉLULA CONSTRUTIVA"</formula>
    </cfRule>
  </conditionalFormatting>
  <conditionalFormatting sqref="G78:L78">
    <cfRule type="expression" dxfId="4773" priority="2500">
      <formula>$H78="CÉLULA CONSTRUTIVA"</formula>
    </cfRule>
    <cfRule type="expression" dxfId="4772" priority="2501">
      <formula>$H78="ETAPA"</formula>
    </cfRule>
  </conditionalFormatting>
  <conditionalFormatting sqref="G85:L85">
    <cfRule type="expression" dxfId="4771" priority="2486">
      <formula>$H85="CÉLULA CONSTRUTIVA"</formula>
    </cfRule>
    <cfRule type="expression" dxfId="4770" priority="2487">
      <formula>$H85="ETAPA"</formula>
    </cfRule>
  </conditionalFormatting>
  <conditionalFormatting sqref="G91:L92">
    <cfRule type="expression" dxfId="4769" priority="2921">
      <formula>$H91="CÉLULA CONSTRUTIVA"</formula>
    </cfRule>
  </conditionalFormatting>
  <conditionalFormatting sqref="G92:L92">
    <cfRule type="expression" dxfId="4768" priority="2920">
      <formula>$H92="SUBETAPA"</formula>
    </cfRule>
  </conditionalFormatting>
  <conditionalFormatting sqref="G93:L94">
    <cfRule type="expression" dxfId="4767" priority="2438">
      <formula>$H93="CÉLULA CONSTRUTIVA"</formula>
    </cfRule>
  </conditionalFormatting>
  <conditionalFormatting sqref="G94:L94">
    <cfRule type="expression" dxfId="4766" priority="2439">
      <formula>$H94="ETAPA"</formula>
    </cfRule>
  </conditionalFormatting>
  <conditionalFormatting sqref="G97:L97 G99:L99 G106:L106 H307:K325 H327:K328 H332:K332 O287:P287 O260:P260 O275:P275 O297:P297 G261:L263 G276:L276 G260:K260 L269 L272 G277:K287 O283 G290:L290 G292:L292 G294:L294 H299:K303 H305:K305">
    <cfRule type="expression" dxfId="4765" priority="3061">
      <formula>$H97="SUBETAPA"</formula>
    </cfRule>
  </conditionalFormatting>
  <conditionalFormatting sqref="G116:L116">
    <cfRule type="expression" dxfId="4764" priority="2905">
      <formula>$H116="SUBETAPA"</formula>
    </cfRule>
    <cfRule type="expression" dxfId="4763" priority="2906">
      <formula>$H116="CÉLULA CONSTRUTIVA"</formula>
    </cfRule>
  </conditionalFormatting>
  <conditionalFormatting sqref="G117:L118">
    <cfRule type="expression" dxfId="4762" priority="1795">
      <formula>$H117="CÉLULA CONSTRUTIVA"</formula>
    </cfRule>
  </conditionalFormatting>
  <conditionalFormatting sqref="G118:L118">
    <cfRule type="expression" dxfId="4761" priority="1793">
      <formula>$H118="SUBETAPA"</formula>
    </cfRule>
    <cfRule type="expression" dxfId="4760" priority="1794">
      <formula>$H118="ETAPA"</formula>
    </cfRule>
  </conditionalFormatting>
  <conditionalFormatting sqref="G122:L123">
    <cfRule type="expression" dxfId="4759" priority="2090">
      <formula>$H122="SUBETAPA"</formula>
    </cfRule>
  </conditionalFormatting>
  <conditionalFormatting sqref="G124:L124">
    <cfRule type="expression" dxfId="4758" priority="1952">
      <formula>$H124="SUBETAPA"</formula>
    </cfRule>
  </conditionalFormatting>
  <conditionalFormatting sqref="G125:L125 G123:O123">
    <cfRule type="expression" dxfId="4757" priority="3216">
      <formula>$H123="CÉLULA CONSTRUTIVA"</formula>
    </cfRule>
  </conditionalFormatting>
  <conditionalFormatting sqref="G125:L125">
    <cfRule type="expression" dxfId="4756" priority="3077">
      <formula>$H125="ETAPA"</formula>
    </cfRule>
  </conditionalFormatting>
  <conditionalFormatting sqref="G126:L126">
    <cfRule type="expression" dxfId="4755" priority="1657">
      <formula>$H126="SUBETAPA"</formula>
    </cfRule>
  </conditionalFormatting>
  <conditionalFormatting sqref="G127:L128">
    <cfRule type="expression" dxfId="4754" priority="2891">
      <formula>$H127="CÉLULA CONSTRUTIVA"</formula>
    </cfRule>
  </conditionalFormatting>
  <conditionalFormatting sqref="G128:L128">
    <cfRule type="expression" dxfId="4753" priority="2890">
      <formula>$H128="SUBETAPA"</formula>
    </cfRule>
  </conditionalFormatting>
  <conditionalFormatting sqref="G130:L130 G132:M132">
    <cfRule type="expression" dxfId="4752" priority="3079">
      <formula>$H130="CÉLULA CONSTRUTIVA"</formula>
    </cfRule>
  </conditionalFormatting>
  <conditionalFormatting sqref="G132:L137 G139:L143">
    <cfRule type="expression" dxfId="4751" priority="3080">
      <formula>$H132="SUBETAPA"</formula>
    </cfRule>
  </conditionalFormatting>
  <conditionalFormatting sqref="G135:L137 G139:L143">
    <cfRule type="expression" dxfId="4750" priority="3081">
      <formula>$H135="CÉLULA CONSTRUTIVA"</formula>
    </cfRule>
  </conditionalFormatting>
  <conditionalFormatting sqref="G138:L138">
    <cfRule type="expression" dxfId="4749" priority="1519">
      <formula>$H138="SUBETAPA"</formula>
    </cfRule>
  </conditionalFormatting>
  <conditionalFormatting sqref="G139:L144">
    <cfRule type="expression" dxfId="4748" priority="2877">
      <formula>$H139="ETAPA"</formula>
    </cfRule>
  </conditionalFormatting>
  <conditionalFormatting sqref="G144:L144">
    <cfRule type="expression" dxfId="4747" priority="2875">
      <formula>$H144="SUBETAPA"</formula>
    </cfRule>
    <cfRule type="expression" dxfId="4746" priority="2876">
      <formula>$H144="CÉLULA CONSTRUTIVA"</formula>
    </cfRule>
  </conditionalFormatting>
  <conditionalFormatting sqref="G146:L146">
    <cfRule type="expression" dxfId="4745" priority="1363">
      <formula>$H146="ETAPA"</formula>
    </cfRule>
    <cfRule type="expression" dxfId="4744" priority="1365">
      <formula>$H146="CÉLULA CONSTRUTIVA"</formula>
    </cfRule>
  </conditionalFormatting>
  <conditionalFormatting sqref="G148:L148">
    <cfRule type="expression" dxfId="4743" priority="1347">
      <formula>$H148="ETAPA"</formula>
    </cfRule>
    <cfRule type="expression" dxfId="4742" priority="1349">
      <formula>$H148="CÉLULA CONSTRUTIVA"</formula>
    </cfRule>
  </conditionalFormatting>
  <conditionalFormatting sqref="G150:L150">
    <cfRule type="expression" dxfId="4741" priority="1331">
      <formula>$H150="ETAPA"</formula>
    </cfRule>
    <cfRule type="expression" dxfId="4740" priority="1333">
      <formula>$H150="CÉLULA CONSTRUTIVA"</formula>
    </cfRule>
  </conditionalFormatting>
  <conditionalFormatting sqref="G152:L152">
    <cfRule type="expression" dxfId="4739" priority="1315">
      <formula>$H152="ETAPA"</formula>
    </cfRule>
    <cfRule type="expression" dxfId="4738" priority="1317">
      <formula>$H152="CÉLULA CONSTRUTIVA"</formula>
    </cfRule>
  </conditionalFormatting>
  <conditionalFormatting sqref="G155:L156">
    <cfRule type="expression" dxfId="4737" priority="468">
      <formula>$H155="SUBETAPA"</formula>
    </cfRule>
    <cfRule type="expression" dxfId="4736" priority="469">
      <formula>$H155="CÉLULA CONSTRUTIVA"</formula>
    </cfRule>
  </conditionalFormatting>
  <conditionalFormatting sqref="G158:L158">
    <cfRule type="expression" dxfId="4735" priority="526">
      <formula>$H158="ETAPA"</formula>
    </cfRule>
    <cfRule type="expression" dxfId="4734" priority="528">
      <formula>$H158="CÉLULA CONSTRUTIVA"</formula>
    </cfRule>
  </conditionalFormatting>
  <conditionalFormatting sqref="G160:L160">
    <cfRule type="expression" dxfId="4733" priority="512">
      <formula>$H160="CÉLULA CONSTRUTIVA"</formula>
    </cfRule>
  </conditionalFormatting>
  <conditionalFormatting sqref="G160:L161">
    <cfRule type="expression" dxfId="4732" priority="464">
      <formula>$H160="ETAPA"</formula>
    </cfRule>
  </conditionalFormatting>
  <conditionalFormatting sqref="G161:L162">
    <cfRule type="expression" dxfId="4731" priority="465">
      <formula>$H161="SUBETAPA"</formula>
    </cfRule>
    <cfRule type="expression" dxfId="4730" priority="466">
      <formula>$H161="CÉLULA CONSTRUTIVA"</formula>
    </cfRule>
  </conditionalFormatting>
  <conditionalFormatting sqref="G169:L169">
    <cfRule type="expression" dxfId="4729" priority="2830">
      <formula>$H169="SUBETAPA"</formula>
    </cfRule>
    <cfRule type="expression" dxfId="4728" priority="2831">
      <formula>$H169="CÉLULA CONSTRUTIVA"</formula>
    </cfRule>
  </conditionalFormatting>
  <conditionalFormatting sqref="G184:L186">
    <cfRule type="expression" dxfId="4727" priority="2800">
      <formula>$H184="SUBETAPA"</formula>
    </cfRule>
    <cfRule type="expression" dxfId="4726" priority="2801">
      <formula>$H184="CÉLULA CONSTRUTIVA"</formula>
    </cfRule>
    <cfRule type="expression" dxfId="4725" priority="2802">
      <formula>$H184="ETAPA"</formula>
    </cfRule>
  </conditionalFormatting>
  <conditionalFormatting sqref="G196:L196">
    <cfRule type="expression" dxfId="4724" priority="376">
      <formula>$H196="CÉLULA CONSTRUTIVA"</formula>
    </cfRule>
    <cfRule type="expression" dxfId="4723" priority="377">
      <formula>$H196="ETAPA"</formula>
    </cfRule>
  </conditionalFormatting>
  <conditionalFormatting sqref="G197:L198 N197:P198">
    <cfRule type="expression" dxfId="4722" priority="340">
      <formula>$H197="CÉLULA CONSTRUTIVA"</formula>
    </cfRule>
    <cfRule type="expression" dxfId="4721" priority="341">
      <formula>$H197="ETAPA"</formula>
    </cfRule>
  </conditionalFormatting>
  <conditionalFormatting sqref="G197:L198">
    <cfRule type="expression" dxfId="4720" priority="339">
      <formula>$H197="SUBETAPA"</formula>
    </cfRule>
  </conditionalFormatting>
  <conditionalFormatting sqref="G203:L204">
    <cfRule type="expression" dxfId="4719" priority="2786">
      <formula>$H203="CÉLULA CONSTRUTIVA"</formula>
    </cfRule>
    <cfRule type="expression" dxfId="4718" priority="2787">
      <formula>$H203="ETAPA"</formula>
    </cfRule>
  </conditionalFormatting>
  <conditionalFormatting sqref="G204:L204">
    <cfRule type="expression" dxfId="4717" priority="2785">
      <formula>$H204="SUBETAPA"</formula>
    </cfRule>
  </conditionalFormatting>
  <conditionalFormatting sqref="G212:L212">
    <cfRule type="expression" dxfId="4716" priority="2770">
      <formula>$H212="SUBETAPA"</formula>
    </cfRule>
    <cfRule type="expression" dxfId="4715" priority="2771">
      <formula>$H212="CÉLULA CONSTRUTIVA"</formula>
    </cfRule>
  </conditionalFormatting>
  <conditionalFormatting sqref="G237:L237">
    <cfRule type="expression" dxfId="4714" priority="2755">
      <formula>$H237="SUBETAPA"</formula>
    </cfRule>
    <cfRule type="expression" dxfId="4713" priority="2756">
      <formula>$H237="CÉLULA CONSTRUTIVA"</formula>
    </cfRule>
  </conditionalFormatting>
  <conditionalFormatting sqref="G259:L259">
    <cfRule type="expression" dxfId="4712" priority="2740">
      <formula>$H259="SUBETAPA"</formula>
    </cfRule>
    <cfRule type="expression" dxfId="4711" priority="2741">
      <formula>$H259="CÉLULA CONSTRUTIVA"</formula>
    </cfRule>
  </conditionalFormatting>
  <conditionalFormatting sqref="G260:L260 G275:L275 G287:L287 L238">
    <cfRule type="expression" dxfId="4710" priority="3223">
      <formula>$H238="CÉLULA CONSTRUTIVA"</formula>
    </cfRule>
  </conditionalFormatting>
  <conditionalFormatting sqref="G261:L261 P261">
    <cfRule type="expression" dxfId="4709" priority="986">
      <formula>$H261="ETAPA"</formula>
    </cfRule>
  </conditionalFormatting>
  <conditionalFormatting sqref="G263:L263 P263">
    <cfRule type="expression" dxfId="4708" priority="948">
      <formula>$H263="ETAPA"</formula>
    </cfRule>
  </conditionalFormatting>
  <conditionalFormatting sqref="G273:L274">
    <cfRule type="expression" dxfId="4707" priority="121">
      <formula>$H273="ETAPA"</formula>
    </cfRule>
  </conditionalFormatting>
  <conditionalFormatting sqref="G276:L276 P276">
    <cfRule type="expression" dxfId="4706" priority="910">
      <formula>$H276="ETAPA"</formula>
    </cfRule>
  </conditionalFormatting>
  <conditionalFormatting sqref="G277:L280 N277:P280">
    <cfRule type="expression" dxfId="4705" priority="3092">
      <formula>$H277="ETAPA"</formula>
    </cfRule>
  </conditionalFormatting>
  <conditionalFormatting sqref="G282:L282 N282:P282">
    <cfRule type="expression" dxfId="4704" priority="3094">
      <formula>$H282="ETAPA"</formula>
    </cfRule>
  </conditionalFormatting>
  <conditionalFormatting sqref="G284:L284 N284:P284">
    <cfRule type="expression" dxfId="4703" priority="3095">
      <formula>$H284="ETAPA"</formula>
    </cfRule>
  </conditionalFormatting>
  <conditionalFormatting sqref="G288:L288 N288:P288">
    <cfRule type="expression" dxfId="4702" priority="875">
      <formula>$H288="SUBETAPA"</formula>
    </cfRule>
  </conditionalFormatting>
  <conditionalFormatting sqref="G288:L288 P288">
    <cfRule type="expression" dxfId="4701" priority="872">
      <formula>$H288="ETAPA"</formula>
    </cfRule>
  </conditionalFormatting>
  <conditionalFormatting sqref="G296:L296">
    <cfRule type="expression" dxfId="4700" priority="2726">
      <formula>$H296="CÉLULA CONSTRUTIVA"</formula>
    </cfRule>
  </conditionalFormatting>
  <conditionalFormatting sqref="G296:L298">
    <cfRule type="expression" dxfId="4699" priority="862">
      <formula>$H296="SUBETAPA"</formula>
    </cfRule>
  </conditionalFormatting>
  <conditionalFormatting sqref="G298:L298">
    <cfRule type="expression" dxfId="4698" priority="840">
      <formula>$H298="CÉLULA CONSTRUTIVA"</formula>
    </cfRule>
  </conditionalFormatting>
  <conditionalFormatting sqref="G304:L304">
    <cfRule type="expression" dxfId="4697" priority="818">
      <formula>$H304="CÉLULA CONSTRUTIVA"</formula>
    </cfRule>
  </conditionalFormatting>
  <conditionalFormatting sqref="G306:L306">
    <cfRule type="expression" dxfId="4696" priority="2710">
      <formula>$H306="SUBETAPA"</formula>
    </cfRule>
    <cfRule type="expression" dxfId="4695" priority="2711">
      <formula>$H306="CÉLULA CONSTRUTIVA"</formula>
    </cfRule>
  </conditionalFormatting>
  <conditionalFormatting sqref="G322:L324 M322">
    <cfRule type="expression" dxfId="4694" priority="3096">
      <formula>$H322="ETAPA"</formula>
    </cfRule>
  </conditionalFormatting>
  <conditionalFormatting sqref="G326:L326">
    <cfRule type="expression" dxfId="4693" priority="2695">
      <formula>$H326="SUBETAPA"</formula>
    </cfRule>
    <cfRule type="expression" dxfId="4692" priority="2696">
      <formula>$H326="CÉLULA CONSTRUTIVA"</formula>
    </cfRule>
  </conditionalFormatting>
  <conditionalFormatting sqref="G330:L331">
    <cfRule type="expression" dxfId="4691" priority="3227">
      <formula>$H330="CÉLULA CONSTRUTIVA"</formula>
    </cfRule>
  </conditionalFormatting>
  <conditionalFormatting sqref="G15:M15 L71:M73 G97 J97 L97 G99 J99 L99 G101 J101 L101 G103 J103 L103 L105:L106 G106 J106 J108:J109 G109 L109 G346">
    <cfRule type="expression" dxfId="4690" priority="3102">
      <formula>$H15="CÉLULA CONSTRUTIVA"</formula>
    </cfRule>
  </conditionalFormatting>
  <conditionalFormatting sqref="G18:M18">
    <cfRule type="expression" dxfId="4689" priority="2963">
      <formula>$H18="ETAPA"</formula>
    </cfRule>
  </conditionalFormatting>
  <conditionalFormatting sqref="G20:M20">
    <cfRule type="expression" dxfId="4688" priority="2666">
      <formula>$H20="CÉLULA CONSTRUTIVA"</formula>
    </cfRule>
  </conditionalFormatting>
  <conditionalFormatting sqref="G27:M27">
    <cfRule type="expression" dxfId="4687" priority="2654">
      <formula>$H27="CÉLULA CONSTRUTIVA"</formula>
    </cfRule>
  </conditionalFormatting>
  <conditionalFormatting sqref="G32:M32">
    <cfRule type="expression" dxfId="4686" priority="2640">
      <formula>$H32="CÉLULA CONSTRUTIVA"</formula>
    </cfRule>
  </conditionalFormatting>
  <conditionalFormatting sqref="G37:M37">
    <cfRule type="expression" dxfId="4685" priority="2617">
      <formula>$H37="SUBETAPA"</formula>
    </cfRule>
  </conditionalFormatting>
  <conditionalFormatting sqref="G47:M47">
    <cfRule type="expression" dxfId="4684" priority="2598">
      <formula>$H47="CÉLULA CONSTRUTIVA"</formula>
    </cfRule>
  </conditionalFormatting>
  <conditionalFormatting sqref="G49:M49">
    <cfRule type="expression" dxfId="4683" priority="2584">
      <formula>$H49="CÉLULA CONSTRUTIVA"</formula>
    </cfRule>
  </conditionalFormatting>
  <conditionalFormatting sqref="G51:M51">
    <cfRule type="expression" dxfId="4682" priority="2951">
      <formula>$H51="ETAPA"</formula>
    </cfRule>
  </conditionalFormatting>
  <conditionalFormatting sqref="G53:M53">
    <cfRule type="expression" dxfId="4681" priority="2570">
      <formula>$H53="CÉLULA CONSTRUTIVA"</formula>
    </cfRule>
  </conditionalFormatting>
  <conditionalFormatting sqref="G60:M60">
    <cfRule type="expression" dxfId="4680" priority="2556">
      <formula>$H60="CÉLULA CONSTRUTIVA"</formula>
    </cfRule>
  </conditionalFormatting>
  <conditionalFormatting sqref="G68:M68">
    <cfRule type="expression" dxfId="4679" priority="2542">
      <formula>$H68="CÉLULA CONSTRUTIVA"</formula>
    </cfRule>
  </conditionalFormatting>
  <conditionalFormatting sqref="G70:M70">
    <cfRule type="expression" dxfId="4678" priority="2528">
      <formula>$H70="CÉLULA CONSTRUTIVA"</formula>
    </cfRule>
  </conditionalFormatting>
  <conditionalFormatting sqref="G74:M74">
    <cfRule type="expression" dxfId="4677" priority="2514">
      <formula>$H74="CÉLULA CONSTRUTIVA"</formula>
    </cfRule>
  </conditionalFormatting>
  <conditionalFormatting sqref="G76:M76">
    <cfRule type="expression" dxfId="4676" priority="2937">
      <formula>$H76="ETAPA"</formula>
    </cfRule>
  </conditionalFormatting>
  <conditionalFormatting sqref="G85:M85">
    <cfRule type="expression" dxfId="4675" priority="2491">
      <formula>$H85="SUBETAPA"</formula>
    </cfRule>
  </conditionalFormatting>
  <conditionalFormatting sqref="G92:M92">
    <cfRule type="expression" dxfId="4674" priority="2922">
      <formula>$H92="ETAPA"</formula>
    </cfRule>
  </conditionalFormatting>
  <conditionalFormatting sqref="G94:M94">
    <cfRule type="expression" dxfId="4673" priority="2443">
      <formula>$H94="SUBETAPA"</formula>
    </cfRule>
  </conditionalFormatting>
  <conditionalFormatting sqref="G116:M116">
    <cfRule type="expression" dxfId="4672" priority="2907">
      <formula>$H116="ETAPA"</formula>
    </cfRule>
  </conditionalFormatting>
  <conditionalFormatting sqref="G128:M128">
    <cfRule type="expression" dxfId="4671" priority="2892">
      <formula>$H128="ETAPA"</formula>
    </cfRule>
  </conditionalFormatting>
  <conditionalFormatting sqref="G130:M130 G132:L137">
    <cfRule type="expression" dxfId="4670" priority="3078">
      <formula>$H130="ETAPA"</formula>
    </cfRule>
  </conditionalFormatting>
  <conditionalFormatting sqref="G145:M145">
    <cfRule type="expression" dxfId="4669" priority="3105">
      <formula>$H145="SUBETAPA"</formula>
    </cfRule>
  </conditionalFormatting>
  <conditionalFormatting sqref="G149:M149 G151:M151 G153:M153">
    <cfRule type="expression" dxfId="4668" priority="3109">
      <formula>$H149="ETAPA"</formula>
    </cfRule>
  </conditionalFormatting>
  <conditionalFormatting sqref="G149:M149">
    <cfRule type="expression" dxfId="4667" priority="3108">
      <formula>$H149="CÉLULA CONSTRUTIVA"</formula>
    </cfRule>
  </conditionalFormatting>
  <conditionalFormatting sqref="G151:M151 G153:M153 M155">
    <cfRule type="expression" dxfId="4666" priority="3112">
      <formula>$H151="CÉLULA CONSTRUTIVA"</formula>
    </cfRule>
  </conditionalFormatting>
  <conditionalFormatting sqref="G154:M154">
    <cfRule type="expression" dxfId="4665" priority="1214">
      <formula>$H154="SUBETAPA"</formula>
    </cfRule>
    <cfRule type="expression" dxfId="4664" priority="1215">
      <formula>$H154="CÉLULA CONSTRUTIVA"</formula>
    </cfRule>
    <cfRule type="expression" dxfId="4663" priority="1216">
      <formula>$H154="ETAPA"</formula>
    </cfRule>
  </conditionalFormatting>
  <conditionalFormatting sqref="G156:M156">
    <cfRule type="expression" dxfId="4662" priority="2862">
      <formula>$H156="ETAPA"</formula>
    </cfRule>
  </conditionalFormatting>
  <conditionalFormatting sqref="G163:M163 G177:K177 M177">
    <cfRule type="expression" dxfId="4661" priority="3115">
      <formula>$H163="SUBETAPA"</formula>
    </cfRule>
  </conditionalFormatting>
  <conditionalFormatting sqref="G163:M165 M167:M168 N165:O165">
    <cfRule type="expression" dxfId="4660" priority="3285">
      <formula>$H163="CÉLULA CONSTRUTIVA"</formula>
    </cfRule>
  </conditionalFormatting>
  <conditionalFormatting sqref="G169:M169">
    <cfRule type="expression" dxfId="4659" priority="2832">
      <formula>$H169="ETAPA"</formula>
    </cfRule>
  </conditionalFormatting>
  <conditionalFormatting sqref="G191:M191 G194:L194 G199:M199">
    <cfRule type="expression" dxfId="4658" priority="3084">
      <formula>$H191="ETAPA"</formula>
    </cfRule>
  </conditionalFormatting>
  <conditionalFormatting sqref="G191:M191 G199:M199 G194:L194">
    <cfRule type="expression" dxfId="4657" priority="3083">
      <formula>$H191="CÉLULA CONSTRUTIVA"</formula>
    </cfRule>
  </conditionalFormatting>
  <conditionalFormatting sqref="G191:M191 G199:M199">
    <cfRule type="expression" dxfId="4656" priority="3082">
      <formula>$H191="SUBETAPA"</formula>
    </cfRule>
  </conditionalFormatting>
  <conditionalFormatting sqref="G194:M194">
    <cfRule type="expression" dxfId="4655" priority="1234">
      <formula>$H194="SUBETAPA"</formula>
    </cfRule>
  </conditionalFormatting>
  <conditionalFormatting sqref="G196:M196">
    <cfRule type="expression" dxfId="4654" priority="360">
      <formula>$H196="SUBETAPA"</formula>
    </cfRule>
  </conditionalFormatting>
  <conditionalFormatting sqref="G205:M206">
    <cfRule type="expression" dxfId="4653" priority="1191">
      <formula>$H205="SUBETAPA"</formula>
    </cfRule>
  </conditionalFormatting>
  <conditionalFormatting sqref="G206:M206">
    <cfRule type="expression" dxfId="4652" priority="1192">
      <formula>$H206="CÉLULA CONSTRUTIVA"</formula>
    </cfRule>
    <cfRule type="expression" dxfId="4651" priority="1193">
      <formula>$H206="ETAPA"</formula>
    </cfRule>
  </conditionalFormatting>
  <conditionalFormatting sqref="G208:M208">
    <cfRule type="expression" dxfId="4650" priority="1168">
      <formula>$H208="SUBETAPA"</formula>
    </cfRule>
    <cfRule type="expression" dxfId="4649" priority="1169">
      <formula>$H208="CÉLULA CONSTRUTIVA"</formula>
    </cfRule>
    <cfRule type="expression" dxfId="4648" priority="1170">
      <formula>$H208="ETAPA"</formula>
    </cfRule>
  </conditionalFormatting>
  <conditionalFormatting sqref="G209:M209">
    <cfRule type="expression" dxfId="4647" priority="3201">
      <formula>$H209="CÉLULA CONSTRUTIVA"</formula>
    </cfRule>
  </conditionalFormatting>
  <conditionalFormatting sqref="G212:M212">
    <cfRule type="expression" dxfId="4646" priority="2772">
      <formula>$H212="ETAPA"</formula>
    </cfRule>
  </conditionalFormatting>
  <conditionalFormatting sqref="G213:M213 G233:I236 K235:K236">
    <cfRule type="expression" dxfId="4645" priority="3123">
      <formula>$H213="SUBETAPA"</formula>
    </cfRule>
  </conditionalFormatting>
  <conditionalFormatting sqref="G214:M214">
    <cfRule type="expression" dxfId="4644" priority="1122">
      <formula>$H214="SUBETAPA"</formula>
    </cfRule>
    <cfRule type="expression" dxfId="4643" priority="1123">
      <formula>$H214="CÉLULA CONSTRUTIVA"</formula>
    </cfRule>
    <cfRule type="expression" dxfId="4642" priority="1124">
      <formula>$H214="ETAPA"</formula>
    </cfRule>
  </conditionalFormatting>
  <conditionalFormatting sqref="G218:M218">
    <cfRule type="expression" dxfId="4641" priority="1099">
      <formula>$H218="SUBETAPA"</formula>
    </cfRule>
    <cfRule type="expression" dxfId="4640" priority="1100">
      <formula>$H218="CÉLULA CONSTRUTIVA"</formula>
    </cfRule>
    <cfRule type="expression" dxfId="4639" priority="1101">
      <formula>$H218="ETAPA"</formula>
    </cfRule>
  </conditionalFormatting>
  <conditionalFormatting sqref="G223:M223">
    <cfRule type="expression" dxfId="4638" priority="1076">
      <formula>$H223="SUBETAPA"</formula>
    </cfRule>
    <cfRule type="expression" dxfId="4637" priority="1077">
      <formula>$H223="CÉLULA CONSTRUTIVA"</formula>
    </cfRule>
    <cfRule type="expression" dxfId="4636" priority="1078">
      <formula>$H223="ETAPA"</formula>
    </cfRule>
  </conditionalFormatting>
  <conditionalFormatting sqref="G226:M226">
    <cfRule type="expression" dxfId="4635" priority="315">
      <formula>$H226="SUBETAPA"</formula>
    </cfRule>
    <cfRule type="expression" dxfId="4634" priority="316">
      <formula>$H226="CÉLULA CONSTRUTIVA"</formula>
    </cfRule>
    <cfRule type="expression" dxfId="4633" priority="317">
      <formula>$H226="ETAPA"</formula>
    </cfRule>
  </conditionalFormatting>
  <conditionalFormatting sqref="G237:M237">
    <cfRule type="expression" dxfId="4632" priority="2757">
      <formula>$H237="ETAPA"</formula>
    </cfRule>
  </conditionalFormatting>
  <conditionalFormatting sqref="G238:M238">
    <cfRule type="expression" dxfId="4631" priority="3124">
      <formula>$H238="SUBETAPA"</formula>
    </cfRule>
  </conditionalFormatting>
  <conditionalFormatting sqref="G239:M239">
    <cfRule type="expression" dxfId="4630" priority="216">
      <formula>$H239="ETAPA"</formula>
    </cfRule>
  </conditionalFormatting>
  <conditionalFormatting sqref="G239:M244">
    <cfRule type="expression" dxfId="4629" priority="209">
      <formula>$H239="CÉLULA CONSTRUTIVA"</formula>
    </cfRule>
  </conditionalFormatting>
  <conditionalFormatting sqref="G239:M249">
    <cfRule type="expression" dxfId="4628" priority="162">
      <formula>$H239="SUBETAPA"</formula>
    </cfRule>
  </conditionalFormatting>
  <conditionalFormatting sqref="G241:M241">
    <cfRule type="expression" dxfId="4627" priority="1055">
      <formula>$H241="ETAPA"</formula>
    </cfRule>
  </conditionalFormatting>
  <conditionalFormatting sqref="G247:M247">
    <cfRule type="expression" dxfId="4626" priority="1032">
      <formula>$H247="ETAPA"</formula>
    </cfRule>
  </conditionalFormatting>
  <conditionalFormatting sqref="G247:M249">
    <cfRule type="expression" dxfId="4625" priority="163">
      <formula>$H247="CÉLULA CONSTRUTIVA"</formula>
    </cfRule>
  </conditionalFormatting>
  <conditionalFormatting sqref="G259:M259">
    <cfRule type="expression" dxfId="4624" priority="2742">
      <formula>$H259="ETAPA"</formula>
    </cfRule>
  </conditionalFormatting>
  <conditionalFormatting sqref="G260:M260 G275:M275 G287:M287 G297:M297">
    <cfRule type="expression" dxfId="4623" priority="3128">
      <formula>$H260="SUBETAPA"</formula>
    </cfRule>
  </conditionalFormatting>
  <conditionalFormatting sqref="G296:M296">
    <cfRule type="expression" dxfId="4622" priority="2727">
      <formula>$H296="ETAPA"</formula>
    </cfRule>
  </conditionalFormatting>
  <conditionalFormatting sqref="G306:M306">
    <cfRule type="expression" dxfId="4621" priority="2712">
      <formula>$H306="ETAPA"</formula>
    </cfRule>
  </conditionalFormatting>
  <conditionalFormatting sqref="G326:M326">
    <cfRule type="expression" dxfId="4620" priority="2697">
      <formula>$H326="ETAPA"</formula>
    </cfRule>
  </conditionalFormatting>
  <conditionalFormatting sqref="G344:M344">
    <cfRule type="expression" dxfId="4619" priority="2682">
      <formula>$H344="ETAPA"</formula>
    </cfRule>
  </conditionalFormatting>
  <conditionalFormatting sqref="G117:N117">
    <cfRule type="expression" dxfId="4618" priority="2418">
      <formula>$H117="ETAPA"</formula>
    </cfRule>
  </conditionalFormatting>
  <conditionalFormatting sqref="G118:N118">
    <cfRule type="expression" dxfId="4617" priority="1799">
      <formula>$H118="CÉLULA CONSTRUTIVA"</formula>
    </cfRule>
  </conditionalFormatting>
  <conditionalFormatting sqref="G122:N122 P122">
    <cfRule type="expression" dxfId="4616" priority="2094">
      <formula>$H122="ETAPA"</formula>
    </cfRule>
    <cfRule type="expression" dxfId="4615" priority="2095">
      <formula>$H122="CÉLULA CONSTRUTIVA"</formula>
    </cfRule>
    <cfRule type="expression" dxfId="4614" priority="2096">
      <formula>$H122="SUBETAPA"</formula>
    </cfRule>
  </conditionalFormatting>
  <conditionalFormatting sqref="G124:N124 P124">
    <cfRule type="expression" dxfId="4613" priority="1956">
      <formula>$H124="ETAPA"</formula>
    </cfRule>
    <cfRule type="expression" dxfId="4612" priority="1957">
      <formula>$H124="CÉLULA CONSTRUTIVA"</formula>
    </cfRule>
    <cfRule type="expression" dxfId="4611" priority="1958">
      <formula>$H124="SUBETAPA"</formula>
    </cfRule>
  </conditionalFormatting>
  <conditionalFormatting sqref="G126:N126 P126">
    <cfRule type="expression" dxfId="4610" priority="1661">
      <formula>$H126="ETAPA"</formula>
    </cfRule>
    <cfRule type="expression" dxfId="4609" priority="1662">
      <formula>$H126="CÉLULA CONSTRUTIVA"</formula>
    </cfRule>
    <cfRule type="expression" dxfId="4608" priority="1663">
      <formula>$H126="SUBETAPA"</formula>
    </cfRule>
  </conditionalFormatting>
  <conditionalFormatting sqref="G129:N129">
    <cfRule type="expression" dxfId="4607" priority="2381">
      <formula>$H129="ETAPA"</formula>
    </cfRule>
  </conditionalFormatting>
  <conditionalFormatting sqref="G145:N145">
    <cfRule type="expression" dxfId="4606" priority="3104">
      <formula>$H145="ETAPA"</formula>
    </cfRule>
  </conditionalFormatting>
  <conditionalFormatting sqref="G146:N146">
    <cfRule type="expression" dxfId="4605" priority="1364">
      <formula>$H146="SUBETAPA"</formula>
    </cfRule>
  </conditionalFormatting>
  <conditionalFormatting sqref="G147:N147 M173:O173">
    <cfRule type="expression" dxfId="4604" priority="3131">
      <formula>$H147="ETAPA"</formula>
    </cfRule>
  </conditionalFormatting>
  <conditionalFormatting sqref="G148:N148">
    <cfRule type="expression" dxfId="4603" priority="1348">
      <formula>$H148="SUBETAPA"</formula>
    </cfRule>
  </conditionalFormatting>
  <conditionalFormatting sqref="G150:N150">
    <cfRule type="expression" dxfId="4602" priority="1332">
      <formula>$H150="SUBETAPA"</formula>
    </cfRule>
  </conditionalFormatting>
  <conditionalFormatting sqref="G152:N152">
    <cfRule type="expression" dxfId="4601" priority="1316">
      <formula>$H152="SUBETAPA"</formula>
    </cfRule>
  </conditionalFormatting>
  <conditionalFormatting sqref="G158:N158">
    <cfRule type="expression" dxfId="4600" priority="527">
      <formula>$H158="SUBETAPA"</formula>
    </cfRule>
  </conditionalFormatting>
  <conditionalFormatting sqref="G160:N160">
    <cfRule type="expression" dxfId="4599" priority="511">
      <formula>$H160="SUBETAPA"</formula>
    </cfRule>
  </conditionalFormatting>
  <conditionalFormatting sqref="G167:N168">
    <cfRule type="expression" dxfId="4598" priority="3116">
      <formula>$H110="CÉLULA CONSTRUTIVA"</formula>
    </cfRule>
    <cfRule type="expression" dxfId="4597" priority="3117">
      <formula>$H110="ETAPA"</formula>
    </cfRule>
  </conditionalFormatting>
  <conditionalFormatting sqref="G205:N205">
    <cfRule type="expression" dxfId="4596" priority="3119">
      <formula>$H205="CÉLULA CONSTRUTIVA"</formula>
    </cfRule>
  </conditionalFormatting>
  <conditionalFormatting sqref="G275:N275">
    <cfRule type="expression" dxfId="4595" priority="1027">
      <formula>$H275="ETAPA"</formula>
    </cfRule>
  </conditionalFormatting>
  <conditionalFormatting sqref="G145:O145">
    <cfRule type="expression" dxfId="4594" priority="3103">
      <formula>$H145="CÉLULA CONSTRUTIVA"</formula>
    </cfRule>
  </conditionalFormatting>
  <conditionalFormatting sqref="G147:O147 M173:O173">
    <cfRule type="expression" dxfId="4593" priority="3130">
      <formula>$H147="CÉLULA CONSTRUTIVA"</formula>
    </cfRule>
  </conditionalFormatting>
  <conditionalFormatting sqref="G149:O149">
    <cfRule type="expression" dxfId="4592" priority="3136">
      <formula>$H149="SUBETAPA"</formula>
    </cfRule>
  </conditionalFormatting>
  <conditionalFormatting sqref="G153:O153 J159:N159 G210:P211">
    <cfRule type="expression" dxfId="4591" priority="3052">
      <formula>$H153="SUBETAPA"</formula>
    </cfRule>
  </conditionalFormatting>
  <conditionalFormatting sqref="G205:O205">
    <cfRule type="expression" dxfId="4590" priority="3120">
      <formula>$H205="ETAPA"</formula>
    </cfRule>
  </conditionalFormatting>
  <conditionalFormatting sqref="G15:P15 L105 G346">
    <cfRule type="expression" dxfId="4589" priority="3137">
      <formula>$H15="SUBETAPA"</formula>
    </cfRule>
  </conditionalFormatting>
  <conditionalFormatting sqref="G27:P27">
    <cfRule type="expression" dxfId="4588" priority="2657">
      <formula>$H27="SUBETAPA"</formula>
    </cfRule>
  </conditionalFormatting>
  <conditionalFormatting sqref="G32:P32">
    <cfRule type="expression" dxfId="4587" priority="2643">
      <formula>$H32="SUBETAPA"</formula>
    </cfRule>
  </conditionalFormatting>
  <conditionalFormatting sqref="G35:P35">
    <cfRule type="expression" dxfId="4586" priority="2629">
      <formula>$H35="SUBETAPA"</formula>
    </cfRule>
  </conditionalFormatting>
  <conditionalFormatting sqref="G47:P47">
    <cfRule type="expression" dxfId="4585" priority="2601">
      <formula>$H47="SUBETAPA"</formula>
    </cfRule>
  </conditionalFormatting>
  <conditionalFormatting sqref="G49:P49">
    <cfRule type="expression" dxfId="4584" priority="2587">
      <formula>$H49="SUBETAPA"</formula>
    </cfRule>
  </conditionalFormatting>
  <conditionalFormatting sqref="G53:P53">
    <cfRule type="expression" dxfId="4583" priority="2573">
      <formula>$H53="SUBETAPA"</formula>
    </cfRule>
  </conditionalFormatting>
  <conditionalFormatting sqref="G60:P60">
    <cfRule type="expression" dxfId="4582" priority="2559">
      <formula>$H60="SUBETAPA"</formula>
    </cfRule>
  </conditionalFormatting>
  <conditionalFormatting sqref="G68:P68">
    <cfRule type="expression" dxfId="4581" priority="2545">
      <formula>$H68="SUBETAPA"</formula>
    </cfRule>
  </conditionalFormatting>
  <conditionalFormatting sqref="G70:P70">
    <cfRule type="expression" dxfId="4580" priority="2531">
      <formula>$H70="SUBETAPA"</formula>
    </cfRule>
  </conditionalFormatting>
  <conditionalFormatting sqref="G74:P74">
    <cfRule type="expression" dxfId="4579" priority="2517">
      <formula>$H74="SUBETAPA"</formula>
    </cfRule>
  </conditionalFormatting>
  <conditionalFormatting sqref="G78:P78">
    <cfRule type="expression" dxfId="4578" priority="2503">
      <formula>$H78="SUBETAPA"</formula>
    </cfRule>
  </conditionalFormatting>
  <conditionalFormatting sqref="G90:P90">
    <cfRule type="expression" dxfId="4577" priority="3360">
      <formula>$H90="CÉLULA CONSTRUTIVA"</formula>
    </cfRule>
  </conditionalFormatting>
  <conditionalFormatting sqref="G97:P97 G99:P99 G101:P101 G103:P103 G106:P106 G109:P109 G305:P305 G307:P308 G313:P313 G315:P315 G319:P319 G327:P327">
    <cfRule type="expression" dxfId="4576" priority="3139">
      <formula>$H97="CÉLULA CONSTRUTIVA"</formula>
    </cfRule>
    <cfRule type="expression" dxfId="4575" priority="3140">
      <formula>$H97="SUBETAPA"</formula>
    </cfRule>
  </conditionalFormatting>
  <conditionalFormatting sqref="G138:P138">
    <cfRule type="expression" dxfId="4574" priority="1523">
      <formula>$H138="ETAPA"</formula>
    </cfRule>
    <cfRule type="expression" dxfId="4573" priority="1524">
      <formula>$H138="CÉLULA CONSTRUTIVA"</formula>
    </cfRule>
    <cfRule type="expression" dxfId="4572" priority="1525">
      <formula>$H138="SUBETAPA"</formula>
    </cfRule>
  </conditionalFormatting>
  <conditionalFormatting sqref="G157:P157">
    <cfRule type="expression" dxfId="4571" priority="3063">
      <formula>$H157="ETAPA"</formula>
    </cfRule>
  </conditionalFormatting>
  <conditionalFormatting sqref="G174:P174 G163:K163 G170:K170 M182">
    <cfRule type="expression" dxfId="4570" priority="3287">
      <formula>$H163="CÉLULA CONSTRUTIVA"</formula>
    </cfRule>
  </conditionalFormatting>
  <conditionalFormatting sqref="G207:P207 M209">
    <cfRule type="expression" dxfId="4569" priority="3134">
      <formula>$H207="SUBETAPA"</formula>
    </cfRule>
  </conditionalFormatting>
  <conditionalFormatting sqref="G207:P207">
    <cfRule type="expression" dxfId="4568" priority="3132">
      <formula>$H207="CÉLULA CONSTRUTIVA"</formula>
    </cfRule>
    <cfRule type="expression" dxfId="4567" priority="3133">
      <formula>$H207="ETAPA"</formula>
    </cfRule>
  </conditionalFormatting>
  <conditionalFormatting sqref="G213:P213 G233:I236 K235:K236">
    <cfRule type="expression" dxfId="4566" priority="3122">
      <formula>$H213="CÉLULA CONSTRUTIVA"</formula>
    </cfRule>
  </conditionalFormatting>
  <conditionalFormatting sqref="G260:P260 G275:N275 G287:N287 G297:M297">
    <cfRule type="expression" dxfId="4565" priority="3127">
      <formula>$H260="CÉLULA CONSTRUTIVA"</formula>
    </cfRule>
  </conditionalFormatting>
  <conditionalFormatting sqref="G260:P260 O275:P275 G287:M287 O287:P287 G297:P297 G238:P238">
    <cfRule type="expression" dxfId="4564" priority="3069">
      <formula>$H238="ETAPA"</formula>
    </cfRule>
  </conditionalFormatting>
  <conditionalFormatting sqref="G299:P299">
    <cfRule type="expression" dxfId="4563" priority="3145">
      <formula>$H299="SUBETAPA"</formula>
    </cfRule>
    <cfRule type="expression" dxfId="4562" priority="3146">
      <formula>$H299="CÉLULA CONSTRUTIVA"</formula>
    </cfRule>
    <cfRule type="expression" dxfId="4561" priority="3147">
      <formula>$H299="ETAPA"</formula>
    </cfRule>
  </conditionalFormatting>
  <conditionalFormatting sqref="G301:P301">
    <cfRule type="expression" dxfId="4560" priority="3148">
      <formula>$H301="SUBETAPA"</formula>
    </cfRule>
    <cfRule type="expression" dxfId="4559" priority="3149">
      <formula>$H301="CÉLULA CONSTRUTIVA"</formula>
    </cfRule>
    <cfRule type="expression" dxfId="4558" priority="3150">
      <formula>$H301="ETAPA"</formula>
    </cfRule>
  </conditionalFormatting>
  <conditionalFormatting sqref="G303:P303">
    <cfRule type="expression" dxfId="4557" priority="3151">
      <formula>$H303="SUBETAPA"</formula>
    </cfRule>
    <cfRule type="expression" dxfId="4556" priority="3152">
      <formula>$H303="CÉLULA CONSTRUTIVA"</formula>
    </cfRule>
    <cfRule type="expression" dxfId="4555" priority="3153">
      <formula>$H303="ETAPA"</formula>
    </cfRule>
  </conditionalFormatting>
  <conditionalFormatting sqref="G304:P304">
    <cfRule type="expression" dxfId="4554" priority="819">
      <formula>$H304="SUBETAPA"</formula>
    </cfRule>
  </conditionalFormatting>
  <conditionalFormatting sqref="G327:P327 G97:P97 G99:P99 G101:P101 G103:P103 G106:P106 G109:P109 G305:P305 G307:P308 G313:P313 G315:P315 G319:P319">
    <cfRule type="expression" dxfId="4553" priority="3138">
      <formula>$H97="ETAPA"</formula>
    </cfRule>
  </conditionalFormatting>
  <conditionalFormatting sqref="G328:P328">
    <cfRule type="expression" dxfId="4552" priority="705">
      <formula>$H328="ETAPA"</formula>
    </cfRule>
    <cfRule type="expression" dxfId="4551" priority="706">
      <formula>$H328="CÉLULA CONSTRUTIVA"</formula>
    </cfRule>
    <cfRule type="expression" dxfId="4550" priority="707">
      <formula>$H328="SUBETAPA"</formula>
    </cfRule>
  </conditionalFormatting>
  <conditionalFormatting sqref="G332:P332">
    <cfRule type="expression" dxfId="4549" priority="779">
      <formula>$H332="ETAPA"</formula>
    </cfRule>
    <cfRule type="expression" dxfId="4548" priority="780">
      <formula>$H332="CÉLULA CONSTRUTIVA"</formula>
    </cfRule>
    <cfRule type="expression" dxfId="4547" priority="781">
      <formula>$H332="SUBETAPA"</formula>
    </cfRule>
  </conditionalFormatting>
  <conditionalFormatting sqref="G345:P345">
    <cfRule type="expression" dxfId="4546" priority="696">
      <formula>$H345="ETAPA"</formula>
    </cfRule>
    <cfRule type="expression" dxfId="4545" priority="697">
      <formula>$H345="CÉLULA CONSTRUTIVA"</formula>
    </cfRule>
    <cfRule type="expression" dxfId="4544" priority="698">
      <formula>$H345="SUBETAPA"</formula>
    </cfRule>
  </conditionalFormatting>
  <conditionalFormatting sqref="H345:K345">
    <cfRule type="expression" dxfId="4543" priority="695">
      <formula>$H345="SUBETAPA"</formula>
    </cfRule>
    <cfRule type="expression" dxfId="4542" priority="699">
      <formula>$H345="CÉLULA CONSTRUTIVA"</formula>
    </cfRule>
  </conditionalFormatting>
  <conditionalFormatting sqref="I36:K36">
    <cfRule type="expression" dxfId="4541" priority="3154">
      <formula>$H36="ETAPA"</formula>
    </cfRule>
  </conditionalFormatting>
  <conditionalFormatting sqref="I122:N122">
    <cfRule type="expression" dxfId="4540" priority="2119">
      <formula>$H122="CÉLULA CONSTRUTIVA"</formula>
    </cfRule>
  </conditionalFormatting>
  <conditionalFormatting sqref="I124:N124">
    <cfRule type="expression" dxfId="4539" priority="1981">
      <formula>$H124="CÉLULA CONSTRUTIVA"</formula>
    </cfRule>
  </conditionalFormatting>
  <conditionalFormatting sqref="I126:N126">
    <cfRule type="expression" dxfId="4538" priority="1686">
      <formula>$H126="CÉLULA CONSTRUTIVA"</formula>
    </cfRule>
  </conditionalFormatting>
  <conditionalFormatting sqref="I138:N138">
    <cfRule type="expression" dxfId="4537" priority="1548">
      <formula>$H138="CÉLULA CONSTRUTIVA"</formula>
    </cfRule>
  </conditionalFormatting>
  <conditionalFormatting sqref="J33">
    <cfRule type="expression" dxfId="4536" priority="3156">
      <formula>$H33="ETAPA"</formula>
    </cfRule>
  </conditionalFormatting>
  <conditionalFormatting sqref="J87:J89">
    <cfRule type="expression" dxfId="4535" priority="3157">
      <formula>$H87="SUBETAPA"</formula>
    </cfRule>
    <cfRule type="expression" dxfId="4534" priority="3158">
      <formula>$H87="CÉLULA CONSTRUTIVA"</formula>
    </cfRule>
  </conditionalFormatting>
  <conditionalFormatting sqref="J98:J99 J101:K101 J106:J109">
    <cfRule type="expression" dxfId="4533" priority="3160">
      <formula>$H98="ETAPA"</formula>
    </cfRule>
  </conditionalFormatting>
  <conditionalFormatting sqref="J108:J109 J98">
    <cfRule type="expression" dxfId="4532" priority="3163">
      <formula>$H98="SUBETAPA"</formula>
    </cfRule>
  </conditionalFormatting>
  <conditionalFormatting sqref="J122">
    <cfRule type="expression" dxfId="4531" priority="2098">
      <formula>$H122="ETAPA"</formula>
    </cfRule>
  </conditionalFormatting>
  <conditionalFormatting sqref="J124">
    <cfRule type="expression" dxfId="4530" priority="1960">
      <formula>$H124="ETAPA"</formula>
    </cfRule>
  </conditionalFormatting>
  <conditionalFormatting sqref="J126">
    <cfRule type="expression" dxfId="4529" priority="1665">
      <formula>$H126="ETAPA"</formula>
    </cfRule>
  </conditionalFormatting>
  <conditionalFormatting sqref="J138">
    <cfRule type="expression" dxfId="4528" priority="1527">
      <formula>$H138="ETAPA"</formula>
    </cfRule>
  </conditionalFormatting>
  <conditionalFormatting sqref="J164 J171 J174 J178:K178 J182">
    <cfRule type="expression" dxfId="4527" priority="3168">
      <formula>$H164="ETAPA"</formula>
    </cfRule>
  </conditionalFormatting>
  <conditionalFormatting sqref="J167:J168">
    <cfRule type="expression" dxfId="4526" priority="3169">
      <formula>$H167="CÉLULA CONSTRUTIVA"</formula>
    </cfRule>
    <cfRule type="expression" dxfId="4525" priority="3170">
      <formula>$H167="ETAPA"</formula>
    </cfRule>
  </conditionalFormatting>
  <conditionalFormatting sqref="J171 J174 J178:K178 J164 J182">
    <cfRule type="expression" dxfId="4524" priority="3167">
      <formula>$H164="CÉLULA CONSTRUTIVA"</formula>
    </cfRule>
  </conditionalFormatting>
  <conditionalFormatting sqref="J211">
    <cfRule type="expression" dxfId="4523" priority="3171">
      <formula>$H211="ETAPA"</formula>
    </cfRule>
  </conditionalFormatting>
  <conditionalFormatting sqref="J329:J330 N191:O192 G329:I329 K329:L329">
    <cfRule type="expression" dxfId="4522" priority="3085">
      <formula>$H191="CÉLULA CONSTRUTIVA"</formula>
    </cfRule>
  </conditionalFormatting>
  <conditionalFormatting sqref="J98:K98">
    <cfRule type="expression" dxfId="4521" priority="3038">
      <formula>$H108="ETAPA"</formula>
    </cfRule>
    <cfRule type="expression" dxfId="4520" priority="3039">
      <formula>$H108="CÉLULA CONSTRUTIVA"</formula>
    </cfRule>
    <cfRule type="expression" dxfId="4519" priority="3040">
      <formula>$H108="SUBETAPA"</formula>
    </cfRule>
  </conditionalFormatting>
  <conditionalFormatting sqref="J109:K109">
    <cfRule type="expression" dxfId="4518" priority="3164">
      <formula>$H107="SUBETAPA"</formula>
    </cfRule>
    <cfRule type="expression" dxfId="4517" priority="3165">
      <formula>$H107="CÉLULA CONSTRUTIVA"</formula>
    </cfRule>
    <cfRule type="expression" dxfId="4516" priority="3166">
      <formula>$H107="ETAPA"</formula>
    </cfRule>
  </conditionalFormatting>
  <conditionalFormatting sqref="J122:K122">
    <cfRule type="expression" dxfId="4515" priority="2099">
      <formula>$H122="SUBETAPA"</formula>
    </cfRule>
    <cfRule type="expression" dxfId="4514" priority="2100">
      <formula>$H122="CÉLULA CONSTRUTIVA"</formula>
    </cfRule>
    <cfRule type="expression" dxfId="4513" priority="2101">
      <formula>$H122="ETAPA"</formula>
    </cfRule>
  </conditionalFormatting>
  <conditionalFormatting sqref="J124:K124">
    <cfRule type="expression" dxfId="4512" priority="1961">
      <formula>$H124="SUBETAPA"</formula>
    </cfRule>
    <cfRule type="expression" dxfId="4511" priority="1962">
      <formula>$H124="CÉLULA CONSTRUTIVA"</formula>
    </cfRule>
    <cfRule type="expression" dxfId="4510" priority="1963">
      <formula>$H124="ETAPA"</formula>
    </cfRule>
  </conditionalFormatting>
  <conditionalFormatting sqref="J126:K126">
    <cfRule type="expression" dxfId="4509" priority="1666">
      <formula>$H126="SUBETAPA"</formula>
    </cfRule>
    <cfRule type="expression" dxfId="4508" priority="1667">
      <formula>$H126="CÉLULA CONSTRUTIVA"</formula>
    </cfRule>
    <cfRule type="expression" dxfId="4507" priority="1668">
      <formula>$H126="ETAPA"</formula>
    </cfRule>
  </conditionalFormatting>
  <conditionalFormatting sqref="J138:K138">
    <cfRule type="expression" dxfId="4506" priority="1528">
      <formula>$H138="SUBETAPA"</formula>
    </cfRule>
    <cfRule type="expression" dxfId="4505" priority="1529">
      <formula>$H138="CÉLULA CONSTRUTIVA"</formula>
    </cfRule>
    <cfRule type="expression" dxfId="4504" priority="1530">
      <formula>$H138="ETAPA"</formula>
    </cfRule>
  </conditionalFormatting>
  <conditionalFormatting sqref="J113:L113">
    <cfRule type="expression" dxfId="4503" priority="543">
      <formula>$H113="CÉLULA CONSTRUTIVA"</formula>
    </cfRule>
  </conditionalFormatting>
  <conditionalFormatting sqref="J294:L294">
    <cfRule type="expression" dxfId="4502" priority="3172">
      <formula>$H294="ETAPA"</formula>
    </cfRule>
  </conditionalFormatting>
  <conditionalFormatting sqref="J95:M96 N95:O97 N99:O99 N101:O101 N106:O106">
    <cfRule type="expression" dxfId="4501" priority="3180">
      <formula>$H95="ETAPA"</formula>
    </cfRule>
  </conditionalFormatting>
  <conditionalFormatting sqref="J109:N109 N105:P105">
    <cfRule type="expression" dxfId="4500" priority="3437">
      <formula>$H105="CÉLULA CONSTRUTIVA"</formula>
    </cfRule>
  </conditionalFormatting>
  <conditionalFormatting sqref="J100:O100">
    <cfRule type="expression" dxfId="4499" priority="630">
      <formula>$H100="ETAPA"</formula>
    </cfRule>
  </conditionalFormatting>
  <conditionalFormatting sqref="J113:O113">
    <cfRule type="expression" dxfId="4498" priority="542">
      <formula>$H113="ETAPA"</formula>
    </cfRule>
  </conditionalFormatting>
  <conditionalFormatting sqref="K99">
    <cfRule type="expression" dxfId="4497" priority="3175">
      <formula>$H99="ETAPA"</formula>
    </cfRule>
  </conditionalFormatting>
  <conditionalFormatting sqref="K122">
    <cfRule type="expression" dxfId="4496" priority="2104">
      <formula>$H122="CÉLULA CONSTRUTIVA"</formula>
    </cfRule>
    <cfRule type="expression" dxfId="4495" priority="2105">
      <formula>$H122="SUBETAPA"</formula>
    </cfRule>
  </conditionalFormatting>
  <conditionalFormatting sqref="K124">
    <cfRule type="expression" dxfId="4494" priority="1966">
      <formula>$H124="CÉLULA CONSTRUTIVA"</formula>
    </cfRule>
    <cfRule type="expression" dxfId="4493" priority="1967">
      <formula>$H124="SUBETAPA"</formula>
    </cfRule>
  </conditionalFormatting>
  <conditionalFormatting sqref="K126">
    <cfRule type="expression" dxfId="4492" priority="1671">
      <formula>$H126="CÉLULA CONSTRUTIVA"</formula>
    </cfRule>
    <cfRule type="expression" dxfId="4491" priority="1672">
      <formula>$H126="SUBETAPA"</formula>
    </cfRule>
  </conditionalFormatting>
  <conditionalFormatting sqref="K138">
    <cfRule type="expression" dxfId="4490" priority="1533">
      <formula>$H138="CÉLULA CONSTRUTIVA"</formula>
    </cfRule>
    <cfRule type="expression" dxfId="4489" priority="1534">
      <formula>$H138="SUBETAPA"</formula>
    </cfRule>
  </conditionalFormatting>
  <conditionalFormatting sqref="K180:K183">
    <cfRule type="expression" dxfId="4488" priority="3186">
      <formula>$H180="ETAPA"</formula>
    </cfRule>
  </conditionalFormatting>
  <conditionalFormatting sqref="K195">
    <cfRule type="expression" dxfId="4487" priority="3187">
      <formula>$H195="SUBETAPA"</formula>
    </cfRule>
    <cfRule type="expression" dxfId="4486" priority="3188">
      <formula>$H195="CÉLULA CONSTRUTIVA"</formula>
    </cfRule>
    <cfRule type="expression" dxfId="4485" priority="3189">
      <formula>$H195="ETAPA"</formula>
    </cfRule>
  </conditionalFormatting>
  <conditionalFormatting sqref="K271">
    <cfRule type="expression" dxfId="4484" priority="42">
      <formula>$H271="CÉLULA CONSTRUTIVA"</formula>
    </cfRule>
    <cfRule type="expression" dxfId="4483" priority="43">
      <formula>$H271="ETAPA"</formula>
    </cfRule>
  </conditionalFormatting>
  <conditionalFormatting sqref="K334 K338">
    <cfRule type="expression" dxfId="4482" priority="3191">
      <formula>$H334="CÉLULA CONSTRUTIVA"</formula>
    </cfRule>
    <cfRule type="expression" dxfId="4481" priority="3192">
      <formula>$H334="ETAPA"</formula>
    </cfRule>
  </conditionalFormatting>
  <conditionalFormatting sqref="K155:L155">
    <cfRule type="expression" dxfId="4480" priority="467">
      <formula>$H155="ETAPA"</formula>
    </cfRule>
  </conditionalFormatting>
  <conditionalFormatting sqref="K180:L183">
    <cfRule type="expression" dxfId="4479" priority="3185">
      <formula>$H180="CÉLULA CONSTRUTIVA"</formula>
    </cfRule>
  </conditionalFormatting>
  <conditionalFormatting sqref="K261:L261">
    <cfRule type="expression" dxfId="4478" priority="988">
      <formula>$H261="CÉLULA CONSTRUTIVA"</formula>
    </cfRule>
  </conditionalFormatting>
  <conditionalFormatting sqref="K263:L263">
    <cfRule type="expression" dxfId="4477" priority="950">
      <formula>$H263="CÉLULA CONSTRUTIVA"</formula>
    </cfRule>
  </conditionalFormatting>
  <conditionalFormatting sqref="K267:L270 K272:L272 K281:L281 K283:L283 K285:L285 N283:O283 K290:L290 K292:L292">
    <cfRule type="expression" dxfId="4476" priority="3195">
      <formula>$H267="ETAPA"</formula>
    </cfRule>
  </conditionalFormatting>
  <conditionalFormatting sqref="K267:L270 K272:L274">
    <cfRule type="expression" dxfId="4475" priority="3196">
      <formula>$H267="CÉLULA CONSTRUTIVA"</formula>
    </cfRule>
  </conditionalFormatting>
  <conditionalFormatting sqref="K276:L276">
    <cfRule type="expression" dxfId="4474" priority="912">
      <formula>$H276="CÉLULA CONSTRUTIVA"</formula>
    </cfRule>
  </conditionalFormatting>
  <conditionalFormatting sqref="K288:L288">
    <cfRule type="expression" dxfId="4473" priority="874">
      <formula>$H288="CÉLULA CONSTRUTIVA"</formula>
    </cfRule>
  </conditionalFormatting>
  <conditionalFormatting sqref="K298:L298">
    <cfRule type="expression" dxfId="4472" priority="839">
      <formula>$H298="ETAPA"</formula>
    </cfRule>
  </conditionalFormatting>
  <conditionalFormatting sqref="K304:L304">
    <cfRule type="expression" dxfId="4471" priority="817">
      <formula>$H304="ETAPA"</formula>
    </cfRule>
  </conditionalFormatting>
  <conditionalFormatting sqref="K109:M109 N73:N121 L97:M99 L101 M101:M108 L103 L105:L106 L327:M343 K98 K108:L108">
    <cfRule type="expression" dxfId="4470" priority="3193">
      <formula>#REF!="ETAPA"</formula>
    </cfRule>
  </conditionalFormatting>
  <conditionalFormatting sqref="K271:M271">
    <cfRule type="expression" dxfId="4469" priority="46">
      <formula>$H271="CÉLULA CONSTRUTIVA"</formula>
    </cfRule>
  </conditionalFormatting>
  <conditionalFormatting sqref="K210:P211">
    <cfRule type="expression" dxfId="4468" priority="3204">
      <formula>$H210="ETAPA"</formula>
    </cfRule>
  </conditionalFormatting>
  <conditionalFormatting sqref="L86:L87">
    <cfRule type="expression" dxfId="4467" priority="3206">
      <formula>$H86="ETAPA"</formula>
    </cfRule>
  </conditionalFormatting>
  <conditionalFormatting sqref="L88:L89 N88:O89">
    <cfRule type="expression" dxfId="4466" priority="5153">
      <formula>#REF!="ETAPA"</formula>
    </cfRule>
  </conditionalFormatting>
  <conditionalFormatting sqref="L95:L109 N104:P104">
    <cfRule type="expression" dxfId="4465" priority="3030">
      <formula>$H95="SUBETAPA"</formula>
    </cfRule>
  </conditionalFormatting>
  <conditionalFormatting sqref="L96:L97 L99 L101 L103 L106">
    <cfRule type="expression" dxfId="4464" priority="3210">
      <formula>$H96="CÉLULA CONSTRUTIVA"</formula>
    </cfRule>
  </conditionalFormatting>
  <conditionalFormatting sqref="L97 L99 L101 L103 L106 L109">
    <cfRule type="expression" dxfId="4463" priority="3209">
      <formula>$H97="ETAPA"</formula>
    </cfRule>
  </conditionalFormatting>
  <conditionalFormatting sqref="L98:L99 N98:P98 N102:P102">
    <cfRule type="expression" dxfId="4462" priority="3213">
      <formula>$H98="ETAPA"</formula>
    </cfRule>
  </conditionalFormatting>
  <conditionalFormatting sqref="L100:L108">
    <cfRule type="expression" dxfId="4461" priority="631">
      <formula>$H100="CÉLULA CONSTRUTIVA"</formula>
    </cfRule>
  </conditionalFormatting>
  <conditionalFormatting sqref="L103 N103:P103 L105:L106 N105:P106">
    <cfRule type="expression" dxfId="4460" priority="6496">
      <formula>#REF!="ETAPA"</formula>
    </cfRule>
  </conditionalFormatting>
  <conditionalFormatting sqref="L103 N103:P103 N101:P101">
    <cfRule type="expression" dxfId="4459" priority="6500">
      <formula>#REF!="CÉLULA CONSTRUTIVA"</formula>
    </cfRule>
  </conditionalFormatting>
  <conditionalFormatting sqref="L104 N104:P104">
    <cfRule type="expression" dxfId="4458" priority="3028">
      <formula>$H106="CÉLULA CONSTRUTIVA"</formula>
    </cfRule>
    <cfRule type="expression" dxfId="4457" priority="3029">
      <formula>$H104="ETAPA"</formula>
    </cfRule>
  </conditionalFormatting>
  <conditionalFormatting sqref="L122 P122">
    <cfRule type="expression" dxfId="4456" priority="2113">
      <formula>$H122="ETAPA"</formula>
    </cfRule>
  </conditionalFormatting>
  <conditionalFormatting sqref="L122">
    <cfRule type="expression" dxfId="4455" priority="2110">
      <formula>$H122="ETAPA"</formula>
    </cfRule>
    <cfRule type="expression" dxfId="4454" priority="2111">
      <formula>$H122="CÉLULA CONSTRUTIVA"</formula>
    </cfRule>
    <cfRule type="expression" dxfId="4453" priority="2112">
      <formula>$H122="SUBETAPA"</formula>
    </cfRule>
  </conditionalFormatting>
  <conditionalFormatting sqref="L124 P124">
    <cfRule type="expression" dxfId="4452" priority="1975">
      <formula>$H124="ETAPA"</formula>
    </cfRule>
  </conditionalFormatting>
  <conditionalFormatting sqref="L124">
    <cfRule type="expression" dxfId="4451" priority="1972">
      <formula>$H124="ETAPA"</formula>
    </cfRule>
    <cfRule type="expression" dxfId="4450" priority="1973">
      <formula>$H124="CÉLULA CONSTRUTIVA"</formula>
    </cfRule>
    <cfRule type="expression" dxfId="4449" priority="1974">
      <formula>$H124="SUBETAPA"</formula>
    </cfRule>
  </conditionalFormatting>
  <conditionalFormatting sqref="L126 P126">
    <cfRule type="expression" dxfId="4448" priority="1680">
      <formula>$H126="ETAPA"</formula>
    </cfRule>
  </conditionalFormatting>
  <conditionalFormatting sqref="L126">
    <cfRule type="expression" dxfId="4447" priority="1677">
      <formula>$H126="ETAPA"</formula>
    </cfRule>
    <cfRule type="expression" dxfId="4446" priority="1678">
      <formula>$H126="CÉLULA CONSTRUTIVA"</formula>
    </cfRule>
    <cfRule type="expression" dxfId="4445" priority="1679">
      <formula>$H126="SUBETAPA"</formula>
    </cfRule>
  </conditionalFormatting>
  <conditionalFormatting sqref="L130:L132 L127">
    <cfRule type="expression" dxfId="4444" priority="3217">
      <formula>$H127="ETAPA"</formula>
    </cfRule>
  </conditionalFormatting>
  <conditionalFormatting sqref="L138">
    <cfRule type="expression" dxfId="4443" priority="1539">
      <formula>$H138="ETAPA"</formula>
    </cfRule>
    <cfRule type="expression" dxfId="4442" priority="1540">
      <formula>$H138="CÉLULA CONSTRUTIVA"</formula>
    </cfRule>
    <cfRule type="expression" dxfId="4441" priority="1541">
      <formula>$H138="SUBETAPA"</formula>
    </cfRule>
    <cfRule type="expression" dxfId="4440" priority="1542">
      <formula>$H138="ETAPA"</formula>
    </cfRule>
  </conditionalFormatting>
  <conditionalFormatting sqref="L166">
    <cfRule type="expression" dxfId="4439" priority="422">
      <formula>$H166="ETAPA"</formula>
    </cfRule>
    <cfRule type="expression" dxfId="4438" priority="423">
      <formula>$H166="CÉLULA CONSTRUTIVA"</formula>
    </cfRule>
  </conditionalFormatting>
  <conditionalFormatting sqref="L170:L171">
    <cfRule type="expression" dxfId="4437" priority="3218">
      <formula>$H170="ETAPA"</formula>
    </cfRule>
  </conditionalFormatting>
  <conditionalFormatting sqref="L174:L175 L177:L178 L180:L183">
    <cfRule type="expression" dxfId="4436" priority="3184">
      <formula>$H174="ETAPA"</formula>
    </cfRule>
  </conditionalFormatting>
  <conditionalFormatting sqref="L179">
    <cfRule type="expression" dxfId="4435" priority="405">
      <formula>$H179="ETAPA"</formula>
    </cfRule>
    <cfRule type="expression" dxfId="4434" priority="406">
      <formula>$H179="CÉLULA CONSTRUTIVA"</formula>
    </cfRule>
  </conditionalFormatting>
  <conditionalFormatting sqref="L238 L260 L272:L275 L287 L268:L270">
    <cfRule type="expression" dxfId="4433" priority="3224">
      <formula>$H238="SUBETAPA"</formula>
    </cfRule>
  </conditionalFormatting>
  <conditionalFormatting sqref="L261 N261:P261">
    <cfRule type="expression" dxfId="4432" priority="989">
      <formula>$H261="SUBETAPA"</formula>
    </cfRule>
  </conditionalFormatting>
  <conditionalFormatting sqref="L281 L283 N283:O283 L285 G290:L290 G292:L292 G294:L294">
    <cfRule type="expression" dxfId="4431" priority="3199">
      <formula>$H281="CÉLULA CONSTRUTIVA"</formula>
    </cfRule>
  </conditionalFormatting>
  <conditionalFormatting sqref="L281 L283 N283:O283 L285 L290 L292 L294 N268:O270 N281:O281 N285:O285 N290:O290 N300:O300 N302:O302">
    <cfRule type="expression" dxfId="4430" priority="3225">
      <formula>$H268="SUBETAPA"</formula>
    </cfRule>
  </conditionalFormatting>
  <conditionalFormatting sqref="L297">
    <cfRule type="expression" dxfId="4429" priority="861">
      <formula>$H297="CÉLULA CONSTRUTIVA"</formula>
    </cfRule>
  </conditionalFormatting>
  <conditionalFormatting sqref="L330:L331">
    <cfRule type="expression" dxfId="4428" priority="3226">
      <formula>$H330="SUBETAPA"</formula>
    </cfRule>
    <cfRule type="expression" dxfId="4427" priority="3228">
      <formula>$H330="ETAPA"</formula>
    </cfRule>
  </conditionalFormatting>
  <conditionalFormatting sqref="L77:M77">
    <cfRule type="expression" dxfId="4426" priority="3205">
      <formula>$H77="SUBETAPA"</formula>
    </cfRule>
    <cfRule type="expression" dxfId="4425" priority="3264">
      <formula>$H77="CÉLULA CONSTRUTIVA"</formula>
    </cfRule>
  </conditionalFormatting>
  <conditionalFormatting sqref="L93:M93">
    <cfRule type="expression" dxfId="4424" priority="2454">
      <formula>$H93="SUBETAPA"</formula>
    </cfRule>
  </conditionalFormatting>
  <conditionalFormatting sqref="L97:M99 K98 L101 L103 L105:L106 K108:L108 K109:M109 M101:M108">
    <cfRule type="expression" dxfId="4423" priority="3194">
      <formula>#REF!="SUBETAPA"</formula>
    </cfRule>
    <cfRule type="expression" dxfId="4422" priority="3200">
      <formula>#REF!="CÉLULA CONSTRUTIVA"</formula>
    </cfRule>
  </conditionalFormatting>
  <conditionalFormatting sqref="L109:M109">
    <cfRule type="expression" dxfId="4421" priority="3182">
      <formula>$H109="CÉLULA CONSTRUTIVA"</formula>
    </cfRule>
  </conditionalFormatting>
  <conditionalFormatting sqref="L113:M113">
    <cfRule type="expression" dxfId="4420" priority="553">
      <formula>$H113="SUBETAPA"</formula>
    </cfRule>
  </conditionalFormatting>
  <conditionalFormatting sqref="L117:M117">
    <cfRule type="expression" dxfId="4419" priority="2403">
      <formula>$H117="SUBETAPA"</formula>
    </cfRule>
  </conditionalFormatting>
  <conditionalFormatting sqref="L118:M118">
    <cfRule type="expression" dxfId="4418" priority="1796">
      <formula>$H118="ETAPA"</formula>
    </cfRule>
  </conditionalFormatting>
  <conditionalFormatting sqref="L122:M122">
    <cfRule type="expression" dxfId="4417" priority="2093">
      <formula>#REF!="ETAPA"</formula>
    </cfRule>
    <cfRule type="expression" dxfId="4416" priority="2106">
      <formula>#REF!="ETAPA"</formula>
    </cfRule>
    <cfRule type="expression" dxfId="4415" priority="2107">
      <formula>#REF!="SUBETAPA"</formula>
    </cfRule>
    <cfRule type="expression" dxfId="4414" priority="2108">
      <formula>#REF!="CÉLULA CONSTRUTIVA"</formula>
    </cfRule>
    <cfRule type="expression" dxfId="4413" priority="2116">
      <formula>#REF!="CÉLULA CONSTRUTIVA"</formula>
    </cfRule>
    <cfRule type="expression" dxfId="4412" priority="2125">
      <formula>$H122="CÉLULA CONSTRUTIVA"</formula>
    </cfRule>
  </conditionalFormatting>
  <conditionalFormatting sqref="L124:M124">
    <cfRule type="expression" dxfId="4411" priority="1955">
      <formula>#REF!="ETAPA"</formula>
    </cfRule>
    <cfRule type="expression" dxfId="4410" priority="1968">
      <formula>#REF!="ETAPA"</formula>
    </cfRule>
    <cfRule type="expression" dxfId="4409" priority="1969">
      <formula>#REF!="SUBETAPA"</formula>
    </cfRule>
    <cfRule type="expression" dxfId="4408" priority="1970">
      <formula>#REF!="CÉLULA CONSTRUTIVA"</formula>
    </cfRule>
    <cfRule type="expression" dxfId="4407" priority="1978">
      <formula>#REF!="CÉLULA CONSTRUTIVA"</formula>
    </cfRule>
    <cfRule type="expression" dxfId="4406" priority="1987">
      <formula>$H124="CÉLULA CONSTRUTIVA"</formula>
    </cfRule>
  </conditionalFormatting>
  <conditionalFormatting sqref="L126:M126">
    <cfRule type="expression" dxfId="4405" priority="1660">
      <formula>#REF!="ETAPA"</formula>
    </cfRule>
    <cfRule type="expression" dxfId="4404" priority="1673">
      <formula>#REF!="ETAPA"</formula>
    </cfRule>
    <cfRule type="expression" dxfId="4403" priority="1674">
      <formula>#REF!="SUBETAPA"</formula>
    </cfRule>
    <cfRule type="expression" dxfId="4402" priority="1675">
      <formula>#REF!="CÉLULA CONSTRUTIVA"</formula>
    </cfRule>
    <cfRule type="expression" dxfId="4401" priority="1683">
      <formula>#REF!="CÉLULA CONSTRUTIVA"</formula>
    </cfRule>
    <cfRule type="expression" dxfId="4400" priority="1692">
      <formula>$H126="CÉLULA CONSTRUTIVA"</formula>
    </cfRule>
  </conditionalFormatting>
  <conditionalFormatting sqref="L129:M129">
    <cfRule type="expression" dxfId="4399" priority="2366">
      <formula>$H129="SUBETAPA"</formula>
    </cfRule>
  </conditionalFormatting>
  <conditionalFormatting sqref="L138:M138">
    <cfRule type="expression" dxfId="4398" priority="1522">
      <formula>#REF!="ETAPA"</formula>
    </cfRule>
    <cfRule type="expression" dxfId="4397" priority="1535">
      <formula>#REF!="ETAPA"</formula>
    </cfRule>
    <cfRule type="expression" dxfId="4396" priority="1536">
      <formula>#REF!="SUBETAPA"</formula>
    </cfRule>
    <cfRule type="expression" dxfId="4395" priority="1537">
      <formula>#REF!="CÉLULA CONSTRUTIVA"</formula>
    </cfRule>
    <cfRule type="expression" dxfId="4394" priority="1545">
      <formula>#REF!="CÉLULA CONSTRUTIVA"</formula>
    </cfRule>
    <cfRule type="expression" dxfId="4393" priority="1554">
      <formula>$H138="CÉLULA CONSTRUTIVA"</formula>
    </cfRule>
  </conditionalFormatting>
  <conditionalFormatting sqref="L170:M171 L174:L175 G177:M178 L163:L164 L157">
    <cfRule type="expression" dxfId="4392" priority="3219">
      <formula>$H157="CÉLULA CONSTRUTIVA"</formula>
    </cfRule>
  </conditionalFormatting>
  <conditionalFormatting sqref="L260:M260 L275:M275 L287:M287 L297:M297 L97:M97 L99:M99 L101:M101 L103:M103 L106:M106 L109:M109 L307:M325 L345:M346 L299:M303 L305:M305">
    <cfRule type="expression" dxfId="4391" priority="3129">
      <formula>#REF!="ETAPA"</formula>
    </cfRule>
  </conditionalFormatting>
  <conditionalFormatting sqref="L271:M271">
    <cfRule type="expression" dxfId="4390" priority="44">
      <formula>#REF!="ETAPA"</formula>
    </cfRule>
    <cfRule type="expression" dxfId="4389" priority="45">
      <formula>#REF!="CÉLULA CONSTRUTIVA"</formula>
    </cfRule>
  </conditionalFormatting>
  <conditionalFormatting sqref="L276:M286 N276:P276">
    <cfRule type="expression" dxfId="4388" priority="913">
      <formula>$H276="SUBETAPA"</formula>
    </cfRule>
  </conditionalFormatting>
  <conditionalFormatting sqref="L307:M325 L97:N97 L99:N99 L101:N101 L103:N103 L106:N106 L109:N109 L260:P260 L275:P275 L287:M287 L297:M297 L299:M303 L305:M305 L345:M346 N269:P269">
    <cfRule type="expression" dxfId="4387" priority="3233">
      <formula>$H97="SUBETAPA"</formula>
    </cfRule>
  </conditionalFormatting>
  <conditionalFormatting sqref="L313:M315 L319:M319">
    <cfRule type="expression" dxfId="4386" priority="3230">
      <formula>$H313="ETAPA"</formula>
    </cfRule>
  </conditionalFormatting>
  <conditionalFormatting sqref="L327:M343 L260:M260 L275:M275 L287:M287 L103:M103 L106:M106 L99:M99 L101:M101 L97:M97 L109:M109 L299:M303 L305:M305 L307:M325 L297:M297 L345:M346">
    <cfRule type="expression" dxfId="4385" priority="3229">
      <formula>#REF!="CÉLULA CONSTRUTIVA"</formula>
    </cfRule>
  </conditionalFormatting>
  <conditionalFormatting sqref="L328:M328">
    <cfRule type="expression" dxfId="4384" priority="708">
      <formula>$H328="ETAPA"</formula>
    </cfRule>
  </conditionalFormatting>
  <conditionalFormatting sqref="L346:M346 M342 O342:P342">
    <cfRule type="expression" dxfId="4383" priority="3320">
      <formula>$H342="CÉLULA CONSTRUTIVA"</formula>
    </cfRule>
  </conditionalFormatting>
  <conditionalFormatting sqref="L122:N122">
    <cfRule type="expression" dxfId="4382" priority="2117">
      <formula>$H122="SUBETAPA"</formula>
    </cfRule>
  </conditionalFormatting>
  <conditionalFormatting sqref="L124:N124">
    <cfRule type="expression" dxfId="4381" priority="1979">
      <formula>$H124="SUBETAPA"</formula>
    </cfRule>
  </conditionalFormatting>
  <conditionalFormatting sqref="L126:N126">
    <cfRule type="expression" dxfId="4380" priority="1684">
      <formula>$H126="SUBETAPA"</formula>
    </cfRule>
  </conditionalFormatting>
  <conditionalFormatting sqref="L138:N138">
    <cfRule type="expression" dxfId="4379" priority="1546">
      <formula>$H138="SUBETAPA"</formula>
    </cfRule>
  </conditionalFormatting>
  <conditionalFormatting sqref="L163:N164 M155:O155 G164:I164 K164 O164:P164 G171:M171 G173:L174 M174 G178:I178 K178 G182:I182 K182 G155:J155">
    <cfRule type="expression" dxfId="4378" priority="3135">
      <formula>$H155="ETAPA"</formula>
    </cfRule>
  </conditionalFormatting>
  <conditionalFormatting sqref="L307:N308">
    <cfRule type="expression" dxfId="4377" priority="3234">
      <formula>$H307="SUBETAPA"</formula>
    </cfRule>
    <cfRule type="expression" dxfId="4376" priority="3235">
      <formula>$H307="CÉLULA CONSTRUTIVA"</formula>
    </cfRule>
    <cfRule type="expression" dxfId="4375" priority="3236">
      <formula>$H307="ETAPA"</formula>
    </cfRule>
  </conditionalFormatting>
  <conditionalFormatting sqref="L327:N327">
    <cfRule type="expression" dxfId="4374" priority="786">
      <formula>$H327="SUBETAPA"</formula>
    </cfRule>
    <cfRule type="expression" dxfId="4373" priority="787">
      <formula>$H327="CÉLULA CONSTRUTIVA"</formula>
    </cfRule>
    <cfRule type="expression" dxfId="4372" priority="788">
      <formula>$H327="ETAPA"</formula>
    </cfRule>
  </conditionalFormatting>
  <conditionalFormatting sqref="L332:N332">
    <cfRule type="expression" dxfId="4371" priority="748">
      <formula>$H332="SUBETAPA"</formula>
    </cfRule>
    <cfRule type="expression" dxfId="4370" priority="749">
      <formula>$H332="CÉLULA CONSTRUTIVA"</formula>
    </cfRule>
    <cfRule type="expression" dxfId="4369" priority="750">
      <formula>$H332="ETAPA"</formula>
    </cfRule>
  </conditionalFormatting>
  <conditionalFormatting sqref="L345:N345">
    <cfRule type="expression" dxfId="4368" priority="660">
      <formula>$H345="SUBETAPA"</formula>
    </cfRule>
    <cfRule type="expression" dxfId="4367" priority="661">
      <formula>$H345="CÉLULA CONSTRUTIVA"</formula>
    </cfRule>
    <cfRule type="expression" dxfId="4366" priority="662">
      <formula>$H345="ETAPA"</formula>
    </cfRule>
  </conditionalFormatting>
  <conditionalFormatting sqref="L69:O69">
    <cfRule type="expression" dxfId="4365" priority="3237">
      <formula>$H69="CÉLULA CONSTRUTIVA"</formula>
    </cfRule>
    <cfRule type="expression" dxfId="4364" priority="3238">
      <formula>$H69="ETAPA"</formula>
    </cfRule>
  </conditionalFormatting>
  <conditionalFormatting sqref="L298:P298">
    <cfRule type="expression" dxfId="4363" priority="841">
      <formula>$H298="SUBETAPA"</formula>
    </cfRule>
  </conditionalFormatting>
  <conditionalFormatting sqref="L328:P328">
    <cfRule type="expression" dxfId="4362" priority="709">
      <formula>#REF!="ETAPA"</formula>
    </cfRule>
    <cfRule type="expression" dxfId="4361" priority="710">
      <formula>$H328="SUBETAPA"</formula>
    </cfRule>
    <cfRule type="expression" dxfId="4360" priority="713">
      <formula>#REF!="CÉLULA CONSTRUTIVA"</formula>
    </cfRule>
  </conditionalFormatting>
  <conditionalFormatting sqref="M8:M14">
    <cfRule type="expression" dxfId="4359" priority="3247">
      <formula>$H8="CÉLULA CONSTRUTIVA"</formula>
    </cfRule>
  </conditionalFormatting>
  <conditionalFormatting sqref="M10:M14">
    <cfRule type="expression" dxfId="4358" priority="3248">
      <formula>$H10="SUBETAPA"</formula>
    </cfRule>
    <cfRule type="expression" dxfId="4357" priority="3249">
      <formula>$H10="ETAPA"</formula>
    </cfRule>
  </conditionalFormatting>
  <conditionalFormatting sqref="M16:M17 M19">
    <cfRule type="expression" dxfId="4356" priority="3251">
      <formula>$H16="CÉLULA CONSTRUTIVA"</formula>
    </cfRule>
  </conditionalFormatting>
  <conditionalFormatting sqref="M16:M17 M19:N19">
    <cfRule type="expression" dxfId="4355" priority="3252">
      <formula>$H16="ETAPA"</formula>
    </cfRule>
  </conditionalFormatting>
  <conditionalFormatting sqref="M18">
    <cfRule type="expression" dxfId="4354" priority="2965">
      <formula>$H18="CÉLULA CONSTRUTIVA"</formula>
    </cfRule>
  </conditionalFormatting>
  <conditionalFormatting sqref="M19 M16:M17">
    <cfRule type="expression" dxfId="4353" priority="3250">
      <formula>$H16="SUBETAPA"</formula>
    </cfRule>
  </conditionalFormatting>
  <conditionalFormatting sqref="M20">
    <cfRule type="expression" dxfId="4352" priority="2672">
      <formula>$H20="ETAPA"</formula>
    </cfRule>
  </conditionalFormatting>
  <conditionalFormatting sqref="M23:M26 M33:M34">
    <cfRule type="expression" dxfId="4351" priority="3255">
      <formula>$H23="SUBETAPA"</formula>
    </cfRule>
  </conditionalFormatting>
  <conditionalFormatting sqref="M27">
    <cfRule type="expression" dxfId="4350" priority="2660">
      <formula>$H27="ETAPA"</formula>
    </cfRule>
  </conditionalFormatting>
  <conditionalFormatting sqref="M32">
    <cfRule type="expression" dxfId="4349" priority="2646">
      <formula>$H32="ETAPA"</formula>
    </cfRule>
  </conditionalFormatting>
  <conditionalFormatting sqref="M33">
    <cfRule type="expression" dxfId="4348" priority="3256">
      <formula>$H33="ETAPA"</formula>
    </cfRule>
  </conditionalFormatting>
  <conditionalFormatting sqref="M34 M52 M77">
    <cfRule type="expression" dxfId="4347" priority="3259">
      <formula>$H34="ETAPA"</formula>
    </cfRule>
  </conditionalFormatting>
  <conditionalFormatting sqref="M35">
    <cfRule type="expression" dxfId="4346" priority="2632">
      <formula>$H35="ETAPA"</formula>
    </cfRule>
  </conditionalFormatting>
  <conditionalFormatting sqref="M35:M37">
    <cfRule type="expression" dxfId="4345" priority="2616">
      <formula>$H35="CÉLULA CONSTRUTIVA"</formula>
    </cfRule>
  </conditionalFormatting>
  <conditionalFormatting sqref="M36">
    <cfRule type="expression" dxfId="4344" priority="3260">
      <formula>$H36="ETAPA"</formula>
    </cfRule>
  </conditionalFormatting>
  <conditionalFormatting sqref="M37">
    <cfRule type="expression" dxfId="4343" priority="2618">
      <formula>$H37="ETAPA"</formula>
    </cfRule>
  </conditionalFormatting>
  <conditionalFormatting sqref="M47">
    <cfRule type="expression" dxfId="4342" priority="2604">
      <formula>$H47="ETAPA"</formula>
    </cfRule>
  </conditionalFormatting>
  <conditionalFormatting sqref="M49">
    <cfRule type="expression" dxfId="4341" priority="2590">
      <formula>$H49="ETAPA"</formula>
    </cfRule>
  </conditionalFormatting>
  <conditionalFormatting sqref="M51">
    <cfRule type="expression" dxfId="4340" priority="2953">
      <formula>$H51="CÉLULA CONSTRUTIVA"</formula>
    </cfRule>
  </conditionalFormatting>
  <conditionalFormatting sqref="M52 M34 M77">
    <cfRule type="expression" dxfId="4339" priority="3258">
      <formula>$H34="CÉLULA CONSTRUTIVA"</formula>
    </cfRule>
  </conditionalFormatting>
  <conditionalFormatting sqref="M52">
    <cfRule type="expression" dxfId="4338" priority="3257">
      <formula>$H52="SUBETAPA"</formula>
    </cfRule>
  </conditionalFormatting>
  <conditionalFormatting sqref="M53">
    <cfRule type="expression" dxfId="4337" priority="2576">
      <formula>$H53="ETAPA"</formula>
    </cfRule>
  </conditionalFormatting>
  <conditionalFormatting sqref="M60">
    <cfRule type="expression" dxfId="4336" priority="2562">
      <formula>$H60="ETAPA"</formula>
    </cfRule>
  </conditionalFormatting>
  <conditionalFormatting sqref="M68">
    <cfRule type="expression" dxfId="4335" priority="2548">
      <formula>$H68="ETAPA"</formula>
    </cfRule>
  </conditionalFormatting>
  <conditionalFormatting sqref="M70">
    <cfRule type="expression" dxfId="4334" priority="2534">
      <formula>$H70="ETAPA"</formula>
    </cfRule>
  </conditionalFormatting>
  <conditionalFormatting sqref="M74">
    <cfRule type="expression" dxfId="4333" priority="2520">
      <formula>$H74="ETAPA"</formula>
    </cfRule>
  </conditionalFormatting>
  <conditionalFormatting sqref="M76">
    <cfRule type="expression" dxfId="4332" priority="2939">
      <formula>$H76="CÉLULA CONSTRUTIVA"</formula>
    </cfRule>
  </conditionalFormatting>
  <conditionalFormatting sqref="M77 M79:P84">
    <cfRule type="expression" dxfId="4331" priority="3267">
      <formula>$H77="SUBETAPA"</formula>
    </cfRule>
  </conditionalFormatting>
  <conditionalFormatting sqref="M77">
    <cfRule type="expression" dxfId="4330" priority="3265">
      <formula>$H77="SUBETAPA"</formula>
    </cfRule>
    <cfRule type="expression" dxfId="4329" priority="3266">
      <formula>$H77="ETAPA"</formula>
    </cfRule>
    <cfRule type="expression" dxfId="4328" priority="5796">
      <formula>$H63="ETAPA"</formula>
    </cfRule>
  </conditionalFormatting>
  <conditionalFormatting sqref="M78">
    <cfRule type="expression" dxfId="4327" priority="2506">
      <formula>$H78="ETAPA"</formula>
    </cfRule>
  </conditionalFormatting>
  <conditionalFormatting sqref="M78:M85">
    <cfRule type="expression" dxfId="4326" priority="2490">
      <formula>$H78="CÉLULA CONSTRUTIVA"</formula>
    </cfRule>
  </conditionalFormatting>
  <conditionalFormatting sqref="M79:M84 M86:M89">
    <cfRule type="expression" dxfId="4325" priority="3268">
      <formula>$H79="ETAPA"</formula>
    </cfRule>
  </conditionalFormatting>
  <conditionalFormatting sqref="M85">
    <cfRule type="expression" dxfId="4324" priority="2492">
      <formula>$H85="ETAPA"</formula>
    </cfRule>
  </conditionalFormatting>
  <conditionalFormatting sqref="M92">
    <cfRule type="expression" dxfId="4323" priority="2924">
      <formula>$H92="CÉLULA CONSTRUTIVA"</formula>
    </cfRule>
  </conditionalFormatting>
  <conditionalFormatting sqref="M93">
    <cfRule type="expression" dxfId="4322" priority="2457">
      <formula>$H93="CÉLULA CONSTRUTIVA"</formula>
    </cfRule>
    <cfRule type="expression" dxfId="4321" priority="2458">
      <formula>$H93="ETAPA"</formula>
    </cfRule>
    <cfRule type="expression" dxfId="4320" priority="2459">
      <formula>$H93="CÉLULA CONSTRUTIVA"</formula>
    </cfRule>
    <cfRule type="expression" dxfId="4319" priority="2460">
      <formula>$H93="SUBETAPA"</formula>
    </cfRule>
  </conditionalFormatting>
  <conditionalFormatting sqref="M94">
    <cfRule type="expression" dxfId="4318" priority="2442">
      <formula>$H94="CÉLULA CONSTRUTIVA"</formula>
    </cfRule>
    <cfRule type="expression" dxfId="4317" priority="2444">
      <formula>$H94="ETAPA"</formula>
    </cfRule>
  </conditionalFormatting>
  <conditionalFormatting sqref="M95:M97 M106:M107 J103:N103 J99:M99">
    <cfRule type="expression" dxfId="4316" priority="3272">
      <formula>$H95="CÉLULA CONSTRUTIVA"</formula>
    </cfRule>
  </conditionalFormatting>
  <conditionalFormatting sqref="M95:M97 M106:M107">
    <cfRule type="expression" dxfId="4315" priority="3271">
      <formula>$H95="SUBETAPA"</formula>
    </cfRule>
  </conditionalFormatting>
  <conditionalFormatting sqref="M101:M102">
    <cfRule type="expression" dxfId="4314" priority="3273">
      <formula>$H101="ETAPA"</formula>
    </cfRule>
  </conditionalFormatting>
  <conditionalFormatting sqref="M105:M106">
    <cfRule type="expression" dxfId="4313" priority="3278">
      <formula>$H105="SUBETAPA"</formula>
    </cfRule>
    <cfRule type="expression" dxfId="4312" priority="3279">
      <formula>$H105="CÉLULA CONSTRUTIVA"</formula>
    </cfRule>
  </conditionalFormatting>
  <conditionalFormatting sqref="M106:M107">
    <cfRule type="expression" dxfId="4311" priority="3274">
      <formula>$H106="ETAPA"</formula>
    </cfRule>
  </conditionalFormatting>
  <conditionalFormatting sqref="M109">
    <cfRule type="expression" dxfId="4310" priority="3183">
      <formula>$H109="SUBETAPA"</formula>
    </cfRule>
  </conditionalFormatting>
  <conditionalFormatting sqref="M113">
    <cfRule type="expression" dxfId="4309" priority="554">
      <formula>$H113="CÉLULA CONSTRUTIVA"</formula>
    </cfRule>
  </conditionalFormatting>
  <conditionalFormatting sqref="M116">
    <cfRule type="expression" dxfId="4308" priority="2909">
      <formula>$H116="CÉLULA CONSTRUTIVA"</formula>
    </cfRule>
  </conditionalFormatting>
  <conditionalFormatting sqref="M117">
    <cfRule type="expression" dxfId="4307" priority="2406">
      <formula>$H117="CÉLULA CONSTRUTIVA"</formula>
    </cfRule>
    <cfRule type="expression" dxfId="4306" priority="2407">
      <formula>$H117="ETAPA"</formula>
    </cfRule>
    <cfRule type="expression" dxfId="4305" priority="2408">
      <formula>$H117="CÉLULA CONSTRUTIVA"</formula>
    </cfRule>
    <cfRule type="expression" dxfId="4304" priority="2409">
      <formula>$H117="SUBETAPA"</formula>
    </cfRule>
  </conditionalFormatting>
  <conditionalFormatting sqref="M122">
    <cfRule type="expression" dxfId="4303" priority="2120">
      <formula>$H122="ETAPA"</formula>
    </cfRule>
    <cfRule type="expression" dxfId="4302" priority="2121">
      <formula>$H122="SUBETAPA"</formula>
    </cfRule>
    <cfRule type="expression" dxfId="4301" priority="2122">
      <formula>$H122="CÉLULA CONSTRUTIVA"</formula>
    </cfRule>
    <cfRule type="expression" dxfId="4300" priority="2123">
      <formula>$H122="ETAPA"</formula>
    </cfRule>
  </conditionalFormatting>
  <conditionalFormatting sqref="M124">
    <cfRule type="expression" dxfId="4299" priority="1982">
      <formula>$H124="ETAPA"</formula>
    </cfRule>
    <cfRule type="expression" dxfId="4298" priority="1983">
      <formula>$H124="SUBETAPA"</formula>
    </cfRule>
    <cfRule type="expression" dxfId="4297" priority="1984">
      <formula>$H124="CÉLULA CONSTRUTIVA"</formula>
    </cfRule>
    <cfRule type="expression" dxfId="4296" priority="1985">
      <formula>$H124="ETAPA"</formula>
    </cfRule>
  </conditionalFormatting>
  <conditionalFormatting sqref="M126">
    <cfRule type="expression" dxfId="4295" priority="1687">
      <formula>$H126="ETAPA"</formula>
    </cfRule>
    <cfRule type="expression" dxfId="4294" priority="1688">
      <formula>$H126="SUBETAPA"</formula>
    </cfRule>
    <cfRule type="expression" dxfId="4293" priority="1689">
      <formula>$H126="CÉLULA CONSTRUTIVA"</formula>
    </cfRule>
    <cfRule type="expression" dxfId="4292" priority="1690">
      <formula>$H126="ETAPA"</formula>
    </cfRule>
  </conditionalFormatting>
  <conditionalFormatting sqref="M128">
    <cfRule type="expression" dxfId="4291" priority="2894">
      <formula>$H128="CÉLULA CONSTRUTIVA"</formula>
    </cfRule>
  </conditionalFormatting>
  <conditionalFormatting sqref="M129">
    <cfRule type="expression" dxfId="4290" priority="2369">
      <formula>$H129="CÉLULA CONSTRUTIVA"</formula>
    </cfRule>
    <cfRule type="expression" dxfId="4289" priority="2370">
      <formula>$H129="ETAPA"</formula>
    </cfRule>
    <cfRule type="expression" dxfId="4288" priority="2371">
      <formula>$H129="CÉLULA CONSTRUTIVA"</formula>
    </cfRule>
    <cfRule type="expression" dxfId="4287" priority="2372">
      <formula>$H129="SUBETAPA"</formula>
    </cfRule>
  </conditionalFormatting>
  <conditionalFormatting sqref="M132:M134 P120 M119:O119 M120:N120 M121:O121">
    <cfRule type="expression" dxfId="4286" priority="3281">
      <formula>$H119="ETAPA"</formula>
    </cfRule>
  </conditionalFormatting>
  <conditionalFormatting sqref="M138">
    <cfRule type="expression" dxfId="4285" priority="1549">
      <formula>$H138="ETAPA"</formula>
    </cfRule>
    <cfRule type="expression" dxfId="4284" priority="1550">
      <formula>$H138="SUBETAPA"</formula>
    </cfRule>
    <cfRule type="expression" dxfId="4283" priority="1551">
      <formula>$H138="CÉLULA CONSTRUTIVA"</formula>
    </cfRule>
    <cfRule type="expression" dxfId="4282" priority="1552">
      <formula>$H138="ETAPA"</formula>
    </cfRule>
  </conditionalFormatting>
  <conditionalFormatting sqref="M144 O144:P144">
    <cfRule type="expression" dxfId="4281" priority="2878">
      <formula>$H144="ETAPA"</formula>
    </cfRule>
  </conditionalFormatting>
  <conditionalFormatting sqref="M144">
    <cfRule type="expression" dxfId="4280" priority="2879">
      <formula>$H144="CÉLULA CONSTRUTIVA"</formula>
    </cfRule>
  </conditionalFormatting>
  <conditionalFormatting sqref="M156">
    <cfRule type="expression" dxfId="4279" priority="2864">
      <formula>$H156="CÉLULA CONSTRUTIVA"</formula>
    </cfRule>
  </conditionalFormatting>
  <conditionalFormatting sqref="M161:M162">
    <cfRule type="expression" dxfId="4278" priority="2848">
      <formula>$H161="ETAPA"</formula>
    </cfRule>
  </conditionalFormatting>
  <conditionalFormatting sqref="M162">
    <cfRule type="expression" dxfId="4277" priority="2849">
      <formula>$H162="CÉLULA CONSTRUTIVA"</formula>
    </cfRule>
  </conditionalFormatting>
  <conditionalFormatting sqref="M169">
    <cfRule type="expression" dxfId="4276" priority="2834">
      <formula>$H169="CÉLULA CONSTRUTIVA"</formula>
    </cfRule>
  </conditionalFormatting>
  <conditionalFormatting sqref="M176">
    <cfRule type="expression" dxfId="4275" priority="2819">
      <formula>$H176="CÉLULA CONSTRUTIVA"</formula>
    </cfRule>
  </conditionalFormatting>
  <conditionalFormatting sqref="M176:M178">
    <cfRule type="expression" dxfId="4274" priority="2818">
      <formula>$H176="ETAPA"</formula>
    </cfRule>
  </conditionalFormatting>
  <conditionalFormatting sqref="M184 O184:P184">
    <cfRule type="expression" dxfId="4273" priority="2803">
      <formula>$H184="ETAPA"</formula>
    </cfRule>
  </conditionalFormatting>
  <conditionalFormatting sqref="M184">
    <cfRule type="expression" dxfId="4272" priority="2804">
      <formula>$H184="CÉLULA CONSTRUTIVA"</formula>
    </cfRule>
  </conditionalFormatting>
  <conditionalFormatting sqref="M185:M188 G192:K192 P197:P203">
    <cfRule type="expression" dxfId="4271" priority="3066">
      <formula>$H185="CÉLULA CONSTRUTIVA"</formula>
    </cfRule>
    <cfRule type="expression" dxfId="4270" priority="3067">
      <formula>$H185="ETAPA"</formula>
    </cfRule>
  </conditionalFormatting>
  <conditionalFormatting sqref="M185:M188 G192:K192">
    <cfRule type="expression" dxfId="4269" priority="3065">
      <formula>$H185="SUBETAPA"</formula>
    </cfRule>
  </conditionalFormatting>
  <conditionalFormatting sqref="M189:M194">
    <cfRule type="expression" dxfId="4268" priority="1235">
      <formula>$H189="CÉLULA CONSTRUTIVA"</formula>
    </cfRule>
  </conditionalFormatting>
  <conditionalFormatting sqref="M191">
    <cfRule type="expression" dxfId="4267" priority="3290">
      <formula>$H191="SUBETAPA"</formula>
    </cfRule>
    <cfRule type="expression" dxfId="4266" priority="3291">
      <formula>$H191="CÉLULA CONSTRUTIVA"</formula>
    </cfRule>
    <cfRule type="expression" dxfId="4265" priority="3292">
      <formula>$H191="ETAPA"</formula>
    </cfRule>
  </conditionalFormatting>
  <conditionalFormatting sqref="M194">
    <cfRule type="expression" dxfId="4264" priority="1236">
      <formula>$H194="ETAPA"</formula>
    </cfRule>
  </conditionalFormatting>
  <conditionalFormatting sqref="M195 M199">
    <cfRule type="expression" dxfId="4263" priority="3297">
      <formula>$H195="CÉLULA CONSTRUTIVA"</formula>
    </cfRule>
    <cfRule type="expression" dxfId="4262" priority="3298">
      <formula>$H195="ETAPA"</formula>
    </cfRule>
  </conditionalFormatting>
  <conditionalFormatting sqref="M196">
    <cfRule type="expression" dxfId="4261" priority="362">
      <formula>$H196="ETAPA"</formula>
    </cfRule>
  </conditionalFormatting>
  <conditionalFormatting sqref="M196:M198">
    <cfRule type="expression" dxfId="4260" priority="361">
      <formula>$H196="CÉLULA CONSTRUTIVA"</formula>
    </cfRule>
  </conditionalFormatting>
  <conditionalFormatting sqref="M199 M195">
    <cfRule type="expression" dxfId="4259" priority="3296">
      <formula>$H195="SUBETAPA"</formula>
    </cfRule>
  </conditionalFormatting>
  <conditionalFormatting sqref="M204 O204:P204">
    <cfRule type="expression" dxfId="4258" priority="2788">
      <formula>$H204="ETAPA"</formula>
    </cfRule>
  </conditionalFormatting>
  <conditionalFormatting sqref="M204">
    <cfRule type="expression" dxfId="4257" priority="2789">
      <formula>$H204="CÉLULA CONSTRUTIVA"</formula>
    </cfRule>
  </conditionalFormatting>
  <conditionalFormatting sqref="M208:M209">
    <cfRule type="expression" dxfId="4256" priority="1175">
      <formula>$H208="CÉLULA CONSTRUTIVA"</formula>
    </cfRule>
    <cfRule type="expression" dxfId="4255" priority="1176">
      <formula>$H208="ETAPA"</formula>
    </cfRule>
  </conditionalFormatting>
  <conditionalFormatting sqref="M209">
    <cfRule type="expression" dxfId="4254" priority="3300">
      <formula>$H209="ETAPA"</formula>
    </cfRule>
  </conditionalFormatting>
  <conditionalFormatting sqref="M212">
    <cfRule type="expression" dxfId="4253" priority="2774">
      <formula>$H212="CÉLULA CONSTRUTIVA"</formula>
    </cfRule>
  </conditionalFormatting>
  <conditionalFormatting sqref="M230">
    <cfRule type="expression" dxfId="4252" priority="3301">
      <formula>$H230="ETAPA"</formula>
    </cfRule>
  </conditionalFormatting>
  <conditionalFormatting sqref="M237">
    <cfRule type="expression" dxfId="4251" priority="2759">
      <formula>$H237="CÉLULA CONSTRUTIVA"</formula>
    </cfRule>
  </conditionalFormatting>
  <conditionalFormatting sqref="M239">
    <cfRule type="expression" dxfId="4250" priority="219">
      <formula>$H239="CÉLULA CONSTRUTIVA"</formula>
    </cfRule>
  </conditionalFormatting>
  <conditionalFormatting sqref="M239:M240">
    <cfRule type="expression" dxfId="4249" priority="222">
      <formula>$H239="ETAPA"</formula>
    </cfRule>
  </conditionalFormatting>
  <conditionalFormatting sqref="M248:M258 M242:M246">
    <cfRule type="expression" dxfId="4248" priority="3304">
      <formula>$H242="ETAPA"</formula>
    </cfRule>
  </conditionalFormatting>
  <conditionalFormatting sqref="M252 O252:P252">
    <cfRule type="expression" dxfId="4247" priority="3306">
      <formula>$H247="SUBETAPA"</formula>
    </cfRule>
  </conditionalFormatting>
  <conditionalFormatting sqref="M259">
    <cfRule type="expression" dxfId="4246" priority="2744">
      <formula>$H259="CÉLULA CONSTRUTIVA"</formula>
    </cfRule>
  </conditionalFormatting>
  <conditionalFormatting sqref="M261:M274">
    <cfRule type="expression" dxfId="4245" priority="53">
      <formula>$H261="CÉLULA CONSTRUTIVA"</formula>
    </cfRule>
  </conditionalFormatting>
  <conditionalFormatting sqref="M271">
    <cfRule type="expression" dxfId="4244" priority="47">
      <formula>$H271="ETAPA"</formula>
    </cfRule>
  </conditionalFormatting>
  <conditionalFormatting sqref="M276:M286">
    <cfRule type="expression" dxfId="4243" priority="3308">
      <formula>$H276="CÉLULA CONSTRUTIVA"</formula>
    </cfRule>
    <cfRule type="expression" dxfId="4242" priority="3309">
      <formula>$H276="ETAPA"</formula>
    </cfRule>
  </conditionalFormatting>
  <conditionalFormatting sqref="M296">
    <cfRule type="expression" dxfId="4241" priority="2729">
      <formula>$H296="CÉLULA CONSTRUTIVA"</formula>
    </cfRule>
  </conditionalFormatting>
  <conditionalFormatting sqref="M298">
    <cfRule type="expression" dxfId="4240" priority="843">
      <formula>$H298="CÉLULA CONSTRUTIVA"</formula>
    </cfRule>
    <cfRule type="expression" dxfId="4239" priority="844">
      <formula>$H298="ETAPA"</formula>
    </cfRule>
  </conditionalFormatting>
  <conditionalFormatting sqref="M306">
    <cfRule type="expression" dxfId="4238" priority="2714">
      <formula>$H306="CÉLULA CONSTRUTIVA"</formula>
    </cfRule>
  </conditionalFormatting>
  <conditionalFormatting sqref="M319 O319:P319">
    <cfRule type="expression" dxfId="4237" priority="3310">
      <formula>$H319="CÉLULA CONSTRUTIVA"</formula>
    </cfRule>
    <cfRule type="expression" dxfId="4236" priority="3311">
      <formula>$H319="ETAPA"</formula>
    </cfRule>
  </conditionalFormatting>
  <conditionalFormatting sqref="M325">
    <cfRule type="expression" dxfId="4235" priority="3313">
      <formula>$H325="SUBETAPA"</formula>
    </cfRule>
    <cfRule type="expression" dxfId="4234" priority="3314">
      <formula>$H325="CÉLULA CONSTRUTIVA"</formula>
    </cfRule>
    <cfRule type="expression" dxfId="4233" priority="3315">
      <formula>$H325="ETAPA"</formula>
    </cfRule>
  </conditionalFormatting>
  <conditionalFormatting sqref="M326">
    <cfRule type="expression" dxfId="4232" priority="2699">
      <formula>$H326="CÉLULA CONSTRUTIVA"</formula>
    </cfRule>
  </conditionalFormatting>
  <conditionalFormatting sqref="M329">
    <cfRule type="expression" dxfId="4231" priority="3316">
      <formula>$H329="ETAPA"</formula>
    </cfRule>
  </conditionalFormatting>
  <conditionalFormatting sqref="M330:M331">
    <cfRule type="expression" dxfId="4230" priority="3317">
      <formula>$H330="SUBETAPA"</formula>
    </cfRule>
    <cfRule type="expression" dxfId="4229" priority="3318">
      <formula>$H330="CÉLULA CONSTRUTIVA"</formula>
    </cfRule>
    <cfRule type="expression" dxfId="4228" priority="3319">
      <formula>$H330="ETAPA"</formula>
    </cfRule>
  </conditionalFormatting>
  <conditionalFormatting sqref="M342 O342:P342 M346">
    <cfRule type="expression" dxfId="4227" priority="3321">
      <formula>$H342="ETAPA"</formula>
    </cfRule>
  </conditionalFormatting>
  <conditionalFormatting sqref="M344">
    <cfRule type="expression" dxfId="4226" priority="2684">
      <formula>$H344="CÉLULA CONSTRUTIVA"</formula>
    </cfRule>
  </conditionalFormatting>
  <conditionalFormatting sqref="M345 G345:K345 O345:P345">
    <cfRule type="expression" dxfId="4225" priority="693">
      <formula>$H344="SUBETAPA"</formula>
    </cfRule>
  </conditionalFormatting>
  <conditionalFormatting sqref="M345 G345:K345">
    <cfRule type="expression" dxfId="4224" priority="694">
      <formula>$H344="ETAPA"</formula>
    </cfRule>
  </conditionalFormatting>
  <conditionalFormatting sqref="M352">
    <cfRule type="expression" dxfId="4223" priority="3322">
      <formula>#REF!="SUBETAPA"</formula>
    </cfRule>
    <cfRule type="expression" dxfId="4222" priority="3323">
      <formula>#REF!="CÉLULA CONSTRUTIVA"</formula>
    </cfRule>
    <cfRule type="expression" dxfId="4221" priority="3324">
      <formula>#REF!="ETAPA"</formula>
    </cfRule>
  </conditionalFormatting>
  <conditionalFormatting sqref="M23:N26 M33:M34">
    <cfRule type="expression" dxfId="4220" priority="3254">
      <formula>$H23="CÉLULA CONSTRUTIVA"</formula>
    </cfRule>
  </conditionalFormatting>
  <conditionalFormatting sqref="M23:N26">
    <cfRule type="expression" dxfId="4219" priority="3253">
      <formula>$H23="ETAPA"</formula>
    </cfRule>
  </conditionalFormatting>
  <conditionalFormatting sqref="M93:N93">
    <cfRule type="expression" dxfId="4218" priority="2462">
      <formula>$H93="SUBETAPA"</formula>
    </cfRule>
  </conditionalFormatting>
  <conditionalFormatting sqref="M117:N117">
    <cfRule type="expression" dxfId="4217" priority="2411">
      <formula>$H117="SUBETAPA"</formula>
    </cfRule>
  </conditionalFormatting>
  <conditionalFormatting sqref="M122:N122">
    <cfRule type="expression" dxfId="4216" priority="2124">
      <formula>$H122="SUBETAPA"</formula>
    </cfRule>
  </conditionalFormatting>
  <conditionalFormatting sqref="M124:N124">
    <cfRule type="expression" dxfId="4215" priority="1986">
      <formula>$H124="SUBETAPA"</formula>
    </cfRule>
  </conditionalFormatting>
  <conditionalFormatting sqref="M126:N126">
    <cfRule type="expression" dxfId="4214" priority="1691">
      <formula>$H126="SUBETAPA"</formula>
    </cfRule>
  </conditionalFormatting>
  <conditionalFormatting sqref="M129:N129">
    <cfRule type="expression" dxfId="4213" priority="2374">
      <formula>$H129="SUBETAPA"</formula>
    </cfRule>
  </conditionalFormatting>
  <conditionalFormatting sqref="M133:N137 M139:N142">
    <cfRule type="expression" dxfId="4212" priority="3328">
      <formula>$H133="SUBETAPA"</formula>
    </cfRule>
  </conditionalFormatting>
  <conditionalFormatting sqref="M135:N136 P136">
    <cfRule type="expression" dxfId="4211" priority="3330">
      <formula>$H135="CÉLULA CONSTRUTIVA"</formula>
    </cfRule>
    <cfRule type="expression" dxfId="4210" priority="3331">
      <formula>$H135="ETAPA"</formula>
    </cfRule>
  </conditionalFormatting>
  <conditionalFormatting sqref="M138:N138">
    <cfRule type="expression" dxfId="4209" priority="1553">
      <formula>$H138="SUBETAPA"</formula>
    </cfRule>
  </conditionalFormatting>
  <conditionalFormatting sqref="M151:N151 M153:N153">
    <cfRule type="expression" dxfId="4208" priority="3332">
      <formula>$H151="SUBETAPA"</formula>
    </cfRule>
  </conditionalFormatting>
  <conditionalFormatting sqref="M151:N151 M153:O153">
    <cfRule type="expression" dxfId="4207" priority="3333">
      <formula>$H151="CÉLULA CONSTRUTIVA"</formula>
    </cfRule>
  </conditionalFormatting>
  <conditionalFormatting sqref="M170:N171 L174:M174 G163:K163 G170:K170 G177:K177">
    <cfRule type="expression" dxfId="4206" priority="3064">
      <formula>$H163="ETAPA"</formula>
    </cfRule>
  </conditionalFormatting>
  <conditionalFormatting sqref="M182:N182">
    <cfRule type="expression" dxfId="4205" priority="1255">
      <formula>$H182="ETAPA"</formula>
    </cfRule>
  </conditionalFormatting>
  <conditionalFormatting sqref="M206:N206">
    <cfRule type="expression" dxfId="4204" priority="1197">
      <formula>$H206="SUBETAPA"</formula>
    </cfRule>
    <cfRule type="expression" dxfId="4203" priority="1198">
      <formula>$H206="CÉLULA CONSTRUTIVA"</formula>
    </cfRule>
    <cfRule type="expression" dxfId="4202" priority="1199">
      <formula>$H206="ETAPA"</formula>
    </cfRule>
  </conditionalFormatting>
  <conditionalFormatting sqref="M208:N208">
    <cfRule type="expression" dxfId="4201" priority="1174">
      <formula>$H208="SUBETAPA"</formula>
    </cfRule>
  </conditionalFormatting>
  <conditionalFormatting sqref="M214:N214">
    <cfRule type="expression" dxfId="4200" priority="1128">
      <formula>$H214="SUBETAPA"</formula>
    </cfRule>
    <cfRule type="expression" dxfId="4199" priority="1129">
      <formula>$H214="CÉLULA CONSTRUTIVA"</formula>
    </cfRule>
    <cfRule type="expression" dxfId="4198" priority="1130">
      <formula>$H214="ETAPA"</formula>
    </cfRule>
  </conditionalFormatting>
  <conditionalFormatting sqref="M218:N218">
    <cfRule type="expression" dxfId="4197" priority="1105">
      <formula>$H218="SUBETAPA"</formula>
    </cfRule>
    <cfRule type="expression" dxfId="4196" priority="1106">
      <formula>$H218="CÉLULA CONSTRUTIVA"</formula>
    </cfRule>
    <cfRule type="expression" dxfId="4195" priority="1107">
      <formula>$H218="ETAPA"</formula>
    </cfRule>
  </conditionalFormatting>
  <conditionalFormatting sqref="M223:N223">
    <cfRule type="expression" dxfId="4194" priority="1082">
      <formula>$H223="SUBETAPA"</formula>
    </cfRule>
    <cfRule type="expression" dxfId="4193" priority="1083">
      <formula>$H223="CÉLULA CONSTRUTIVA"</formula>
    </cfRule>
    <cfRule type="expression" dxfId="4192" priority="1084">
      <formula>$H223="ETAPA"</formula>
    </cfRule>
  </conditionalFormatting>
  <conditionalFormatting sqref="M226:N226">
    <cfRule type="expression" dxfId="4191" priority="321">
      <formula>$H226="SUBETAPA"</formula>
    </cfRule>
    <cfRule type="expression" dxfId="4190" priority="322">
      <formula>$H226="CÉLULA CONSTRUTIVA"</formula>
    </cfRule>
    <cfRule type="expression" dxfId="4189" priority="323">
      <formula>$H226="ETAPA"</formula>
    </cfRule>
  </conditionalFormatting>
  <conditionalFormatting sqref="M230:N230">
    <cfRule type="expression" dxfId="4188" priority="3303">
      <formula>$H230="SUBETAPA"</formula>
    </cfRule>
  </conditionalFormatting>
  <conditionalFormatting sqref="M239:N239">
    <cfRule type="expression" dxfId="4187" priority="220">
      <formula>$H239="SUBETAPA"</formula>
    </cfRule>
    <cfRule type="expression" dxfId="4186" priority="221">
      <formula>$H239="CÉLULA CONSTRUTIVA"</formula>
    </cfRule>
  </conditionalFormatting>
  <conditionalFormatting sqref="M241:N241">
    <cfRule type="expression" dxfId="4185" priority="1059">
      <formula>$H241="SUBETAPA"</formula>
    </cfRule>
    <cfRule type="expression" dxfId="4184" priority="1060">
      <formula>$H241="CÉLULA CONSTRUTIVA"</formula>
    </cfRule>
    <cfRule type="expression" dxfId="4183" priority="1061">
      <formula>$H241="ETAPA"</formula>
    </cfRule>
  </conditionalFormatting>
  <conditionalFormatting sqref="M247:N247">
    <cfRule type="expression" dxfId="4182" priority="1036">
      <formula>$H247="SUBETAPA"</formula>
    </cfRule>
    <cfRule type="expression" dxfId="4181" priority="1037">
      <formula>$H247="CÉLULA CONSTRUTIVA"</formula>
    </cfRule>
    <cfRule type="expression" dxfId="4180" priority="1038">
      <formula>$H247="ETAPA"</formula>
    </cfRule>
  </conditionalFormatting>
  <conditionalFormatting sqref="M319:N319">
    <cfRule type="expression" dxfId="4179" priority="3335">
      <formula>$H319="SUBETAPA"</formula>
    </cfRule>
  </conditionalFormatting>
  <conditionalFormatting sqref="M346:N346">
    <cfRule type="expression" dxfId="4178" priority="3351">
      <formula>$H346="SUBETAPA"</formula>
    </cfRule>
  </conditionalFormatting>
  <conditionalFormatting sqref="M125:O125">
    <cfRule type="expression" dxfId="4177" priority="3336">
      <formula>$H125="CÉLULA CONSTRUTIVA"</formula>
    </cfRule>
    <cfRule type="expression" dxfId="4176" priority="3337">
      <formula>$H125="ETAPA"</formula>
    </cfRule>
  </conditionalFormatting>
  <conditionalFormatting sqref="M151:O151 M153:N153">
    <cfRule type="expression" dxfId="4175" priority="3334">
      <formula>$H151="ETAPA"</formula>
    </cfRule>
  </conditionalFormatting>
  <conditionalFormatting sqref="M161:O161">
    <cfRule type="expression" dxfId="4174" priority="3409">
      <formula>$H161="CÉLULA CONSTRUTIVA"</formula>
    </cfRule>
  </conditionalFormatting>
  <conditionalFormatting sqref="M165:O165 M167:M168">
    <cfRule type="expression" dxfId="4173" priority="3286">
      <formula>$H165="ETAPA"</formula>
    </cfRule>
  </conditionalFormatting>
  <conditionalFormatting sqref="M199:O199">
    <cfRule type="expression" dxfId="4172" priority="3338">
      <formula>$H199="CÉLULA CONSTRUTIVA"</formula>
    </cfRule>
    <cfRule type="expression" dxfId="4171" priority="3339">
      <formula>$H199="SUBETAPA"</formula>
    </cfRule>
    <cfRule type="expression" dxfId="4170" priority="3340">
      <formula>$H199="ETAPA"</formula>
    </cfRule>
  </conditionalFormatting>
  <conditionalFormatting sqref="M206:O206">
    <cfRule type="expression" dxfId="4169" priority="1194">
      <formula>$H206="CÉLULA CONSTRUTIVA"</formula>
    </cfRule>
  </conditionalFormatting>
  <conditionalFormatting sqref="M208:O208">
    <cfRule type="expression" dxfId="4168" priority="1171">
      <formula>$H208="CÉLULA CONSTRUTIVA"</formula>
    </cfRule>
  </conditionalFormatting>
  <conditionalFormatting sqref="M214:O214">
    <cfRule type="expression" dxfId="4167" priority="1125">
      <formula>$H214="CÉLULA CONSTRUTIVA"</formula>
    </cfRule>
  </conditionalFormatting>
  <conditionalFormatting sqref="M218:O218">
    <cfRule type="expression" dxfId="4166" priority="1102">
      <formula>$H218="CÉLULA CONSTRUTIVA"</formula>
    </cfRule>
  </conditionalFormatting>
  <conditionalFormatting sqref="M223:O223">
    <cfRule type="expression" dxfId="4165" priority="1079">
      <formula>$H223="CÉLULA CONSTRUTIVA"</formula>
    </cfRule>
  </conditionalFormatting>
  <conditionalFormatting sqref="M271:O271">
    <cfRule type="expression" dxfId="4164" priority="41">
      <formula>$H271="SUBETAPA"</formula>
    </cfRule>
  </conditionalFormatting>
  <conditionalFormatting sqref="M329:O329">
    <cfRule type="expression" dxfId="4163" priority="3341">
      <formula>$H329="SUBETAPA"</formula>
    </cfRule>
    <cfRule type="expression" dxfId="4162" priority="3342">
      <formula>$H329="CÉLULA CONSTRUTIVA"</formula>
    </cfRule>
  </conditionalFormatting>
  <conditionalFormatting sqref="M20:P20">
    <cfRule type="expression" dxfId="4161" priority="2669">
      <formula>$H20="SUBETAPA"</formula>
    </cfRule>
  </conditionalFormatting>
  <conditionalFormatting sqref="M50:P50">
    <cfRule type="expression" dxfId="4160" priority="3346">
      <formula>$H50="SUBETAPA"</formula>
    </cfRule>
  </conditionalFormatting>
  <conditionalFormatting sqref="M52:P52">
    <cfRule type="expression" dxfId="4159" priority="3263">
      <formula>$H52="SUBETAPA"</formula>
    </cfRule>
  </conditionalFormatting>
  <conditionalFormatting sqref="M93:P93">
    <cfRule type="expression" dxfId="4158" priority="2461">
      <formula>$H93="ETAPA"</formula>
    </cfRule>
  </conditionalFormatting>
  <conditionalFormatting sqref="M117:P117">
    <cfRule type="expression" dxfId="4157" priority="2410">
      <formula>$H117="ETAPA"</formula>
    </cfRule>
  </conditionalFormatting>
  <conditionalFormatting sqref="M118:P118">
    <cfRule type="expression" dxfId="4156" priority="1798">
      <formula>$H118="SUBETAPA"</formula>
    </cfRule>
  </conditionalFormatting>
  <conditionalFormatting sqref="M127:P127">
    <cfRule type="expression" dxfId="4155" priority="3347">
      <formula>$H127="SUBETAPA"</formula>
    </cfRule>
    <cfRule type="expression" dxfId="4154" priority="3440">
      <formula>$H127="CÉLULA CONSTRUTIVA"</formula>
    </cfRule>
  </conditionalFormatting>
  <conditionalFormatting sqref="M129:P129">
    <cfRule type="expression" dxfId="4153" priority="2373">
      <formula>$H129="ETAPA"</formula>
    </cfRule>
  </conditionalFormatting>
  <conditionalFormatting sqref="M143:P143">
    <cfRule type="expression" dxfId="4152" priority="3348">
      <formula>$H143="SUBETAPA"</formula>
    </cfRule>
  </conditionalFormatting>
  <conditionalFormatting sqref="M166:P166">
    <cfRule type="expression" dxfId="4151" priority="424">
      <formula>$H166="SUBETAPA"</formula>
    </cfRule>
  </conditionalFormatting>
  <conditionalFormatting sqref="M179:P179">
    <cfRule type="expression" dxfId="4150" priority="407">
      <formula>$H179="SUBETAPA"</formula>
    </cfRule>
  </conditionalFormatting>
  <conditionalFormatting sqref="M180:P183 M178:P178 M175:P175">
    <cfRule type="expression" dxfId="4149" priority="3349">
      <formula>$H175="SUBETAPA"</formula>
    </cfRule>
  </conditionalFormatting>
  <conditionalFormatting sqref="M209:P209">
    <cfRule type="expression" dxfId="4148" priority="3299">
      <formula>$H209="SUBETAPA"</formula>
    </cfRule>
  </conditionalFormatting>
  <conditionalFormatting sqref="M226:P226">
    <cfRule type="expression" dxfId="4147" priority="318">
      <formula>$H226="CÉLULA CONSTRUTIVA"</formula>
    </cfRule>
  </conditionalFormatting>
  <conditionalFormatting sqref="M230:P230">
    <cfRule type="expression" dxfId="4146" priority="3302">
      <formula>$H230="CÉLULA CONSTRUTIVA"</formula>
    </cfRule>
  </conditionalFormatting>
  <conditionalFormatting sqref="M241:P241">
    <cfRule type="expression" dxfId="4145" priority="1056">
      <formula>$H241="CÉLULA CONSTRUTIVA"</formula>
    </cfRule>
  </conditionalFormatting>
  <conditionalFormatting sqref="M247:P247">
    <cfRule type="expression" dxfId="4144" priority="1033">
      <formula>$H247="CÉLULA CONSTRUTIVA"</formula>
    </cfRule>
  </conditionalFormatting>
  <conditionalFormatting sqref="M250:P252 M253:M258">
    <cfRule type="expression" dxfId="4143" priority="3143">
      <formula>$H250="SUBETAPA"</formula>
    </cfRule>
    <cfRule type="expression" dxfId="4142" priority="3144">
      <formula>$H250="CÉLULA CONSTRUTIVA"</formula>
    </cfRule>
  </conditionalFormatting>
  <conditionalFormatting sqref="M271:P271">
    <cfRule type="expression" dxfId="4141" priority="50">
      <formula>$H271="SUBETAPA"</formula>
    </cfRule>
  </conditionalFormatting>
  <conditionalFormatting sqref="M304:P304">
    <cfRule type="expression" dxfId="4140" priority="821">
      <formula>$H304="CÉLULA CONSTRUTIVA"</formula>
    </cfRule>
    <cfRule type="expression" dxfId="4139" priority="822">
      <formula>$H304="ETAPA"</formula>
    </cfRule>
  </conditionalFormatting>
  <conditionalFormatting sqref="M322:P322 G322:L324">
    <cfRule type="expression" dxfId="4138" priority="3097">
      <formula>$H322="SUBETAPA"</formula>
    </cfRule>
    <cfRule type="expression" dxfId="4137" priority="3312">
      <formula>$H322="CÉLULA CONSTRUTIVA"</formula>
    </cfRule>
  </conditionalFormatting>
  <conditionalFormatting sqref="M342:P342">
    <cfRule type="expression" dxfId="4136" priority="3352">
      <formula>$H342="SUBETAPA"</formula>
    </cfRule>
  </conditionalFormatting>
  <conditionalFormatting sqref="M346:P346">
    <cfRule type="expression" dxfId="4135" priority="3391">
      <formula>$H346="CÉLULA CONSTRUTIVA"</formula>
    </cfRule>
  </conditionalFormatting>
  <conditionalFormatting sqref="N8">
    <cfRule type="expression" dxfId="4134" priority="2976">
      <formula>$H8="CÉLULA CONSTRUTIVA"</formula>
    </cfRule>
    <cfRule type="expression" dxfId="4133" priority="2977">
      <formula>$H8="SUBETAPA"</formula>
    </cfRule>
    <cfRule type="expression" dxfId="4132" priority="2979">
      <formula>$H8="CÉLULA CONSTRUTIVA"</formula>
    </cfRule>
    <cfRule type="expression" dxfId="4131" priority="6147">
      <formula>#REF!="ETAPA"</formula>
    </cfRule>
  </conditionalFormatting>
  <conditionalFormatting sqref="N8:N71 G21:L26 G28:L31 G33:L34 G36:L36 G38:L46 G48:L48 G50:L50 G52:L52 P52 G54:L59 P54:P59 G61:L67 P61:P67 G69:K69 P69 G71:M71 O71 P71:P73 G72:O72 G73:M73 O73 G75:K75 G77:K77 G93:K93 G117:K117 G129:K129 P48 P50">
    <cfRule type="expression" dxfId="4130" priority="3050">
      <formula>#REF!="SUBETAPA"</formula>
    </cfRule>
  </conditionalFormatting>
  <conditionalFormatting sqref="N8:N71 M103 M106 N127:N137 M122:N122 J122:K122 G97:H97 J97:K97 G99:H99 J99:K99 G101:H101 J101:K101 M101 G103:H103 J103:K103 J106:K106 G109:H109 J109:K109 G122:H122 M124:N124 J124:K124 G124:H124 M126:N126 J126:K126 G126:H126 M138:O138 J138:K138 G138:H138 P71:P73 P52 P54:P59 P61:P67 P69 O71 N72:O72 O73 M97 O97 M99 O99 O101 O103 G106:H106 O106 M109 O109">
    <cfRule type="expression" dxfId="4129" priority="3044">
      <formula>#REF!="ETAPA"</formula>
    </cfRule>
  </conditionalFormatting>
  <conditionalFormatting sqref="N8:N71 P52 P54:P59 P61:P67 P69 O71 P71:P73 N72:O72 O73 G122:H122 G124:H124 G126:H126 G138:H138 P185:P203 P205:P211 P260:P295 P307:P325 P238:P258 G117:K117 G129:K129 P118:P127 P130:P143 P145:P155 P177:P183 P213:P236 P297:P305 P327:P343 P345 P157:P161 P163:P168 L16:L17 L19 L21:L26 L28:L31 L33:L34 L36 L38:L46 L48 L50 G52:L52 G54:L59 G61:L67 G69:K69 G71:K73 G75:K75 G77:K77 G79:K84 G93:K93 G98:H98 O110:O112 G114:H115 O114:P115 G119:L121 G171:L171 G173:L174 G230:L231 G101:H112 P95:P113 P170:P175 N73:N347">
    <cfRule type="expression" dxfId="4128" priority="3045">
      <formula>#REF!="CÉLULA CONSTRUTIVA"</formula>
    </cfRule>
  </conditionalFormatting>
  <conditionalFormatting sqref="N18">
    <cfRule type="expression" dxfId="4127" priority="2957">
      <formula>$H18="CÉLULA CONSTRUTIVA"</formula>
    </cfRule>
    <cfRule type="expression" dxfId="4126" priority="2958">
      <formula>$H18="SUBETAPA"</formula>
    </cfRule>
    <cfRule type="expression" dxfId="4125" priority="2959">
      <formula>$H3="ETAPA"</formula>
    </cfRule>
    <cfRule type="expression" dxfId="4124" priority="2960">
      <formula>$H18="CÉLULA CONSTRUTIVA"</formula>
    </cfRule>
  </conditionalFormatting>
  <conditionalFormatting sqref="N51">
    <cfRule type="expression" dxfId="4123" priority="2945">
      <formula>$H51="CÉLULA CONSTRUTIVA"</formula>
    </cfRule>
    <cfRule type="expression" dxfId="4122" priority="2946">
      <formula>$H51="SUBETAPA"</formula>
    </cfRule>
    <cfRule type="expression" dxfId="4121" priority="2947">
      <formula>$H36="ETAPA"</formula>
    </cfRule>
    <cfRule type="expression" dxfId="4120" priority="2948">
      <formula>$H51="CÉLULA CONSTRUTIVA"</formula>
    </cfRule>
  </conditionalFormatting>
  <conditionalFormatting sqref="N71:N72">
    <cfRule type="expression" dxfId="4119" priority="3354">
      <formula>$H71="CÉLULA CONSTRUTIVA"</formula>
    </cfRule>
    <cfRule type="expression" dxfId="4118" priority="3355">
      <formula>$H71="ETAPA"</formula>
    </cfRule>
  </conditionalFormatting>
  <conditionalFormatting sqref="N76">
    <cfRule type="expression" dxfId="4117" priority="2931">
      <formula>$H76="CÉLULA CONSTRUTIVA"</formula>
    </cfRule>
    <cfRule type="expression" dxfId="4116" priority="2932">
      <formula>$H76="SUBETAPA"</formula>
    </cfRule>
    <cfRule type="expression" dxfId="4115" priority="2933">
      <formula>$H61="ETAPA"</formula>
    </cfRule>
    <cfRule type="expression" dxfId="4114" priority="2934">
      <formula>$H76="CÉLULA CONSTRUTIVA"</formula>
    </cfRule>
  </conditionalFormatting>
  <conditionalFormatting sqref="N77 N52:P52">
    <cfRule type="expression" dxfId="4113" priority="3424">
      <formula>$H52="CÉLULA CONSTRUTIVA"</formula>
    </cfRule>
  </conditionalFormatting>
  <conditionalFormatting sqref="N77">
    <cfRule type="expression" dxfId="4112" priority="3356">
      <formula>$H77="SUBETAPA"</formula>
    </cfRule>
    <cfRule type="expression" dxfId="4111" priority="3357">
      <formula>$H77="CÉLULA CONSTRUTIVA"</formula>
    </cfRule>
    <cfRule type="expression" dxfId="4110" priority="3358">
      <formula>$H77="ETAPA"</formula>
    </cfRule>
    <cfRule type="expression" dxfId="4109" priority="3423">
      <formula>$H77="SUBETAPA"</formula>
    </cfRule>
  </conditionalFormatting>
  <conditionalFormatting sqref="N90">
    <cfRule type="expression" dxfId="4108" priority="3361">
      <formula>$H90="ETAPA"</formula>
    </cfRule>
  </conditionalFormatting>
  <conditionalFormatting sqref="N90:N92 L90:M90 O90:P90 O97 O99 P257">
    <cfRule type="expression" dxfId="4107" priority="2918">
      <formula>$H74="ETAPA"</formula>
    </cfRule>
  </conditionalFormatting>
  <conditionalFormatting sqref="N92">
    <cfRule type="expression" dxfId="4106" priority="2917">
      <formula>$H92="SUBETAPA"</formula>
    </cfRule>
  </conditionalFormatting>
  <conditionalFormatting sqref="N92:N93">
    <cfRule type="expression" dxfId="4105" priority="2468">
      <formula>$H92="CÉLULA CONSTRUTIVA"</formula>
    </cfRule>
  </conditionalFormatting>
  <conditionalFormatting sqref="N93">
    <cfRule type="expression" dxfId="4104" priority="2465">
      <formula>$H93="CÉLULA CONSTRUTIVA"</formula>
    </cfRule>
    <cfRule type="expression" dxfId="4103" priority="2466">
      <formula>$H93="ETAPA"</formula>
    </cfRule>
    <cfRule type="expression" dxfId="4102" priority="2467">
      <formula>$H93="SUBETAPA"</formula>
    </cfRule>
    <cfRule type="expression" dxfId="4101" priority="2469">
      <formula>$H93="ETAPA"</formula>
    </cfRule>
  </conditionalFormatting>
  <conditionalFormatting sqref="N96:N97 N99 N101 N103 G106:H106 N106 N100:O100 O96">
    <cfRule type="expression" dxfId="4100" priority="3159">
      <formula>$H96="CÉLULA CONSTRUTIVA"</formula>
    </cfRule>
  </conditionalFormatting>
  <conditionalFormatting sqref="N97 N99 M101:N101 N103 N106 N109 N267:O270 L313:P313 L315:P315 N281:O281 N285:O285 N290:O290 N300:O300 N302:O302 N319 N15:P15 N272:O272 N294:P295 N28:N29 N23:N26 N33:P33 N10:P10 N13:P13 N36:P36 N174 N292 N298 N304">
    <cfRule type="expression" dxfId="4099" priority="3242">
      <formula>#REF!="ETAPA"</formula>
    </cfRule>
  </conditionalFormatting>
  <conditionalFormatting sqref="N97 N99 N101 N106 N109 N103">
    <cfRule type="expression" dxfId="4098" priority="3366">
      <formula>$H97="SUBETAPA"</formula>
    </cfRule>
  </conditionalFormatting>
  <conditionalFormatting sqref="N97:N99 N101 N106 N108:N109">
    <cfRule type="expression" dxfId="4097" priority="3365">
      <formula>$H97="CÉLULA CONSTRUTIVA"</formula>
    </cfRule>
  </conditionalFormatting>
  <conditionalFormatting sqref="N97:N99 N101:P101 N103:P103 N106 N108:N109">
    <cfRule type="expression" dxfId="4096" priority="3433">
      <formula>$H97="ETAPA"</formula>
    </cfRule>
  </conditionalFormatting>
  <conditionalFormatting sqref="N107 P107">
    <cfRule type="expression" dxfId="4095" priority="3035">
      <formula>$H102="ETAPA"</formula>
    </cfRule>
    <cfRule type="expression" dxfId="4094" priority="3036">
      <formula>$H102="SUBETAPA"</formula>
    </cfRule>
    <cfRule type="expression" dxfId="4093" priority="3037">
      <formula>$H101="CÉLULA CONSTRUTIVA"</formula>
    </cfRule>
  </conditionalFormatting>
  <conditionalFormatting sqref="N116">
    <cfRule type="expression" dxfId="4092" priority="6593">
      <formula>$H116="SUBETAPA"</formula>
    </cfRule>
    <cfRule type="expression" dxfId="4091" priority="6594">
      <formula>#REF!="ETAPA"</formula>
    </cfRule>
  </conditionalFormatting>
  <conditionalFormatting sqref="N116:N117">
    <cfRule type="expression" dxfId="4090" priority="2417">
      <formula>$H116="CÉLULA CONSTRUTIVA"</formula>
    </cfRule>
  </conditionalFormatting>
  <conditionalFormatting sqref="N117">
    <cfRule type="expression" dxfId="4089" priority="2414">
      <formula>$H117="CÉLULA CONSTRUTIVA"</formula>
    </cfRule>
    <cfRule type="expression" dxfId="4088" priority="2415">
      <formula>$H117="ETAPA"</formula>
    </cfRule>
    <cfRule type="expression" dxfId="4087" priority="2416">
      <formula>$H117="SUBETAPA"</formula>
    </cfRule>
  </conditionalFormatting>
  <conditionalFormatting sqref="N122 L122 P122">
    <cfRule type="expression" dxfId="4086" priority="2114">
      <formula>$H118="SUBETAPA"</formula>
    </cfRule>
    <cfRule type="expression" dxfId="4085" priority="2115">
      <formula>$H118="ETAPA"</formula>
    </cfRule>
    <cfRule type="expression" dxfId="4084" priority="2132">
      <formula>$H120="CÉLULA CONSTRUTIVA"</formula>
    </cfRule>
  </conditionalFormatting>
  <conditionalFormatting sqref="N122">
    <cfRule type="expression" dxfId="4083" priority="2102">
      <formula>$H122="ETAPA"</formula>
    </cfRule>
    <cfRule type="expression" dxfId="4082" priority="2128">
      <formula>#REF!="CÉLULA CONSTRUTIVA"</formula>
    </cfRule>
    <cfRule type="expression" dxfId="4081" priority="2129">
      <formula>$H122="ETAPA"</formula>
    </cfRule>
    <cfRule type="expression" dxfId="4080" priority="2141">
      <formula>$H122="CÉLULA CONSTRUTIVA"</formula>
    </cfRule>
  </conditionalFormatting>
  <conditionalFormatting sqref="N122:N123">
    <cfRule type="expression" dxfId="4079" priority="2118">
      <formula>#REF!="ETAPA"</formula>
    </cfRule>
  </conditionalFormatting>
  <conditionalFormatting sqref="N124 L124 P124">
    <cfRule type="expression" dxfId="4078" priority="1976">
      <formula>$H120="SUBETAPA"</formula>
    </cfRule>
    <cfRule type="expression" dxfId="4077" priority="1977">
      <formula>$H120="ETAPA"</formula>
    </cfRule>
    <cfRule type="expression" dxfId="4076" priority="1994">
      <formula>$H122="CÉLULA CONSTRUTIVA"</formula>
    </cfRule>
  </conditionalFormatting>
  <conditionalFormatting sqref="N124">
    <cfRule type="expression" dxfId="4075" priority="1964">
      <formula>$H124="ETAPA"</formula>
    </cfRule>
    <cfRule type="expression" dxfId="4074" priority="1990">
      <formula>#REF!="CÉLULA CONSTRUTIVA"</formula>
    </cfRule>
    <cfRule type="expression" dxfId="4073" priority="1991">
      <formula>$H124="ETAPA"</formula>
    </cfRule>
    <cfRule type="expression" dxfId="4072" priority="2003">
      <formula>$H124="CÉLULA CONSTRUTIVA"</formula>
    </cfRule>
  </conditionalFormatting>
  <conditionalFormatting sqref="N124:N125">
    <cfRule type="expression" dxfId="4071" priority="1980">
      <formula>#REF!="ETAPA"</formula>
    </cfRule>
  </conditionalFormatting>
  <conditionalFormatting sqref="N126 L126 P126">
    <cfRule type="expression" dxfId="4070" priority="1681">
      <formula>$H122="SUBETAPA"</formula>
    </cfRule>
    <cfRule type="expression" dxfId="4069" priority="1682">
      <formula>$H122="ETAPA"</formula>
    </cfRule>
    <cfRule type="expression" dxfId="4068" priority="1699">
      <formula>$H124="CÉLULA CONSTRUTIVA"</formula>
    </cfRule>
  </conditionalFormatting>
  <conditionalFormatting sqref="N126">
    <cfRule type="expression" dxfId="4067" priority="1669">
      <formula>$H126="ETAPA"</formula>
    </cfRule>
    <cfRule type="expression" dxfId="4066" priority="1685">
      <formula>#REF!="ETAPA"</formula>
    </cfRule>
    <cfRule type="expression" dxfId="4065" priority="1695">
      <formula>#REF!="CÉLULA CONSTRUTIVA"</formula>
    </cfRule>
    <cfRule type="expression" dxfId="4064" priority="1696">
      <formula>$H126="ETAPA"</formula>
    </cfRule>
    <cfRule type="expression" dxfId="4063" priority="1708">
      <formula>$H126="CÉLULA CONSTRUTIVA"</formula>
    </cfRule>
  </conditionalFormatting>
  <conditionalFormatting sqref="N128">
    <cfRule type="expression" dxfId="4062" priority="2887">
      <formula>$H128="SUBETAPA"</formula>
    </cfRule>
    <cfRule type="expression" dxfId="4061" priority="2888">
      <formula>$H113="ETAPA"</formula>
    </cfRule>
  </conditionalFormatting>
  <conditionalFormatting sqref="N128:N129">
    <cfRule type="expression" dxfId="4060" priority="2380">
      <formula>$H128="CÉLULA CONSTRUTIVA"</formula>
    </cfRule>
  </conditionalFormatting>
  <conditionalFormatting sqref="N129">
    <cfRule type="expression" dxfId="4059" priority="2377">
      <formula>$H129="CÉLULA CONSTRUTIVA"</formula>
    </cfRule>
    <cfRule type="expression" dxfId="4058" priority="2378">
      <formula>$H129="ETAPA"</formula>
    </cfRule>
    <cfRule type="expression" dxfId="4057" priority="2379">
      <formula>$H129="SUBETAPA"</formula>
    </cfRule>
  </conditionalFormatting>
  <conditionalFormatting sqref="N130">
    <cfRule type="expression" dxfId="4056" priority="3368">
      <formula>$H130="CÉLULA CONSTRUTIVA"</formula>
    </cfRule>
  </conditionalFormatting>
  <conditionalFormatting sqref="N133">
    <cfRule type="expression" dxfId="4055" priority="3284">
      <formula>$H133="ETAPA"</formula>
    </cfRule>
  </conditionalFormatting>
  <conditionalFormatting sqref="N134 N140 N142 N132">
    <cfRule type="expression" dxfId="4054" priority="3369">
      <formula>$H132="CÉLULA CONSTRUTIVA"</formula>
    </cfRule>
  </conditionalFormatting>
  <conditionalFormatting sqref="N138">
    <cfRule type="expression" dxfId="4053" priority="1547">
      <formula>#REF!="ETAPA"</formula>
    </cfRule>
    <cfRule type="expression" dxfId="4052" priority="1557">
      <formula>#REF!="CÉLULA CONSTRUTIVA"</formula>
    </cfRule>
    <cfRule type="expression" dxfId="4051" priority="1558">
      <formula>$H138="ETAPA"</formula>
    </cfRule>
  </conditionalFormatting>
  <conditionalFormatting sqref="N144">
    <cfRule type="expression" dxfId="4050" priority="2871">
      <formula>$H144="CÉLULA CONSTRUTIVA"</formula>
    </cfRule>
    <cfRule type="expression" dxfId="4049" priority="2872">
      <formula>$H144="SUBETAPA"</formula>
    </cfRule>
    <cfRule type="expression" dxfId="4048" priority="2873">
      <formula>$H129="ETAPA"</formula>
    </cfRule>
    <cfRule type="expression" dxfId="4047" priority="2874">
      <formula>$H144="CÉLULA CONSTRUTIVA"</formula>
    </cfRule>
  </conditionalFormatting>
  <conditionalFormatting sqref="N146">
    <cfRule type="expression" dxfId="4046" priority="1368">
      <formula>$H146="ETAPA"</formula>
    </cfRule>
  </conditionalFormatting>
  <conditionalFormatting sqref="N153 J159:N159">
    <cfRule type="expression" dxfId="4045" priority="3406">
      <formula>$H153="CÉLULA CONSTRUTIVA"</formula>
    </cfRule>
  </conditionalFormatting>
  <conditionalFormatting sqref="N156">
    <cfRule type="expression" dxfId="4044" priority="2856">
      <formula>$H156="CÉLULA CONSTRUTIVA"</formula>
    </cfRule>
    <cfRule type="expression" dxfId="4043" priority="2857">
      <formula>$H156="SUBETAPA"</formula>
    </cfRule>
    <cfRule type="expression" dxfId="4042" priority="2858">
      <formula>$H141="ETAPA"</formula>
    </cfRule>
    <cfRule type="expression" dxfId="4041" priority="2859">
      <formula>$H156="CÉLULA CONSTRUTIVA"</formula>
    </cfRule>
  </conditionalFormatting>
  <conditionalFormatting sqref="N162 N176">
    <cfRule type="expression" dxfId="4040" priority="2842">
      <formula>$H162="SUBETAPA"</formula>
    </cfRule>
    <cfRule type="expression" dxfId="4039" priority="2843">
      <formula>$H147="ETAPA"</formula>
    </cfRule>
    <cfRule type="expression" dxfId="4038" priority="2844">
      <formula>$H162="CÉLULA CONSTRUTIVA"</formula>
    </cfRule>
  </conditionalFormatting>
  <conditionalFormatting sqref="N164 G171:P171 N177:N178 M182:P182">
    <cfRule type="expression" dxfId="4037" priority="3378">
      <formula>$H164="CÉLULA CONSTRUTIVA"</formula>
    </cfRule>
  </conditionalFormatting>
  <conditionalFormatting sqref="N169">
    <cfRule type="expression" dxfId="4036" priority="2827">
      <formula>$H169="SUBETAPA"</formula>
    </cfRule>
    <cfRule type="expression" dxfId="4035" priority="2828">
      <formula>$H154="ETAPA"</formula>
    </cfRule>
    <cfRule type="expression" dxfId="4034" priority="2829">
      <formula>$H169="CÉLULA CONSTRUTIVA"</formula>
    </cfRule>
  </conditionalFormatting>
  <conditionalFormatting sqref="N174 N97 N99 N101 N103 N106 L319:P319 N120 N23:N26 L313:P313 L315:P315 N10:P10 N13:P13 N36:P36 N294:P295 N15:P15 N28:N29 N33:P33 N267:O270 N272:O272 N281:O281 N285:O285 N290:O290 N292 N298 N300:O300 N302:O302 N304">
    <cfRule type="expression" dxfId="4033" priority="3422">
      <formula>#REF!="CÉLULA CONSTRUTIVA"</formula>
    </cfRule>
  </conditionalFormatting>
  <conditionalFormatting sqref="N177:N178 N77:P77 N9 N262">
    <cfRule type="expression" dxfId="4032" priority="3353">
      <formula>$H9="ETAPA"</formula>
    </cfRule>
  </conditionalFormatting>
  <conditionalFormatting sqref="N185:N192 G325:L325 N188:O189 P195 N325:O325">
    <cfRule type="expression" dxfId="4031" priority="3098">
      <formula>$H185="CÉLULA CONSTRUTIVA"</formula>
    </cfRule>
  </conditionalFormatting>
  <conditionalFormatting sqref="N185:N192 N188:O189 P195 G325:L325 N325:O325 N195">
    <cfRule type="expression" dxfId="4030" priority="3099">
      <formula>$H185="ETAPA"</formula>
    </cfRule>
  </conditionalFormatting>
  <conditionalFormatting sqref="N197:N203 N194:P196 O185:P186">
    <cfRule type="expression" dxfId="4029" priority="3444">
      <formula>$H185="SUBETAPA"</formula>
    </cfRule>
  </conditionalFormatting>
  <conditionalFormatting sqref="N203 P232:P236 G203:L203">
    <cfRule type="expression" dxfId="4028" priority="3089">
      <formula>$H203="SUBETAPA"</formula>
    </cfRule>
  </conditionalFormatting>
  <conditionalFormatting sqref="N203 P232:P236">
    <cfRule type="expression" dxfId="4027" priority="3088">
      <formula>$H203="ETAPA"</formula>
    </cfRule>
  </conditionalFormatting>
  <conditionalFormatting sqref="N203">
    <cfRule type="expression" dxfId="4026" priority="3087">
      <formula>$H203="CÉLULA CONSTRUTIVA"</formula>
    </cfRule>
  </conditionalFormatting>
  <conditionalFormatting sqref="N204 P250:P251 P253">
    <cfRule type="expression" dxfId="4025" priority="2783">
      <formula>$H187="ETAPA"</formula>
    </cfRule>
  </conditionalFormatting>
  <conditionalFormatting sqref="N204">
    <cfRule type="expression" dxfId="4024" priority="2781">
      <formula>$H204="CÉLULA CONSTRUTIVA"</formula>
    </cfRule>
    <cfRule type="expression" dxfId="4023" priority="2782">
      <formula>$H204="SUBETAPA"</formula>
    </cfRule>
    <cfRule type="expression" dxfId="4022" priority="2784">
      <formula>$H204="CÉLULA CONSTRUTIVA"</formula>
    </cfRule>
  </conditionalFormatting>
  <conditionalFormatting sqref="N208">
    <cfRule type="expression" dxfId="4021" priority="1178">
      <formula>$H208="CÉLULA CONSTRUTIVA"</formula>
    </cfRule>
    <cfRule type="expression" dxfId="4020" priority="1179">
      <formula>$H208="ETAPA"</formula>
    </cfRule>
  </conditionalFormatting>
  <conditionalFormatting sqref="N212 P275:P277 P242 P258 P260 M117">
    <cfRule type="expression" dxfId="4019" priority="2768">
      <formula>$H104="ETAPA"</formula>
    </cfRule>
  </conditionalFormatting>
  <conditionalFormatting sqref="N212">
    <cfRule type="expression" dxfId="4018" priority="2766">
      <formula>$H212="CÉLULA CONSTRUTIVA"</formula>
    </cfRule>
    <cfRule type="expression" dxfId="4017" priority="2767">
      <formula>$H212="SUBETAPA"</formula>
    </cfRule>
    <cfRule type="expression" dxfId="4016" priority="2769">
      <formula>$H212="CÉLULA CONSTRUTIVA"</formula>
    </cfRule>
  </conditionalFormatting>
  <conditionalFormatting sqref="N237">
    <cfRule type="expression" dxfId="4015" priority="2751">
      <formula>$H237="CÉLULA CONSTRUTIVA"</formula>
    </cfRule>
    <cfRule type="expression" dxfId="4014" priority="2752">
      <formula>$H237="SUBETAPA"</formula>
    </cfRule>
    <cfRule type="expression" dxfId="4013" priority="2753">
      <formula>$H218="ETAPA"</formula>
    </cfRule>
    <cfRule type="expression" dxfId="4012" priority="2754">
      <formula>$H237="CÉLULA CONSTRUTIVA"</formula>
    </cfRule>
  </conditionalFormatting>
  <conditionalFormatting sqref="N239">
    <cfRule type="expression" dxfId="4011" priority="225">
      <formula>$H239="ETAPA"</formula>
    </cfRule>
  </conditionalFormatting>
  <conditionalFormatting sqref="N252">
    <cfRule type="expression" dxfId="4010" priority="3386">
      <formula>$H252="ETAPA"</formula>
    </cfRule>
    <cfRule type="expression" dxfId="4009" priority="3388">
      <formula>$H252="CÉLULA CONSTRUTIVA"</formula>
    </cfRule>
  </conditionalFormatting>
  <conditionalFormatting sqref="N259">
    <cfRule type="expression" dxfId="4008" priority="2736">
      <formula>$H259="CÉLULA CONSTRUTIVA"</formula>
    </cfRule>
    <cfRule type="expression" dxfId="4007" priority="2737">
      <formula>$H259="SUBETAPA"</formula>
    </cfRule>
    <cfRule type="expression" dxfId="4006" priority="2738">
      <formula>$H234="ETAPA"</formula>
    </cfRule>
    <cfRule type="expression" dxfId="4005" priority="2739">
      <formula>$H259="CÉLULA CONSTRUTIVA"</formula>
    </cfRule>
  </conditionalFormatting>
  <conditionalFormatting sqref="N271">
    <cfRule type="expression" dxfId="4004" priority="52">
      <formula>$H271="ETAPA"</formula>
    </cfRule>
  </conditionalFormatting>
  <conditionalFormatting sqref="N287">
    <cfRule type="expression" dxfId="4003" priority="1024">
      <formula>$H287="ETAPA"</formula>
    </cfRule>
  </conditionalFormatting>
  <conditionalFormatting sqref="N296">
    <cfRule type="expression" dxfId="4002" priority="6268">
      <formula>$H296="SUBETAPA"</formula>
    </cfRule>
    <cfRule type="expression" dxfId="4001" priority="6269">
      <formula>$H284="ETAPA"</formula>
    </cfRule>
    <cfRule type="expression" dxfId="4000" priority="6270">
      <formula>$H296="CÉLULA CONSTRUTIVA"</formula>
    </cfRule>
  </conditionalFormatting>
  <conditionalFormatting sqref="N296:N297">
    <cfRule type="expression" dxfId="3999" priority="864">
      <formula>$H296="CÉLULA CONSTRUTIVA"</formula>
    </cfRule>
  </conditionalFormatting>
  <conditionalFormatting sqref="N306">
    <cfRule type="expression" dxfId="3998" priority="6178">
      <formula>$H293="ETAPA"</formula>
    </cfRule>
    <cfRule type="expression" dxfId="3997" priority="6179">
      <formula>$H306="CÉLULA CONSTRUTIVA"</formula>
    </cfRule>
  </conditionalFormatting>
  <conditionalFormatting sqref="N306:N308 N77:P77 N177:O178">
    <cfRule type="expression" dxfId="3996" priority="3428">
      <formula>$H77="SUBETAPA"</formula>
    </cfRule>
  </conditionalFormatting>
  <conditionalFormatting sqref="N323 N324:O324">
    <cfRule type="expression" dxfId="3995" priority="3416">
      <formula>$H323="CÉLULA CONSTRUTIVA"</formula>
    </cfRule>
    <cfRule type="expression" dxfId="3994" priority="3417">
      <formula>$H323="ETAPA"</formula>
    </cfRule>
  </conditionalFormatting>
  <conditionalFormatting sqref="N326">
    <cfRule type="expression" dxfId="3993" priority="2693">
      <formula>$H309="ETAPA"</formula>
    </cfRule>
    <cfRule type="expression" dxfId="3992" priority="2694">
      <formula>$H326="CÉLULA CONSTRUTIVA"</formula>
    </cfRule>
  </conditionalFormatting>
  <conditionalFormatting sqref="N326:N327">
    <cfRule type="expression" dxfId="3991" priority="790">
      <formula>$H326="CÉLULA CONSTRUTIVA"</formula>
    </cfRule>
    <cfRule type="expression" dxfId="3990" priority="791">
      <formula>$H326="SUBETAPA"</formula>
    </cfRule>
  </conditionalFormatting>
  <conditionalFormatting sqref="N332">
    <cfRule type="expression" dxfId="3989" priority="752">
      <formula>$H332="CÉLULA CONSTRUTIVA"</formula>
    </cfRule>
    <cfRule type="expression" dxfId="3988" priority="753">
      <formula>$H332="SUBETAPA"</formula>
    </cfRule>
  </conditionalFormatting>
  <conditionalFormatting sqref="N342">
    <cfRule type="expression" dxfId="3987" priority="3393">
      <formula>$H342="CÉLULA CONSTRUTIVA"</formula>
    </cfRule>
    <cfRule type="expression" dxfId="3986" priority="3394">
      <formula>$H342="ETAPA"</formula>
    </cfRule>
  </conditionalFormatting>
  <conditionalFormatting sqref="N344">
    <cfRule type="expression" dxfId="3985" priority="6414">
      <formula>$H331="ETAPA"</formula>
    </cfRule>
    <cfRule type="expression" dxfId="3984" priority="6415">
      <formula>$H344="CÉLULA CONSTRUTIVA"</formula>
    </cfRule>
  </conditionalFormatting>
  <conditionalFormatting sqref="N344:N345">
    <cfRule type="expression" dxfId="3983" priority="664">
      <formula>$H344="CÉLULA CONSTRUTIVA"</formula>
    </cfRule>
    <cfRule type="expression" dxfId="3982" priority="665">
      <formula>$H344="SUBETAPA"</formula>
    </cfRule>
  </conditionalFormatting>
  <conditionalFormatting sqref="N346">
    <cfRule type="expression" dxfId="3981" priority="3392">
      <formula>$H346="ETAPA"</formula>
    </cfRule>
  </conditionalFormatting>
  <conditionalFormatting sqref="N11:O12 M8:M9 O8:P9">
    <cfRule type="expression" dxfId="3980" priority="3246">
      <formula>$H8="ETAPA"</formula>
    </cfRule>
  </conditionalFormatting>
  <conditionalFormatting sqref="N14:O14 G48:K48 M48:O48 G50:K50 M50:O50">
    <cfRule type="expression" dxfId="3979" priority="3057">
      <formula>#REF!="ETAPA"</formula>
    </cfRule>
  </conditionalFormatting>
  <conditionalFormatting sqref="N16:O17">
    <cfRule type="expression" dxfId="3978" priority="3395">
      <formula>$H16="CÉLULA CONSTRUTIVA"</formula>
    </cfRule>
  </conditionalFormatting>
  <conditionalFormatting sqref="N21:O22 O22:O24">
    <cfRule type="expression" dxfId="3977" priority="3396">
      <formula>$H21="ETAPA"</formula>
    </cfRule>
  </conditionalFormatting>
  <conditionalFormatting sqref="N21:O22 O22:O26">
    <cfRule type="expression" dxfId="3976" priority="3397">
      <formula>$H21="CÉLULA CONSTRUTIVA"</formula>
    </cfRule>
  </conditionalFormatting>
  <conditionalFormatting sqref="N86:O86">
    <cfRule type="expression" dxfId="3975" priority="3401">
      <formula>$H86="ETAPA"</formula>
    </cfRule>
  </conditionalFormatting>
  <conditionalFormatting sqref="N91:O91 J209 L252:L258 G91:L91">
    <cfRule type="expression" dxfId="3974" priority="3076">
      <formula>$H91="SUBETAPA"</formula>
    </cfRule>
  </conditionalFormatting>
  <conditionalFormatting sqref="N91:O91 J209 L252:L258">
    <cfRule type="expression" dxfId="3973" priority="3075">
      <formula>$H91="CÉLULA CONSTRUTIVA"</formula>
    </cfRule>
  </conditionalFormatting>
  <conditionalFormatting sqref="N95:O95 J95:L95">
    <cfRule type="expression" dxfId="3972" priority="3179">
      <formula>$H95="CÉLULA CONSTRUTIVA"</formula>
    </cfRule>
  </conditionalFormatting>
  <conditionalFormatting sqref="N118:O118">
    <cfRule type="expression" dxfId="3971" priority="1800">
      <formula>$H118="ETAPA"</formula>
    </cfRule>
  </conditionalFormatting>
  <conditionalFormatting sqref="N132:O132 N134 N140 N142 N130:O130">
    <cfRule type="expression" dxfId="3970" priority="3402">
      <formula>$H130="ETAPA"</formula>
    </cfRule>
  </conditionalFormatting>
  <conditionalFormatting sqref="N146:O146">
    <cfRule type="expression" dxfId="3969" priority="1367">
      <formula>$H146="CÉLULA CONSTRUTIVA"</formula>
    </cfRule>
  </conditionalFormatting>
  <conditionalFormatting sqref="N148:O148">
    <cfRule type="expression" dxfId="3968" priority="1351">
      <formula>$H148="CÉLULA CONSTRUTIVA"</formula>
    </cfRule>
  </conditionalFormatting>
  <conditionalFormatting sqref="N149:O149 N151:O151">
    <cfRule type="expression" dxfId="3967" priority="3404">
      <formula>$H149="CÉLULA CONSTRUTIVA"</formula>
    </cfRule>
  </conditionalFormatting>
  <conditionalFormatting sqref="N149:O149">
    <cfRule type="expression" dxfId="3966" priority="3403">
      <formula>$H149="ETAPA"</formula>
    </cfRule>
  </conditionalFormatting>
  <conditionalFormatting sqref="N150:O150">
    <cfRule type="expression" dxfId="3965" priority="1335">
      <formula>$H150="CÉLULA CONSTRUTIVA"</formula>
    </cfRule>
  </conditionalFormatting>
  <conditionalFormatting sqref="N151:O151">
    <cfRule type="expression" dxfId="3964" priority="3405">
      <formula>$H151="SUBETAPA"</formula>
    </cfRule>
  </conditionalFormatting>
  <conditionalFormatting sqref="N152:O152">
    <cfRule type="expression" dxfId="3963" priority="1319">
      <formula>$H152="CÉLULA CONSTRUTIVA"</formula>
    </cfRule>
  </conditionalFormatting>
  <conditionalFormatting sqref="N153:O153 J159:N159 G210:I211">
    <cfRule type="expression" dxfId="3962" priority="3051">
      <formula>$H153="ETAPA"</formula>
    </cfRule>
  </conditionalFormatting>
  <conditionalFormatting sqref="N155:O155">
    <cfRule type="expression" dxfId="3961" priority="3407">
      <formula>$H155="CÉLULA CONSTRUTIVA"</formula>
    </cfRule>
  </conditionalFormatting>
  <conditionalFormatting sqref="N158:O158">
    <cfRule type="expression" dxfId="3960" priority="530">
      <formula>$H158="CÉLULA CONSTRUTIVA"</formula>
    </cfRule>
  </conditionalFormatting>
  <conditionalFormatting sqref="N160:O160">
    <cfRule type="expression" dxfId="3959" priority="514">
      <formula>$H160="CÉLULA CONSTRUTIVA"</formula>
    </cfRule>
  </conditionalFormatting>
  <conditionalFormatting sqref="N161:O161">
    <cfRule type="expression" dxfId="3958" priority="3410">
      <formula>$H161="ETAPA"</formula>
    </cfRule>
  </conditionalFormatting>
  <conditionalFormatting sqref="N162:O162">
    <cfRule type="expression" dxfId="3957" priority="404">
      <formula>$H162="CÉLULA CONSTRUTIVA"</formula>
    </cfRule>
  </conditionalFormatting>
  <conditionalFormatting sqref="N163:O164 N170:N171 N9 N262:P262 N19 N306:N308">
    <cfRule type="expression" dxfId="3956" priority="3427">
      <formula>$H9="CÉLULA CONSTRUTIVA"</formula>
    </cfRule>
  </conditionalFormatting>
  <conditionalFormatting sqref="N165:O165 N167:O167">
    <cfRule type="expression" dxfId="3955" priority="3411">
      <formula>$H165="SUBETAPA"</formula>
    </cfRule>
  </conditionalFormatting>
  <conditionalFormatting sqref="N169:O169">
    <cfRule type="expression" dxfId="3954" priority="402">
      <formula>$H169="CÉLULA CONSTRUTIVA"</formula>
    </cfRule>
  </conditionalFormatting>
  <conditionalFormatting sqref="N176:O176">
    <cfRule type="expression" dxfId="3953" priority="400">
      <formula>$H176="CÉLULA CONSTRUTIVA"</formula>
    </cfRule>
  </conditionalFormatting>
  <conditionalFormatting sqref="N182:O182">
    <cfRule type="expression" dxfId="3952" priority="1256">
      <formula>$H182="SUBETAPA"</formula>
    </cfRule>
  </conditionalFormatting>
  <conditionalFormatting sqref="N191:O192 G329:I329 K329:L329 J329:J330">
    <cfRule type="expression" dxfId="3951" priority="3086">
      <formula>$H191="ETAPA"</formula>
    </cfRule>
  </conditionalFormatting>
  <conditionalFormatting sqref="N206:O206">
    <cfRule type="expression" dxfId="3950" priority="1195">
      <formula>$H206="ETAPA"</formula>
    </cfRule>
  </conditionalFormatting>
  <conditionalFormatting sqref="N208:O208">
    <cfRule type="expression" dxfId="3949" priority="1172">
      <formula>$H208="ETAPA"</formula>
    </cfRule>
  </conditionalFormatting>
  <conditionalFormatting sqref="N214:O214">
    <cfRule type="expression" dxfId="3948" priority="1126">
      <formula>$H214="ETAPA"</formula>
    </cfRule>
  </conditionalFormatting>
  <conditionalFormatting sqref="N218:O218">
    <cfRule type="expression" dxfId="3947" priority="1103">
      <formula>$H218="ETAPA"</formula>
    </cfRule>
  </conditionalFormatting>
  <conditionalFormatting sqref="N223:O223">
    <cfRule type="expression" dxfId="3946" priority="1080">
      <formula>$H223="ETAPA"</formula>
    </cfRule>
  </conditionalFormatting>
  <conditionalFormatting sqref="N231:O231 G250:M252 M253:M258 G245:O246">
    <cfRule type="expression" dxfId="3945" priority="3126">
      <formula>$H231="CÉLULA CONSTRUTIVA"</formula>
    </cfRule>
  </conditionalFormatting>
  <conditionalFormatting sqref="N231:O231 G250:M252 M253:M258">
    <cfRule type="expression" dxfId="3944" priority="3125">
      <formula>$H231="SUBETAPA"</formula>
    </cfRule>
  </conditionalFormatting>
  <conditionalFormatting sqref="N233:O236 G213:O213">
    <cfRule type="expression" dxfId="3943" priority="3121">
      <formula>$H213="ETAPA"</formula>
    </cfRule>
  </conditionalFormatting>
  <conditionalFormatting sqref="N239:O239">
    <cfRule type="expression" dxfId="3942" priority="218">
      <formula>$H239="ETAPA"</formula>
    </cfRule>
  </conditionalFormatting>
  <conditionalFormatting sqref="N239:O240">
    <cfRule type="expression" dxfId="3941" priority="217">
      <formula>$H239="CÉLULA CONSTRUTIVA"</formula>
    </cfRule>
  </conditionalFormatting>
  <conditionalFormatting sqref="N242:O244">
    <cfRule type="expression" dxfId="3940" priority="210">
      <formula>$H242="CÉLULA CONSTRUTIVA"</formula>
    </cfRule>
  </conditionalFormatting>
  <conditionalFormatting sqref="N248:O249">
    <cfRule type="expression" dxfId="3939" priority="164">
      <formula>$H248="CÉLULA CONSTRUTIVA"</formula>
    </cfRule>
  </conditionalFormatting>
  <conditionalFormatting sqref="N261:O261">
    <cfRule type="expression" dxfId="3938" priority="991">
      <formula>#REF!="ETAPA"</formula>
    </cfRule>
    <cfRule type="expression" dxfId="3937" priority="992">
      <formula>#REF!="CÉLULA CONSTRUTIVA"</formula>
    </cfRule>
  </conditionalFormatting>
  <conditionalFormatting sqref="N263:O263">
    <cfRule type="expression" dxfId="3936" priority="953">
      <formula>#REF!="ETAPA"</formula>
    </cfRule>
    <cfRule type="expression" dxfId="3935" priority="954">
      <formula>#REF!="CÉLULA CONSTRUTIVA"</formula>
    </cfRule>
  </conditionalFormatting>
  <conditionalFormatting sqref="N271:O271">
    <cfRule type="expression" dxfId="3934" priority="51">
      <formula>$H271="CÉLULA CONSTRUTIVA"</formula>
    </cfRule>
  </conditionalFormatting>
  <conditionalFormatting sqref="N273:O274">
    <cfRule type="expression" dxfId="3933" priority="124">
      <formula>#REF!="ETAPA"</formula>
    </cfRule>
    <cfRule type="expression" dxfId="3932" priority="125">
      <formula>#REF!="CÉLULA CONSTRUTIVA"</formula>
    </cfRule>
  </conditionalFormatting>
  <conditionalFormatting sqref="N276:O276">
    <cfRule type="expression" dxfId="3931" priority="915">
      <formula>#REF!="ETAPA"</formula>
    </cfRule>
    <cfRule type="expression" dxfId="3930" priority="916">
      <formula>#REF!="CÉLULA CONSTRUTIVA"</formula>
    </cfRule>
  </conditionalFormatting>
  <conditionalFormatting sqref="N288:O288">
    <cfRule type="expression" dxfId="3929" priority="877">
      <formula>#REF!="ETAPA"</formula>
    </cfRule>
    <cfRule type="expression" dxfId="3928" priority="878">
      <formula>#REF!="CÉLULA CONSTRUTIVA"</formula>
    </cfRule>
  </conditionalFormatting>
  <conditionalFormatting sqref="N324:O325 G325:L325 N323">
    <cfRule type="expression" dxfId="3927" priority="3100">
      <formula>$H323="SUBETAPA"</formula>
    </cfRule>
  </conditionalFormatting>
  <conditionalFormatting sqref="N329:O331">
    <cfRule type="expression" dxfId="3926" priority="3418">
      <formula>$H329="ETAPA"</formula>
    </cfRule>
  </conditionalFormatting>
  <conditionalFormatting sqref="N330:O331">
    <cfRule type="expression" dxfId="3925" priority="3419">
      <formula>$H330="CÉLULA CONSTRUTIVA"</formula>
    </cfRule>
    <cfRule type="expression" dxfId="3924" priority="3420">
      <formula>$H330="SUBETAPA"</formula>
    </cfRule>
  </conditionalFormatting>
  <conditionalFormatting sqref="N10:P10 N13:P13 M36:P36 N294:P295 L313:P313 L315:P315">
    <cfRule type="expression" dxfId="3923" priority="3243">
      <formula>$H10="SUBETAPA"</formula>
    </cfRule>
  </conditionalFormatting>
  <conditionalFormatting sqref="N14:P14 M48:P48 M50:P50 N16:P17">
    <cfRule type="expression" dxfId="3922" priority="3261">
      <formula>#REF!="SUBETAPA"</formula>
    </cfRule>
  </conditionalFormatting>
  <conditionalFormatting sqref="N20:P20">
    <cfRule type="expression" dxfId="3921" priority="2668">
      <formula>#REF!="ETAPA"</formula>
    </cfRule>
    <cfRule type="expression" dxfId="3920" priority="2673">
      <formula>#REF!="CÉLULA CONSTRUTIVA"</formula>
    </cfRule>
  </conditionalFormatting>
  <conditionalFormatting sqref="N27:P27">
    <cfRule type="expression" dxfId="3919" priority="2656">
      <formula>#REF!="ETAPA"</formula>
    </cfRule>
    <cfRule type="expression" dxfId="3918" priority="2661">
      <formula>#REF!="CÉLULA CONSTRUTIVA"</formula>
    </cfRule>
  </conditionalFormatting>
  <conditionalFormatting sqref="N32:P32">
    <cfRule type="expression" dxfId="3917" priority="2642">
      <formula>#REF!="ETAPA"</formula>
    </cfRule>
    <cfRule type="expression" dxfId="3916" priority="2647">
      <formula>#REF!="CÉLULA CONSTRUTIVA"</formula>
    </cfRule>
  </conditionalFormatting>
  <conditionalFormatting sqref="N35:P35">
    <cfRule type="expression" dxfId="3915" priority="2628">
      <formula>#REF!="ETAPA"</formula>
    </cfRule>
    <cfRule type="expression" dxfId="3914" priority="2633">
      <formula>#REF!="CÉLULA CONSTRUTIVA"</formula>
    </cfRule>
  </conditionalFormatting>
  <conditionalFormatting sqref="N37:P37">
    <cfRule type="expression" dxfId="3913" priority="2614">
      <formula>#REF!="ETAPA"</formula>
    </cfRule>
    <cfRule type="expression" dxfId="3912" priority="2615">
      <formula>$H37="SUBETAPA"</formula>
    </cfRule>
    <cfRule type="expression" dxfId="3911" priority="2619">
      <formula>#REF!="CÉLULA CONSTRUTIVA"</formula>
    </cfRule>
  </conditionalFormatting>
  <conditionalFormatting sqref="N47:P47">
    <cfRule type="expression" dxfId="3910" priority="2600">
      <formula>#REF!="ETAPA"</formula>
    </cfRule>
    <cfRule type="expression" dxfId="3909" priority="2605">
      <formula>#REF!="CÉLULA CONSTRUTIVA"</formula>
    </cfRule>
  </conditionalFormatting>
  <conditionalFormatting sqref="N49:P49">
    <cfRule type="expression" dxfId="3908" priority="2586">
      <formula>#REF!="ETAPA"</formula>
    </cfRule>
    <cfRule type="expression" dxfId="3907" priority="2591">
      <formula>#REF!="CÉLULA CONSTRUTIVA"</formula>
    </cfRule>
  </conditionalFormatting>
  <conditionalFormatting sqref="N52:P52 N77">
    <cfRule type="expression" dxfId="3906" priority="3425">
      <formula>$H52="ETAPA"</formula>
    </cfRule>
  </conditionalFormatting>
  <conditionalFormatting sqref="N52:P52 N77:P77 M34:P34 O8:P9 N11:O12 O18:P19">
    <cfRule type="expression" dxfId="3905" priority="3426">
      <formula>$H8="CÉLULA CONSTRUTIVA"</formula>
    </cfRule>
  </conditionalFormatting>
  <conditionalFormatting sqref="N53:P53">
    <cfRule type="expression" dxfId="3904" priority="2572">
      <formula>#REF!="ETAPA"</formula>
    </cfRule>
    <cfRule type="expression" dxfId="3903" priority="2577">
      <formula>#REF!="CÉLULA CONSTRUTIVA"</formula>
    </cfRule>
  </conditionalFormatting>
  <conditionalFormatting sqref="N60:P60">
    <cfRule type="expression" dxfId="3902" priority="2558">
      <formula>#REF!="ETAPA"</formula>
    </cfRule>
    <cfRule type="expression" dxfId="3901" priority="2563">
      <formula>#REF!="CÉLULA CONSTRUTIVA"</formula>
    </cfRule>
  </conditionalFormatting>
  <conditionalFormatting sqref="N68:P68">
    <cfRule type="expression" dxfId="3900" priority="2544">
      <formula>#REF!="ETAPA"</formula>
    </cfRule>
    <cfRule type="expression" dxfId="3899" priority="2549">
      <formula>#REF!="CÉLULA CONSTRUTIVA"</formula>
    </cfRule>
  </conditionalFormatting>
  <conditionalFormatting sqref="N70:P70">
    <cfRule type="expression" dxfId="3898" priority="2530">
      <formula>#REF!="ETAPA"</formula>
    </cfRule>
    <cfRule type="expression" dxfId="3897" priority="2535">
      <formula>#REF!="CÉLULA CONSTRUTIVA"</formula>
    </cfRule>
  </conditionalFormatting>
  <conditionalFormatting sqref="N74:P74">
    <cfRule type="expression" dxfId="3896" priority="2516">
      <formula>#REF!="ETAPA"</formula>
    </cfRule>
    <cfRule type="expression" dxfId="3895" priority="2521">
      <formula>#REF!="CÉLULA CONSTRUTIVA"</formula>
    </cfRule>
  </conditionalFormatting>
  <conditionalFormatting sqref="N78:P78">
    <cfRule type="expression" dxfId="3894" priority="2502">
      <formula>#REF!="ETAPA"</formula>
    </cfRule>
    <cfRule type="expression" dxfId="3893" priority="2507">
      <formula>#REF!="CÉLULA CONSTRUTIVA"</formula>
    </cfRule>
  </conditionalFormatting>
  <conditionalFormatting sqref="N79:P84">
    <cfRule type="expression" dxfId="3892" priority="3430">
      <formula>$H79="CÉLULA CONSTRUTIVA"</formula>
    </cfRule>
    <cfRule type="expression" dxfId="3891" priority="3431">
      <formula>$H79="ETAPA"</formula>
    </cfRule>
  </conditionalFormatting>
  <conditionalFormatting sqref="N85:P85">
    <cfRule type="expression" dxfId="3890" priority="2488">
      <formula>#REF!="ETAPA"</formula>
    </cfRule>
    <cfRule type="expression" dxfId="3889" priority="2489">
      <formula>$H85="SUBETAPA"</formula>
    </cfRule>
    <cfRule type="expression" dxfId="3888" priority="2493">
      <formula>#REF!="CÉLULA CONSTRUTIVA"</formula>
    </cfRule>
  </conditionalFormatting>
  <conditionalFormatting sqref="N92:P92">
    <cfRule type="expression" dxfId="3887" priority="2919">
      <formula>$H92="CÉLULA CONSTRUTIVA"</formula>
    </cfRule>
  </conditionalFormatting>
  <conditionalFormatting sqref="N93:P93">
    <cfRule type="expression" dxfId="3886" priority="2470">
      <formula>$H93="CÉLULA CONSTRUTIVA"</formula>
    </cfRule>
    <cfRule type="expression" dxfId="3885" priority="2471">
      <formula>$H93="SUBETAPA"</formula>
    </cfRule>
  </conditionalFormatting>
  <conditionalFormatting sqref="N94:P94">
    <cfRule type="expression" dxfId="3884" priority="2440">
      <formula>#REF!="ETAPA"</formula>
    </cfRule>
    <cfRule type="expression" dxfId="3883" priority="2441">
      <formula>$H94="SUBETAPA"</formula>
    </cfRule>
    <cfRule type="expression" dxfId="3882" priority="2445">
      <formula>#REF!="CÉLULA CONSTRUTIVA"</formula>
    </cfRule>
  </conditionalFormatting>
  <conditionalFormatting sqref="N98:P98 L98:L99 N102:P102">
    <cfRule type="expression" dxfId="3881" priority="3434">
      <formula>$H98="CÉLULA CONSTRUTIVA"</formula>
    </cfRule>
  </conditionalFormatting>
  <conditionalFormatting sqref="N101:P101">
    <cfRule type="expression" dxfId="3880" priority="6611">
      <formula>$H99="SUBETAPA"</formula>
    </cfRule>
    <cfRule type="expression" dxfId="3879" priority="6621">
      <formula>$H99="ETAPA"</formula>
    </cfRule>
  </conditionalFormatting>
  <conditionalFormatting sqref="N103:P103 N105:P106 L105:L106 L103">
    <cfRule type="expression" dxfId="3878" priority="6468">
      <formula>#REF!="SUBETAPA"</formula>
    </cfRule>
  </conditionalFormatting>
  <conditionalFormatting sqref="N103:P103 N106:P106 O109:P109 O97 N99:O99 N101:O101 G86:O89 N90:N91">
    <cfRule type="expression" dxfId="3877" priority="3742">
      <formula>$H86="CÉLULA CONSTRUTIVA"</formula>
    </cfRule>
  </conditionalFormatting>
  <conditionalFormatting sqref="N105:P105">
    <cfRule type="expression" dxfId="3876" priority="3438">
      <formula>$H105="SUBETAPA"</formula>
    </cfRule>
    <cfRule type="expression" dxfId="3875" priority="3439">
      <formula>$H105="ETAPA"</formula>
    </cfRule>
  </conditionalFormatting>
  <conditionalFormatting sqref="N105:P106 P108 L105:L106">
    <cfRule type="expression" dxfId="3874" priority="3436">
      <formula>$H103="CÉLULA CONSTRUTIVA"</formula>
    </cfRule>
  </conditionalFormatting>
  <conditionalFormatting sqref="N113:P113">
    <cfRule type="expression" dxfId="3873" priority="560">
      <formula>$H113="CÉLULA CONSTRUTIVA"</formula>
    </cfRule>
  </conditionalFormatting>
  <conditionalFormatting sqref="N116:P116">
    <cfRule type="expression" dxfId="3872" priority="2904">
      <formula>$H116="CÉLULA CONSTRUTIVA"</formula>
    </cfRule>
  </conditionalFormatting>
  <conditionalFormatting sqref="N117:P117">
    <cfRule type="expression" dxfId="3871" priority="2419">
      <formula>$H117="CÉLULA CONSTRUTIVA"</formula>
    </cfRule>
    <cfRule type="expression" dxfId="3870" priority="2420">
      <formula>$H117="SUBETAPA"</formula>
    </cfRule>
  </conditionalFormatting>
  <conditionalFormatting sqref="N128:P128">
    <cfRule type="expression" dxfId="3869" priority="2889">
      <formula>$H128="CÉLULA CONSTRUTIVA"</formula>
    </cfRule>
  </conditionalFormatting>
  <conditionalFormatting sqref="N129:P129">
    <cfRule type="expression" dxfId="3868" priority="2382">
      <formula>$H129="CÉLULA CONSTRUTIVA"</formula>
    </cfRule>
    <cfRule type="expression" dxfId="3867" priority="2383">
      <formula>$H129="SUBETAPA"</formula>
    </cfRule>
  </conditionalFormatting>
  <conditionalFormatting sqref="N138:P138 L138">
    <cfRule type="expression" dxfId="3866" priority="1543">
      <formula>$H134="SUBETAPA"</formula>
    </cfRule>
    <cfRule type="expression" dxfId="3865" priority="1544">
      <formula>$H134="ETAPA"</formula>
    </cfRule>
    <cfRule type="expression" dxfId="3864" priority="1561">
      <formula>$H136="CÉLULA CONSTRUTIVA"</formula>
    </cfRule>
  </conditionalFormatting>
  <conditionalFormatting sqref="N138:P138">
    <cfRule type="expression" dxfId="3863" priority="1531">
      <formula>$H138="ETAPA"</formula>
    </cfRule>
    <cfRule type="expression" dxfId="3862" priority="1570">
      <formula>$H138="CÉLULA CONSTRUTIVA"</formula>
    </cfRule>
  </conditionalFormatting>
  <conditionalFormatting sqref="N148:P148">
    <cfRule type="expression" dxfId="3861" priority="1352">
      <formula>$H148="ETAPA"</formula>
    </cfRule>
  </conditionalFormatting>
  <conditionalFormatting sqref="N150:P150">
    <cfRule type="expression" dxfId="3860" priority="1336">
      <formula>$H150="ETAPA"</formula>
    </cfRule>
  </conditionalFormatting>
  <conditionalFormatting sqref="N152:P152">
    <cfRule type="expression" dxfId="3859" priority="1320">
      <formula>$H152="ETAPA"</formula>
    </cfRule>
  </conditionalFormatting>
  <conditionalFormatting sqref="N154:P154">
    <cfRule type="expression" dxfId="3858" priority="1227">
      <formula>$H154="SUBETAPA"</formula>
    </cfRule>
    <cfRule type="expression" dxfId="3857" priority="1232">
      <formula>$H154="CÉLULA CONSTRUTIVA"</formula>
    </cfRule>
    <cfRule type="expression" dxfId="3856" priority="1233">
      <formula>$H154="ETAPA"</formula>
    </cfRule>
  </conditionalFormatting>
  <conditionalFormatting sqref="N158:P158">
    <cfRule type="expression" dxfId="3855" priority="531">
      <formula>$H158="ETAPA"</formula>
    </cfRule>
  </conditionalFormatting>
  <conditionalFormatting sqref="N160:P160">
    <cfRule type="expression" dxfId="3854" priority="515">
      <formula>$H160="ETAPA"</formula>
    </cfRule>
  </conditionalFormatting>
  <conditionalFormatting sqref="N168:P168">
    <cfRule type="expression" dxfId="3853" priority="3443">
      <formula>$H168="SUBETAPA"</formula>
    </cfRule>
  </conditionalFormatting>
  <conditionalFormatting sqref="N174:P174 N178 N164 N171">
    <cfRule type="expression" dxfId="3852" priority="3377">
      <formula>$H164="SUBETAPA"</formula>
    </cfRule>
  </conditionalFormatting>
  <conditionalFormatting sqref="N174:P174">
    <cfRule type="expression" dxfId="3851" priority="3376">
      <formula>$H174="ETAPA"</formula>
    </cfRule>
  </conditionalFormatting>
  <conditionalFormatting sqref="N197:P198">
    <cfRule type="expression" dxfId="3850" priority="141">
      <formula>$H197="SUBETAPA"</formula>
    </cfRule>
  </conditionalFormatting>
  <conditionalFormatting sqref="N209:P209">
    <cfRule type="expression" dxfId="3849" priority="3451">
      <formula>$H209="CÉLULA CONSTRUTIVA"</formula>
    </cfRule>
    <cfRule type="expression" dxfId="3848" priority="3452">
      <formula>$H209="ETAPA"</formula>
    </cfRule>
  </conditionalFormatting>
  <conditionalFormatting sqref="N226:P226">
    <cfRule type="expression" dxfId="3847" priority="319">
      <formula>$H226="ETAPA"</formula>
    </cfRule>
    <cfRule type="expression" dxfId="3846" priority="338">
      <formula>$H226="SUBETAPA"</formula>
    </cfRule>
  </conditionalFormatting>
  <conditionalFormatting sqref="N241:P241">
    <cfRule type="expression" dxfId="3845" priority="1057">
      <formula>$H241="ETAPA"</formula>
    </cfRule>
  </conditionalFormatting>
  <conditionalFormatting sqref="N247:P247">
    <cfRule type="expression" dxfId="3844" priority="1034">
      <formula>$H247="ETAPA"</formula>
    </cfRule>
  </conditionalFormatting>
  <conditionalFormatting sqref="N250:P252">
    <cfRule type="expression" dxfId="3843" priority="3455">
      <formula>$H250="ETAPA"</formula>
    </cfRule>
  </conditionalFormatting>
  <conditionalFormatting sqref="N262:P262">
    <cfRule type="expression" dxfId="3842" priority="3458">
      <formula>$H262="ETAPA"</formula>
    </cfRule>
    <cfRule type="expression" dxfId="3841" priority="3459">
      <formula>$H262="SUBETAPA"</formula>
    </cfRule>
  </conditionalFormatting>
  <conditionalFormatting sqref="N263:P263">
    <cfRule type="expression" dxfId="3840" priority="951">
      <formula>$H263="SUBETAPA"</formula>
    </cfRule>
  </conditionalFormatting>
  <conditionalFormatting sqref="N275:P275">
    <cfRule type="expression" dxfId="3839" priority="1028">
      <formula>$H275="CÉLULA CONSTRUTIVA"</formula>
    </cfRule>
  </conditionalFormatting>
  <conditionalFormatting sqref="N277:P280 G277:L286">
    <cfRule type="expression" dxfId="3838" priority="3093">
      <formula>$H277="CÉLULA CONSTRUTIVA"</formula>
    </cfRule>
  </conditionalFormatting>
  <conditionalFormatting sqref="N277:P280">
    <cfRule type="expression" dxfId="3837" priority="3460">
      <formula>$H277="SUBETAPA"</formula>
    </cfRule>
  </conditionalFormatting>
  <conditionalFormatting sqref="N282:P282">
    <cfRule type="expression" dxfId="3836" priority="3461">
      <formula>$H282="CÉLULA CONSTRUTIVA"</formula>
    </cfRule>
    <cfRule type="expression" dxfId="3835" priority="3462">
      <formula>$H282="SUBETAPA"</formula>
    </cfRule>
  </conditionalFormatting>
  <conditionalFormatting sqref="N284:P284">
    <cfRule type="expression" dxfId="3834" priority="3463">
      <formula>$H284="CÉLULA CONSTRUTIVA"</formula>
    </cfRule>
    <cfRule type="expression" dxfId="3833" priority="3464">
      <formula>$H284="SUBETAPA"</formula>
    </cfRule>
  </conditionalFormatting>
  <conditionalFormatting sqref="N286:P286 G238:N238">
    <cfRule type="expression" dxfId="3832" priority="3385">
      <formula>$H238="CÉLULA CONSTRUTIVA"</formula>
    </cfRule>
  </conditionalFormatting>
  <conditionalFormatting sqref="N286:P286">
    <cfRule type="expression" dxfId="3831" priority="3384">
      <formula>$H286="ETAPA"</formula>
    </cfRule>
  </conditionalFormatting>
  <conditionalFormatting sqref="N286:P287">
    <cfRule type="expression" dxfId="3830" priority="3456">
      <formula>$H286="SUBETAPA"</formula>
    </cfRule>
  </conditionalFormatting>
  <conditionalFormatting sqref="N287:P287">
    <cfRule type="expression" dxfId="3829" priority="1025">
      <formula>$H287="CÉLULA CONSTRUTIVA"</formula>
    </cfRule>
  </conditionalFormatting>
  <conditionalFormatting sqref="N291:P293 G162:L162">
    <cfRule type="expression" dxfId="3828" priority="2847">
      <formula>$H162="ETAPA"</formula>
    </cfRule>
  </conditionalFormatting>
  <conditionalFormatting sqref="N291:P293">
    <cfRule type="expression" dxfId="3827" priority="2845">
      <formula>$H291="SUBETAPA"</formula>
    </cfRule>
    <cfRule type="expression" dxfId="3826" priority="2846">
      <formula>$H291="CÉLULA CONSTRUTIVA"</formula>
    </cfRule>
  </conditionalFormatting>
  <conditionalFormatting sqref="N297:P297">
    <cfRule type="expression" dxfId="3825" priority="865">
      <formula>$H297="SUBETAPA"</formula>
    </cfRule>
  </conditionalFormatting>
  <conditionalFormatting sqref="N297:P298">
    <cfRule type="expression" dxfId="3824" priority="846">
      <formula>$H297="CÉLULA CONSTRUTIVA"</formula>
    </cfRule>
  </conditionalFormatting>
  <conditionalFormatting sqref="N298:P298">
    <cfRule type="expression" dxfId="3823" priority="847">
      <formula>$H298="ETAPA"</formula>
    </cfRule>
  </conditionalFormatting>
  <conditionalFormatting sqref="N313:P315 L319:P319 N322:P322">
    <cfRule type="expression" dxfId="3822" priority="3244">
      <formula>$H313="ETAPA"</formula>
    </cfRule>
  </conditionalFormatting>
  <conditionalFormatting sqref="N313:P315 L319:P319">
    <cfRule type="expression" dxfId="3821" priority="3245">
      <formula>$H313="SUBETAPA"</formula>
    </cfRule>
  </conditionalFormatting>
  <conditionalFormatting sqref="N313:P315">
    <cfRule type="expression" dxfId="3820" priority="3472">
      <formula>$H313="CÉLULA CONSTRUTIVA"</formula>
    </cfRule>
  </conditionalFormatting>
  <conditionalFormatting sqref="N328:P328">
    <cfRule type="expression" dxfId="3819" priority="711">
      <formula>$H328="ETAPA"</formula>
    </cfRule>
    <cfRule type="expression" dxfId="3818" priority="712">
      <formula>$H328="SUBETAPA"</formula>
    </cfRule>
    <cfRule type="expression" dxfId="3817" priority="714">
      <formula>$H328="CÉLULA CONSTRUTIVA"</formula>
    </cfRule>
  </conditionalFormatting>
  <conditionalFormatting sqref="O22:O26">
    <cfRule type="expression" dxfId="3816" priority="3474">
      <formula>$H22="ETAPA"</formula>
    </cfRule>
  </conditionalFormatting>
  <conditionalFormatting sqref="O54:O59">
    <cfRule type="expression" dxfId="3815" priority="654">
      <formula>$H54="SUBETAPA"</formula>
    </cfRule>
    <cfRule type="expression" dxfId="3814" priority="655">
      <formula>$H54="CÉLULA CONSTRUTIVA"</formula>
    </cfRule>
    <cfRule type="expression" dxfId="3813" priority="656">
      <formula>$H54="ETAPA"</formula>
    </cfRule>
  </conditionalFormatting>
  <conditionalFormatting sqref="O107">
    <cfRule type="expression" dxfId="3812" priority="1">
      <formula>$H107="ETAPA"</formula>
    </cfRule>
    <cfRule type="expression" dxfId="3811" priority="2">
      <formula>$H107="CÉLULA CONSTRUTIVA"</formula>
    </cfRule>
  </conditionalFormatting>
  <conditionalFormatting sqref="O109">
    <cfRule type="expression" dxfId="3810" priority="6654">
      <formula>#REF!="ETAPA"</formula>
    </cfRule>
  </conditionalFormatting>
  <conditionalFormatting sqref="O118">
    <cfRule type="expression" dxfId="3809" priority="1801">
      <formula>$H118="CÉLULA CONSTRUTIVA"</formula>
    </cfRule>
    <cfRule type="expression" dxfId="3808" priority="1802">
      <formula>$H118="ETAPA"</formula>
    </cfRule>
  </conditionalFormatting>
  <conditionalFormatting sqref="O120">
    <cfRule type="expression" dxfId="3807" priority="486">
      <formula>$H120="SUBETAPA"</formula>
    </cfRule>
    <cfRule type="expression" dxfId="3806" priority="487">
      <formula>$H120="ETAPA"</formula>
    </cfRule>
    <cfRule type="expression" dxfId="3805" priority="488">
      <formula>$H120="CÉLULA CONSTRUTIVA"</formula>
    </cfRule>
    <cfRule type="expression" dxfId="3804" priority="489">
      <formula>$H120="ETAPA"</formula>
    </cfRule>
  </conditionalFormatting>
  <conditionalFormatting sqref="O122">
    <cfRule type="expression" dxfId="3803" priority="478">
      <formula>$H122="SUBETAPA"</formula>
    </cfRule>
    <cfRule type="expression" dxfId="3802" priority="479">
      <formula>$H122="ETAPA"</formula>
    </cfRule>
    <cfRule type="expression" dxfId="3801" priority="480">
      <formula>$H122="CÉLULA CONSTRUTIVA"</formula>
    </cfRule>
    <cfRule type="expression" dxfId="3800" priority="481">
      <formula>$H122="ETAPA"</formula>
    </cfRule>
  </conditionalFormatting>
  <conditionalFormatting sqref="O124">
    <cfRule type="expression" dxfId="3799" priority="474">
      <formula>$H124="SUBETAPA"</formula>
    </cfRule>
    <cfRule type="expression" dxfId="3798" priority="475">
      <formula>$H124="ETAPA"</formula>
    </cfRule>
    <cfRule type="expression" dxfId="3797" priority="476">
      <formula>$H124="CÉLULA CONSTRUTIVA"</formula>
    </cfRule>
    <cfRule type="expression" dxfId="3796" priority="477">
      <formula>$H124="ETAPA"</formula>
    </cfRule>
  </conditionalFormatting>
  <conditionalFormatting sqref="O126">
    <cfRule type="expression" dxfId="3795" priority="470">
      <formula>$H126="SUBETAPA"</formula>
    </cfRule>
    <cfRule type="expression" dxfId="3794" priority="471">
      <formula>$H126="ETAPA"</formula>
    </cfRule>
    <cfRule type="expression" dxfId="3793" priority="472">
      <formula>$H126="CÉLULA CONSTRUTIVA"</formula>
    </cfRule>
    <cfRule type="expression" dxfId="3792" priority="473">
      <formula>$H126="ETAPA"</formula>
    </cfRule>
  </conditionalFormatting>
  <conditionalFormatting sqref="O130:O131">
    <cfRule type="expression" dxfId="3791" priority="3479">
      <formula>$H130="ETAPA"</formula>
    </cfRule>
  </conditionalFormatting>
  <conditionalFormatting sqref="O130:O132">
    <cfRule type="expression" dxfId="3790" priority="3478">
      <formula>$H130="CÉLULA CONSTRUTIVA"</formula>
    </cfRule>
  </conditionalFormatting>
  <conditionalFormatting sqref="O131:O133">
    <cfRule type="expression" dxfId="3789" priority="3481">
      <formula>$H131="SUBETAPA"</formula>
    </cfRule>
  </conditionalFormatting>
  <conditionalFormatting sqref="O132">
    <cfRule type="expression" dxfId="3788" priority="3482">
      <formula>$H132="ETAPA"</formula>
    </cfRule>
  </conditionalFormatting>
  <conditionalFormatting sqref="O132:O137 O139:O141">
    <cfRule type="expression" dxfId="3787" priority="3483">
      <formula>$H132="CÉLULA CONSTRUTIVA"</formula>
    </cfRule>
  </conditionalFormatting>
  <conditionalFormatting sqref="O133:O137 O139:O141">
    <cfRule type="expression" dxfId="3786" priority="3484">
      <formula>$H133="ETAPA"</formula>
    </cfRule>
  </conditionalFormatting>
  <conditionalFormatting sqref="O134:O137 O139:O142">
    <cfRule type="expression" dxfId="3785" priority="3486">
      <formula>$H134="SUBETAPA"</formula>
    </cfRule>
  </conditionalFormatting>
  <conditionalFormatting sqref="O138">
    <cfRule type="expression" dxfId="3784" priority="1538">
      <formula>$H123="ETAPA"</formula>
    </cfRule>
  </conditionalFormatting>
  <conditionalFormatting sqref="O145:O146">
    <cfRule type="expression" dxfId="3783" priority="1371">
      <formula>$H145="SUBETAPA"</formula>
    </cfRule>
  </conditionalFormatting>
  <conditionalFormatting sqref="O146:O147">
    <cfRule type="expression" dxfId="3782" priority="1370">
      <formula>$H146="ETAPA"</formula>
    </cfRule>
  </conditionalFormatting>
  <conditionalFormatting sqref="O148">
    <cfRule type="expression" dxfId="3781" priority="1355">
      <formula>$H148="SUBETAPA"</formula>
    </cfRule>
  </conditionalFormatting>
  <conditionalFormatting sqref="O150">
    <cfRule type="expression" dxfId="3780" priority="1339">
      <formula>$H150="SUBETAPA"</formula>
    </cfRule>
  </conditionalFormatting>
  <conditionalFormatting sqref="O152">
    <cfRule type="expression" dxfId="3779" priority="1323">
      <formula>$H152="SUBETAPA"</formula>
    </cfRule>
  </conditionalFormatting>
  <conditionalFormatting sqref="O158">
    <cfRule type="expression" dxfId="3778" priority="534">
      <formula>$H158="SUBETAPA"</formula>
    </cfRule>
  </conditionalFormatting>
  <conditionalFormatting sqref="O160">
    <cfRule type="expression" dxfId="3777" priority="518">
      <formula>$H160="SUBETAPA"</formula>
    </cfRule>
  </conditionalFormatting>
  <conditionalFormatting sqref="O163:O164 O178:P178 O182:P182 O171:P171 O174:P174">
    <cfRule type="expression" dxfId="3776" priority="3113">
      <formula>$H163="ETAPA"</formula>
    </cfRule>
  </conditionalFormatting>
  <conditionalFormatting sqref="O167:O168">
    <cfRule type="expression" dxfId="3775" priority="3499">
      <formula>$H167="CÉLULA CONSTRUTIVA"</formula>
    </cfRule>
    <cfRule type="expression" dxfId="3774" priority="3500">
      <formula>$H167="ETAPA"</formula>
    </cfRule>
  </conditionalFormatting>
  <conditionalFormatting sqref="O177:O178 O205">
    <cfRule type="expression" dxfId="3773" priority="3501">
      <formula>$H177="CÉLULA CONSTRUTIVA"</formula>
    </cfRule>
  </conditionalFormatting>
  <conditionalFormatting sqref="O182">
    <cfRule type="expression" dxfId="3772" priority="1257">
      <formula>$H182="CÉLULA CONSTRUTIVA"</formula>
    </cfRule>
  </conditionalFormatting>
  <conditionalFormatting sqref="O200">
    <cfRule type="expression" dxfId="3771" priority="382">
      <formula>$H200="CÉLULA CONSTRUTIVA"</formula>
    </cfRule>
    <cfRule type="expression" dxfId="3770" priority="398">
      <formula>$H200="SUBETAPA"</formula>
    </cfRule>
  </conditionalFormatting>
  <conditionalFormatting sqref="O227:O229">
    <cfRule type="expression" dxfId="3769" priority="270">
      <formula>$H227="SUBETAPA"</formula>
    </cfRule>
    <cfRule type="expression" dxfId="3768" priority="271">
      <formula>$H227="CÉLULA CONSTRUTIVA"</formula>
    </cfRule>
  </conditionalFormatting>
  <conditionalFormatting sqref="O229">
    <cfRule type="expression" dxfId="3767" priority="313">
      <formula>$H229="ETAPA"</formula>
    </cfRule>
  </conditionalFormatting>
  <conditionalFormatting sqref="O230">
    <cfRule type="expression" dxfId="3766" priority="3068">
      <formula>$H230="SUBETAPA"</formula>
    </cfRule>
  </conditionalFormatting>
  <conditionalFormatting sqref="O230:O231 P230">
    <cfRule type="expression" dxfId="3765" priority="3221">
      <formula>$H230="ETAPA"</formula>
    </cfRule>
  </conditionalFormatting>
  <conditionalFormatting sqref="O240">
    <cfRule type="expression" dxfId="3764" priority="241">
      <formula>$H240="SUBETAPA"</formula>
    </cfRule>
  </conditionalFormatting>
  <conditionalFormatting sqref="O242:O246">
    <cfRule type="expression" dxfId="3763" priority="3503">
      <formula>$H242="SUBETAPA"</formula>
    </cfRule>
  </conditionalFormatting>
  <conditionalFormatting sqref="O248:O249">
    <cfRule type="expression" dxfId="3762" priority="165">
      <formula>$H248="SUBETAPA"</formula>
    </cfRule>
  </conditionalFormatting>
  <conditionalFormatting sqref="O287 O77:P77 M178:P178 O174:P174 M180:M181 M183:O183 M50 O50 M348:M352 M130:M132 O93:P93 J97:L97 J101:L101 O260 O275 G130:L134 M334 M338:O338 G182:K182 J106:K107 G36:K36 H299:K303 H305:K305 H307:K325 H327:K328 G297:K297 G252:K258 O334 K342 H21:I24 K33:K34 G34:J34 L93 G300 G302 O297 G276:J276 H332:K332 G21:G22 G38:K46 G288:J288 G183:J183 G350:L352 N350:P352">
    <cfRule type="expression" dxfId="3761" priority="3504">
      <formula>$H21="CÉLULA CONSTRUTIVA"</formula>
    </cfRule>
  </conditionalFormatting>
  <conditionalFormatting sqref="O296">
    <cfRule type="expression" dxfId="3760" priority="463">
      <formula>$H296="CÉLULA CONSTRUTIVA"</formula>
    </cfRule>
  </conditionalFormatting>
  <conditionalFormatting sqref="O323">
    <cfRule type="expression" dxfId="3759" priority="119">
      <formula>$H323="CÉLULA CONSTRUTIVA"</formula>
    </cfRule>
    <cfRule type="expression" dxfId="3758" priority="120">
      <formula>$H323="SUBETAPA"</formula>
    </cfRule>
  </conditionalFormatting>
  <conditionalFormatting sqref="O18:P19">
    <cfRule type="expression" dxfId="3757" priority="2964">
      <formula>$H18="ETAPA"</formula>
    </cfRule>
  </conditionalFormatting>
  <conditionalFormatting sqref="O19:P19 O34:P34">
    <cfRule type="expression" dxfId="3756" priority="3505">
      <formula>$H19="ETAPA"</formula>
    </cfRule>
    <cfRule type="expression" dxfId="3755" priority="3506">
      <formula>$H19="SUBETAPA"</formula>
    </cfRule>
  </conditionalFormatting>
  <conditionalFormatting sqref="O34:P34">
    <cfRule type="expression" dxfId="3754" priority="3508">
      <formula>$H34="CÉLULA CONSTRUTIVA"</formula>
    </cfRule>
    <cfRule type="expression" dxfId="3753" priority="3509">
      <formula>$H34="SUBETAPA"</formula>
    </cfRule>
  </conditionalFormatting>
  <conditionalFormatting sqref="O51:P51">
    <cfRule type="expression" dxfId="3752" priority="2952">
      <formula>$H51="ETAPA"</formula>
    </cfRule>
    <cfRule type="expression" dxfId="3751" priority="2956">
      <formula>$H51="CÉLULA CONSTRUTIVA"</formula>
    </cfRule>
  </conditionalFormatting>
  <conditionalFormatting sqref="O76:P76">
    <cfRule type="expression" dxfId="3750" priority="2938">
      <formula>$H76="ETAPA"</formula>
    </cfRule>
    <cfRule type="expression" dxfId="3749" priority="2942">
      <formula>$H76="CÉLULA CONSTRUTIVA"</formula>
    </cfRule>
  </conditionalFormatting>
  <conditionalFormatting sqref="O77:P77 O93:P93">
    <cfRule type="expression" dxfId="3748" priority="3269">
      <formula>$H77="SUBETAPA"</formula>
    </cfRule>
  </conditionalFormatting>
  <conditionalFormatting sqref="O92:P93">
    <cfRule type="expression" dxfId="3747" priority="2455">
      <formula>$H92="ETAPA"</formula>
    </cfRule>
  </conditionalFormatting>
  <conditionalFormatting sqref="O93:P93">
    <cfRule type="expression" dxfId="3746" priority="2485">
      <formula>$H78="ETAPA"</formula>
    </cfRule>
  </conditionalFormatting>
  <conditionalFormatting sqref="O97:P99 O101:P101 O103:P103 O106:P106 O108:P109">
    <cfRule type="expression" dxfId="3745" priority="3514">
      <formula>#REF!="CÉLULA CONSTRUTIVA"</formula>
    </cfRule>
  </conditionalFormatting>
  <conditionalFormatting sqref="O99:P99 G106:K106 O106:P106 O307:P307 O332:P332 O97:P97 O327:P327 G97:K97 M97 G99:K99 M99 M106 M327 G332:K332 M332 G300 O300 G302 O302 G307:K307 M307 G327:K327">
    <cfRule type="expression" dxfId="3744" priority="3059">
      <formula>$H96="SUBETAPA"</formula>
    </cfRule>
  </conditionalFormatting>
  <conditionalFormatting sqref="O101:P101 O103:P103 O106:P106 O97:P99 O108:P109 M108">
    <cfRule type="expression" dxfId="3743" priority="3280">
      <formula>#REF!="SUBETAPA"</formula>
    </cfRule>
  </conditionalFormatting>
  <conditionalFormatting sqref="O106:P106 O108:P109 O97:P99">
    <cfRule type="expression" dxfId="3742" priority="3513">
      <formula>$H97="ETAPA"</formula>
    </cfRule>
  </conditionalFormatting>
  <conditionalFormatting sqref="O116:P117">
    <cfRule type="expression" dxfId="3741" priority="2404">
      <formula>$H116="ETAPA"</formula>
    </cfRule>
  </conditionalFormatting>
  <conditionalFormatting sqref="O117:P117 L117">
    <cfRule type="expression" dxfId="3740" priority="2437">
      <formula>$H117="CÉLULA CONSTRUTIVA"</formula>
    </cfRule>
  </conditionalFormatting>
  <conditionalFormatting sqref="O117:P117">
    <cfRule type="expression" dxfId="3739" priority="2434">
      <formula>$H104="ETAPA"</formula>
    </cfRule>
    <cfRule type="expression" dxfId="3738" priority="2436">
      <formula>$H117="SUBETAPA"</formula>
    </cfRule>
  </conditionalFormatting>
  <conditionalFormatting sqref="O119:P119 M119:M121 N120 P120 O121:P121 M130:N132 O130:P130 O132:P132">
    <cfRule type="expression" dxfId="3737" priority="3282">
      <formula>$H119="SUBETAPA"</formula>
    </cfRule>
  </conditionalFormatting>
  <conditionalFormatting sqref="O125:P125">
    <cfRule type="expression" dxfId="3736" priority="3283">
      <formula>$H125="SUBETAPA"</formula>
    </cfRule>
  </conditionalFormatting>
  <conditionalFormatting sqref="O128:P129">
    <cfRule type="expression" dxfId="3735" priority="2367">
      <formula>$H128="ETAPA"</formula>
    </cfRule>
  </conditionalFormatting>
  <conditionalFormatting sqref="O129:P129 L129">
    <cfRule type="expression" dxfId="3734" priority="2400">
      <formula>$H129="CÉLULA CONSTRUTIVA"</formula>
    </cfRule>
  </conditionalFormatting>
  <conditionalFormatting sqref="O129:P129 M129 O101">
    <cfRule type="expression" dxfId="3733" priority="2397">
      <formula>$H87="ETAPA"</formula>
    </cfRule>
  </conditionalFormatting>
  <conditionalFormatting sqref="O129:P129">
    <cfRule type="expression" dxfId="3732" priority="2399">
      <formula>$H129="SUBETAPA"</formula>
    </cfRule>
  </conditionalFormatting>
  <conditionalFormatting sqref="O138:P138">
    <cfRule type="expression" dxfId="3731" priority="1555">
      <formula>#REF!="SUBETAPA"</formula>
    </cfRule>
    <cfRule type="expression" dxfId="3730" priority="1563">
      <formula>$H138="ETAPA"</formula>
    </cfRule>
    <cfRule type="expression" dxfId="3729" priority="1564">
      <formula>#REF!="CÉLULA CONSTRUTIVA"</formula>
    </cfRule>
  </conditionalFormatting>
  <conditionalFormatting sqref="O144:P144">
    <cfRule type="expression" dxfId="3728" priority="2882">
      <formula>$H144="CÉLULA CONSTRUTIVA"</formula>
    </cfRule>
  </conditionalFormatting>
  <conditionalFormatting sqref="O145:P145">
    <cfRule type="expression" dxfId="3727" priority="3515">
      <formula>$H145="ETAPA"</formula>
    </cfRule>
  </conditionalFormatting>
  <conditionalFormatting sqref="O156:P156">
    <cfRule type="expression" dxfId="3726" priority="2863">
      <formula>$H156="ETAPA"</formula>
    </cfRule>
    <cfRule type="expression" dxfId="3725" priority="2867">
      <formula>$H156="CÉLULA CONSTRUTIVA"</formula>
    </cfRule>
  </conditionalFormatting>
  <conditionalFormatting sqref="O159:P159">
    <cfRule type="expression" dxfId="3724" priority="4328">
      <formula>$H159="CÉLULA CONSTRUTIVA"</formula>
    </cfRule>
    <cfRule type="expression" dxfId="3723" priority="4329">
      <formula>$H159="ETAPA"</formula>
    </cfRule>
  </conditionalFormatting>
  <conditionalFormatting sqref="O162:P162">
    <cfRule type="expression" dxfId="3722" priority="403">
      <formula>$H162="ETAPA"</formula>
    </cfRule>
  </conditionalFormatting>
  <conditionalFormatting sqref="O163:P163 P178 O182:P182 O177:O178">
    <cfRule type="expression" dxfId="3721" priority="3518">
      <formula>$H163="ETAPA"</formula>
    </cfRule>
  </conditionalFormatting>
  <conditionalFormatting sqref="O163:P163">
    <cfRule type="expression" dxfId="3720" priority="3519">
      <formula>$H163="CÉLULA CONSTRUTIVA"</formula>
    </cfRule>
    <cfRule type="expression" dxfId="3719" priority="3520">
      <formula>$H163="SUBETAPA"</formula>
    </cfRule>
  </conditionalFormatting>
  <conditionalFormatting sqref="O164:P164 G178:I178 K178 G164:I164 K164 G182:I182 K182">
    <cfRule type="expression" dxfId="3718" priority="3047">
      <formula>$H164="CÉLULA CONSTRUTIVA"</formula>
    </cfRule>
  </conditionalFormatting>
  <conditionalFormatting sqref="O169:P169">
    <cfRule type="expression" dxfId="3717" priority="401">
      <formula>$H169="ETAPA"</formula>
    </cfRule>
  </conditionalFormatting>
  <conditionalFormatting sqref="O170:P171">
    <cfRule type="expression" dxfId="3716" priority="3521">
      <formula>$H170="SUBETAPA"</formula>
    </cfRule>
    <cfRule type="expression" dxfId="3715" priority="3522">
      <formula>$H170="CÉLULA CONSTRUTIVA"</formula>
    </cfRule>
    <cfRule type="expression" dxfId="3714" priority="3523">
      <formula>$H170="ETAPA"</formula>
    </cfRule>
  </conditionalFormatting>
  <conditionalFormatting sqref="O176:P176">
    <cfRule type="expression" dxfId="3713" priority="399">
      <formula>$H176="ETAPA"</formula>
    </cfRule>
  </conditionalFormatting>
  <conditionalFormatting sqref="O184:P184">
    <cfRule type="expression" dxfId="3712" priority="2807">
      <formula>$H184="CÉLULA CONSTRUTIVA"</formula>
    </cfRule>
  </conditionalFormatting>
  <conditionalFormatting sqref="O185:P186 N194:P196 N197:N203">
    <cfRule type="expression" dxfId="3711" priority="3445">
      <formula>$H185="CÉLULA CONSTRUTIVA"</formula>
    </cfRule>
    <cfRule type="expression" dxfId="3710" priority="3446">
      <formula>$H185="ETAPA"</formula>
    </cfRule>
  </conditionalFormatting>
  <conditionalFormatting sqref="O199:P199">
    <cfRule type="expression" dxfId="3709" priority="3524">
      <formula>$H199="SUBETAPA"</formula>
    </cfRule>
    <cfRule type="expression" dxfId="3708" priority="3525">
      <formula>$H199="CÉLULA CONSTRUTIVA"</formula>
    </cfRule>
    <cfRule type="expression" dxfId="3707" priority="3526">
      <formula>$H199="ETAPA"</formula>
    </cfRule>
  </conditionalFormatting>
  <conditionalFormatting sqref="O204:P204">
    <cfRule type="expression" dxfId="3706" priority="2792">
      <formula>$H204="CÉLULA CONSTRUTIVA"</formula>
    </cfRule>
  </conditionalFormatting>
  <conditionalFormatting sqref="O205:P205 P211 P213">
    <cfRule type="expression" dxfId="3705" priority="3502">
      <formula>$H205="SUBETAPA"</formula>
    </cfRule>
  </conditionalFormatting>
  <conditionalFormatting sqref="O212:P212">
    <cfRule type="expression" dxfId="3704" priority="2773">
      <formula>$H212="ETAPA"</formula>
    </cfRule>
    <cfRule type="expression" dxfId="3703" priority="2777">
      <formula>$H212="CÉLULA CONSTRUTIVA"</formula>
    </cfRule>
  </conditionalFormatting>
  <conditionalFormatting sqref="O213:P213 O346">
    <cfRule type="expression" dxfId="3702" priority="3527">
      <formula>$H213="SUBETAPA"</formula>
    </cfRule>
  </conditionalFormatting>
  <conditionalFormatting sqref="O237:P237">
    <cfRule type="expression" dxfId="3701" priority="2758">
      <formula>$H237="ETAPA"</formula>
    </cfRule>
    <cfRule type="expression" dxfId="3700" priority="2762">
      <formula>$H237="CÉLULA CONSTRUTIVA"</formula>
    </cfRule>
  </conditionalFormatting>
  <conditionalFormatting sqref="O238:P238">
    <cfRule type="expression" dxfId="3699" priority="3530">
      <formula>$H238="SUBETAPA"</formula>
    </cfRule>
    <cfRule type="expression" dxfId="3698" priority="3531">
      <formula>$H238="CÉLULA CONSTRUTIVA"</formula>
    </cfRule>
  </conditionalFormatting>
  <conditionalFormatting sqref="O259:P259">
    <cfRule type="expression" dxfId="3697" priority="2743">
      <formula>$H259="ETAPA"</formula>
    </cfRule>
    <cfRule type="expression" dxfId="3696" priority="2747">
      <formula>$H259="CÉLULA CONSTRUTIVA"</formula>
    </cfRule>
  </conditionalFormatting>
  <conditionalFormatting sqref="O271:P271">
    <cfRule type="expression" dxfId="3695" priority="48">
      <formula>$H271="CÉLULA CONSTRUTIVA"</formula>
    </cfRule>
    <cfRule type="expression" dxfId="3694" priority="49">
      <formula>$H271="ETAPA"</formula>
    </cfRule>
  </conditionalFormatting>
  <conditionalFormatting sqref="O296:P296">
    <cfRule type="expression" dxfId="3693" priority="462">
      <formula>$H296="ETAPA"</formula>
    </cfRule>
  </conditionalFormatting>
  <conditionalFormatting sqref="O306:P306">
    <cfRule type="expression" dxfId="3692" priority="2713">
      <formula>$H306="ETAPA"</formula>
    </cfRule>
    <cfRule type="expression" dxfId="3691" priority="2717">
      <formula>$H306="CÉLULA CONSTRUTIVA"</formula>
    </cfRule>
  </conditionalFormatting>
  <conditionalFormatting sqref="O307:P307 O327:P327">
    <cfRule type="expression" dxfId="3690" priority="3537">
      <formula>$H307="ETAPA"</formula>
    </cfRule>
  </conditionalFormatting>
  <conditionalFormatting sqref="O307:P308 O327:P327">
    <cfRule type="expression" dxfId="3689" priority="3538">
      <formula>$H307="SUBETAPA"</formula>
    </cfRule>
    <cfRule type="expression" dxfId="3688" priority="3539">
      <formula>$H307="CÉLULA CONSTRUTIVA"</formula>
    </cfRule>
    <cfRule type="expression" dxfId="3687" priority="3540">
      <formula>$H307="ETAPA"</formula>
    </cfRule>
  </conditionalFormatting>
  <conditionalFormatting sqref="O319:P319">
    <cfRule type="expression" dxfId="3686" priority="3541">
      <formula>$H319="SUBETAPA"</formula>
    </cfRule>
    <cfRule type="expression" dxfId="3685" priority="3542">
      <formula>$H319="CÉLULA CONSTRUTIVA"</formula>
    </cfRule>
    <cfRule type="expression" dxfId="3684" priority="3543">
      <formula>$H319="ETAPA"</formula>
    </cfRule>
    <cfRule type="expression" dxfId="3683" priority="3544">
      <formula>$H319="SUBETAPA"</formula>
    </cfRule>
  </conditionalFormatting>
  <conditionalFormatting sqref="O326:P326">
    <cfRule type="expression" dxfId="3682" priority="2698">
      <formula>$H326="ETAPA"</formula>
    </cfRule>
    <cfRule type="expression" dxfId="3681" priority="2702">
      <formula>$H326="CÉLULA CONSTRUTIVA"</formula>
    </cfRule>
  </conditionalFormatting>
  <conditionalFormatting sqref="O332:P332">
    <cfRule type="expression" dxfId="3680" priority="782">
      <formula>$H332="ETAPA"</formula>
    </cfRule>
    <cfRule type="expression" dxfId="3679" priority="783">
      <formula>$H332="SUBETAPA"</formula>
    </cfRule>
    <cfRule type="expression" dxfId="3678" priority="784">
      <formula>$H332="CÉLULA CONSTRUTIVA"</formula>
    </cfRule>
    <cfRule type="expression" dxfId="3677" priority="785">
      <formula>$H332="ETAPA"</formula>
    </cfRule>
  </conditionalFormatting>
  <conditionalFormatting sqref="O344:P344">
    <cfRule type="expression" dxfId="3676" priority="2687">
      <formula>$H344="CÉLULA CONSTRUTIVA"</formula>
    </cfRule>
  </conditionalFormatting>
  <conditionalFormatting sqref="O344:P346">
    <cfRule type="expression" dxfId="3675" priority="703">
      <formula>$H344="ETAPA"</formula>
    </cfRule>
  </conditionalFormatting>
  <conditionalFormatting sqref="O345:P345">
    <cfRule type="expression" dxfId="3674" priority="700">
      <formula>$H345="ETAPA"</formula>
    </cfRule>
  </conditionalFormatting>
  <conditionalFormatting sqref="O345:P346">
    <cfRule type="expression" dxfId="3673" priority="701">
      <formula>$H345="SUBETAPA"</formula>
    </cfRule>
    <cfRule type="expression" dxfId="3672" priority="702">
      <formula>$H345="CÉLULA CONSTRUTIVA"</formula>
    </cfRule>
  </conditionalFormatting>
  <conditionalFormatting sqref="P7:P10 P18:P20 P34 P50:P52 P319:P321 P327:P343 P213:P236 P185:P203 P95:P115 P76:P77 P205:P211 P260:P295 P170:P175">
    <cfRule type="containsText" dxfId="3671" priority="3547" operator="containsText" text="Pendente">
      <formula>NOT(ISERROR(SEARCH(("Pendente"),(P7))))</formula>
    </cfRule>
  </conditionalFormatting>
  <conditionalFormatting sqref="P7:P12 P103">
    <cfRule type="containsText" dxfId="3670" priority="3568" operator="containsText" text="Finalizado">
      <formula>NOT(ISERROR(SEARCH(("Finalizado"),(P7))))</formula>
    </cfRule>
    <cfRule type="containsText" dxfId="3669" priority="3569" operator="containsText" text="em andamento">
      <formula>NOT(ISERROR(SEARCH(("em andamento"),(P7))))</formula>
    </cfRule>
  </conditionalFormatting>
  <conditionalFormatting sqref="P10 P19:P27 P34 P52 P77 P101:P106 P219:P222 P224:P225 P289:P292 P313:P319 P333:P343 P308 P48 P170:P175">
    <cfRule type="containsText" dxfId="3668" priority="3548" operator="containsText" text="Lançado">
      <formula>NOT(ISERROR(SEARCH(("Lançado"),(P10))))</formula>
    </cfRule>
    <cfRule type="containsText" dxfId="3667" priority="3549" operator="containsText" text="N/A">
      <formula>NOT(ISERROR(SEARCH(("N/A"),(P10))))</formula>
    </cfRule>
  </conditionalFormatting>
  <conditionalFormatting sqref="P11:P12">
    <cfRule type="expression" dxfId="3666" priority="3550">
      <formula>$H11="SUBETAPA"</formula>
    </cfRule>
    <cfRule type="expression" dxfId="3665" priority="3551">
      <formula>$H11="CÉLULA CONSTRUTIVA"</formula>
    </cfRule>
    <cfRule type="expression" dxfId="3664" priority="3552">
      <formula>$H11="ETAPA"</formula>
    </cfRule>
    <cfRule type="containsText" dxfId="3663" priority="3553" operator="containsText" text="Lançado">
      <formula>NOT(ISERROR(SEARCH(("Lançado"),(P11))))</formula>
    </cfRule>
    <cfRule type="containsText" dxfId="3662" priority="3554" operator="containsText" text="N/A">
      <formula>NOT(ISERROR(SEARCH(("N/A"),(P11))))</formula>
    </cfRule>
    <cfRule type="containsText" dxfId="3661" priority="3555" operator="containsText" text="Pendente">
      <formula>NOT(ISERROR(SEARCH(("Pendente"),(P11))))</formula>
    </cfRule>
    <cfRule type="containsText" dxfId="3660" priority="3556" operator="containsText" text="Finalizado">
      <formula>NOT(ISERROR(SEARCH(("Finalizado"),(P11))))</formula>
    </cfRule>
    <cfRule type="containsText" dxfId="3659" priority="3557" operator="containsText" text="em andamento">
      <formula>NOT(ISERROR(SEARCH(("em andamento"),(P11))))</formula>
    </cfRule>
    <cfRule type="containsText" dxfId="3658" priority="3558" operator="containsText" text="Lançado">
      <formula>NOT(ISERROR(SEARCH(("Lançado"),(P11))))</formula>
    </cfRule>
    <cfRule type="containsText" dxfId="3657" priority="3559" operator="containsText" text="N/A">
      <formula>NOT(ISERROR(SEARCH(("N/A"),(P11))))</formula>
    </cfRule>
    <cfRule type="containsText" dxfId="3656" priority="3560" operator="containsText" text="Pendente">
      <formula>NOT(ISERROR(SEARCH(("Pendente"),(P11))))</formula>
    </cfRule>
    <cfRule type="containsText" dxfId="3655" priority="3561" operator="containsText" text="Finalizado">
      <formula>NOT(ISERROR(SEARCH(("Finalizado"),(P11))))</formula>
    </cfRule>
    <cfRule type="containsText" dxfId="3654" priority="3562" operator="containsText" text="em andamento">
      <formula>NOT(ISERROR(SEARCH(("em andamento"),(P11))))</formula>
    </cfRule>
    <cfRule type="expression" dxfId="3653" priority="3563">
      <formula>$H11="CÉLULA CONSTRUTIVA"</formula>
    </cfRule>
    <cfRule type="expression" dxfId="3652" priority="3564">
      <formula>$H11="ETAPA"</formula>
    </cfRule>
    <cfRule type="containsText" dxfId="3651" priority="3565" operator="containsText" text="Lançado">
      <formula>NOT(ISERROR(SEARCH(("Lançado"),(P11))))</formula>
    </cfRule>
    <cfRule type="containsText" dxfId="3650" priority="3566" operator="containsText" text="N/A">
      <formula>NOT(ISERROR(SEARCH(("N/A"),(P11))))</formula>
    </cfRule>
  </conditionalFormatting>
  <conditionalFormatting sqref="P11:P17">
    <cfRule type="containsText" dxfId="3649" priority="3567" operator="containsText" text="Pendente">
      <formula>NOT(ISERROR(SEARCH(("Pendente"),(P11))))</formula>
    </cfRule>
  </conditionalFormatting>
  <conditionalFormatting sqref="P13:P17 P19 P21:P26 P28:P31 P48 P50 P95:P115 P185:P203 P205:P211 P213:P236 P260:P295 P327:P343 P170:P175">
    <cfRule type="containsText" dxfId="3648" priority="3581" operator="containsText" text="em andamento">
      <formula>NOT(ISERROR(SEARCH(("em andamento"),(P13))))</formula>
    </cfRule>
  </conditionalFormatting>
  <conditionalFormatting sqref="P13:P17 P21:P26 P28:P31 P48 P50 P95:P115 P19 P185:P199 P205:P211 P213:P236 P260:P295 P327:P343 P170:P175">
    <cfRule type="containsText" dxfId="3647" priority="3580" operator="containsText" text="Finalizado">
      <formula>NOT(ISERROR(SEARCH(("Finalizado"),(P13))))</formula>
    </cfRule>
  </conditionalFormatting>
  <conditionalFormatting sqref="P14 P16:P17 P21:P26 P28:P31 P48 P50">
    <cfRule type="containsText" dxfId="3646" priority="3573" operator="containsText" text="em andamento">
      <formula>NOT(ISERROR(SEARCH(("em andamento"),(P14))))</formula>
    </cfRule>
    <cfRule type="containsText" dxfId="3645" priority="3574" operator="containsText" text="Pendente">
      <formula>NOT(ISERROR(SEARCH(("Pendente"),(P14))))</formula>
    </cfRule>
    <cfRule type="containsText" dxfId="3644" priority="3575" operator="containsText" text="Finalizado">
      <formula>NOT(ISERROR(SEARCH(("Finalizado"),(P14))))</formula>
    </cfRule>
    <cfRule type="containsText" dxfId="3643" priority="3576" operator="containsText" text="em andamento">
      <formula>NOT(ISERROR(SEARCH(("em andamento"),(P14))))</formula>
    </cfRule>
    <cfRule type="containsText" dxfId="3642" priority="3577" operator="containsText" text="Lançado">
      <formula>NOT(ISERROR(SEARCH(("Lançado"),(P14))))</formula>
    </cfRule>
    <cfRule type="containsText" dxfId="3641" priority="3578" operator="containsText" text="N/A">
      <formula>NOT(ISERROR(SEARCH(("N/A"),(P14))))</formula>
    </cfRule>
    <cfRule type="containsText" dxfId="3640" priority="3579" operator="containsText" text="Pendente">
      <formula>NOT(ISERROR(SEARCH(("Pendente"),(P14))))</formula>
    </cfRule>
    <cfRule type="expression" dxfId="3639" priority="3582">
      <formula>$H14="CÉLULA CONSTRUTIVA"</formula>
    </cfRule>
    <cfRule type="expression" dxfId="3638" priority="3583">
      <formula>$H14="ETAPA"</formula>
    </cfRule>
    <cfRule type="expression" dxfId="3637" priority="3584">
      <formula>$H14="CÉLULA CONSTRUTIVA"</formula>
    </cfRule>
    <cfRule type="expression" dxfId="3636" priority="3585">
      <formula>$H14="ETAPA"</formula>
    </cfRule>
  </conditionalFormatting>
  <conditionalFormatting sqref="P14 P16:P17 P21:P26 P28:P31">
    <cfRule type="expression" dxfId="3635" priority="3586">
      <formula>$H14="SUBETAPA"</formula>
    </cfRule>
  </conditionalFormatting>
  <conditionalFormatting sqref="P18">
    <cfRule type="containsText" dxfId="3634" priority="2966" operator="containsText" text="Finalizado">
      <formula>NOT(ISERROR(SEARCH(("Finalizado"),(P18))))</formula>
    </cfRule>
    <cfRule type="containsText" dxfId="3633" priority="2967" operator="containsText" text="em andamento">
      <formula>NOT(ISERROR(SEARCH(("em andamento"),(P18))))</formula>
    </cfRule>
  </conditionalFormatting>
  <conditionalFormatting sqref="P20">
    <cfRule type="containsText" dxfId="3632" priority="2674" operator="containsText" text="Finalizado">
      <formula>NOT(ISERROR(SEARCH(("Finalizado"),(P20))))</formula>
    </cfRule>
    <cfRule type="containsText" dxfId="3631" priority="2675" operator="containsText" text="em andamento">
      <formula>NOT(ISERROR(SEARCH(("em andamento"),(P20))))</formula>
    </cfRule>
  </conditionalFormatting>
  <conditionalFormatting sqref="P21:P26 P28:P31 P48 P14 P16:P17 P50">
    <cfRule type="containsText" dxfId="3630" priority="3572" operator="containsText" text="Finalizado">
      <formula>NOT(ISERROR(SEARCH(("Finalizado"),(P14))))</formula>
    </cfRule>
  </conditionalFormatting>
  <conditionalFormatting sqref="P21:P26 P48 P28:P31">
    <cfRule type="containsText" dxfId="3629" priority="3571" operator="containsText" text="Pendente">
      <formula>NOT(ISERROR(SEARCH(("Pendente"),(P21))))</formula>
    </cfRule>
  </conditionalFormatting>
  <conditionalFormatting sqref="P27">
    <cfRule type="containsText" dxfId="3628" priority="2662" operator="containsText" text="Finalizado">
      <formula>NOT(ISERROR(SEARCH(("Finalizado"),(P27))))</formula>
    </cfRule>
    <cfRule type="containsText" dxfId="3627" priority="2663" operator="containsText" text="em andamento">
      <formula>NOT(ISERROR(SEARCH(("em andamento"),(P27))))</formula>
    </cfRule>
    <cfRule type="containsText" dxfId="3626" priority="2665" operator="containsText" text="Pendente">
      <formula>NOT(ISERROR(SEARCH(("Pendente"),(P27))))</formula>
    </cfRule>
  </conditionalFormatting>
  <conditionalFormatting sqref="P28:P31">
    <cfRule type="containsText" dxfId="3625" priority="3587" operator="containsText" text="Lançado">
      <formula>NOT(ISERROR(SEARCH(("Lançado"),(P28))))</formula>
    </cfRule>
    <cfRule type="containsText" dxfId="3624" priority="3588" operator="containsText" text="N/A">
      <formula>NOT(ISERROR(SEARCH(("N/A"),(P28))))</formula>
    </cfRule>
  </conditionalFormatting>
  <conditionalFormatting sqref="P32">
    <cfRule type="containsText" dxfId="3623" priority="2648" operator="containsText" text="Finalizado">
      <formula>NOT(ISERROR(SEARCH(("Finalizado"),(P32))))</formula>
    </cfRule>
    <cfRule type="containsText" dxfId="3622" priority="2649" operator="containsText" text="em andamento">
      <formula>NOT(ISERROR(SEARCH(("em andamento"),(P32))))</formula>
    </cfRule>
    <cfRule type="containsText" dxfId="3621" priority="2651" operator="containsText" text="Pendente">
      <formula>NOT(ISERROR(SEARCH(("Pendente"),(P32))))</formula>
    </cfRule>
    <cfRule type="containsText" dxfId="3620" priority="2652" operator="containsText" text="Lançado">
      <formula>NOT(ISERROR(SEARCH(("Lançado"),(P32))))</formula>
    </cfRule>
    <cfRule type="containsText" dxfId="3619" priority="2653" operator="containsText" text="N/A">
      <formula>NOT(ISERROR(SEARCH(("N/A"),(P32))))</formula>
    </cfRule>
  </conditionalFormatting>
  <conditionalFormatting sqref="P33 P95:P97 P99:P100 P103 P106 P109 P253:P258">
    <cfRule type="containsText" dxfId="3618" priority="3603" operator="containsText" text="Finalizado">
      <formula>NOT(ISERROR(SEARCH(("Finalizado"),(P33))))</formula>
    </cfRule>
  </conditionalFormatting>
  <conditionalFormatting sqref="P33 P95:P115 P185:P203 P253:P258 P260:P295 P327:P343 P170:P175">
    <cfRule type="containsText" dxfId="3617" priority="3602" operator="containsText" text="N/A">
      <formula>NOT(ISERROR(SEARCH(("N/A"),(P33))))</formula>
    </cfRule>
  </conditionalFormatting>
  <conditionalFormatting sqref="P33 P95:P115 P190 P253:P258 P260:P295 P327:P343 P170:P175">
    <cfRule type="containsText" dxfId="3616" priority="3601" operator="containsText" text="Lançado">
      <formula>NOT(ISERROR(SEARCH(("Lançado"),(P33))))</formula>
    </cfRule>
  </conditionalFormatting>
  <conditionalFormatting sqref="P33 P190 P253:P258 P95:P97 P99:P100 P103 P106 P109 P289:P292">
    <cfRule type="containsText" dxfId="3615" priority="3600" operator="containsText" text="Pendente">
      <formula>NOT(ISERROR(SEARCH(("Pendente"),(P33))))</formula>
    </cfRule>
  </conditionalFormatting>
  <conditionalFormatting sqref="P33 P190 P253:P258 P232:P236">
    <cfRule type="containsText" dxfId="3614" priority="3590" operator="containsText" text="Finalizado">
      <formula>NOT(ISERROR(SEARCH(("Finalizado"),(P33))))</formula>
    </cfRule>
  </conditionalFormatting>
  <conditionalFormatting sqref="P33 P190 P253:P258">
    <cfRule type="containsText" dxfId="3613" priority="3591" operator="containsText" text="em andamento">
      <formula>NOT(ISERROR(SEARCH(("em andamento"),(P33))))</formula>
    </cfRule>
    <cfRule type="containsText" dxfId="3612" priority="3592" operator="containsText" text="Finalizado">
      <formula>NOT(ISERROR(SEARCH(("Finalizado"),(P33))))</formula>
    </cfRule>
    <cfRule type="containsText" dxfId="3611" priority="3593" operator="containsText" text="em andamento">
      <formula>NOT(ISERROR(SEARCH(("em andamento"),(P33))))</formula>
    </cfRule>
    <cfRule type="containsText" dxfId="3610" priority="3594" operator="containsText" text="Pendente">
      <formula>NOT(ISERROR(SEARCH(("Pendente"),(P33))))</formula>
    </cfRule>
    <cfRule type="containsText" dxfId="3609" priority="3595" operator="containsText" text="Lançado">
      <formula>NOT(ISERROR(SEARCH(("Lançado"),(P33))))</formula>
    </cfRule>
    <cfRule type="containsText" dxfId="3608" priority="3596" operator="containsText" text="N/A">
      <formula>NOT(ISERROR(SEARCH(("N/A"),(P33))))</formula>
    </cfRule>
    <cfRule type="expression" dxfId="3607" priority="3597">
      <formula>$H33="SUBETAPA"</formula>
    </cfRule>
    <cfRule type="expression" dxfId="3606" priority="3598">
      <formula>$H33="ETAPA"</formula>
    </cfRule>
    <cfRule type="containsText" dxfId="3605" priority="3599" operator="containsText" text="em andamento">
      <formula>NOT(ISERROR(SEARCH(("em andamento"),(P33))))</formula>
    </cfRule>
  </conditionalFormatting>
  <conditionalFormatting sqref="P34">
    <cfRule type="containsText" dxfId="3604" priority="5159" operator="containsText" text="Finalizado">
      <formula>NOT(ISERROR(SEARCH(("Finalizado"),(P51))))</formula>
    </cfRule>
    <cfRule type="containsText" dxfId="3603" priority="5160" operator="containsText" text="Lançado">
      <formula>NOT(ISERROR(SEARCH(("Lançado"),(P51))))</formula>
    </cfRule>
    <cfRule type="containsText" dxfId="3602" priority="5161" operator="containsText" text="N/A">
      <formula>NOT(ISERROR(SEARCH(("N/A"),(P51))))</formula>
    </cfRule>
    <cfRule type="containsText" dxfId="3601" priority="5162" operator="containsText" text="em andamento">
      <formula>NOT(ISERROR(SEARCH(("em andamento"),(P51))))</formula>
    </cfRule>
    <cfRule type="containsText" dxfId="3600" priority="5163" operator="containsText" text="Pendente">
      <formula>NOT(ISERROR(SEARCH(("Pendente"),(P51))))</formula>
    </cfRule>
  </conditionalFormatting>
  <conditionalFormatting sqref="P35">
    <cfRule type="containsText" dxfId="3599" priority="2634" operator="containsText" text="Finalizado">
      <formula>NOT(ISERROR(SEARCH(("Finalizado"),(P35))))</formula>
    </cfRule>
    <cfRule type="containsText" dxfId="3598" priority="2635" operator="containsText" text="em andamento">
      <formula>NOT(ISERROR(SEARCH(("em andamento"),(P35))))</formula>
    </cfRule>
    <cfRule type="containsText" dxfId="3597" priority="2637" operator="containsText" text="Pendente">
      <formula>NOT(ISERROR(SEARCH(("Pendente"),(P35))))</formula>
    </cfRule>
    <cfRule type="containsText" dxfId="3596" priority="2638" operator="containsText" text="Lançado">
      <formula>NOT(ISERROR(SEARCH(("Lançado"),(P35))))</formula>
    </cfRule>
    <cfRule type="containsText" dxfId="3595" priority="2639" operator="containsText" text="N/A">
      <formula>NOT(ISERROR(SEARCH(("N/A"),(P35))))</formula>
    </cfRule>
  </conditionalFormatting>
  <conditionalFormatting sqref="P36 P54:P59 P61:P67">
    <cfRule type="containsText" dxfId="3594" priority="3604" operator="containsText" text="Lançado">
      <formula>NOT(ISERROR(SEARCH(("Lançado"),(P36))))</formula>
    </cfRule>
    <cfRule type="containsText" dxfId="3593" priority="3605" operator="containsText" text="N/A">
      <formula>NOT(ISERROR(SEARCH(("N/A"),(P36))))</formula>
    </cfRule>
    <cfRule type="containsText" dxfId="3592" priority="3606" operator="containsText" text="Pendente">
      <formula>NOT(ISERROR(SEARCH(("Pendente"),(P36))))</formula>
    </cfRule>
    <cfRule type="containsText" dxfId="3591" priority="3607" operator="containsText" text="Finalizado">
      <formula>NOT(ISERROR(SEARCH(("Finalizado"),(P36))))</formula>
    </cfRule>
    <cfRule type="containsText" dxfId="3590" priority="3608" operator="containsText" text="em andamento">
      <formula>NOT(ISERROR(SEARCH(("em andamento"),(P36))))</formula>
    </cfRule>
    <cfRule type="containsText" dxfId="3589" priority="3609" operator="containsText" text="Lançado">
      <formula>NOT(ISERROR(SEARCH(("Lançado"),(P36))))</formula>
    </cfRule>
    <cfRule type="containsText" dxfId="3588" priority="3610" operator="containsText" text="N/A">
      <formula>NOT(ISERROR(SEARCH(("N/A"),(P36))))</formula>
    </cfRule>
    <cfRule type="containsText" dxfId="3587" priority="3611" operator="containsText" text="Pendente">
      <formula>NOT(ISERROR(SEARCH(("Pendente"),(P36))))</formula>
    </cfRule>
    <cfRule type="containsText" dxfId="3586" priority="3612" operator="containsText" text="Finalizado">
      <formula>NOT(ISERROR(SEARCH(("Finalizado"),(P36))))</formula>
    </cfRule>
    <cfRule type="containsText" dxfId="3585" priority="3613" operator="containsText" text="em andamento">
      <formula>NOT(ISERROR(SEARCH(("em andamento"),(P36))))</formula>
    </cfRule>
    <cfRule type="containsText" dxfId="3584" priority="3614" operator="containsText" text="Lançado">
      <formula>NOT(ISERROR(SEARCH(("Lançado"),(P36))))</formula>
    </cfRule>
    <cfRule type="containsText" dxfId="3583" priority="3615" operator="containsText" text="N/A">
      <formula>NOT(ISERROR(SEARCH(("N/A"),(P36))))</formula>
    </cfRule>
    <cfRule type="containsText" dxfId="3582" priority="3616" operator="containsText" text="Pendente">
      <formula>NOT(ISERROR(SEARCH(("Pendente"),(P36))))</formula>
    </cfRule>
    <cfRule type="containsText" dxfId="3581" priority="3617" operator="containsText" text="Finalizado">
      <formula>NOT(ISERROR(SEARCH(("Finalizado"),(P36))))</formula>
    </cfRule>
    <cfRule type="containsText" dxfId="3580" priority="3618" operator="containsText" text="em andamento">
      <formula>NOT(ISERROR(SEARCH(("em andamento"),(P36))))</formula>
    </cfRule>
    <cfRule type="expression" dxfId="3579" priority="3619">
      <formula>$H36="SUBETAPA"</formula>
    </cfRule>
    <cfRule type="expression" dxfId="3578" priority="3620">
      <formula>$H36="CÉLULA CONSTRUTIVA"</formula>
    </cfRule>
    <cfRule type="expression" dxfId="3577" priority="3621">
      <formula>$H36="ETAPA"</formula>
    </cfRule>
  </conditionalFormatting>
  <conditionalFormatting sqref="P37">
    <cfRule type="containsText" dxfId="3576" priority="2620" operator="containsText" text="Finalizado">
      <formula>NOT(ISERROR(SEARCH(("Finalizado"),(P37))))</formula>
    </cfRule>
  </conditionalFormatting>
  <conditionalFormatting sqref="P37:P46">
    <cfRule type="containsText" dxfId="3575" priority="2621" operator="containsText" text="em andamento">
      <formula>NOT(ISERROR(SEARCH(("em andamento"),(P37))))</formula>
    </cfRule>
    <cfRule type="containsText" dxfId="3574" priority="2623" operator="containsText" text="Pendente">
      <formula>NOT(ISERROR(SEARCH(("Pendente"),(P37))))</formula>
    </cfRule>
    <cfRule type="containsText" dxfId="3573" priority="2624" operator="containsText" text="Lançado">
      <formula>NOT(ISERROR(SEARCH(("Lançado"),(P37))))</formula>
    </cfRule>
    <cfRule type="containsText" dxfId="3572" priority="2625" operator="containsText" text="N/A">
      <formula>NOT(ISERROR(SEARCH(("N/A"),(P37))))</formula>
    </cfRule>
  </conditionalFormatting>
  <conditionalFormatting sqref="P38:P46 P199:P203 P205">
    <cfRule type="containsText" dxfId="3571" priority="3631" operator="containsText" text="Lançado">
      <formula>NOT(ISERROR(SEARCH(("Lançado"),(P38))))</formula>
    </cfRule>
  </conditionalFormatting>
  <conditionalFormatting sqref="P38:P46 P200:P203 P205">
    <cfRule type="containsText" dxfId="3570" priority="3632" operator="containsText" text="N/A">
      <formula>NOT(ISERROR(SEARCH(("N/A"),(P38))))</formula>
    </cfRule>
    <cfRule type="containsText" dxfId="3569" priority="3636" operator="containsText" text="Pendente">
      <formula>NOT(ISERROR(SEARCH(("Pendente"),(P38))))</formula>
    </cfRule>
    <cfRule type="containsText" dxfId="3568" priority="3637" operator="containsText" text="Finalizado">
      <formula>NOT(ISERROR(SEARCH(("Finalizado"),(P38))))</formula>
    </cfRule>
    <cfRule type="containsText" dxfId="3567" priority="3638" operator="containsText" text="em andamento">
      <formula>NOT(ISERROR(SEARCH(("em andamento"),(P38))))</formula>
    </cfRule>
  </conditionalFormatting>
  <conditionalFormatting sqref="P38:P46 P200:P203">
    <cfRule type="containsText" dxfId="3566" priority="3627" operator="containsText" text="Finalizado">
      <formula>NOT(ISERROR(SEARCH(("Finalizado"),(P38))))</formula>
    </cfRule>
    <cfRule type="containsText" dxfId="3565" priority="3628" operator="containsText" text="em andamento">
      <formula>NOT(ISERROR(SEARCH(("em andamento"),(P38))))</formula>
    </cfRule>
    <cfRule type="expression" dxfId="3564" priority="3629">
      <formula>$H38="CÉLULA CONSTRUTIVA"</formula>
    </cfRule>
    <cfRule type="expression" dxfId="3563" priority="3630">
      <formula>$H38="ETAPA"</formula>
    </cfRule>
    <cfRule type="containsText" dxfId="3562" priority="3633" operator="containsText" text="Finalizado">
      <formula>NOT(ISERROR(SEARCH(("Finalizado"),(P38))))</formula>
    </cfRule>
  </conditionalFormatting>
  <conditionalFormatting sqref="P38:P46">
    <cfRule type="expression" dxfId="3561" priority="3639">
      <formula>$H38="SUBETAPA"</formula>
    </cfRule>
    <cfRule type="expression" dxfId="3560" priority="3641">
      <formula>$H38="CÉLULA CONSTRUTIVA"</formula>
    </cfRule>
    <cfRule type="expression" dxfId="3559" priority="3642">
      <formula>$H38="ETAPA"</formula>
    </cfRule>
  </conditionalFormatting>
  <conditionalFormatting sqref="P47">
    <cfRule type="containsText" dxfId="3558" priority="2606" operator="containsText" text="Finalizado">
      <formula>NOT(ISERROR(SEARCH(("Finalizado"),(P47))))</formula>
    </cfRule>
    <cfRule type="containsText" dxfId="3557" priority="2607" operator="containsText" text="em andamento">
      <formula>NOT(ISERROR(SEARCH(("em andamento"),(P47))))</formula>
    </cfRule>
    <cfRule type="containsText" dxfId="3556" priority="2609" operator="containsText" text="Pendente">
      <formula>NOT(ISERROR(SEARCH(("Pendente"),(P47))))</formula>
    </cfRule>
    <cfRule type="containsText" dxfId="3555" priority="2610" operator="containsText" text="Lançado">
      <formula>NOT(ISERROR(SEARCH(("Lançado"),(P47))))</formula>
    </cfRule>
    <cfRule type="containsText" dxfId="3554" priority="2611" operator="containsText" text="N/A">
      <formula>NOT(ISERROR(SEARCH(("N/A"),(P47))))</formula>
    </cfRule>
  </conditionalFormatting>
  <conditionalFormatting sqref="P49">
    <cfRule type="containsText" dxfId="3553" priority="2592" operator="containsText" text="Finalizado">
      <formula>NOT(ISERROR(SEARCH(("Finalizado"),(P49))))</formula>
    </cfRule>
    <cfRule type="containsText" dxfId="3552" priority="2593" operator="containsText" text="em andamento">
      <formula>NOT(ISERROR(SEARCH(("em andamento"),(P49))))</formula>
    </cfRule>
    <cfRule type="containsText" dxfId="3551" priority="2595" operator="containsText" text="Pendente">
      <formula>NOT(ISERROR(SEARCH(("Pendente"),(P49))))</formula>
    </cfRule>
    <cfRule type="containsText" dxfId="3550" priority="2596" operator="containsText" text="Lançado">
      <formula>NOT(ISERROR(SEARCH(("Lançado"),(P49))))</formula>
    </cfRule>
    <cfRule type="containsText" dxfId="3549" priority="2597" operator="containsText" text="N/A">
      <formula>NOT(ISERROR(SEARCH(("N/A"),(P49))))</formula>
    </cfRule>
  </conditionalFormatting>
  <conditionalFormatting sqref="P50">
    <cfRule type="expression" dxfId="3548" priority="3643">
      <formula>$H50="SUBETAPA"</formula>
    </cfRule>
    <cfRule type="expression" dxfId="3547" priority="3644">
      <formula>$H50="CÉLULA CONSTRUTIVA"</formula>
    </cfRule>
    <cfRule type="expression" dxfId="3546" priority="3645">
      <formula>$H50="ETAPA"</formula>
    </cfRule>
    <cfRule type="containsText" dxfId="3545" priority="3646" operator="containsText" text="Lançado">
      <formula>NOT(ISERROR(SEARCH(("Lançado"),(P50))))</formula>
    </cfRule>
    <cfRule type="containsText" dxfId="3544" priority="3647" operator="containsText" text="N/A">
      <formula>NOT(ISERROR(SEARCH(("N/A"),(P50))))</formula>
    </cfRule>
    <cfRule type="containsText" dxfId="3543" priority="3648" operator="containsText" text="Pendente">
      <formula>NOT(ISERROR(SEARCH(("Pendente"),(P50))))</formula>
    </cfRule>
    <cfRule type="containsText" dxfId="3542" priority="3649" operator="containsText" text="Finalizado">
      <formula>NOT(ISERROR(SEARCH(("Finalizado"),(P50))))</formula>
    </cfRule>
    <cfRule type="containsText" dxfId="3541" priority="3650" operator="containsText" text="em andamento">
      <formula>NOT(ISERROR(SEARCH(("em andamento"),(P50))))</formula>
    </cfRule>
    <cfRule type="containsText" dxfId="3540" priority="3651" operator="containsText" text="Lançado">
      <formula>NOT(ISERROR(SEARCH(("Lançado"),(P50))))</formula>
    </cfRule>
    <cfRule type="containsText" dxfId="3539" priority="3652" operator="containsText" text="N/A">
      <formula>NOT(ISERROR(SEARCH(("N/A"),(P50))))</formula>
    </cfRule>
    <cfRule type="containsText" dxfId="3538" priority="3653" operator="containsText" text="Pendente">
      <formula>NOT(ISERROR(SEARCH(("Pendente"),(P50))))</formula>
    </cfRule>
    <cfRule type="containsText" dxfId="3537" priority="3654" operator="containsText" text="Finalizado">
      <formula>NOT(ISERROR(SEARCH(("Finalizado"),(P50))))</formula>
    </cfRule>
    <cfRule type="containsText" dxfId="3536" priority="3655" operator="containsText" text="em andamento">
      <formula>NOT(ISERROR(SEARCH(("em andamento"),(P50))))</formula>
    </cfRule>
    <cfRule type="expression" dxfId="3535" priority="3656">
      <formula>$H50="CÉLULA CONSTRUTIVA"</formula>
    </cfRule>
    <cfRule type="expression" dxfId="3534" priority="3657">
      <formula>$H50="ETAPA"</formula>
    </cfRule>
    <cfRule type="containsText" dxfId="3533" priority="3658" operator="containsText" text="Lançado">
      <formula>NOT(ISERROR(SEARCH(("Lançado"),(P50))))</formula>
    </cfRule>
    <cfRule type="containsText" dxfId="3532" priority="3659" operator="containsText" text="N/A">
      <formula>NOT(ISERROR(SEARCH(("N/A"),(P50))))</formula>
    </cfRule>
    <cfRule type="containsText" dxfId="3531" priority="3660" operator="containsText" text="Pendente">
      <formula>NOT(ISERROR(SEARCH(("Pendente"),(P50))))</formula>
    </cfRule>
    <cfRule type="containsText" dxfId="3530" priority="3661" operator="containsText" text="Finalizado">
      <formula>NOT(ISERROR(SEARCH(("Finalizado"),(P50))))</formula>
    </cfRule>
    <cfRule type="containsText" dxfId="3529" priority="3662" operator="containsText" text="em andamento">
      <formula>NOT(ISERROR(SEARCH(("em andamento"),(P50))))</formula>
    </cfRule>
  </conditionalFormatting>
  <conditionalFormatting sqref="P51">
    <cfRule type="containsText" dxfId="3528" priority="2954" operator="containsText" text="Finalizado">
      <formula>NOT(ISERROR(SEARCH(("Finalizado"),(P51))))</formula>
    </cfRule>
    <cfRule type="containsText" dxfId="3527" priority="2955" operator="containsText" text="em andamento">
      <formula>NOT(ISERROR(SEARCH(("em andamento"),(P51))))</formula>
    </cfRule>
  </conditionalFormatting>
  <conditionalFormatting sqref="P52">
    <cfRule type="containsText" dxfId="3526" priority="5818" operator="containsText" text="Finalizado">
      <formula>NOT(ISERROR(SEARCH(("Finalizado"),(#REF!))))</formula>
    </cfRule>
    <cfRule type="containsText" dxfId="3525" priority="5819" operator="containsText" text="Lançado">
      <formula>NOT(ISERROR(SEARCH(("Lançado"),(#REF!))))</formula>
    </cfRule>
    <cfRule type="containsText" dxfId="3524" priority="5820" operator="containsText" text="N/A">
      <formula>NOT(ISERROR(SEARCH(("N/A"),(#REF!))))</formula>
    </cfRule>
    <cfRule type="containsText" dxfId="3523" priority="5821" operator="containsText" text="em andamento">
      <formula>NOT(ISERROR(SEARCH(("em andamento"),(#REF!))))</formula>
    </cfRule>
    <cfRule type="containsText" dxfId="3522" priority="5822" operator="containsText" text="Pendente">
      <formula>NOT(ISERROR(SEARCH(("Pendente"),(#REF!))))</formula>
    </cfRule>
  </conditionalFormatting>
  <conditionalFormatting sqref="P53">
    <cfRule type="containsText" dxfId="3521" priority="2578" operator="containsText" text="Finalizado">
      <formula>NOT(ISERROR(SEARCH(("Finalizado"),(P53))))</formula>
    </cfRule>
    <cfRule type="containsText" dxfId="3520" priority="2579" operator="containsText" text="em andamento">
      <formula>NOT(ISERROR(SEARCH(("em andamento"),(P53))))</formula>
    </cfRule>
    <cfRule type="containsText" dxfId="3519" priority="2581" operator="containsText" text="Pendente">
      <formula>NOT(ISERROR(SEARCH(("Pendente"),(P53))))</formula>
    </cfRule>
    <cfRule type="containsText" dxfId="3518" priority="2582" operator="containsText" text="Lançado">
      <formula>NOT(ISERROR(SEARCH(("Lançado"),(P53))))</formula>
    </cfRule>
    <cfRule type="containsText" dxfId="3517" priority="2583" operator="containsText" text="N/A">
      <formula>NOT(ISERROR(SEARCH(("N/A"),(P53))))</formula>
    </cfRule>
  </conditionalFormatting>
  <conditionalFormatting sqref="P60">
    <cfRule type="containsText" dxfId="3516" priority="2564" operator="containsText" text="Finalizado">
      <formula>NOT(ISERROR(SEARCH(("Finalizado"),(P60))))</formula>
    </cfRule>
    <cfRule type="containsText" dxfId="3515" priority="2565" operator="containsText" text="em andamento">
      <formula>NOT(ISERROR(SEARCH(("em andamento"),(P60))))</formula>
    </cfRule>
    <cfRule type="containsText" dxfId="3514" priority="2567" operator="containsText" text="Pendente">
      <formula>NOT(ISERROR(SEARCH(("Pendente"),(P60))))</formula>
    </cfRule>
    <cfRule type="containsText" dxfId="3513" priority="2568" operator="containsText" text="Lançado">
      <formula>NOT(ISERROR(SEARCH(("Lançado"),(P60))))</formula>
    </cfRule>
    <cfRule type="containsText" dxfId="3512" priority="2569" operator="containsText" text="N/A">
      <formula>NOT(ISERROR(SEARCH(("N/A"),(P60))))</formula>
    </cfRule>
  </conditionalFormatting>
  <conditionalFormatting sqref="P68">
    <cfRule type="containsText" dxfId="3511" priority="2550" operator="containsText" text="Finalizado">
      <formula>NOT(ISERROR(SEARCH(("Finalizado"),(P68))))</formula>
    </cfRule>
    <cfRule type="containsText" dxfId="3510" priority="2551" operator="containsText" text="em andamento">
      <formula>NOT(ISERROR(SEARCH(("em andamento"),(P68))))</formula>
    </cfRule>
    <cfRule type="containsText" dxfId="3509" priority="2553" operator="containsText" text="Pendente">
      <formula>NOT(ISERROR(SEARCH(("Pendente"),(P68))))</formula>
    </cfRule>
    <cfRule type="containsText" dxfId="3508" priority="2554" operator="containsText" text="Lançado">
      <formula>NOT(ISERROR(SEARCH(("Lançado"),(P68))))</formula>
    </cfRule>
    <cfRule type="containsText" dxfId="3507" priority="2555" operator="containsText" text="N/A">
      <formula>NOT(ISERROR(SEARCH(("N/A"),(P68))))</formula>
    </cfRule>
  </conditionalFormatting>
  <conditionalFormatting sqref="P69 P205:P211 P213:P236">
    <cfRule type="containsText" dxfId="3506" priority="3673" operator="containsText" text="N/A">
      <formula>NOT(ISERROR(SEARCH(("N/A"),(P69))))</formula>
    </cfRule>
  </conditionalFormatting>
  <conditionalFormatting sqref="P69">
    <cfRule type="containsText" dxfId="3505" priority="3663" operator="containsText" text="Lançado">
      <formula>NOT(ISERROR(SEARCH(("Lançado"),(P69))))</formula>
    </cfRule>
    <cfRule type="containsText" dxfId="3504" priority="3664" operator="containsText" text="N/A">
      <formula>NOT(ISERROR(SEARCH(("N/A"),(P69))))</formula>
    </cfRule>
    <cfRule type="containsText" dxfId="3503" priority="3665" operator="containsText" text="Pendente">
      <formula>NOT(ISERROR(SEARCH(("Pendente"),(P69))))</formula>
    </cfRule>
    <cfRule type="containsText" dxfId="3502" priority="3666" operator="containsText" text="Finalizado">
      <formula>NOT(ISERROR(SEARCH(("Finalizado"),(P69))))</formula>
    </cfRule>
    <cfRule type="containsText" dxfId="3501" priority="3667" operator="containsText" text="em andamento">
      <formula>NOT(ISERROR(SEARCH(("em andamento"),(P69))))</formula>
    </cfRule>
    <cfRule type="containsText" dxfId="3500" priority="3668" operator="containsText" text="Lançado">
      <formula>NOT(ISERROR(SEARCH(("Lançado"),(P69))))</formula>
    </cfRule>
    <cfRule type="containsText" dxfId="3499" priority="3669" operator="containsText" text="N/A">
      <formula>NOT(ISERROR(SEARCH(("N/A"),(P69))))</formula>
    </cfRule>
    <cfRule type="containsText" dxfId="3498" priority="3670" operator="containsText" text="Pendente">
      <formula>NOT(ISERROR(SEARCH(("Pendente"),(P69))))</formula>
    </cfRule>
    <cfRule type="containsText" dxfId="3497" priority="3671" operator="containsText" text="Finalizado">
      <formula>NOT(ISERROR(SEARCH(("Finalizado"),(P69))))</formula>
    </cfRule>
    <cfRule type="containsText" dxfId="3496" priority="3672" operator="containsText" text="em andamento">
      <formula>NOT(ISERROR(SEARCH(("em andamento"),(P69))))</formula>
    </cfRule>
    <cfRule type="expression" dxfId="3495" priority="3674">
      <formula>$H69="CÉLULA CONSTRUTIVA"</formula>
    </cfRule>
    <cfRule type="expression" dxfId="3494" priority="3675">
      <formula>$H69="ETAPA"</formula>
    </cfRule>
    <cfRule type="containsText" dxfId="3493" priority="3676" operator="containsText" text="Lançado">
      <formula>NOT(ISERROR(SEARCH(("Lançado"),(P69))))</formula>
    </cfRule>
    <cfRule type="containsText" dxfId="3492" priority="3677" operator="containsText" text="Pendente">
      <formula>NOT(ISERROR(SEARCH(("Pendente"),(P69))))</formula>
    </cfRule>
    <cfRule type="containsText" dxfId="3491" priority="3678" operator="containsText" text="Finalizado">
      <formula>NOT(ISERROR(SEARCH(("Finalizado"),(P69))))</formula>
    </cfRule>
    <cfRule type="containsText" dxfId="3490" priority="3679" operator="containsText" text="em andamento">
      <formula>NOT(ISERROR(SEARCH(("em andamento"),(P69))))</formula>
    </cfRule>
  </conditionalFormatting>
  <conditionalFormatting sqref="P70">
    <cfRule type="containsText" dxfId="3489" priority="2536" operator="containsText" text="Finalizado">
      <formula>NOT(ISERROR(SEARCH(("Finalizado"),(P70))))</formula>
    </cfRule>
    <cfRule type="containsText" dxfId="3488" priority="2537" operator="containsText" text="em andamento">
      <formula>NOT(ISERROR(SEARCH(("em andamento"),(P70))))</formula>
    </cfRule>
    <cfRule type="containsText" dxfId="3487" priority="2539" operator="containsText" text="Pendente">
      <formula>NOT(ISERROR(SEARCH(("Pendente"),(P70))))</formula>
    </cfRule>
    <cfRule type="containsText" dxfId="3486" priority="2540" operator="containsText" text="Lançado">
      <formula>NOT(ISERROR(SEARCH(("Lançado"),(P70))))</formula>
    </cfRule>
    <cfRule type="containsText" dxfId="3485" priority="2541" operator="containsText" text="N/A">
      <formula>NOT(ISERROR(SEARCH(("N/A"),(P70))))</formula>
    </cfRule>
  </conditionalFormatting>
  <conditionalFormatting sqref="P71:P73">
    <cfRule type="containsText" dxfId="3484" priority="102" operator="containsText" text="Lançado">
      <formula>NOT(ISERROR(SEARCH(("Lançado"),(P71))))</formula>
    </cfRule>
    <cfRule type="containsText" dxfId="3483" priority="103" operator="containsText" text="N/A">
      <formula>NOT(ISERROR(SEARCH(("N/A"),(P71))))</formula>
    </cfRule>
    <cfRule type="containsText" dxfId="3482" priority="104" operator="containsText" text="Pendente">
      <formula>NOT(ISERROR(SEARCH(("Pendente"),(P71))))</formula>
    </cfRule>
    <cfRule type="containsText" dxfId="3481" priority="105" operator="containsText" text="Finalizado">
      <formula>NOT(ISERROR(SEARCH(("Finalizado"),(P71))))</formula>
    </cfRule>
    <cfRule type="containsText" dxfId="3480" priority="106" operator="containsText" text="em andamento">
      <formula>NOT(ISERROR(SEARCH(("em andamento"),(P71))))</formula>
    </cfRule>
    <cfRule type="containsText" dxfId="3479" priority="107" operator="containsText" text="Lançado">
      <formula>NOT(ISERROR(SEARCH(("Lançado"),(P71))))</formula>
    </cfRule>
    <cfRule type="containsText" dxfId="3478" priority="108" operator="containsText" text="N/A">
      <formula>NOT(ISERROR(SEARCH(("N/A"),(P71))))</formula>
    </cfRule>
    <cfRule type="containsText" dxfId="3477" priority="109" operator="containsText" text="Pendente">
      <formula>NOT(ISERROR(SEARCH(("Pendente"),(P71))))</formula>
    </cfRule>
    <cfRule type="containsText" dxfId="3476" priority="110" operator="containsText" text="Finalizado">
      <formula>NOT(ISERROR(SEARCH(("Finalizado"),(P71))))</formula>
    </cfRule>
    <cfRule type="containsText" dxfId="3475" priority="111" operator="containsText" text="em andamento">
      <formula>NOT(ISERROR(SEARCH(("em andamento"),(P71))))</formula>
    </cfRule>
    <cfRule type="containsText" dxfId="3474" priority="112" operator="containsText" text="N/A">
      <formula>NOT(ISERROR(SEARCH(("N/A"),(P71))))</formula>
    </cfRule>
    <cfRule type="expression" dxfId="3473" priority="113">
      <formula>$H71="CÉLULA CONSTRUTIVA"</formula>
    </cfRule>
    <cfRule type="expression" dxfId="3472" priority="114">
      <formula>$H71="ETAPA"</formula>
    </cfRule>
    <cfRule type="containsText" dxfId="3471" priority="115" operator="containsText" text="Lançado">
      <formula>NOT(ISERROR(SEARCH(("Lançado"),(P71))))</formula>
    </cfRule>
    <cfRule type="containsText" dxfId="3470" priority="116" operator="containsText" text="Pendente">
      <formula>NOT(ISERROR(SEARCH(("Pendente"),(P71))))</formula>
    </cfRule>
    <cfRule type="containsText" dxfId="3469" priority="117" operator="containsText" text="Finalizado">
      <formula>NOT(ISERROR(SEARCH(("Finalizado"),(P71))))</formula>
    </cfRule>
    <cfRule type="containsText" dxfId="3468" priority="118" operator="containsText" text="em andamento">
      <formula>NOT(ISERROR(SEARCH(("em andamento"),(P71))))</formula>
    </cfRule>
  </conditionalFormatting>
  <conditionalFormatting sqref="P74">
    <cfRule type="containsText" dxfId="3467" priority="2522" operator="containsText" text="Finalizado">
      <formula>NOT(ISERROR(SEARCH(("Finalizado"),(P74))))</formula>
    </cfRule>
    <cfRule type="containsText" dxfId="3466" priority="2523" operator="containsText" text="em andamento">
      <formula>NOT(ISERROR(SEARCH(("em andamento"),(P74))))</formula>
    </cfRule>
    <cfRule type="containsText" dxfId="3465" priority="2525" operator="containsText" text="Pendente">
      <formula>NOT(ISERROR(SEARCH(("Pendente"),(P74))))</formula>
    </cfRule>
    <cfRule type="containsText" dxfId="3464" priority="2526" operator="containsText" text="Lançado">
      <formula>NOT(ISERROR(SEARCH(("Lançado"),(P74))))</formula>
    </cfRule>
    <cfRule type="containsText" dxfId="3463" priority="2527" operator="containsText" text="N/A">
      <formula>NOT(ISERROR(SEARCH(("N/A"),(P74))))</formula>
    </cfRule>
  </conditionalFormatting>
  <conditionalFormatting sqref="P75">
    <cfRule type="containsText" dxfId="3462" priority="3693" operator="containsText" text="Lançado">
      <formula>NOT(ISERROR(SEARCH(("Lançado"),(P75))))</formula>
    </cfRule>
    <cfRule type="containsText" dxfId="3461" priority="3694" operator="containsText" text="Pendente">
      <formula>NOT(ISERROR(SEARCH(("Pendente"),(P75))))</formula>
    </cfRule>
    <cfRule type="containsText" dxfId="3460" priority="3695" operator="containsText" text="Finalizado">
      <formula>NOT(ISERROR(SEARCH(("Finalizado"),(P75))))</formula>
    </cfRule>
    <cfRule type="containsText" dxfId="3459" priority="3696" operator="containsText" text="em andamento">
      <formula>NOT(ISERROR(SEARCH(("em andamento"),(P75))))</formula>
    </cfRule>
    <cfRule type="containsText" dxfId="3458" priority="3701" operator="containsText" text="Lançado">
      <formula>NOT(ISERROR(SEARCH(("Lançado"),(P75))))</formula>
    </cfRule>
    <cfRule type="containsText" dxfId="3457" priority="3702" operator="containsText" text="N/A">
      <formula>NOT(ISERROR(SEARCH(("N/A"),(P75))))</formula>
    </cfRule>
    <cfRule type="containsText" dxfId="3456" priority="3703" operator="containsText" text="Pendente">
      <formula>NOT(ISERROR(SEARCH(("Pendente"),(P75))))</formula>
    </cfRule>
    <cfRule type="containsText" dxfId="3455" priority="3704" operator="containsText" text="Finalizado">
      <formula>NOT(ISERROR(SEARCH(("Finalizado"),(P75))))</formula>
    </cfRule>
    <cfRule type="containsText" dxfId="3454" priority="3705" operator="containsText" text="em andamento">
      <formula>NOT(ISERROR(SEARCH(("em andamento"),(P75))))</formula>
    </cfRule>
    <cfRule type="containsText" dxfId="3453" priority="3706" operator="containsText" text="Lançado">
      <formula>NOT(ISERROR(SEARCH(("Lançado"),(P75))))</formula>
    </cfRule>
    <cfRule type="containsText" dxfId="3452" priority="3707" operator="containsText" text="N/A">
      <formula>NOT(ISERROR(SEARCH(("N/A"),(P75))))</formula>
    </cfRule>
    <cfRule type="containsText" dxfId="3451" priority="3708" operator="containsText" text="Pendente">
      <formula>NOT(ISERROR(SEARCH(("Pendente"),(P75))))</formula>
    </cfRule>
    <cfRule type="containsText" dxfId="3450" priority="3709" operator="containsText" text="Finalizado">
      <formula>NOT(ISERROR(SEARCH(("Finalizado"),(P75))))</formula>
    </cfRule>
    <cfRule type="containsText" dxfId="3449" priority="3710" operator="containsText" text="em andamento">
      <formula>NOT(ISERROR(SEARCH(("em andamento"),(P75))))</formula>
    </cfRule>
    <cfRule type="expression" dxfId="3448" priority="3711">
      <formula>$H75="CÉLULA CONSTRUTIVA"</formula>
    </cfRule>
    <cfRule type="expression" dxfId="3447" priority="3712">
      <formula>$H75="ETAPA"</formula>
    </cfRule>
  </conditionalFormatting>
  <conditionalFormatting sqref="P76">
    <cfRule type="containsText" dxfId="3446" priority="2940" operator="containsText" text="Finalizado">
      <formula>NOT(ISERROR(SEARCH(("Finalizado"),(P76))))</formula>
    </cfRule>
    <cfRule type="containsText" dxfId="3445" priority="2941" operator="containsText" text="em andamento">
      <formula>NOT(ISERROR(SEARCH(("em andamento"),(P76))))</formula>
    </cfRule>
    <cfRule type="containsText" dxfId="3444" priority="2943" operator="containsText" text="N/A">
      <formula>NOT(ISERROR(SEARCH(("N/A"),(P76))))</formula>
    </cfRule>
    <cfRule type="containsText" dxfId="3443" priority="2944" operator="containsText" text="Lançado">
      <formula>NOT(ISERROR(SEARCH(("Lançado"),(P76))))</formula>
    </cfRule>
  </conditionalFormatting>
  <conditionalFormatting sqref="P77 P93 P177:P183 P345:P352 P205:P211 P213:P236 P307:P325 P238:P258 P185:P203 P163:P168 P117:P127 P129:P143 P297:P305 P157:P161 P145:P155 P1:P5">
    <cfRule type="containsText" dxfId="3442" priority="3511" operator="containsText" text="Lançado">
      <formula>NOT(ISERROR(SEARCH(("Lançado"),(P1))))</formula>
    </cfRule>
  </conditionalFormatting>
  <conditionalFormatting sqref="P77 P93 P177:P183 P345:P352 P307:P325 P238:P258 P163:P168 P117:P127 P129:P143 P297:P305 P75 P200:P203 P157:P161 P145:P155 P1:P5">
    <cfRule type="containsText" dxfId="3441" priority="3512" operator="containsText" text="N/A">
      <formula>NOT(ISERROR(SEARCH(("N/A"),(P1))))</formula>
    </cfRule>
  </conditionalFormatting>
  <conditionalFormatting sqref="P77 P93 P177:P183 P350:P352 P307:P325 P238:P258 P163:P168 P117:P127 P345:P346 P129:P143 P297:P305 P200:P203 P157:P161 P145:P155 P1:P5">
    <cfRule type="containsText" dxfId="3440" priority="3510" operator="containsText" text="Finalizado">
      <formula>NOT(ISERROR(SEARCH(("Finalizado"),(P1))))</formula>
    </cfRule>
  </conditionalFormatting>
  <conditionalFormatting sqref="P77">
    <cfRule type="expression" dxfId="3439" priority="3713">
      <formula>$H77="SUBETAPA"</formula>
    </cfRule>
    <cfRule type="expression" dxfId="3438" priority="3714">
      <formula>$H77="CÉLULA CONSTRUTIVA"</formula>
    </cfRule>
    <cfRule type="expression" dxfId="3437" priority="3715">
      <formula>$H77="ETAPA"</formula>
    </cfRule>
    <cfRule type="containsText" dxfId="3436" priority="3716" operator="containsText" text="Lançado">
      <formula>NOT(ISERROR(SEARCH(("Lançado"),(P77))))</formula>
    </cfRule>
    <cfRule type="containsText" dxfId="3435" priority="3717" operator="containsText" text="N/A">
      <formula>NOT(ISERROR(SEARCH(("N/A"),(P77))))</formula>
    </cfRule>
    <cfRule type="containsText" dxfId="3434" priority="3718" operator="containsText" text="Pendente">
      <formula>NOT(ISERROR(SEARCH(("Pendente"),(P77))))</formula>
    </cfRule>
    <cfRule type="containsText" dxfId="3433" priority="3719" operator="containsText" text="Finalizado">
      <formula>NOT(ISERROR(SEARCH(("Finalizado"),(P77))))</formula>
    </cfRule>
    <cfRule type="containsText" dxfId="3432" priority="3720" operator="containsText" text="em andamento">
      <formula>NOT(ISERROR(SEARCH(("em andamento"),(P77))))</formula>
    </cfRule>
    <cfRule type="containsText" dxfId="3431" priority="3721" operator="containsText" text="Pendente">
      <formula>NOT(ISERROR(SEARCH(("Pendente"),(P77))))</formula>
    </cfRule>
  </conditionalFormatting>
  <conditionalFormatting sqref="P78">
    <cfRule type="containsText" dxfId="3430" priority="2508" operator="containsText" text="Finalizado">
      <formula>NOT(ISERROR(SEARCH(("Finalizado"),(P78))))</formula>
    </cfRule>
    <cfRule type="containsText" dxfId="3429" priority="2509" operator="containsText" text="em andamento">
      <formula>NOT(ISERROR(SEARCH(("em andamento"),(P78))))</formula>
    </cfRule>
    <cfRule type="containsText" dxfId="3428" priority="2511" operator="containsText" text="Pendente">
      <formula>NOT(ISERROR(SEARCH(("Pendente"),(P78))))</formula>
    </cfRule>
    <cfRule type="containsText" dxfId="3427" priority="2512" operator="containsText" text="Lançado">
      <formula>NOT(ISERROR(SEARCH(("Lançado"),(P78))))</formula>
    </cfRule>
    <cfRule type="containsText" dxfId="3426" priority="2513" operator="containsText" text="N/A">
      <formula>NOT(ISERROR(SEARCH(("N/A"),(P78))))</formula>
    </cfRule>
  </conditionalFormatting>
  <conditionalFormatting sqref="P79:P84 P187:P189 P86:P89">
    <cfRule type="containsText" dxfId="3425" priority="3741" operator="containsText" text="em andamento">
      <formula>NOT(ISERROR(SEARCH(("em andamento"),(P79))))</formula>
    </cfRule>
  </conditionalFormatting>
  <conditionalFormatting sqref="P79:P84">
    <cfRule type="expression" dxfId="3424" priority="3724">
      <formula>$H79="SUBETAPA"</formula>
    </cfRule>
    <cfRule type="expression" dxfId="3423" priority="3725">
      <formula>$H79="CÉLULA CONSTRUTIVA"</formula>
    </cfRule>
    <cfRule type="expression" dxfId="3422" priority="3726">
      <formula>$H79="ETAPA"</formula>
    </cfRule>
    <cfRule type="containsText" dxfId="3421" priority="3727" operator="containsText" text="Lançado">
      <formula>NOT(ISERROR(SEARCH(("Lançado"),(P79))))</formula>
    </cfRule>
    <cfRule type="containsText" dxfId="3420" priority="3728" operator="containsText" text="N/A">
      <formula>NOT(ISERROR(SEARCH(("N/A"),(P79))))</formula>
    </cfRule>
    <cfRule type="containsText" dxfId="3419" priority="3729" operator="containsText" text="Pendente">
      <formula>NOT(ISERROR(SEARCH(("Pendente"),(P79))))</formula>
    </cfRule>
    <cfRule type="containsText" dxfId="3418" priority="3730" operator="containsText" text="Finalizado">
      <formula>NOT(ISERROR(SEARCH(("Finalizado"),(P79))))</formula>
    </cfRule>
    <cfRule type="containsText" dxfId="3417" priority="3731" operator="containsText" text="em andamento">
      <formula>NOT(ISERROR(SEARCH(("em andamento"),(P79))))</formula>
    </cfRule>
    <cfRule type="containsText" dxfId="3416" priority="3732" operator="containsText" text="Lançado">
      <formula>NOT(ISERROR(SEARCH(("Lançado"),(P79))))</formula>
    </cfRule>
    <cfRule type="containsText" dxfId="3415" priority="3733" operator="containsText" text="N/A">
      <formula>NOT(ISERROR(SEARCH(("N/A"),(P79))))</formula>
    </cfRule>
    <cfRule type="containsText" dxfId="3414" priority="3734" operator="containsText" text="Pendente">
      <formula>NOT(ISERROR(SEARCH(("Pendente"),(P79))))</formula>
    </cfRule>
    <cfRule type="containsText" dxfId="3413" priority="3735" operator="containsText" text="Finalizado">
      <formula>NOT(ISERROR(SEARCH(("Finalizado"),(P79))))</formula>
    </cfRule>
    <cfRule type="containsText" dxfId="3412" priority="3736" operator="containsText" text="em andamento">
      <formula>NOT(ISERROR(SEARCH(("em andamento"),(P79))))</formula>
    </cfRule>
    <cfRule type="containsText" dxfId="3411" priority="3737" operator="containsText" text="Lançado">
      <formula>NOT(ISERROR(SEARCH(("Lançado"),(P79))))</formula>
    </cfRule>
    <cfRule type="containsText" dxfId="3410" priority="3738" operator="containsText" text="N/A">
      <formula>NOT(ISERROR(SEARCH(("N/A"),(P79))))</formula>
    </cfRule>
    <cfRule type="containsText" dxfId="3409" priority="3739" operator="containsText" text="Pendente">
      <formula>NOT(ISERROR(SEARCH(("Pendente"),(P79))))</formula>
    </cfRule>
    <cfRule type="containsText" dxfId="3408" priority="3740" operator="containsText" text="Finalizado">
      <formula>NOT(ISERROR(SEARCH(("Finalizado"),(P79))))</formula>
    </cfRule>
  </conditionalFormatting>
  <conditionalFormatting sqref="P85 P99:P103">
    <cfRule type="containsText" dxfId="3407" priority="2495" operator="containsText" text="em andamento">
      <formula>NOT(ISERROR(SEARCH(("em andamento"),(P85))))</formula>
    </cfRule>
    <cfRule type="containsText" dxfId="3406" priority="2497" operator="containsText" text="Pendente">
      <formula>NOT(ISERROR(SEARCH(("Pendente"),(P85))))</formula>
    </cfRule>
  </conditionalFormatting>
  <conditionalFormatting sqref="P85:P89">
    <cfRule type="containsText" dxfId="3405" priority="2494" operator="containsText" text="Finalizado">
      <formula>NOT(ISERROR(SEARCH(("Finalizado"),(P85))))</formula>
    </cfRule>
    <cfRule type="containsText" dxfId="3404" priority="2498" operator="containsText" text="Lançado">
      <formula>NOT(ISERROR(SEARCH(("Lançado"),(P85))))</formula>
    </cfRule>
    <cfRule type="containsText" dxfId="3403" priority="2499" operator="containsText" text="N/A">
      <formula>NOT(ISERROR(SEARCH(("N/A"),(P85))))</formula>
    </cfRule>
  </conditionalFormatting>
  <conditionalFormatting sqref="P86:P89">
    <cfRule type="containsText" dxfId="3402" priority="3743" operator="containsText" text="Lançado">
      <formula>NOT(ISERROR(SEARCH(("Lançado"),(P86))))</formula>
    </cfRule>
    <cfRule type="containsText" dxfId="3401" priority="3744" operator="containsText" text="N/A">
      <formula>NOT(ISERROR(SEARCH(("N/A"),(P86))))</formula>
    </cfRule>
    <cfRule type="containsText" dxfId="3400" priority="3745" operator="containsText" text="Finalizado">
      <formula>NOT(ISERROR(SEARCH(("Finalizado"),(P86))))</formula>
    </cfRule>
    <cfRule type="containsText" dxfId="3399" priority="3746" operator="containsText" text="em andamento">
      <formula>NOT(ISERROR(SEARCH(("em andamento"),(P86))))</formula>
    </cfRule>
    <cfRule type="containsText" dxfId="3398" priority="3747" operator="containsText" text="Lançado">
      <formula>NOT(ISERROR(SEARCH(("Lançado"),(P86))))</formula>
    </cfRule>
    <cfRule type="containsText" dxfId="3397" priority="3748" operator="containsText" text="N/A">
      <formula>NOT(ISERROR(SEARCH(("N/A"),(P86))))</formula>
    </cfRule>
    <cfRule type="expression" dxfId="3396" priority="3749">
      <formula>$H86="SUBETAPA"</formula>
    </cfRule>
    <cfRule type="expression" dxfId="3395" priority="3750">
      <formula>$H86="CÉLULA CONSTRUTIVA"</formula>
    </cfRule>
    <cfRule type="expression" dxfId="3394" priority="3751">
      <formula>$H86="ETAPA"</formula>
    </cfRule>
    <cfRule type="containsText" dxfId="3393" priority="3752" operator="containsText" text="Pendente">
      <formula>NOT(ISERROR(SEARCH(("Pendente"),(P86))))</formula>
    </cfRule>
    <cfRule type="expression" dxfId="3392" priority="3753">
      <formula>$H86="SUBETAPA"</formula>
    </cfRule>
    <cfRule type="expression" dxfId="3391" priority="3754">
      <formula>$H86="CÉLULA CONSTRUTIVA"</formula>
    </cfRule>
    <cfRule type="expression" dxfId="3390" priority="3755">
      <formula>$H86="ETAPA"</formula>
    </cfRule>
    <cfRule type="containsText" dxfId="3389" priority="3756" operator="containsText" text="Pendente">
      <formula>NOT(ISERROR(SEARCH(("Pendente"),(P86))))</formula>
    </cfRule>
  </conditionalFormatting>
  <conditionalFormatting sqref="P86:P91">
    <cfRule type="containsText" dxfId="3388" priority="3757" operator="containsText" text="Finalizado">
      <formula>NOT(ISERROR(SEARCH(("Finalizado"),(P86))))</formula>
    </cfRule>
    <cfRule type="containsText" dxfId="3387" priority="3758" operator="containsText" text="em andamento">
      <formula>NOT(ISERROR(SEARCH(("em andamento"),(P86))))</formula>
    </cfRule>
  </conditionalFormatting>
  <conditionalFormatting sqref="P90 P230:P231">
    <cfRule type="containsText" dxfId="3386" priority="3759" operator="containsText" text="Lançado">
      <formula>NOT(ISERROR(SEARCH(("Lançado"),(P90))))</formula>
    </cfRule>
    <cfRule type="containsText" dxfId="3385" priority="3761" operator="containsText" text="Pendente">
      <formula>NOT(ISERROR(SEARCH(("Pendente"),(P90))))</formula>
    </cfRule>
  </conditionalFormatting>
  <conditionalFormatting sqref="P90">
    <cfRule type="containsText" dxfId="3384" priority="3760" operator="containsText" text="N/A">
      <formula>NOT(ISERROR(SEARCH(("N/A"),(P90))))</formula>
    </cfRule>
  </conditionalFormatting>
  <conditionalFormatting sqref="P91">
    <cfRule type="containsText" dxfId="3383" priority="342" operator="containsText" text="Lançado">
      <formula>NOT(ISERROR(SEARCH(("Lançado"),(P91))))</formula>
    </cfRule>
    <cfRule type="containsText" dxfId="3382" priority="343" operator="containsText" text="N/A">
      <formula>NOT(ISERROR(SEARCH(("N/A"),(P91))))</formula>
    </cfRule>
    <cfRule type="containsText" dxfId="3381" priority="344" operator="containsText" text="Finalizado">
      <formula>NOT(ISERROR(SEARCH(("Finalizado"),(P91))))</formula>
    </cfRule>
    <cfRule type="containsText" dxfId="3380" priority="345" operator="containsText" text="em andamento">
      <formula>NOT(ISERROR(SEARCH(("em andamento"),(P91))))</formula>
    </cfRule>
    <cfRule type="containsText" dxfId="3379" priority="346" operator="containsText" text="Lançado">
      <formula>NOT(ISERROR(SEARCH(("Lançado"),(P91))))</formula>
    </cfRule>
    <cfRule type="containsText" dxfId="3378" priority="347" operator="containsText" text="N/A">
      <formula>NOT(ISERROR(SEARCH(("N/A"),(P91))))</formula>
    </cfRule>
    <cfRule type="containsText" dxfId="3377" priority="348" operator="containsText" text="Finalizado">
      <formula>NOT(ISERROR(SEARCH(("Finalizado"),(P91))))</formula>
    </cfRule>
    <cfRule type="containsText" dxfId="3376" priority="349" operator="containsText" text="em andamento">
      <formula>NOT(ISERROR(SEARCH(("em andamento"),(P91))))</formula>
    </cfRule>
    <cfRule type="containsText" dxfId="3375" priority="350" operator="containsText" text="Lançado">
      <formula>NOT(ISERROR(SEARCH(("Lançado"),(P91))))</formula>
    </cfRule>
    <cfRule type="containsText" dxfId="3374" priority="351" operator="containsText" text="N/A">
      <formula>NOT(ISERROR(SEARCH(("N/A"),(P91))))</formula>
    </cfRule>
    <cfRule type="expression" dxfId="3373" priority="352">
      <formula>$H91="SUBETAPA"</formula>
    </cfRule>
    <cfRule type="expression" dxfId="3372" priority="353">
      <formula>$H91="CÉLULA CONSTRUTIVA"</formula>
    </cfRule>
    <cfRule type="expression" dxfId="3371" priority="354">
      <formula>$H91="ETAPA"</formula>
    </cfRule>
    <cfRule type="containsText" dxfId="3370" priority="355" operator="containsText" text="Pendente">
      <formula>NOT(ISERROR(SEARCH(("Pendente"),(P91))))</formula>
    </cfRule>
    <cfRule type="expression" dxfId="3369" priority="356">
      <formula>$H91="SUBETAPA"</formula>
    </cfRule>
    <cfRule type="expression" dxfId="3368" priority="357">
      <formula>$H91="CÉLULA CONSTRUTIVA"</formula>
    </cfRule>
    <cfRule type="expression" dxfId="3367" priority="358">
      <formula>$H91="ETAPA"</formula>
    </cfRule>
    <cfRule type="containsText" dxfId="3366" priority="359" operator="containsText" text="Pendente">
      <formula>NOT(ISERROR(SEARCH(("Pendente"),(P91))))</formula>
    </cfRule>
  </conditionalFormatting>
  <conditionalFormatting sqref="P92">
    <cfRule type="containsText" dxfId="3365" priority="2928" operator="containsText" text="N/A">
      <formula>NOT(ISERROR(SEARCH(("N/A"),(P92))))</formula>
    </cfRule>
    <cfRule type="containsText" dxfId="3364" priority="2929" operator="containsText" text="Lançado">
      <formula>NOT(ISERROR(SEARCH(("Lançado"),(P92))))</formula>
    </cfRule>
    <cfRule type="containsText" dxfId="3363" priority="2930" operator="containsText" text="Pendente">
      <formula>NOT(ISERROR(SEARCH(("Pendente"),(P92))))</formula>
    </cfRule>
  </conditionalFormatting>
  <conditionalFormatting sqref="P92:P93">
    <cfRule type="containsText" dxfId="3362" priority="2481" operator="containsText" text="Finalizado">
      <formula>NOT(ISERROR(SEARCH(("Finalizado"),(P92))))</formula>
    </cfRule>
    <cfRule type="containsText" dxfId="3361" priority="2482" operator="containsText" text="em andamento">
      <formula>NOT(ISERROR(SEARCH(("em andamento"),(P92))))</formula>
    </cfRule>
  </conditionalFormatting>
  <conditionalFormatting sqref="P93">
    <cfRule type="expression" dxfId="3360" priority="2452">
      <formula>$H93="SUBETAPA"</formula>
    </cfRule>
    <cfRule type="expression" dxfId="3359" priority="2453">
      <formula>$H93="CÉLULA CONSTRUTIVA"</formula>
    </cfRule>
    <cfRule type="containsText" dxfId="3358" priority="2472" operator="containsText" text="Pendente">
      <formula>NOT(ISERROR(SEARCH(("Pendente"),(P93))))</formula>
    </cfRule>
    <cfRule type="containsText" dxfId="3357" priority="2473" operator="containsText" text="Lançado">
      <formula>NOT(ISERROR(SEARCH(("Lançado"),(P93))))</formula>
    </cfRule>
    <cfRule type="containsText" dxfId="3356" priority="2474" operator="containsText" text="N/A">
      <formula>NOT(ISERROR(SEARCH(("N/A"),(P93))))</formula>
    </cfRule>
    <cfRule type="expression" dxfId="3355" priority="2475">
      <formula>$H93="SUBETAPA"</formula>
    </cfRule>
    <cfRule type="expression" dxfId="3354" priority="2476">
      <formula>$H93="CÉLULA CONSTRUTIVA"</formula>
    </cfRule>
    <cfRule type="expression" dxfId="3353" priority="2477">
      <formula>$H93="ETAPA"</formula>
    </cfRule>
    <cfRule type="containsText" dxfId="3352" priority="2478" operator="containsText" text="Lançado">
      <formula>NOT(ISERROR(SEARCH(("Lançado"),(P93))))</formula>
    </cfRule>
    <cfRule type="containsText" dxfId="3351" priority="2479" operator="containsText" text="N/A">
      <formula>NOT(ISERROR(SEARCH(("N/A"),(P93))))</formula>
    </cfRule>
    <cfRule type="containsText" dxfId="3350" priority="2480" operator="containsText" text="Pendente">
      <formula>NOT(ISERROR(SEARCH(("Pendente"),(P93))))</formula>
    </cfRule>
    <cfRule type="containsText" dxfId="3349" priority="2483" operator="containsText" text="Pendente">
      <formula>NOT(ISERROR(SEARCH(("Pendente"),(P93))))</formula>
    </cfRule>
  </conditionalFormatting>
  <conditionalFormatting sqref="P94">
    <cfRule type="containsText" dxfId="3348" priority="2446" operator="containsText" text="Finalizado">
      <formula>NOT(ISERROR(SEARCH(("Finalizado"),(P94))))</formula>
    </cfRule>
    <cfRule type="containsText" dxfId="3347" priority="2447" operator="containsText" text="em andamento">
      <formula>NOT(ISERROR(SEARCH(("em andamento"),(P94))))</formula>
    </cfRule>
    <cfRule type="containsText" dxfId="3346" priority="2449" operator="containsText" text="Pendente">
      <formula>NOT(ISERROR(SEARCH(("Pendente"),(P94))))</formula>
    </cfRule>
    <cfRule type="containsText" dxfId="3345" priority="2450" operator="containsText" text="Lançado">
      <formula>NOT(ISERROR(SEARCH(("Lançado"),(P94))))</formula>
    </cfRule>
    <cfRule type="containsText" dxfId="3344" priority="2451" operator="containsText" text="N/A">
      <formula>NOT(ISERROR(SEARCH(("N/A"),(P94))))</formula>
    </cfRule>
  </conditionalFormatting>
  <conditionalFormatting sqref="P95:P96">
    <cfRule type="expression" dxfId="3343" priority="3800">
      <formula>$H95="SUBETAPA"</formula>
    </cfRule>
    <cfRule type="expression" dxfId="3342" priority="3801">
      <formula>$H95="CÉLULA CONSTRUTIVA"</formula>
    </cfRule>
    <cfRule type="expression" dxfId="3341" priority="3802">
      <formula>$H95="ETAPA"</formula>
    </cfRule>
    <cfRule type="containsText" dxfId="3340" priority="3803" operator="containsText" text="Lançado">
      <formula>NOT(ISERROR(SEARCH(("Lançado"),(P95))))</formula>
    </cfRule>
    <cfRule type="containsText" dxfId="3339" priority="3804" operator="containsText" text="N/A">
      <formula>NOT(ISERROR(SEARCH(("N/A"),(P95))))</formula>
    </cfRule>
    <cfRule type="containsText" dxfId="3338" priority="3805" operator="containsText" text="Pendente">
      <formula>NOT(ISERROR(SEARCH(("Pendente"),(P95))))</formula>
    </cfRule>
    <cfRule type="containsText" dxfId="3337" priority="3806" operator="containsText" text="Finalizado">
      <formula>NOT(ISERROR(SEARCH(("Finalizado"),(P95))))</formula>
    </cfRule>
    <cfRule type="containsText" dxfId="3336" priority="3807" operator="containsText" text="em andamento">
      <formula>NOT(ISERROR(SEARCH(("em andamento"),(P95))))</formula>
    </cfRule>
    <cfRule type="expression" dxfId="3335" priority="3808">
      <formula>$H95="SUBETAPA"</formula>
    </cfRule>
  </conditionalFormatting>
  <conditionalFormatting sqref="P95:P97 P99:P100 P103 P106 P109">
    <cfRule type="expression" dxfId="3334" priority="3767">
      <formula>$H95="ETAPA"</formula>
    </cfRule>
  </conditionalFormatting>
  <conditionalFormatting sqref="P95:P97 P99:P100">
    <cfRule type="expression" dxfId="3333" priority="3766">
      <formula>$H95="CÉLULA CONSTRUTIVA"</formula>
    </cfRule>
  </conditionalFormatting>
  <conditionalFormatting sqref="P95:P97 P106 P108:P109 P307:P308">
    <cfRule type="containsText" dxfId="3332" priority="3797" operator="containsText" text="Finalizado">
      <formula>NOT(ISERROR(SEARCH(("Finalizado"),(P95))))</formula>
    </cfRule>
  </conditionalFormatting>
  <conditionalFormatting sqref="P95:P97 P106">
    <cfRule type="containsText" dxfId="3331" priority="3799" operator="containsText" text="em andamento">
      <formula>NOT(ISERROR(SEARCH(("em andamento"),(P95))))</formula>
    </cfRule>
    <cfRule type="containsText" dxfId="3330" priority="3809" operator="containsText" text="Lançado">
      <formula>NOT(ISERROR(SEARCH(("Lançado"),(P95))))</formula>
    </cfRule>
    <cfRule type="containsText" dxfId="3329" priority="3810" operator="containsText" text="N/A">
      <formula>NOT(ISERROR(SEARCH(("N/A"),(P95))))</formula>
    </cfRule>
    <cfRule type="containsText" dxfId="3328" priority="3811" operator="containsText" text="Pendente">
      <formula>NOT(ISERROR(SEARCH(("Pendente"),(P95))))</formula>
    </cfRule>
  </conditionalFormatting>
  <conditionalFormatting sqref="P97 P99 P101 P103 P106 P109 P297:P298 P300 P302 P304">
    <cfRule type="containsText" dxfId="3327" priority="3771" operator="containsText" text="Lançado">
      <formula>NOT(ISERROR(SEARCH(("Lançado"),(P97))))</formula>
    </cfRule>
    <cfRule type="containsText" dxfId="3326" priority="3772" operator="containsText" text="N/A">
      <formula>NOT(ISERROR(SEARCH(("N/A"),(P97))))</formula>
    </cfRule>
  </conditionalFormatting>
  <conditionalFormatting sqref="P97 P99 P101 P103 P106 P109 P299 P305 P307:P308">
    <cfRule type="expression" dxfId="3325" priority="3778">
      <formula>$H97="CÉLULA CONSTRUTIVA"</formula>
    </cfRule>
  </conditionalFormatting>
  <conditionalFormatting sqref="P97 P99 P101 P103 P106 P109 P299">
    <cfRule type="expression" dxfId="3324" priority="3779">
      <formula>$H97="SUBETAPA"</formula>
    </cfRule>
  </conditionalFormatting>
  <conditionalFormatting sqref="P97 P99 P101 P103 P106 P109 P305 P307:P308 P313 P315 P319">
    <cfRule type="expression" dxfId="3323" priority="3780">
      <formula>$H97="ETAPA"</formula>
    </cfRule>
    <cfRule type="containsText" dxfId="3322" priority="3781" operator="containsText" text="Lançado">
      <formula>NOT(ISERROR(SEARCH(("Lançado"),(P97))))</formula>
    </cfRule>
    <cfRule type="containsText" dxfId="3321" priority="3782" operator="containsText" text="N/A">
      <formula>NOT(ISERROR(SEARCH(("N/A"),(P97))))</formula>
    </cfRule>
    <cfRule type="containsText" dxfId="3320" priority="3783" operator="containsText" text="Pendente">
      <formula>NOT(ISERROR(SEARCH(("Pendente"),(P97))))</formula>
    </cfRule>
    <cfRule type="containsText" dxfId="3319" priority="3784" operator="containsText" text="Finalizado">
      <formula>NOT(ISERROR(SEARCH(("Finalizado"),(P97))))</formula>
    </cfRule>
    <cfRule type="containsText" dxfId="3318" priority="3785" operator="containsText" text="em andamento">
      <formula>NOT(ISERROR(SEARCH(("em andamento"),(P97))))</formula>
    </cfRule>
    <cfRule type="containsText" dxfId="3317" priority="3786" operator="containsText" text="Lançado">
      <formula>NOT(ISERROR(SEARCH(("Lançado"),(P97))))</formula>
    </cfRule>
    <cfRule type="containsText" dxfId="3316" priority="3787" operator="containsText" text="N/A">
      <formula>NOT(ISERROR(SEARCH(("N/A"),(P97))))</formula>
    </cfRule>
    <cfRule type="containsText" dxfId="3315" priority="3788" operator="containsText" text="Pendente">
      <formula>NOT(ISERROR(SEARCH(("Pendente"),(P97))))</formula>
    </cfRule>
    <cfRule type="containsText" dxfId="3314" priority="3789" operator="containsText" text="Finalizado">
      <formula>NOT(ISERROR(SEARCH(("Finalizado"),(P97))))</formula>
    </cfRule>
    <cfRule type="containsText" dxfId="3313" priority="3790" operator="containsText" text="em andamento">
      <formula>NOT(ISERROR(SEARCH(("em andamento"),(P97))))</formula>
    </cfRule>
    <cfRule type="containsText" dxfId="3312" priority="3791" operator="containsText" text="Pendente">
      <formula>NOT(ISERROR(SEARCH(("Pendente"),(P97))))</formula>
    </cfRule>
    <cfRule type="containsText" dxfId="3311" priority="3792" operator="containsText" text="Finalizado">
      <formula>NOT(ISERROR(SEARCH(("Finalizado"),(P97))))</formula>
    </cfRule>
    <cfRule type="containsText" dxfId="3310" priority="3793" operator="containsText" text="em andamento">
      <formula>NOT(ISERROR(SEARCH(("em andamento"),(P97))))</formula>
    </cfRule>
    <cfRule type="expression" dxfId="3309" priority="3794">
      <formula>$H97="SUBETAPA"</formula>
    </cfRule>
  </conditionalFormatting>
  <conditionalFormatting sqref="P97 P99 P101 P103 P106 P109 P170:P175">
    <cfRule type="containsText" dxfId="3308" priority="3775" operator="containsText" text="Pendente">
      <formula>NOT(ISERROR(SEARCH(("Pendente"),(P97))))</formula>
    </cfRule>
    <cfRule type="containsText" dxfId="3307" priority="3776" operator="containsText" text="Finalizado">
      <formula>NOT(ISERROR(SEARCH(("Finalizado"),(P97))))</formula>
    </cfRule>
    <cfRule type="containsText" dxfId="3306" priority="3777" operator="containsText" text="em andamento">
      <formula>NOT(ISERROR(SEARCH(("em andamento"),(P97))))</formula>
    </cfRule>
  </conditionalFormatting>
  <conditionalFormatting sqref="P97 P99 P103 P106 P109 P101">
    <cfRule type="containsText" dxfId="3305" priority="3768" operator="containsText" text="Pendente">
      <formula>NOT(ISERROR(SEARCH(("Pendente"),(P97))))</formula>
    </cfRule>
    <cfRule type="containsText" dxfId="3304" priority="3769" operator="containsText" text="em andamento">
      <formula>NOT(ISERROR(SEARCH(("em andamento"),(P97))))</formula>
    </cfRule>
  </conditionalFormatting>
  <conditionalFormatting sqref="P97 P99:P101 P103 P106 P109 P305 P307:P313 P315 P319:P321">
    <cfRule type="containsText" dxfId="3303" priority="3795" operator="containsText" text="Lançado">
      <formula>NOT(ISERROR(SEARCH(("Lançado"),(P97))))</formula>
    </cfRule>
    <cfRule type="containsText" dxfId="3302" priority="3796" operator="containsText" text="N/A">
      <formula>NOT(ISERROR(SEARCH(("N/A"),(P97))))</formula>
    </cfRule>
  </conditionalFormatting>
  <conditionalFormatting sqref="P97:P99 P101:P102 P313:P319 P108">
    <cfRule type="containsText" dxfId="3301" priority="3813" operator="containsText" text="em andamento">
      <formula>NOT(ISERROR(SEARCH(("em andamento"),(P97))))</formula>
    </cfRule>
  </conditionalFormatting>
  <conditionalFormatting sqref="P97:P99 P101:P102 P313:P319">
    <cfRule type="containsText" dxfId="3300" priority="3812" operator="containsText" text="Finalizado">
      <formula>NOT(ISERROR(SEARCH(("Finalizado"),(P97))))</formula>
    </cfRule>
  </conditionalFormatting>
  <conditionalFormatting sqref="P98 N102:P102 P108">
    <cfRule type="expression" dxfId="3299" priority="3435">
      <formula>$H98="SUBETAPA"</formula>
    </cfRule>
  </conditionalFormatting>
  <conditionalFormatting sqref="P98 P102 P108 P314 P316:P318">
    <cfRule type="containsText" dxfId="3298" priority="3814" operator="containsText" text="Pendente">
      <formula>NOT(ISERROR(SEARCH(("Pendente"),(P98))))</formula>
    </cfRule>
    <cfRule type="containsText" dxfId="3297" priority="3815" operator="containsText" text="Finalizado">
      <formula>NOT(ISERROR(SEARCH(("Finalizado"),(P98))))</formula>
    </cfRule>
  </conditionalFormatting>
  <conditionalFormatting sqref="P98 P102:P103 P108 P307:P319">
    <cfRule type="containsText" dxfId="3296" priority="3820" operator="containsText" text="Lançado">
      <formula>NOT(ISERROR(SEARCH(("Lançado"),(P98))))</formula>
    </cfRule>
    <cfRule type="containsText" dxfId="3295" priority="3821" operator="containsText" text="N/A">
      <formula>NOT(ISERROR(SEARCH(("N/A"),(P98))))</formula>
    </cfRule>
  </conditionalFormatting>
  <conditionalFormatting sqref="P98 P102:P106 P108 P314 P316:P318">
    <cfRule type="containsText" dxfId="3294" priority="3816" operator="containsText" text="em andamento">
      <formula>NOT(ISERROR(SEARCH(("em andamento"),(P98))))</formula>
    </cfRule>
    <cfRule type="containsText" dxfId="3293" priority="3817" operator="containsText" text="Lançado">
      <formula>NOT(ISERROR(SEARCH(("Lançado"),(P98))))</formula>
    </cfRule>
    <cfRule type="containsText" dxfId="3292" priority="3818" operator="containsText" text="N/A">
      <formula>NOT(ISERROR(SEARCH(("N/A"),(P98))))</formula>
    </cfRule>
    <cfRule type="containsText" dxfId="3291" priority="3819" operator="containsText" text="Pendente">
      <formula>NOT(ISERROR(SEARCH(("Pendente"),(P98))))</formula>
    </cfRule>
  </conditionalFormatting>
  <conditionalFormatting sqref="P98 P103:P106 P108 P314 P316:P318">
    <cfRule type="containsText" dxfId="3290" priority="3858" operator="containsText" text="Pendente">
      <formula>NOT(ISERROR(SEARCH(("Pendente"),(P98))))</formula>
    </cfRule>
    <cfRule type="containsText" dxfId="3289" priority="3859" operator="containsText" text="Finalizado">
      <formula>NOT(ISERROR(SEARCH(("Finalizado"),(P98))))</formula>
    </cfRule>
  </conditionalFormatting>
  <conditionalFormatting sqref="P98 P103:P106 P108">
    <cfRule type="containsText" dxfId="3288" priority="3848" operator="containsText" text="Finalizado">
      <formula>NOT(ISERROR(SEARCH(("Finalizado"),(P98))))</formula>
    </cfRule>
    <cfRule type="containsText" dxfId="3287" priority="3849" operator="containsText" text="em andamento">
      <formula>NOT(ISERROR(SEARCH(("em andamento"),(P98))))</formula>
    </cfRule>
    <cfRule type="containsText" dxfId="3286" priority="3850" operator="containsText" text="Lançado">
      <formula>NOT(ISERROR(SEARCH(("Lançado"),(P98))))</formula>
    </cfRule>
    <cfRule type="containsText" dxfId="3285" priority="3851" operator="containsText" text="N/A">
      <formula>NOT(ISERROR(SEARCH(("N/A"),(P98))))</formula>
    </cfRule>
    <cfRule type="containsText" dxfId="3284" priority="3852" operator="containsText" text="Pendente">
      <formula>NOT(ISERROR(SEARCH(("Pendente"),(P98))))</formula>
    </cfRule>
    <cfRule type="containsText" dxfId="3283" priority="3853" operator="containsText" text="Finalizado">
      <formula>NOT(ISERROR(SEARCH(("Finalizado"),(P98))))</formula>
    </cfRule>
    <cfRule type="containsText" dxfId="3282" priority="3854" operator="containsText" text="em andamento">
      <formula>NOT(ISERROR(SEARCH(("em andamento"),(P98))))</formula>
    </cfRule>
    <cfRule type="expression" dxfId="3281" priority="3855">
      <formula>$H98="SUBETAPA"</formula>
    </cfRule>
    <cfRule type="expression" dxfId="3280" priority="3856">
      <formula>$H98="CÉLULA CONSTRUTIVA"</formula>
    </cfRule>
    <cfRule type="expression" dxfId="3279" priority="3857">
      <formula>$H98="ETAPA"</formula>
    </cfRule>
  </conditionalFormatting>
  <conditionalFormatting sqref="P98 P103:P106">
    <cfRule type="containsText" dxfId="3278" priority="3842" operator="containsText" text="Pendente">
      <formula>NOT(ISERROR(SEARCH(("Pendente"),(P98))))</formula>
    </cfRule>
    <cfRule type="containsText" dxfId="3277" priority="3843" operator="containsText" text="Finalizado">
      <formula>NOT(ISERROR(SEARCH(("Finalizado"),(P98))))</formula>
    </cfRule>
    <cfRule type="containsText" dxfId="3276" priority="3844" operator="containsText" text="em andamento">
      <formula>NOT(ISERROR(SEARCH(("em andamento"),(P98))))</formula>
    </cfRule>
  </conditionalFormatting>
  <conditionalFormatting sqref="P98 P108 P103:P106">
    <cfRule type="containsText" dxfId="3275" priority="3847" operator="containsText" text="Pendente">
      <formula>NOT(ISERROR(SEARCH(("Pendente"),(P98))))</formula>
    </cfRule>
  </conditionalFormatting>
  <conditionalFormatting sqref="P98 P108 P313:P319">
    <cfRule type="containsText" dxfId="3274" priority="3860" operator="containsText" text="em andamento">
      <formula>NOT(ISERROR(SEARCH(("em andamento"),(P98))))</formula>
    </cfRule>
  </conditionalFormatting>
  <conditionalFormatting sqref="P98 P108">
    <cfRule type="containsText" dxfId="3273" priority="3845" operator="containsText" text="Lançado">
      <formula>NOT(ISERROR(SEARCH(("Lançado"),(P98))))</formula>
    </cfRule>
    <cfRule type="containsText" dxfId="3272" priority="3846" operator="containsText" text="N/A">
      <formula>NOT(ISERROR(SEARCH(("N/A"),(P98))))</formula>
    </cfRule>
  </conditionalFormatting>
  <conditionalFormatting sqref="P98 P108:P109">
    <cfRule type="containsText" dxfId="3271" priority="3861" operator="containsText" text="Lançado">
      <formula>NOT(ISERROR(SEARCH(("Lançado"),(P98))))</formula>
    </cfRule>
    <cfRule type="containsText" dxfId="3270" priority="3862" operator="containsText" text="N/A">
      <formula>NOT(ISERROR(SEARCH(("N/A"),(P98))))</formula>
    </cfRule>
  </conditionalFormatting>
  <conditionalFormatting sqref="P98">
    <cfRule type="containsText" dxfId="3269" priority="3840" operator="containsText" text="Lançado">
      <formula>NOT(ISERROR(SEARCH(("Lançado"),(P98))))</formula>
    </cfRule>
    <cfRule type="containsText" dxfId="3268" priority="3841" operator="containsText" text="N/A">
      <formula>NOT(ISERROR(SEARCH(("N/A"),(P98))))</formula>
    </cfRule>
    <cfRule type="expression" dxfId="3267" priority="3873">
      <formula>$H98="ETAPA"</formula>
    </cfRule>
    <cfRule type="expression" dxfId="3266" priority="3874">
      <formula>$H98="SUBETAPA"</formula>
    </cfRule>
    <cfRule type="expression" dxfId="3265" priority="3875">
      <formula>$H98="CÉLULA CONSTRUTIVA"</formula>
    </cfRule>
    <cfRule type="expression" dxfId="3264" priority="6655">
      <formula>#REF!="CÉLULA CONSTRUTIVA"</formula>
    </cfRule>
    <cfRule type="expression" dxfId="3263" priority="6656">
      <formula>$H104="ETAPA"</formula>
    </cfRule>
    <cfRule type="expression" dxfId="3262" priority="6657">
      <formula>$H104="SUBETAPA"</formula>
    </cfRule>
  </conditionalFormatting>
  <conditionalFormatting sqref="P98:P99 P101 P106:P109">
    <cfRule type="containsText" dxfId="3261" priority="3825" operator="containsText" text="Pendente">
      <formula>NOT(ISERROR(SEARCH(("Pendente"),(P98))))</formula>
    </cfRule>
    <cfRule type="containsText" dxfId="3260" priority="3826" operator="containsText" text="Lançado">
      <formula>NOT(ISERROR(SEARCH(("Lançado"),(P98))))</formula>
    </cfRule>
    <cfRule type="containsText" dxfId="3259" priority="3827" operator="containsText" text="N/A">
      <formula>NOT(ISERROR(SEARCH(("N/A"),(P98))))</formula>
    </cfRule>
  </conditionalFormatting>
  <conditionalFormatting sqref="P98:P99 P101 P106:P112">
    <cfRule type="containsText" dxfId="3258" priority="3828" operator="containsText" text="Finalizado">
      <formula>NOT(ISERROR(SEARCH(("Finalizado"),(P98))))</formula>
    </cfRule>
    <cfRule type="containsText" dxfId="3257" priority="3829" operator="containsText" text="em andamento">
      <formula>NOT(ISERROR(SEARCH(("em andamento"),(P98))))</formula>
    </cfRule>
  </conditionalFormatting>
  <conditionalFormatting sqref="P98:P99 P101:P102">
    <cfRule type="expression" dxfId="3256" priority="3822">
      <formula>$H98="SUBETAPA"</formula>
    </cfRule>
    <cfRule type="expression" dxfId="3255" priority="3823">
      <formula>$H98="CÉLULA CONSTRUTIVA"</formula>
    </cfRule>
    <cfRule type="expression" dxfId="3254" priority="3824">
      <formula>$H98="ETAPA"</formula>
    </cfRule>
  </conditionalFormatting>
  <conditionalFormatting sqref="P100">
    <cfRule type="expression" dxfId="3253" priority="632">
      <formula>$H100="SUBETAPA"</formula>
    </cfRule>
    <cfRule type="expression" dxfId="3252" priority="633">
      <formula>$H100="CÉLULA CONSTRUTIVA"</formula>
    </cfRule>
    <cfRule type="expression" dxfId="3251" priority="634">
      <formula>$H100="ETAPA"</formula>
    </cfRule>
    <cfRule type="containsText" dxfId="3250" priority="635" operator="containsText" text="Lançado">
      <formula>NOT(ISERROR(SEARCH(("Lançado"),(P100))))</formula>
    </cfRule>
    <cfRule type="containsText" dxfId="3249" priority="636" operator="containsText" text="N/A">
      <formula>NOT(ISERROR(SEARCH(("N/A"),(P100))))</formula>
    </cfRule>
    <cfRule type="containsText" dxfId="3248" priority="637" operator="containsText" text="Pendente">
      <formula>NOT(ISERROR(SEARCH(("Pendente"),(P100))))</formula>
    </cfRule>
    <cfRule type="containsText" dxfId="3247" priority="638" operator="containsText" text="Finalizado">
      <formula>NOT(ISERROR(SEARCH(("Finalizado"),(P100))))</formula>
    </cfRule>
    <cfRule type="containsText" dxfId="3246" priority="639" operator="containsText" text="em andamento">
      <formula>NOT(ISERROR(SEARCH(("em andamento"),(P100))))</formula>
    </cfRule>
    <cfRule type="expression" dxfId="3245" priority="640">
      <formula>$H100="SUBETAPA"</formula>
    </cfRule>
  </conditionalFormatting>
  <conditionalFormatting sqref="P101 G37:L37">
    <cfRule type="expression" dxfId="3244" priority="2612">
      <formula>$H37="CÉLULA CONSTRUTIVA"</formula>
    </cfRule>
  </conditionalFormatting>
  <conditionalFormatting sqref="P101 P103 P106:P107 P210">
    <cfRule type="containsText" dxfId="3243" priority="3833" operator="containsText" text="Finalizado">
      <formula>NOT(ISERROR(SEARCH(("Finalizado"),(P101))))</formula>
    </cfRule>
    <cfRule type="containsText" dxfId="3242" priority="3834" operator="containsText" text="em andamento">
      <formula>NOT(ISERROR(SEARCH(("em andamento"),(P101))))</formula>
    </cfRule>
  </conditionalFormatting>
  <conditionalFormatting sqref="P101 P105:P108">
    <cfRule type="containsText" dxfId="3241" priority="3835" operator="containsText" text="Lançado">
      <formula>NOT(ISERROR(SEARCH(("Lançado"),(P101))))</formula>
    </cfRule>
    <cfRule type="containsText" dxfId="3240" priority="3836" operator="containsText" text="N/A">
      <formula>NOT(ISERROR(SEARCH(("N/A"),(P101))))</formula>
    </cfRule>
    <cfRule type="containsText" dxfId="3239" priority="3837" operator="containsText" text="Pendente">
      <formula>NOT(ISERROR(SEARCH(("Pendente"),(P101))))</formula>
    </cfRule>
    <cfRule type="containsText" dxfId="3238" priority="3838" operator="containsText" text="Finalizado">
      <formula>NOT(ISERROR(SEARCH(("Finalizado"),(P101))))</formula>
    </cfRule>
    <cfRule type="containsText" dxfId="3237" priority="3839" operator="containsText" text="em andamento">
      <formula>NOT(ISERROR(SEARCH(("em andamento"),(P101))))</formula>
    </cfRule>
  </conditionalFormatting>
  <conditionalFormatting sqref="P101 P106:P107 P103 P210">
    <cfRule type="containsText" dxfId="3236" priority="3832" operator="containsText" text="Pendente">
      <formula>NOT(ISERROR(SEARCH(("Pendente"),(P101))))</formula>
    </cfRule>
  </conditionalFormatting>
  <conditionalFormatting sqref="P101 P106:P107 P210">
    <cfRule type="containsText" dxfId="3235" priority="3830" operator="containsText" text="Lançado">
      <formula>NOT(ISERROR(SEARCH(("Lançado"),(P101))))</formula>
    </cfRule>
  </conditionalFormatting>
  <conditionalFormatting sqref="P101 P106:P107">
    <cfRule type="containsText" dxfId="3234" priority="3831" operator="containsText" text="N/A">
      <formula>NOT(ISERROR(SEARCH(("N/A"),(P101))))</formula>
    </cfRule>
  </conditionalFormatting>
  <conditionalFormatting sqref="P103 G103:H103">
    <cfRule type="expression" dxfId="3233" priority="6658">
      <formula>$H100="ETAPA"</formula>
    </cfRule>
  </conditionalFormatting>
  <conditionalFormatting sqref="P103:P108 G176:L176">
    <cfRule type="expression" dxfId="3232" priority="2815">
      <formula>$H103="SUBETAPA"</formula>
    </cfRule>
    <cfRule type="expression" dxfId="3231" priority="2816">
      <formula>$H103="CÉLULA CONSTRUTIVA"</formula>
    </cfRule>
    <cfRule type="expression" dxfId="3230" priority="2817">
      <formula>$H103="ETAPA"</formula>
    </cfRule>
  </conditionalFormatting>
  <conditionalFormatting sqref="P104:P105 G104:H105">
    <cfRule type="expression" dxfId="3229" priority="6660">
      <formula>#REF!="ETAPA"</formula>
    </cfRule>
  </conditionalFormatting>
  <conditionalFormatting sqref="P106:P107 G106:H107">
    <cfRule type="expression" dxfId="3228" priority="6564">
      <formula>$H101="ETAPA"</formula>
    </cfRule>
  </conditionalFormatting>
  <conditionalFormatting sqref="P108 G108:H108">
    <cfRule type="expression" dxfId="3227" priority="6565">
      <formula>#REF!="ETAPA"</formula>
    </cfRule>
  </conditionalFormatting>
  <conditionalFormatting sqref="P108">
    <cfRule type="expression" dxfId="3226" priority="3214">
      <formula>$H104="SUBETAPA"</formula>
    </cfRule>
    <cfRule type="expression" dxfId="3225" priority="3215">
      <formula>$H104="ETAPA"</formula>
    </cfRule>
  </conditionalFormatting>
  <conditionalFormatting sqref="P109 P264:P267 P289:P295">
    <cfRule type="containsText" dxfId="3224" priority="3888" operator="containsText" text="Pendente">
      <formula>NOT(ISERROR(SEARCH(("Pendente"),(P109))))</formula>
    </cfRule>
    <cfRule type="containsText" dxfId="3223" priority="3889" operator="containsText" text="Finalizado">
      <formula>NOT(ISERROR(SEARCH(("Finalizado"),(P109))))</formula>
    </cfRule>
    <cfRule type="containsText" dxfId="3222" priority="3890" operator="containsText" text="em andamento">
      <formula>NOT(ISERROR(SEARCH(("em andamento"),(P109))))</formula>
    </cfRule>
  </conditionalFormatting>
  <conditionalFormatting sqref="P109:P112 P114:P115">
    <cfRule type="containsText" dxfId="3221" priority="3896" operator="containsText" text="Finalizado">
      <formula>NOT(ISERROR(SEARCH(("Finalizado"),(P109))))</formula>
    </cfRule>
    <cfRule type="containsText" dxfId="3220" priority="3897" operator="containsText" text="em andamento">
      <formula>NOT(ISERROR(SEARCH(("em andamento"),(P109))))</formula>
    </cfRule>
  </conditionalFormatting>
  <conditionalFormatting sqref="P110:P112 P114:P115 P120">
    <cfRule type="containsText" dxfId="3219" priority="3906" operator="containsText" text="Lançado">
      <formula>NOT(ISERROR(SEARCH(("Lançado"),(P110))))</formula>
    </cfRule>
    <cfRule type="containsText" dxfId="3218" priority="3907" operator="containsText" text="N/A">
      <formula>NOT(ISERROR(SEARCH(("N/A"),(P110))))</formula>
    </cfRule>
  </conditionalFormatting>
  <conditionalFormatting sqref="P110:P112 P114:P115">
    <cfRule type="containsText" dxfId="3217" priority="3901" operator="containsText" text="Lançado">
      <formula>NOT(ISERROR(SEARCH(("Lançado"),(P110))))</formula>
    </cfRule>
    <cfRule type="containsText" dxfId="3216" priority="3902" operator="containsText" text="N/A">
      <formula>NOT(ISERROR(SEARCH(("N/A"),(P110))))</formula>
    </cfRule>
    <cfRule type="containsText" dxfId="3215" priority="3905" operator="containsText" text="Pendente">
      <formula>NOT(ISERROR(SEARCH(("Pendente"),(P110))))</formula>
    </cfRule>
  </conditionalFormatting>
  <conditionalFormatting sqref="P110:P112 P115">
    <cfRule type="containsText" dxfId="3214" priority="3898" operator="containsText" text="Pendente">
      <formula>NOT(ISERROR(SEARCH(("Pendente"),(P110))))</formula>
    </cfRule>
    <cfRule type="containsText" dxfId="3213" priority="3899" operator="containsText" text="Finalizado">
      <formula>NOT(ISERROR(SEARCH(("Finalizado"),(P110))))</formula>
    </cfRule>
    <cfRule type="containsText" dxfId="3212" priority="3900" operator="containsText" text="em andamento">
      <formula>NOT(ISERROR(SEARCH(("em andamento"),(P110))))</formula>
    </cfRule>
  </conditionalFormatting>
  <conditionalFormatting sqref="P113">
    <cfRule type="expression" dxfId="3211" priority="544">
      <formula>$H113="SUBETAPA"</formula>
    </cfRule>
    <cfRule type="expression" dxfId="3210" priority="545">
      <formula>$H113="CÉLULA CONSTRUTIVA"</formula>
    </cfRule>
    <cfRule type="expression" dxfId="3209" priority="546">
      <formula>$H113="ETAPA"</formula>
    </cfRule>
    <cfRule type="containsText" dxfId="3208" priority="547" operator="containsText" text="Lançado">
      <formula>NOT(ISERROR(SEARCH(("Lançado"),(P113))))</formula>
    </cfRule>
    <cfRule type="containsText" dxfId="3207" priority="548" operator="containsText" text="N/A">
      <formula>NOT(ISERROR(SEARCH(("N/A"),(P113))))</formula>
    </cfRule>
    <cfRule type="containsText" dxfId="3206" priority="549" operator="containsText" text="Pendente">
      <formula>NOT(ISERROR(SEARCH(("Pendente"),(P113))))</formula>
    </cfRule>
    <cfRule type="containsText" dxfId="3205" priority="550" operator="containsText" text="Finalizado">
      <formula>NOT(ISERROR(SEARCH(("Finalizado"),(P113))))</formula>
    </cfRule>
    <cfRule type="containsText" dxfId="3204" priority="551" operator="containsText" text="em andamento">
      <formula>NOT(ISERROR(SEARCH(("em andamento"),(P113))))</formula>
    </cfRule>
    <cfRule type="expression" dxfId="3203" priority="552">
      <formula>$H113="SUBETAPA"</formula>
    </cfRule>
    <cfRule type="containsText" dxfId="3202" priority="555" operator="containsText" text="em andamento">
      <formula>NOT(ISERROR(SEARCH(("em andamento"),(P113))))</formula>
    </cfRule>
    <cfRule type="containsText" dxfId="3201" priority="556" operator="containsText" text="Pendente">
      <formula>NOT(ISERROR(SEARCH(("Pendente"),(P113))))</formula>
    </cfRule>
    <cfRule type="containsText" dxfId="3200" priority="557" operator="containsText" text="Lançado">
      <formula>NOT(ISERROR(SEARCH(("Lançado"),(P113))))</formula>
    </cfRule>
    <cfRule type="containsText" dxfId="3199" priority="558" operator="containsText" text="N/A">
      <formula>NOT(ISERROR(SEARCH(("N/A"),(P113))))</formula>
    </cfRule>
    <cfRule type="containsText" dxfId="3198" priority="559" operator="containsText" text="Finalizado">
      <formula>NOT(ISERROR(SEARCH(("Finalizado"),(P113))))</formula>
    </cfRule>
    <cfRule type="expression" dxfId="3197" priority="561">
      <formula>$H113="ETAPA"</formula>
    </cfRule>
    <cfRule type="containsText" dxfId="3196" priority="562" operator="containsText" text="Finalizado">
      <formula>NOT(ISERROR(SEARCH(("Finalizado"),(P113))))</formula>
    </cfRule>
    <cfRule type="containsText" dxfId="3195" priority="563" operator="containsText" text="em andamento">
      <formula>NOT(ISERROR(SEARCH(("em andamento"),(P113))))</formula>
    </cfRule>
    <cfRule type="containsText" dxfId="3194" priority="564" operator="containsText" text="Lançado">
      <formula>NOT(ISERROR(SEARCH(("Lançado"),(P113))))</formula>
    </cfRule>
    <cfRule type="containsText" dxfId="3193" priority="565" operator="containsText" text="N/A">
      <formula>NOT(ISERROR(SEARCH(("N/A"),(P113))))</formula>
    </cfRule>
    <cfRule type="containsText" dxfId="3192" priority="566" operator="containsText" text="Pendente">
      <formula>NOT(ISERROR(SEARCH(("Pendente"),(P113))))</formula>
    </cfRule>
  </conditionalFormatting>
  <conditionalFormatting sqref="P114:P115">
    <cfRule type="expression" dxfId="3191" priority="3908">
      <formula>$H114="SUBETAPA"</formula>
    </cfRule>
    <cfRule type="expression" dxfId="3190" priority="3909">
      <formula>$H114="CÉLULA CONSTRUTIVA"</formula>
    </cfRule>
    <cfRule type="expression" dxfId="3189" priority="3910">
      <formula>$H114="ETAPA"</formula>
    </cfRule>
    <cfRule type="containsText" dxfId="3188" priority="3911" operator="containsText" text="Lançado">
      <formula>NOT(ISERROR(SEARCH(("Lançado"),(P114))))</formula>
    </cfRule>
    <cfRule type="containsText" dxfId="3187" priority="3912" operator="containsText" text="N/A">
      <formula>NOT(ISERROR(SEARCH(("N/A"),(P114))))</formula>
    </cfRule>
    <cfRule type="containsText" dxfId="3186" priority="3913" operator="containsText" text="Pendente">
      <formula>NOT(ISERROR(SEARCH(("Pendente"),(P114))))</formula>
    </cfRule>
    <cfRule type="containsText" dxfId="3185" priority="3914" operator="containsText" text="Finalizado">
      <formula>NOT(ISERROR(SEARCH(("Finalizado"),(P114))))</formula>
    </cfRule>
    <cfRule type="containsText" dxfId="3184" priority="3915" operator="containsText" text="em andamento">
      <formula>NOT(ISERROR(SEARCH(("em andamento"),(P114))))</formula>
    </cfRule>
    <cfRule type="containsText" dxfId="3183" priority="3916" operator="containsText" text="Finalizado">
      <formula>NOT(ISERROR(SEARCH(("Finalizado"),(P114))))</formula>
    </cfRule>
    <cfRule type="containsText" dxfId="3182" priority="3917" operator="containsText" text="em andamento">
      <formula>NOT(ISERROR(SEARCH(("em andamento"),(P114))))</formula>
    </cfRule>
    <cfRule type="expression" dxfId="3181" priority="3918">
      <formula>$H114="SUBETAPA"</formula>
    </cfRule>
    <cfRule type="expression" dxfId="3180" priority="3919">
      <formula>$H114="CÉLULA CONSTRUTIVA"</formula>
    </cfRule>
    <cfRule type="expression" dxfId="3179" priority="3920">
      <formula>$H114="ETAPA"</formula>
    </cfRule>
  </conditionalFormatting>
  <conditionalFormatting sqref="P115">
    <cfRule type="containsText" dxfId="3178" priority="3921" operator="containsText" text="Finalizado">
      <formula>NOT(ISERROR(SEARCH(("Finalizado"),(P115))))</formula>
    </cfRule>
    <cfRule type="containsText" dxfId="3177" priority="3922" operator="containsText" text="em andamento">
      <formula>NOT(ISERROR(SEARCH(("em andamento"),(P115))))</formula>
    </cfRule>
  </conditionalFormatting>
  <conditionalFormatting sqref="P116">
    <cfRule type="containsText" dxfId="3176" priority="2913" operator="containsText" text="N/A">
      <formula>NOT(ISERROR(SEARCH(("N/A"),(P116))))</formula>
    </cfRule>
    <cfRule type="containsText" dxfId="3175" priority="2914" operator="containsText" text="Lançado">
      <formula>NOT(ISERROR(SEARCH(("Lançado"),(P116))))</formula>
    </cfRule>
    <cfRule type="containsText" dxfId="3174" priority="2915" operator="containsText" text="Pendente">
      <formula>NOT(ISERROR(SEARCH(("Pendente"),(P116))))</formula>
    </cfRule>
  </conditionalFormatting>
  <conditionalFormatting sqref="P116:P117">
    <cfRule type="containsText" dxfId="3173" priority="2430" operator="containsText" text="Finalizado">
      <formula>NOT(ISERROR(SEARCH(("Finalizado"),(P116))))</formula>
    </cfRule>
    <cfRule type="containsText" dxfId="3172" priority="2431" operator="containsText" text="em andamento">
      <formula>NOT(ISERROR(SEARCH(("em andamento"),(P116))))</formula>
    </cfRule>
  </conditionalFormatting>
  <conditionalFormatting sqref="P117">
    <cfRule type="expression" dxfId="3171" priority="2402">
      <formula>$H117="CÉLULA CONSTRUTIVA"</formula>
    </cfRule>
    <cfRule type="containsText" dxfId="3170" priority="2421" operator="containsText" text="Pendente">
      <formula>NOT(ISERROR(SEARCH(("Pendente"),(P117))))</formula>
    </cfRule>
    <cfRule type="containsText" dxfId="3169" priority="2422" operator="containsText" text="Lançado">
      <formula>NOT(ISERROR(SEARCH(("Lançado"),(P117))))</formula>
    </cfRule>
    <cfRule type="containsText" dxfId="3168" priority="2423" operator="containsText" text="N/A">
      <formula>NOT(ISERROR(SEARCH(("N/A"),(P117))))</formula>
    </cfRule>
    <cfRule type="expression" dxfId="3167" priority="2424">
      <formula>$H117="SUBETAPA"</formula>
    </cfRule>
    <cfRule type="expression" dxfId="3166" priority="2425">
      <formula>$H117="CÉLULA CONSTRUTIVA"</formula>
    </cfRule>
    <cfRule type="expression" dxfId="3165" priority="2426">
      <formula>$H117="ETAPA"</formula>
    </cfRule>
    <cfRule type="containsText" dxfId="3164" priority="2427" operator="containsText" text="Lançado">
      <formula>NOT(ISERROR(SEARCH(("Lançado"),(P117))))</formula>
    </cfRule>
    <cfRule type="containsText" dxfId="3163" priority="2428" operator="containsText" text="N/A">
      <formula>NOT(ISERROR(SEARCH(("N/A"),(P117))))</formula>
    </cfRule>
    <cfRule type="containsText" dxfId="3162" priority="2429" operator="containsText" text="Pendente">
      <formula>NOT(ISERROR(SEARCH(("Pendente"),(P117))))</formula>
    </cfRule>
    <cfRule type="containsText" dxfId="3161" priority="2432" operator="containsText" text="Pendente">
      <formula>NOT(ISERROR(SEARCH(("Pendente"),(P117))))</formula>
    </cfRule>
    <cfRule type="expression" dxfId="3160" priority="2435">
      <formula>$H117="ETAPA"</formula>
    </cfRule>
  </conditionalFormatting>
  <conditionalFormatting sqref="P117:P118">
    <cfRule type="expression" dxfId="3159" priority="1811">
      <formula>$H117="SUBETAPA"</formula>
    </cfRule>
  </conditionalFormatting>
  <conditionalFormatting sqref="P118">
    <cfRule type="containsText" dxfId="3158" priority="1804" operator="containsText" text="Pendente">
      <formula>NOT(ISERROR(SEARCH(("Pendente"),(P118))))</formula>
    </cfRule>
    <cfRule type="containsText" dxfId="3157" priority="1805" operator="containsText" text="Finalizado">
      <formula>NOT(ISERROR(SEARCH(("Finalizado"),(P118))))</formula>
    </cfRule>
    <cfRule type="containsText" dxfId="3156" priority="1806" operator="containsText" text="em andamento">
      <formula>NOT(ISERROR(SEARCH(("em andamento"),(P118))))</formula>
    </cfRule>
    <cfRule type="expression" dxfId="3155" priority="1807">
      <formula>$H118="ETAPA"</formula>
    </cfRule>
    <cfRule type="containsText" dxfId="3154" priority="1808" operator="containsText" text="Lançado">
      <formula>NOT(ISERROR(SEARCH(("Lançado"),(P118))))</formula>
    </cfRule>
    <cfRule type="containsText" dxfId="3153" priority="1809" operator="containsText" text="N/A">
      <formula>NOT(ISERROR(SEARCH(("N/A"),(P118))))</formula>
    </cfRule>
    <cfRule type="expression" dxfId="3152" priority="1810">
      <formula>$H118="CÉLULA CONSTRUTIVA"</formula>
    </cfRule>
  </conditionalFormatting>
  <conditionalFormatting sqref="P118:P127 G119:L121 G122:H122 G124:H124 G126:H126 P130:P143 G138:H138 P145:P155 P157:P161 P163:P168 P191:P194 P197:P198 P208:P209 P219 P223 P226 P264:P266 P284:P291 P303:P305 P307:P312 P328:P336 P99:P100 O103 O106 G178:M178 P177:P181 P170:P175">
    <cfRule type="expression" dxfId="3151" priority="3046">
      <formula>$H90="ETAPA"</formula>
    </cfRule>
  </conditionalFormatting>
  <conditionalFormatting sqref="P119">
    <cfRule type="expression" dxfId="3150" priority="3927">
      <formula>$H119="SUBETAPA"</formula>
    </cfRule>
    <cfRule type="expression" dxfId="3149" priority="3928">
      <formula>$H119="CÉLULA CONSTRUTIVA"</formula>
    </cfRule>
    <cfRule type="expression" dxfId="3148" priority="3929">
      <formula>$H119="ETAPA"</formula>
    </cfRule>
    <cfRule type="containsText" dxfId="3147" priority="3930" operator="containsText" text="Lançado">
      <formula>NOT(ISERROR(SEARCH(("Lançado"),(P119))))</formula>
    </cfRule>
    <cfRule type="containsText" dxfId="3146" priority="3931" operator="containsText" text="N/A">
      <formula>NOT(ISERROR(SEARCH(("N/A"),(P119))))</formula>
    </cfRule>
    <cfRule type="containsText" dxfId="3145" priority="3932" operator="containsText" text="Pendente">
      <formula>NOT(ISERROR(SEARCH(("Pendente"),(P119))))</formula>
    </cfRule>
    <cfRule type="containsText" dxfId="3144" priority="3933" operator="containsText" text="Finalizado">
      <formula>NOT(ISERROR(SEARCH(("Finalizado"),(P119))))</formula>
    </cfRule>
    <cfRule type="containsText" dxfId="3143" priority="3934" operator="containsText" text="em andamento">
      <formula>NOT(ISERROR(SEARCH(("em andamento"),(P119))))</formula>
    </cfRule>
    <cfRule type="containsText" dxfId="3142" priority="3935" operator="containsText" text="Lançado">
      <formula>NOT(ISERROR(SEARCH(("Lançado"),(P119))))</formula>
    </cfRule>
    <cfRule type="containsText" dxfId="3141" priority="3936" operator="containsText" text="N/A">
      <formula>NOT(ISERROR(SEARCH(("N/A"),(P119))))</formula>
    </cfRule>
    <cfRule type="containsText" dxfId="3140" priority="3937" operator="containsText" text="Pendente">
      <formula>NOT(ISERROR(SEARCH(("Pendente"),(P119))))</formula>
    </cfRule>
    <cfRule type="containsText" dxfId="3139" priority="3938" operator="containsText" text="Finalizado">
      <formula>NOT(ISERROR(SEARCH(("Finalizado"),(P119))))</formula>
    </cfRule>
    <cfRule type="containsText" dxfId="3138" priority="3939" operator="containsText" text="em andamento">
      <formula>NOT(ISERROR(SEARCH(("em andamento"),(P119))))</formula>
    </cfRule>
    <cfRule type="expression" dxfId="3137" priority="3940">
      <formula>$H119="CÉLULA CONSTRUTIVA"</formula>
    </cfRule>
    <cfRule type="expression" dxfId="3136" priority="3941">
      <formula>$H119="ETAPA"</formula>
    </cfRule>
    <cfRule type="containsText" dxfId="3135" priority="3942" operator="containsText" text="Lançado">
      <formula>NOT(ISERROR(SEARCH(("Lançado"),(P119))))</formula>
    </cfRule>
    <cfRule type="containsText" dxfId="3134" priority="3943" operator="containsText" text="N/A">
      <formula>NOT(ISERROR(SEARCH(("N/A"),(P119))))</formula>
    </cfRule>
    <cfRule type="containsText" dxfId="3133" priority="3944" operator="containsText" text="Pendente">
      <formula>NOT(ISERROR(SEARCH(("Pendente"),(P119))))</formula>
    </cfRule>
    <cfRule type="containsText" dxfId="3132" priority="3945" operator="containsText" text="Finalizado">
      <formula>NOT(ISERROR(SEARCH(("Finalizado"),(P119))))</formula>
    </cfRule>
    <cfRule type="containsText" dxfId="3131" priority="3946" operator="containsText" text="em andamento">
      <formula>NOT(ISERROR(SEARCH(("em andamento"),(P119))))</formula>
    </cfRule>
  </conditionalFormatting>
  <conditionalFormatting sqref="P119:P121 P123 P125">
    <cfRule type="expression" dxfId="3130" priority="3947">
      <formula>$H119="CÉLULA CONSTRUTIVA"</formula>
    </cfRule>
    <cfRule type="expression" dxfId="3129" priority="3948">
      <formula>$H119="ETAPA"</formula>
    </cfRule>
    <cfRule type="containsText" dxfId="3128" priority="3949" operator="containsText" text="Pendente">
      <formula>NOT(ISERROR(SEARCH(("Pendente"),(P119))))</formula>
    </cfRule>
    <cfRule type="containsText" dxfId="3127" priority="3950" operator="containsText" text="Finalizado">
      <formula>NOT(ISERROR(SEARCH(("Finalizado"),(P119))))</formula>
    </cfRule>
    <cfRule type="containsText" dxfId="3126" priority="3951" operator="containsText" text="em andamento">
      <formula>NOT(ISERROR(SEARCH(("em andamento"),(P119))))</formula>
    </cfRule>
    <cfRule type="containsText" dxfId="3125" priority="3952" operator="containsText" text="Lançado">
      <formula>NOT(ISERROR(SEARCH(("Lançado"),(P119))))</formula>
    </cfRule>
    <cfRule type="containsText" dxfId="3124" priority="3953" operator="containsText" text="N/A">
      <formula>NOT(ISERROR(SEARCH(("N/A"),(P119))))</formula>
    </cfRule>
  </conditionalFormatting>
  <conditionalFormatting sqref="P120 M119:O119 M120:N120 M121:O121">
    <cfRule type="expression" dxfId="3123" priority="3923">
      <formula>$H119="CÉLULA CONSTRUTIVA"</formula>
    </cfRule>
  </conditionalFormatting>
  <conditionalFormatting sqref="P120 P130">
    <cfRule type="containsText" dxfId="3122" priority="3925" operator="containsText" text="Finalizado">
      <formula>NOT(ISERROR(SEARCH(("Finalizado"),(P120))))</formula>
    </cfRule>
    <cfRule type="containsText" dxfId="3121" priority="3926" operator="containsText" text="em andamento">
      <formula>NOT(ISERROR(SEARCH(("em andamento"),(P120))))</formula>
    </cfRule>
  </conditionalFormatting>
  <conditionalFormatting sqref="P120">
    <cfRule type="containsText" dxfId="3120" priority="3924" operator="containsText" text="Pendente">
      <formula>NOT(ISERROR(SEARCH(("Pendente"),(P120))))</formula>
    </cfRule>
  </conditionalFormatting>
  <conditionalFormatting sqref="P121">
    <cfRule type="expression" dxfId="3119" priority="3954">
      <formula>$H121="SUBETAPA"</formula>
    </cfRule>
    <cfRule type="expression" dxfId="3118" priority="3955">
      <formula>$H121="CÉLULA CONSTRUTIVA"</formula>
    </cfRule>
    <cfRule type="expression" dxfId="3117" priority="3956">
      <formula>$H121="ETAPA"</formula>
    </cfRule>
    <cfRule type="containsText" dxfId="3116" priority="3957" operator="containsText" text="Lançado">
      <formula>NOT(ISERROR(SEARCH(("Lançado"),(P121))))</formula>
    </cfRule>
    <cfRule type="containsText" dxfId="3115" priority="3958" operator="containsText" text="N/A">
      <formula>NOT(ISERROR(SEARCH(("N/A"),(P121))))</formula>
    </cfRule>
    <cfRule type="containsText" dxfId="3114" priority="3959" operator="containsText" text="Pendente">
      <formula>NOT(ISERROR(SEARCH(("Pendente"),(P121))))</formula>
    </cfRule>
    <cfRule type="containsText" dxfId="3113" priority="3960" operator="containsText" text="Finalizado">
      <formula>NOT(ISERROR(SEARCH(("Finalizado"),(P121))))</formula>
    </cfRule>
    <cfRule type="containsText" dxfId="3112" priority="3961" operator="containsText" text="em andamento">
      <formula>NOT(ISERROR(SEARCH(("em andamento"),(P121))))</formula>
    </cfRule>
    <cfRule type="containsText" dxfId="3111" priority="3962" operator="containsText" text="Lançado">
      <formula>NOT(ISERROR(SEARCH(("Lançado"),(P121))))</formula>
    </cfRule>
    <cfRule type="containsText" dxfId="3110" priority="3963" operator="containsText" text="N/A">
      <formula>NOT(ISERROR(SEARCH(("N/A"),(P121))))</formula>
    </cfRule>
    <cfRule type="containsText" dxfId="3109" priority="3964" operator="containsText" text="Pendente">
      <formula>NOT(ISERROR(SEARCH(("Pendente"),(P121))))</formula>
    </cfRule>
    <cfRule type="containsText" dxfId="3108" priority="3965" operator="containsText" text="Finalizado">
      <formula>NOT(ISERROR(SEARCH(("Finalizado"),(P121))))</formula>
    </cfRule>
    <cfRule type="containsText" dxfId="3107" priority="3966" operator="containsText" text="em andamento">
      <formula>NOT(ISERROR(SEARCH(("em andamento"),(P121))))</formula>
    </cfRule>
    <cfRule type="expression" dxfId="3106" priority="3967">
      <formula>$H121="CÉLULA CONSTRUTIVA"</formula>
    </cfRule>
    <cfRule type="expression" dxfId="3105" priority="3968">
      <formula>$H121="ETAPA"</formula>
    </cfRule>
    <cfRule type="containsText" dxfId="3104" priority="3969" operator="containsText" text="Lançado">
      <formula>NOT(ISERROR(SEARCH(("Lançado"),(P121))))</formula>
    </cfRule>
    <cfRule type="containsText" dxfId="3103" priority="3970" operator="containsText" text="N/A">
      <formula>NOT(ISERROR(SEARCH(("N/A"),(P121))))</formula>
    </cfRule>
    <cfRule type="containsText" dxfId="3102" priority="3971" operator="containsText" text="Pendente">
      <formula>NOT(ISERROR(SEARCH(("Pendente"),(P121))))</formula>
    </cfRule>
    <cfRule type="containsText" dxfId="3101" priority="3972" operator="containsText" text="Finalizado">
      <formula>NOT(ISERROR(SEARCH(("Finalizado"),(P121))))</formula>
    </cfRule>
    <cfRule type="containsText" dxfId="3100" priority="3973" operator="containsText" text="em andamento">
      <formula>NOT(ISERROR(SEARCH(("em andamento"),(P121))))</formula>
    </cfRule>
  </conditionalFormatting>
  <conditionalFormatting sqref="P122">
    <cfRule type="expression" dxfId="3099" priority="2126">
      <formula>#REF!="SUBETAPA"</formula>
    </cfRule>
    <cfRule type="expression" dxfId="3098" priority="2130">
      <formula>$H122="CÉLULA CONSTRUTIVA"</formula>
    </cfRule>
    <cfRule type="expression" dxfId="3097" priority="2131">
      <formula>$H122="SUBETAPA"</formula>
    </cfRule>
    <cfRule type="expression" dxfId="3096" priority="2134">
      <formula>$H122="ETAPA"</formula>
    </cfRule>
    <cfRule type="expression" dxfId="3095" priority="2135">
      <formula>#REF!="CÉLULA CONSTRUTIVA"</formula>
    </cfRule>
    <cfRule type="containsText" dxfId="3094" priority="2136" operator="containsText" text="em andamento">
      <formula>NOT(ISERROR(SEARCH(("em andamento"),(P122))))</formula>
    </cfRule>
    <cfRule type="containsText" dxfId="3093" priority="2137" operator="containsText" text="Pendente">
      <formula>NOT(ISERROR(SEARCH(("Pendente"),(P122))))</formula>
    </cfRule>
    <cfRule type="containsText" dxfId="3092" priority="2138" operator="containsText" text="Lançado">
      <formula>NOT(ISERROR(SEARCH(("Lançado"),(P122))))</formula>
    </cfRule>
    <cfRule type="containsText" dxfId="3091" priority="2139" operator="containsText" text="N/A">
      <formula>NOT(ISERROR(SEARCH(("N/A"),(P122))))</formula>
    </cfRule>
    <cfRule type="containsText" dxfId="3090" priority="2140" operator="containsText" text="Finalizado">
      <formula>NOT(ISERROR(SEARCH(("Finalizado"),(P122))))</formula>
    </cfRule>
    <cfRule type="expression" dxfId="3089" priority="2142">
      <formula>$H122="CÉLULA CONSTRUTIVA"</formula>
    </cfRule>
    <cfRule type="expression" dxfId="3088" priority="2143">
      <formula>$H122="ETAPA"</formula>
    </cfRule>
    <cfRule type="containsText" dxfId="3087" priority="2144" operator="containsText" text="Pendente">
      <formula>NOT(ISERROR(SEARCH(("Pendente"),(P122))))</formula>
    </cfRule>
    <cfRule type="containsText" dxfId="3086" priority="2145" operator="containsText" text="em andamento">
      <formula>NOT(ISERROR(SEARCH(("em andamento"),(P122))))</formula>
    </cfRule>
    <cfRule type="containsText" dxfId="3085" priority="2146" operator="containsText" text="Lançado">
      <formula>NOT(ISERROR(SEARCH(("Lançado"),(P122))))</formula>
    </cfRule>
    <cfRule type="containsText" dxfId="3084" priority="2147" operator="containsText" text="N/A">
      <formula>NOT(ISERROR(SEARCH(("N/A"),(P122))))</formula>
    </cfRule>
    <cfRule type="containsText" dxfId="3083" priority="2148" operator="containsText" text="Pendente">
      <formula>NOT(ISERROR(SEARCH(("Pendente"),(P122))))</formula>
    </cfRule>
    <cfRule type="containsText" dxfId="3082" priority="2149" operator="containsText" text="Finalizado">
      <formula>NOT(ISERROR(SEARCH(("Finalizado"),(P122))))</formula>
    </cfRule>
    <cfRule type="containsText" dxfId="3081" priority="2150" operator="containsText" text="em andamento">
      <formula>NOT(ISERROR(SEARCH(("em andamento"),(P122))))</formula>
    </cfRule>
    <cfRule type="expression" dxfId="3080" priority="2151">
      <formula>$H122="CÉLULA CONSTRUTIVA"</formula>
    </cfRule>
    <cfRule type="expression" dxfId="3079" priority="2152">
      <formula>$H122="SUBETAPA"</formula>
    </cfRule>
    <cfRule type="expression" dxfId="3078" priority="2153">
      <formula>$H122="ETAPA"</formula>
    </cfRule>
    <cfRule type="containsText" dxfId="3077" priority="2154" operator="containsText" text="Lançado">
      <formula>NOT(ISERROR(SEARCH(("Lançado"),(P122))))</formula>
    </cfRule>
    <cfRule type="containsText" dxfId="3076" priority="2155" operator="containsText" text="N/A">
      <formula>NOT(ISERROR(SEARCH(("N/A"),(P122))))</formula>
    </cfRule>
    <cfRule type="containsText" dxfId="3075" priority="2156" operator="containsText" text="Pendente">
      <formula>NOT(ISERROR(SEARCH(("Pendente"),(P122))))</formula>
    </cfRule>
    <cfRule type="containsText" dxfId="3074" priority="2157" operator="containsText" text="Finalizado">
      <formula>NOT(ISERROR(SEARCH(("Finalizado"),(P122))))</formula>
    </cfRule>
    <cfRule type="containsText" dxfId="3073" priority="2158" operator="containsText" text="em andamento">
      <formula>NOT(ISERROR(SEARCH(("em andamento"),(P122))))</formula>
    </cfRule>
    <cfRule type="containsText" dxfId="3072" priority="2159" operator="containsText" text="Lançado">
      <formula>NOT(ISERROR(SEARCH(("Lançado"),(P122))))</formula>
    </cfRule>
    <cfRule type="containsText" dxfId="3071" priority="2160" operator="containsText" text="N/A">
      <formula>NOT(ISERROR(SEARCH(("N/A"),(P122))))</formula>
    </cfRule>
    <cfRule type="containsText" dxfId="3070" priority="2161" operator="containsText" text="Pendente">
      <formula>NOT(ISERROR(SEARCH(("Pendente"),(P122))))</formula>
    </cfRule>
    <cfRule type="containsText" dxfId="3069" priority="2162" operator="containsText" text="Finalizado">
      <formula>NOT(ISERROR(SEARCH(("Finalizado"),(P122))))</formula>
    </cfRule>
    <cfRule type="containsText" dxfId="3068" priority="2163" operator="containsText" text="em andamento">
      <formula>NOT(ISERROR(SEARCH(("em andamento"),(P122))))</formula>
    </cfRule>
    <cfRule type="containsText" dxfId="3067" priority="2164" operator="containsText" text="Pendente">
      <formula>NOT(ISERROR(SEARCH(("Pendente"),(P122))))</formula>
    </cfRule>
    <cfRule type="containsText" dxfId="3066" priority="2165" operator="containsText" text="Finalizado">
      <formula>NOT(ISERROR(SEARCH(("Finalizado"),(P122))))</formula>
    </cfRule>
    <cfRule type="containsText" dxfId="3065" priority="2166" operator="containsText" text="em andamento">
      <formula>NOT(ISERROR(SEARCH(("em andamento"),(P122))))</formula>
    </cfRule>
    <cfRule type="expression" dxfId="3064" priority="2167">
      <formula>$H122="SUBETAPA"</formula>
    </cfRule>
    <cfRule type="containsText" dxfId="3063" priority="2168" operator="containsText" text="Lançado">
      <formula>NOT(ISERROR(SEARCH(("Lançado"),(P122))))</formula>
    </cfRule>
    <cfRule type="containsText" dxfId="3062" priority="2169" operator="containsText" text="N/A">
      <formula>NOT(ISERROR(SEARCH(("N/A"),(P122))))</formula>
    </cfRule>
    <cfRule type="containsText" dxfId="3061" priority="2170" operator="containsText" text="Finalizado">
      <formula>NOT(ISERROR(SEARCH(("Finalizado"),(P122))))</formula>
    </cfRule>
    <cfRule type="containsText" dxfId="3060" priority="2171" operator="containsText" text="em andamento">
      <formula>NOT(ISERROR(SEARCH(("em andamento"),(P122))))</formula>
    </cfRule>
    <cfRule type="containsText" dxfId="3059" priority="2172" operator="containsText" text="Lançado">
      <formula>NOT(ISERROR(SEARCH(("Lançado"),(P122))))</formula>
    </cfRule>
    <cfRule type="containsText" dxfId="3058" priority="2173" operator="containsText" text="N/A">
      <formula>NOT(ISERROR(SEARCH(("N/A"),(P122))))</formula>
    </cfRule>
    <cfRule type="containsText" dxfId="3057" priority="2174" operator="containsText" text="Pendente">
      <formula>NOT(ISERROR(SEARCH(("Pendente"),(P122))))</formula>
    </cfRule>
    <cfRule type="containsText" dxfId="3056" priority="2175" operator="containsText" text="Finalizado">
      <formula>NOT(ISERROR(SEARCH(("Finalizado"),(P122))))</formula>
    </cfRule>
    <cfRule type="containsText" dxfId="3055" priority="2176" operator="containsText" text="em andamento">
      <formula>NOT(ISERROR(SEARCH(("em andamento"),(P122))))</formula>
    </cfRule>
    <cfRule type="containsText" dxfId="3054" priority="2177" operator="containsText" text="Pendente">
      <formula>NOT(ISERROR(SEARCH(("Pendente"),(P122))))</formula>
    </cfRule>
    <cfRule type="containsText" dxfId="3053" priority="2178" operator="containsText" text="Finalizado">
      <formula>NOT(ISERROR(SEARCH(("Finalizado"),(P122))))</formula>
    </cfRule>
    <cfRule type="containsText" dxfId="3052" priority="2179" operator="containsText" text="em andamento">
      <formula>NOT(ISERROR(SEARCH(("em andamento"),(P122))))</formula>
    </cfRule>
    <cfRule type="containsText" dxfId="3051" priority="2180" operator="containsText" text="Lançado">
      <formula>NOT(ISERROR(SEARCH(("Lançado"),(P122))))</formula>
    </cfRule>
    <cfRule type="containsText" dxfId="3050" priority="2181" operator="containsText" text="N/A">
      <formula>NOT(ISERROR(SEARCH(("N/A"),(P122))))</formula>
    </cfRule>
    <cfRule type="containsText" dxfId="3049" priority="2182" operator="containsText" text="Pendente">
      <formula>NOT(ISERROR(SEARCH(("Pendente"),(P122))))</formula>
    </cfRule>
    <cfRule type="containsText" dxfId="3048" priority="2183" operator="containsText" text="Lançado">
      <formula>NOT(ISERROR(SEARCH(("Lançado"),(P122))))</formula>
    </cfRule>
    <cfRule type="containsText" dxfId="3047" priority="2184" operator="containsText" text="N/A">
      <formula>NOT(ISERROR(SEARCH(("N/A"),(P122))))</formula>
    </cfRule>
    <cfRule type="expression" dxfId="3046" priority="2185">
      <formula>$H122="SUBETAPA"</formula>
    </cfRule>
    <cfRule type="expression" dxfId="3045" priority="2186">
      <formula>$H122="CÉLULA CONSTRUTIVA"</formula>
    </cfRule>
    <cfRule type="expression" dxfId="3044" priority="2187">
      <formula>$H122="ETAPA"</formula>
    </cfRule>
    <cfRule type="containsText" dxfId="3043" priority="2188" operator="containsText" text="Pendente">
      <formula>NOT(ISERROR(SEARCH(("Pendente"),(P122))))</formula>
    </cfRule>
    <cfRule type="containsText" dxfId="3042" priority="2189" operator="containsText" text="Lançado">
      <formula>NOT(ISERROR(SEARCH(("Lançado"),(P122))))</formula>
    </cfRule>
    <cfRule type="containsText" dxfId="3041" priority="2190" operator="containsText" text="N/A">
      <formula>NOT(ISERROR(SEARCH(("N/A"),(P122))))</formula>
    </cfRule>
    <cfRule type="containsText" dxfId="3040" priority="2191" operator="containsText" text="Finalizado">
      <formula>NOT(ISERROR(SEARCH(("Finalizado"),(P122))))</formula>
    </cfRule>
    <cfRule type="containsText" dxfId="3039" priority="2192" operator="containsText" text="em andamento">
      <formula>NOT(ISERROR(SEARCH(("em andamento"),(P122))))</formula>
    </cfRule>
    <cfRule type="containsText" dxfId="3038" priority="2193" operator="containsText" text="Lançado">
      <formula>NOT(ISERROR(SEARCH(("Lançado"),(P122))))</formula>
    </cfRule>
    <cfRule type="containsText" dxfId="3037" priority="2194" operator="containsText" text="N/A">
      <formula>NOT(ISERROR(SEARCH(("N/A"),(P122))))</formula>
    </cfRule>
    <cfRule type="containsText" dxfId="3036" priority="2195" operator="containsText" text="Pendente">
      <formula>NOT(ISERROR(SEARCH(("Pendente"),(P122))))</formula>
    </cfRule>
    <cfRule type="containsText" dxfId="3035" priority="2196" operator="containsText" text="Finalizado">
      <formula>NOT(ISERROR(SEARCH(("Finalizado"),(P122))))</formula>
    </cfRule>
    <cfRule type="containsText" dxfId="3034" priority="2197" operator="containsText" text="em andamento">
      <formula>NOT(ISERROR(SEARCH(("em andamento"),(P122))))</formula>
    </cfRule>
    <cfRule type="containsText" dxfId="3033" priority="2198" operator="containsText" text="Lançado">
      <formula>NOT(ISERROR(SEARCH(("Lançado"),(P122))))</formula>
    </cfRule>
    <cfRule type="containsText" dxfId="3032" priority="2199" operator="containsText" text="N/A">
      <formula>NOT(ISERROR(SEARCH(("N/A"),(P122))))</formula>
    </cfRule>
    <cfRule type="containsText" dxfId="3031" priority="2200" operator="containsText" text="Pendente">
      <formula>NOT(ISERROR(SEARCH(("Pendente"),(P122))))</formula>
    </cfRule>
    <cfRule type="containsText" dxfId="3030" priority="2201" operator="containsText" text="Finalizado">
      <formula>NOT(ISERROR(SEARCH(("Finalizado"),(P122))))</formula>
    </cfRule>
    <cfRule type="containsText" dxfId="3029" priority="2202" operator="containsText" text="em andamento">
      <formula>NOT(ISERROR(SEARCH(("em andamento"),(P122))))</formula>
    </cfRule>
    <cfRule type="containsText" dxfId="3028" priority="2203" operator="containsText" text="Lançado">
      <formula>NOT(ISERROR(SEARCH(("Lançado"),(P122))))</formula>
    </cfRule>
    <cfRule type="containsText" dxfId="3027" priority="2204" operator="containsText" text="N/A">
      <formula>NOT(ISERROR(SEARCH(("N/A"),(P122))))</formula>
    </cfRule>
    <cfRule type="containsText" dxfId="3026" priority="2205" operator="containsText" text="Pendente">
      <formula>NOT(ISERROR(SEARCH(("Pendente"),(P122))))</formula>
    </cfRule>
    <cfRule type="containsText" dxfId="3025" priority="2206" operator="containsText" text="Finalizado">
      <formula>NOT(ISERROR(SEARCH(("Finalizado"),(P122))))</formula>
    </cfRule>
    <cfRule type="containsText" dxfId="3024" priority="2207" operator="containsText" text="em andamento">
      <formula>NOT(ISERROR(SEARCH(("em andamento"),(P122))))</formula>
    </cfRule>
    <cfRule type="containsText" dxfId="3023" priority="2208" operator="containsText" text="Lançado">
      <formula>NOT(ISERROR(SEARCH(("Lançado"),(P122))))</formula>
    </cfRule>
    <cfRule type="containsText" dxfId="3022" priority="2209" operator="containsText" text="N/A">
      <formula>NOT(ISERROR(SEARCH(("N/A"),(P122))))</formula>
    </cfRule>
    <cfRule type="containsText" dxfId="3021" priority="2210" operator="containsText" text="Pendente">
      <formula>NOT(ISERROR(SEARCH(("Pendente"),(P122))))</formula>
    </cfRule>
    <cfRule type="containsText" dxfId="3020" priority="2211" operator="containsText" text="Finalizado">
      <formula>NOT(ISERROR(SEARCH(("Finalizado"),(P122))))</formula>
    </cfRule>
    <cfRule type="containsText" dxfId="3019" priority="2212" operator="containsText" text="em andamento">
      <formula>NOT(ISERROR(SEARCH(("em andamento"),(P122))))</formula>
    </cfRule>
    <cfRule type="containsText" dxfId="3018" priority="2213" operator="containsText" text="Lançado">
      <formula>NOT(ISERROR(SEARCH(("Lançado"),(P122))))</formula>
    </cfRule>
    <cfRule type="containsText" dxfId="3017" priority="2214" operator="containsText" text="N/A">
      <formula>NOT(ISERROR(SEARCH(("N/A"),(P122))))</formula>
    </cfRule>
    <cfRule type="containsText" dxfId="3016" priority="2215" operator="containsText" text="Pendente">
      <formula>NOT(ISERROR(SEARCH(("Pendente"),(P122))))</formula>
    </cfRule>
    <cfRule type="containsText" dxfId="3015" priority="2216" operator="containsText" text="Finalizado">
      <formula>NOT(ISERROR(SEARCH(("Finalizado"),(P122))))</formula>
    </cfRule>
    <cfRule type="containsText" dxfId="3014" priority="2217" operator="containsText" text="em andamento">
      <formula>NOT(ISERROR(SEARCH(("em andamento"),(P122))))</formula>
    </cfRule>
    <cfRule type="expression" dxfId="3013" priority="2218">
      <formula>$H122="SUBETAPA"</formula>
    </cfRule>
    <cfRule type="expression" dxfId="3012" priority="2219">
      <formula>$H122="CÉLULA CONSTRUTIVA"</formula>
    </cfRule>
    <cfRule type="expression" dxfId="3011" priority="2220">
      <formula>$H122="ETAPA"</formula>
    </cfRule>
    <cfRule type="containsText" dxfId="3010" priority="2221" operator="containsText" text="Pendente">
      <formula>NOT(ISERROR(SEARCH(("Pendente"),(P122))))</formula>
    </cfRule>
    <cfRule type="containsText" dxfId="3009" priority="2222" operator="containsText" text="Finalizado">
      <formula>NOT(ISERROR(SEARCH(("Finalizado"),(P122))))</formula>
    </cfRule>
    <cfRule type="containsText" dxfId="3008" priority="2223" operator="containsText" text="em andamento">
      <formula>NOT(ISERROR(SEARCH(("em andamento"),(P122))))</formula>
    </cfRule>
    <cfRule type="containsText" dxfId="3007" priority="2224" operator="containsText" text="Lançado">
      <formula>NOT(ISERROR(SEARCH(("Lançado"),(P122))))</formula>
    </cfRule>
    <cfRule type="containsText" dxfId="3006" priority="2225" operator="containsText" text="N/A">
      <formula>NOT(ISERROR(SEARCH(("N/A"),(P122))))</formula>
    </cfRule>
  </conditionalFormatting>
  <conditionalFormatting sqref="P123">
    <cfRule type="expression" dxfId="3005" priority="3974">
      <formula>$H123="SUBETAPA"</formula>
    </cfRule>
    <cfRule type="expression" dxfId="3004" priority="3975">
      <formula>$H123="CÉLULA CONSTRUTIVA"</formula>
    </cfRule>
    <cfRule type="expression" dxfId="3003" priority="3976">
      <formula>$H123="ETAPA"</formula>
    </cfRule>
    <cfRule type="containsText" dxfId="3002" priority="3977" operator="containsText" text="Lançado">
      <formula>NOT(ISERROR(SEARCH(("Lançado"),(P123))))</formula>
    </cfRule>
    <cfRule type="containsText" dxfId="3001" priority="3978" operator="containsText" text="N/A">
      <formula>NOT(ISERROR(SEARCH(("N/A"),(P123))))</formula>
    </cfRule>
    <cfRule type="containsText" dxfId="3000" priority="3979" operator="containsText" text="Pendente">
      <formula>NOT(ISERROR(SEARCH(("Pendente"),(P123))))</formula>
    </cfRule>
    <cfRule type="containsText" dxfId="2999" priority="3980" operator="containsText" text="Finalizado">
      <formula>NOT(ISERROR(SEARCH(("Finalizado"),(P123))))</formula>
    </cfRule>
    <cfRule type="containsText" dxfId="2998" priority="3981" operator="containsText" text="em andamento">
      <formula>NOT(ISERROR(SEARCH(("em andamento"),(P123))))</formula>
    </cfRule>
    <cfRule type="containsText" dxfId="2997" priority="3982" operator="containsText" text="Lançado">
      <formula>NOT(ISERROR(SEARCH(("Lançado"),(P123))))</formula>
    </cfRule>
    <cfRule type="containsText" dxfId="2996" priority="3983" operator="containsText" text="N/A">
      <formula>NOT(ISERROR(SEARCH(("N/A"),(P123))))</formula>
    </cfRule>
    <cfRule type="containsText" dxfId="2995" priority="3984" operator="containsText" text="Pendente">
      <formula>NOT(ISERROR(SEARCH(("Pendente"),(P123))))</formula>
    </cfRule>
    <cfRule type="containsText" dxfId="2994" priority="3985" operator="containsText" text="Finalizado">
      <formula>NOT(ISERROR(SEARCH(("Finalizado"),(P123))))</formula>
    </cfRule>
    <cfRule type="containsText" dxfId="2993" priority="3986" operator="containsText" text="em andamento">
      <formula>NOT(ISERROR(SEARCH(("em andamento"),(P123))))</formula>
    </cfRule>
    <cfRule type="containsText" dxfId="2992" priority="3987" operator="containsText" text="Lançado">
      <formula>NOT(ISERROR(SEARCH(("Lançado"),(P123))))</formula>
    </cfRule>
    <cfRule type="containsText" dxfId="2991" priority="3988" operator="containsText" text="N/A">
      <formula>NOT(ISERROR(SEARCH(("N/A"),(P123))))</formula>
    </cfRule>
    <cfRule type="containsText" dxfId="2990" priority="3989" operator="containsText" text="Pendente">
      <formula>NOT(ISERROR(SEARCH(("Pendente"),(P123))))</formula>
    </cfRule>
    <cfRule type="containsText" dxfId="2989" priority="3990" operator="containsText" text="Finalizado">
      <formula>NOT(ISERROR(SEARCH(("Finalizado"),(P123))))</formula>
    </cfRule>
    <cfRule type="containsText" dxfId="2988" priority="3991" operator="containsText" text="em andamento">
      <formula>NOT(ISERROR(SEARCH(("em andamento"),(P123))))</formula>
    </cfRule>
    <cfRule type="expression" dxfId="2987" priority="3992">
      <formula>$H123="CÉLULA CONSTRUTIVA"</formula>
    </cfRule>
    <cfRule type="expression" dxfId="2986" priority="3993">
      <formula>$H123="ETAPA"</formula>
    </cfRule>
  </conditionalFormatting>
  <conditionalFormatting sqref="P124">
    <cfRule type="expression" dxfId="2985" priority="1988">
      <formula>#REF!="SUBETAPA"</formula>
    </cfRule>
    <cfRule type="expression" dxfId="2984" priority="1992">
      <formula>$H124="CÉLULA CONSTRUTIVA"</formula>
    </cfRule>
    <cfRule type="expression" dxfId="2983" priority="1993">
      <formula>$H124="SUBETAPA"</formula>
    </cfRule>
    <cfRule type="expression" dxfId="2982" priority="1996">
      <formula>$H124="ETAPA"</formula>
    </cfRule>
    <cfRule type="expression" dxfId="2981" priority="1997">
      <formula>#REF!="CÉLULA CONSTRUTIVA"</formula>
    </cfRule>
    <cfRule type="containsText" dxfId="2980" priority="1998" operator="containsText" text="em andamento">
      <formula>NOT(ISERROR(SEARCH(("em andamento"),(P124))))</formula>
    </cfRule>
    <cfRule type="containsText" dxfId="2979" priority="1999" operator="containsText" text="Pendente">
      <formula>NOT(ISERROR(SEARCH(("Pendente"),(P124))))</formula>
    </cfRule>
    <cfRule type="containsText" dxfId="2978" priority="2000" operator="containsText" text="Lançado">
      <formula>NOT(ISERROR(SEARCH(("Lançado"),(P124))))</formula>
    </cfRule>
    <cfRule type="containsText" dxfId="2977" priority="2001" operator="containsText" text="N/A">
      <formula>NOT(ISERROR(SEARCH(("N/A"),(P124))))</formula>
    </cfRule>
    <cfRule type="containsText" dxfId="2976" priority="2002" operator="containsText" text="Finalizado">
      <formula>NOT(ISERROR(SEARCH(("Finalizado"),(P124))))</formula>
    </cfRule>
    <cfRule type="expression" dxfId="2975" priority="2004">
      <formula>$H124="CÉLULA CONSTRUTIVA"</formula>
    </cfRule>
    <cfRule type="expression" dxfId="2974" priority="2005">
      <formula>$H124="ETAPA"</formula>
    </cfRule>
    <cfRule type="containsText" dxfId="2973" priority="2006" operator="containsText" text="Pendente">
      <formula>NOT(ISERROR(SEARCH(("Pendente"),(P124))))</formula>
    </cfRule>
    <cfRule type="containsText" dxfId="2972" priority="2007" operator="containsText" text="em andamento">
      <formula>NOT(ISERROR(SEARCH(("em andamento"),(P124))))</formula>
    </cfRule>
    <cfRule type="containsText" dxfId="2971" priority="2008" operator="containsText" text="Lançado">
      <formula>NOT(ISERROR(SEARCH(("Lançado"),(P124))))</formula>
    </cfRule>
    <cfRule type="containsText" dxfId="2970" priority="2009" operator="containsText" text="N/A">
      <formula>NOT(ISERROR(SEARCH(("N/A"),(P124))))</formula>
    </cfRule>
    <cfRule type="containsText" dxfId="2969" priority="2010" operator="containsText" text="Pendente">
      <formula>NOT(ISERROR(SEARCH(("Pendente"),(P124))))</formula>
    </cfRule>
    <cfRule type="containsText" dxfId="2968" priority="2011" operator="containsText" text="Finalizado">
      <formula>NOT(ISERROR(SEARCH(("Finalizado"),(P124))))</formula>
    </cfRule>
    <cfRule type="containsText" dxfId="2967" priority="2012" operator="containsText" text="em andamento">
      <formula>NOT(ISERROR(SEARCH(("em andamento"),(P124))))</formula>
    </cfRule>
    <cfRule type="expression" dxfId="2966" priority="2013">
      <formula>$H124="CÉLULA CONSTRUTIVA"</formula>
    </cfRule>
    <cfRule type="expression" dxfId="2965" priority="2014">
      <formula>$H124="SUBETAPA"</formula>
    </cfRule>
    <cfRule type="expression" dxfId="2964" priority="2015">
      <formula>$H124="ETAPA"</formula>
    </cfRule>
    <cfRule type="containsText" dxfId="2963" priority="2016" operator="containsText" text="Lançado">
      <formula>NOT(ISERROR(SEARCH(("Lançado"),(P124))))</formula>
    </cfRule>
    <cfRule type="containsText" dxfId="2962" priority="2017" operator="containsText" text="N/A">
      <formula>NOT(ISERROR(SEARCH(("N/A"),(P124))))</formula>
    </cfRule>
    <cfRule type="containsText" dxfId="2961" priority="2018" operator="containsText" text="Pendente">
      <formula>NOT(ISERROR(SEARCH(("Pendente"),(P124))))</formula>
    </cfRule>
    <cfRule type="containsText" dxfId="2960" priority="2019" operator="containsText" text="Finalizado">
      <formula>NOT(ISERROR(SEARCH(("Finalizado"),(P124))))</formula>
    </cfRule>
    <cfRule type="containsText" dxfId="2959" priority="2020" operator="containsText" text="em andamento">
      <formula>NOT(ISERROR(SEARCH(("em andamento"),(P124))))</formula>
    </cfRule>
    <cfRule type="containsText" dxfId="2958" priority="2021" operator="containsText" text="Lançado">
      <formula>NOT(ISERROR(SEARCH(("Lançado"),(P124))))</formula>
    </cfRule>
    <cfRule type="containsText" dxfId="2957" priority="2022" operator="containsText" text="N/A">
      <formula>NOT(ISERROR(SEARCH(("N/A"),(P124))))</formula>
    </cfRule>
    <cfRule type="containsText" dxfId="2956" priority="2023" operator="containsText" text="Pendente">
      <formula>NOT(ISERROR(SEARCH(("Pendente"),(P124))))</formula>
    </cfRule>
    <cfRule type="containsText" dxfId="2955" priority="2024" operator="containsText" text="Finalizado">
      <formula>NOT(ISERROR(SEARCH(("Finalizado"),(P124))))</formula>
    </cfRule>
    <cfRule type="containsText" dxfId="2954" priority="2025" operator="containsText" text="em andamento">
      <formula>NOT(ISERROR(SEARCH(("em andamento"),(P124))))</formula>
    </cfRule>
    <cfRule type="containsText" dxfId="2953" priority="2026" operator="containsText" text="Pendente">
      <formula>NOT(ISERROR(SEARCH(("Pendente"),(P124))))</formula>
    </cfRule>
    <cfRule type="containsText" dxfId="2952" priority="2027" operator="containsText" text="Finalizado">
      <formula>NOT(ISERROR(SEARCH(("Finalizado"),(P124))))</formula>
    </cfRule>
    <cfRule type="containsText" dxfId="2951" priority="2028" operator="containsText" text="em andamento">
      <formula>NOT(ISERROR(SEARCH(("em andamento"),(P124))))</formula>
    </cfRule>
    <cfRule type="expression" dxfId="2950" priority="2029">
      <formula>$H124="SUBETAPA"</formula>
    </cfRule>
    <cfRule type="containsText" dxfId="2949" priority="2030" operator="containsText" text="Lançado">
      <formula>NOT(ISERROR(SEARCH(("Lançado"),(P124))))</formula>
    </cfRule>
    <cfRule type="containsText" dxfId="2948" priority="2031" operator="containsText" text="N/A">
      <formula>NOT(ISERROR(SEARCH(("N/A"),(P124))))</formula>
    </cfRule>
    <cfRule type="containsText" dxfId="2947" priority="2032" operator="containsText" text="Finalizado">
      <formula>NOT(ISERROR(SEARCH(("Finalizado"),(P124))))</formula>
    </cfRule>
    <cfRule type="containsText" dxfId="2946" priority="2033" operator="containsText" text="em andamento">
      <formula>NOT(ISERROR(SEARCH(("em andamento"),(P124))))</formula>
    </cfRule>
    <cfRule type="containsText" dxfId="2945" priority="2034" operator="containsText" text="Lançado">
      <formula>NOT(ISERROR(SEARCH(("Lançado"),(P124))))</formula>
    </cfRule>
    <cfRule type="containsText" dxfId="2944" priority="2035" operator="containsText" text="N/A">
      <formula>NOT(ISERROR(SEARCH(("N/A"),(P124))))</formula>
    </cfRule>
    <cfRule type="containsText" dxfId="2943" priority="2036" operator="containsText" text="Pendente">
      <formula>NOT(ISERROR(SEARCH(("Pendente"),(P124))))</formula>
    </cfRule>
    <cfRule type="containsText" dxfId="2942" priority="2037" operator="containsText" text="Finalizado">
      <formula>NOT(ISERROR(SEARCH(("Finalizado"),(P124))))</formula>
    </cfRule>
    <cfRule type="containsText" dxfId="2941" priority="2038" operator="containsText" text="em andamento">
      <formula>NOT(ISERROR(SEARCH(("em andamento"),(P124))))</formula>
    </cfRule>
    <cfRule type="containsText" dxfId="2940" priority="2039" operator="containsText" text="Pendente">
      <formula>NOT(ISERROR(SEARCH(("Pendente"),(P124))))</formula>
    </cfRule>
    <cfRule type="containsText" dxfId="2939" priority="2040" operator="containsText" text="Finalizado">
      <formula>NOT(ISERROR(SEARCH(("Finalizado"),(P124))))</formula>
    </cfRule>
    <cfRule type="containsText" dxfId="2938" priority="2041" operator="containsText" text="em andamento">
      <formula>NOT(ISERROR(SEARCH(("em andamento"),(P124))))</formula>
    </cfRule>
    <cfRule type="containsText" dxfId="2937" priority="2042" operator="containsText" text="Lançado">
      <formula>NOT(ISERROR(SEARCH(("Lançado"),(P124))))</formula>
    </cfRule>
    <cfRule type="containsText" dxfId="2936" priority="2043" operator="containsText" text="N/A">
      <formula>NOT(ISERROR(SEARCH(("N/A"),(P124))))</formula>
    </cfRule>
    <cfRule type="containsText" dxfId="2935" priority="2044" operator="containsText" text="Pendente">
      <formula>NOT(ISERROR(SEARCH(("Pendente"),(P124))))</formula>
    </cfRule>
    <cfRule type="containsText" dxfId="2934" priority="2045" operator="containsText" text="Lançado">
      <formula>NOT(ISERROR(SEARCH(("Lançado"),(P124))))</formula>
    </cfRule>
    <cfRule type="containsText" dxfId="2933" priority="2046" operator="containsText" text="N/A">
      <formula>NOT(ISERROR(SEARCH(("N/A"),(P124))))</formula>
    </cfRule>
    <cfRule type="expression" dxfId="2932" priority="2047">
      <formula>$H124="SUBETAPA"</formula>
    </cfRule>
    <cfRule type="expression" dxfId="2931" priority="2048">
      <formula>$H124="CÉLULA CONSTRUTIVA"</formula>
    </cfRule>
    <cfRule type="expression" dxfId="2930" priority="2049">
      <formula>$H124="ETAPA"</formula>
    </cfRule>
    <cfRule type="containsText" dxfId="2929" priority="2050" operator="containsText" text="Pendente">
      <formula>NOT(ISERROR(SEARCH(("Pendente"),(P124))))</formula>
    </cfRule>
    <cfRule type="containsText" dxfId="2928" priority="2051" operator="containsText" text="Lançado">
      <formula>NOT(ISERROR(SEARCH(("Lançado"),(P124))))</formula>
    </cfRule>
    <cfRule type="containsText" dxfId="2927" priority="2052" operator="containsText" text="N/A">
      <formula>NOT(ISERROR(SEARCH(("N/A"),(P124))))</formula>
    </cfRule>
    <cfRule type="containsText" dxfId="2926" priority="2053" operator="containsText" text="Finalizado">
      <formula>NOT(ISERROR(SEARCH(("Finalizado"),(P124))))</formula>
    </cfRule>
    <cfRule type="containsText" dxfId="2925" priority="2054" operator="containsText" text="em andamento">
      <formula>NOT(ISERROR(SEARCH(("em andamento"),(P124))))</formula>
    </cfRule>
    <cfRule type="containsText" dxfId="2924" priority="2055" operator="containsText" text="Lançado">
      <formula>NOT(ISERROR(SEARCH(("Lançado"),(P124))))</formula>
    </cfRule>
    <cfRule type="containsText" dxfId="2923" priority="2056" operator="containsText" text="N/A">
      <formula>NOT(ISERROR(SEARCH(("N/A"),(P124))))</formula>
    </cfRule>
    <cfRule type="containsText" dxfId="2922" priority="2057" operator="containsText" text="Pendente">
      <formula>NOT(ISERROR(SEARCH(("Pendente"),(P124))))</formula>
    </cfRule>
    <cfRule type="containsText" dxfId="2921" priority="2058" operator="containsText" text="Finalizado">
      <formula>NOT(ISERROR(SEARCH(("Finalizado"),(P124))))</formula>
    </cfRule>
    <cfRule type="containsText" dxfId="2920" priority="2059" operator="containsText" text="em andamento">
      <formula>NOT(ISERROR(SEARCH(("em andamento"),(P124))))</formula>
    </cfRule>
    <cfRule type="containsText" dxfId="2919" priority="2060" operator="containsText" text="Lançado">
      <formula>NOT(ISERROR(SEARCH(("Lançado"),(P124))))</formula>
    </cfRule>
    <cfRule type="containsText" dxfId="2918" priority="2061" operator="containsText" text="N/A">
      <formula>NOT(ISERROR(SEARCH(("N/A"),(P124))))</formula>
    </cfRule>
    <cfRule type="containsText" dxfId="2917" priority="2062" operator="containsText" text="Pendente">
      <formula>NOT(ISERROR(SEARCH(("Pendente"),(P124))))</formula>
    </cfRule>
    <cfRule type="containsText" dxfId="2916" priority="2063" operator="containsText" text="Finalizado">
      <formula>NOT(ISERROR(SEARCH(("Finalizado"),(P124))))</formula>
    </cfRule>
    <cfRule type="containsText" dxfId="2915" priority="2064" operator="containsText" text="em andamento">
      <formula>NOT(ISERROR(SEARCH(("em andamento"),(P124))))</formula>
    </cfRule>
    <cfRule type="containsText" dxfId="2914" priority="2065" operator="containsText" text="Lançado">
      <formula>NOT(ISERROR(SEARCH(("Lançado"),(P124))))</formula>
    </cfRule>
    <cfRule type="containsText" dxfId="2913" priority="2066" operator="containsText" text="N/A">
      <formula>NOT(ISERROR(SEARCH(("N/A"),(P124))))</formula>
    </cfRule>
    <cfRule type="containsText" dxfId="2912" priority="2067" operator="containsText" text="Pendente">
      <formula>NOT(ISERROR(SEARCH(("Pendente"),(P124))))</formula>
    </cfRule>
    <cfRule type="containsText" dxfId="2911" priority="2068" operator="containsText" text="Finalizado">
      <formula>NOT(ISERROR(SEARCH(("Finalizado"),(P124))))</formula>
    </cfRule>
    <cfRule type="containsText" dxfId="2910" priority="2069" operator="containsText" text="em andamento">
      <formula>NOT(ISERROR(SEARCH(("em andamento"),(P124))))</formula>
    </cfRule>
    <cfRule type="containsText" dxfId="2909" priority="2070" operator="containsText" text="Lançado">
      <formula>NOT(ISERROR(SEARCH(("Lançado"),(P124))))</formula>
    </cfRule>
    <cfRule type="containsText" dxfId="2908" priority="2071" operator="containsText" text="N/A">
      <formula>NOT(ISERROR(SEARCH(("N/A"),(P124))))</formula>
    </cfRule>
    <cfRule type="containsText" dxfId="2907" priority="2072" operator="containsText" text="Pendente">
      <formula>NOT(ISERROR(SEARCH(("Pendente"),(P124))))</formula>
    </cfRule>
    <cfRule type="containsText" dxfId="2906" priority="2073" operator="containsText" text="Finalizado">
      <formula>NOT(ISERROR(SEARCH(("Finalizado"),(P124))))</formula>
    </cfRule>
    <cfRule type="containsText" dxfId="2905" priority="2074" operator="containsText" text="em andamento">
      <formula>NOT(ISERROR(SEARCH(("em andamento"),(P124))))</formula>
    </cfRule>
    <cfRule type="containsText" dxfId="2904" priority="2075" operator="containsText" text="Lançado">
      <formula>NOT(ISERROR(SEARCH(("Lançado"),(P124))))</formula>
    </cfRule>
    <cfRule type="containsText" dxfId="2903" priority="2076" operator="containsText" text="N/A">
      <formula>NOT(ISERROR(SEARCH(("N/A"),(P124))))</formula>
    </cfRule>
    <cfRule type="containsText" dxfId="2902" priority="2077" operator="containsText" text="Pendente">
      <formula>NOT(ISERROR(SEARCH(("Pendente"),(P124))))</formula>
    </cfRule>
    <cfRule type="containsText" dxfId="2901" priority="2078" operator="containsText" text="Finalizado">
      <formula>NOT(ISERROR(SEARCH(("Finalizado"),(P124))))</formula>
    </cfRule>
    <cfRule type="containsText" dxfId="2900" priority="2079" operator="containsText" text="em andamento">
      <formula>NOT(ISERROR(SEARCH(("em andamento"),(P124))))</formula>
    </cfRule>
    <cfRule type="expression" dxfId="2899" priority="2080">
      <formula>$H124="SUBETAPA"</formula>
    </cfRule>
    <cfRule type="expression" dxfId="2898" priority="2081">
      <formula>$H124="CÉLULA CONSTRUTIVA"</formula>
    </cfRule>
    <cfRule type="expression" dxfId="2897" priority="2082">
      <formula>$H124="ETAPA"</formula>
    </cfRule>
    <cfRule type="containsText" dxfId="2896" priority="2083" operator="containsText" text="Pendente">
      <formula>NOT(ISERROR(SEARCH(("Pendente"),(P124))))</formula>
    </cfRule>
    <cfRule type="containsText" dxfId="2895" priority="2084" operator="containsText" text="Finalizado">
      <formula>NOT(ISERROR(SEARCH(("Finalizado"),(P124))))</formula>
    </cfRule>
    <cfRule type="containsText" dxfId="2894" priority="2085" operator="containsText" text="em andamento">
      <formula>NOT(ISERROR(SEARCH(("em andamento"),(P124))))</formula>
    </cfRule>
    <cfRule type="containsText" dxfId="2893" priority="2086" operator="containsText" text="Lançado">
      <formula>NOT(ISERROR(SEARCH(("Lançado"),(P124))))</formula>
    </cfRule>
    <cfRule type="containsText" dxfId="2892" priority="2087" operator="containsText" text="N/A">
      <formula>NOT(ISERROR(SEARCH(("N/A"),(P124))))</formula>
    </cfRule>
  </conditionalFormatting>
  <conditionalFormatting sqref="P125 P127">
    <cfRule type="expression" dxfId="2891" priority="4018">
      <formula>$H125="CÉLULA CONSTRUTIVA"</formula>
    </cfRule>
  </conditionalFormatting>
  <conditionalFormatting sqref="P125">
    <cfRule type="expression" dxfId="2890" priority="3999">
      <formula>$H125="SUBETAPA"</formula>
    </cfRule>
    <cfRule type="expression" dxfId="2889" priority="4000">
      <formula>$H125="CÉLULA CONSTRUTIVA"</formula>
    </cfRule>
    <cfRule type="expression" dxfId="2888" priority="4001">
      <formula>$H125="ETAPA"</formula>
    </cfRule>
    <cfRule type="containsText" dxfId="2887" priority="4002" operator="containsText" text="Lançado">
      <formula>NOT(ISERROR(SEARCH(("Lançado"),(P125))))</formula>
    </cfRule>
    <cfRule type="containsText" dxfId="2886" priority="4003" operator="containsText" text="N/A">
      <formula>NOT(ISERROR(SEARCH(("N/A"),(P125))))</formula>
    </cfRule>
    <cfRule type="containsText" dxfId="2885" priority="4004" operator="containsText" text="Pendente">
      <formula>NOT(ISERROR(SEARCH(("Pendente"),(P125))))</formula>
    </cfRule>
    <cfRule type="containsText" dxfId="2884" priority="4005" operator="containsText" text="Finalizado">
      <formula>NOT(ISERROR(SEARCH(("Finalizado"),(P125))))</formula>
    </cfRule>
    <cfRule type="containsText" dxfId="2883" priority="4006" operator="containsText" text="em andamento">
      <formula>NOT(ISERROR(SEARCH(("em andamento"),(P125))))</formula>
    </cfRule>
    <cfRule type="containsText" dxfId="2882" priority="4007" operator="containsText" text="Lançado">
      <formula>NOT(ISERROR(SEARCH(("Lançado"),(P125))))</formula>
    </cfRule>
    <cfRule type="containsText" dxfId="2881" priority="4008" operator="containsText" text="N/A">
      <formula>NOT(ISERROR(SEARCH(("N/A"),(P125))))</formula>
    </cfRule>
    <cfRule type="containsText" dxfId="2880" priority="4009" operator="containsText" text="Pendente">
      <formula>NOT(ISERROR(SEARCH(("Pendente"),(P125))))</formula>
    </cfRule>
    <cfRule type="containsText" dxfId="2879" priority="4010" operator="containsText" text="Finalizado">
      <formula>NOT(ISERROR(SEARCH(("Finalizado"),(P125))))</formula>
    </cfRule>
    <cfRule type="containsText" dxfId="2878" priority="4011" operator="containsText" text="em andamento">
      <formula>NOT(ISERROR(SEARCH(("em andamento"),(P125))))</formula>
    </cfRule>
    <cfRule type="expression" dxfId="2877" priority="4012">
      <formula>$H125="ETAPA"</formula>
    </cfRule>
    <cfRule type="containsText" dxfId="2876" priority="4013" operator="containsText" text="Lançado">
      <formula>NOT(ISERROR(SEARCH(("Lançado"),(P125))))</formula>
    </cfRule>
    <cfRule type="containsText" dxfId="2875" priority="4014" operator="containsText" text="N/A">
      <formula>NOT(ISERROR(SEARCH(("N/A"),(P125))))</formula>
    </cfRule>
    <cfRule type="containsText" dxfId="2874" priority="4015" operator="containsText" text="Pendente">
      <formula>NOT(ISERROR(SEARCH(("Pendente"),(P125))))</formula>
    </cfRule>
    <cfRule type="containsText" dxfId="2873" priority="4016" operator="containsText" text="Finalizado">
      <formula>NOT(ISERROR(SEARCH(("Finalizado"),(P125))))</formula>
    </cfRule>
    <cfRule type="containsText" dxfId="2872" priority="4017" operator="containsText" text="em andamento">
      <formula>NOT(ISERROR(SEARCH(("em andamento"),(P125))))</formula>
    </cfRule>
  </conditionalFormatting>
  <conditionalFormatting sqref="P126">
    <cfRule type="expression" dxfId="2871" priority="1693">
      <formula>#REF!="SUBETAPA"</formula>
    </cfRule>
    <cfRule type="expression" dxfId="2870" priority="1697">
      <formula>$H126="CÉLULA CONSTRUTIVA"</formula>
    </cfRule>
    <cfRule type="expression" dxfId="2869" priority="1698">
      <formula>$H126="SUBETAPA"</formula>
    </cfRule>
    <cfRule type="expression" dxfId="2868" priority="1701">
      <formula>$H126="ETAPA"</formula>
    </cfRule>
    <cfRule type="expression" dxfId="2867" priority="1702">
      <formula>#REF!="CÉLULA CONSTRUTIVA"</formula>
    </cfRule>
    <cfRule type="containsText" dxfId="2866" priority="1703" operator="containsText" text="em andamento">
      <formula>NOT(ISERROR(SEARCH(("em andamento"),(P126))))</formula>
    </cfRule>
    <cfRule type="containsText" dxfId="2865" priority="1704" operator="containsText" text="Pendente">
      <formula>NOT(ISERROR(SEARCH(("Pendente"),(P126))))</formula>
    </cfRule>
    <cfRule type="containsText" dxfId="2864" priority="1705" operator="containsText" text="Lançado">
      <formula>NOT(ISERROR(SEARCH(("Lançado"),(P126))))</formula>
    </cfRule>
    <cfRule type="containsText" dxfId="2863" priority="1706" operator="containsText" text="N/A">
      <formula>NOT(ISERROR(SEARCH(("N/A"),(P126))))</formula>
    </cfRule>
    <cfRule type="containsText" dxfId="2862" priority="1707" operator="containsText" text="Finalizado">
      <formula>NOT(ISERROR(SEARCH(("Finalizado"),(P126))))</formula>
    </cfRule>
    <cfRule type="expression" dxfId="2861" priority="1709">
      <formula>$H126="CÉLULA CONSTRUTIVA"</formula>
    </cfRule>
    <cfRule type="expression" dxfId="2860" priority="1710">
      <formula>$H126="ETAPA"</formula>
    </cfRule>
    <cfRule type="containsText" dxfId="2859" priority="1711" operator="containsText" text="Pendente">
      <formula>NOT(ISERROR(SEARCH(("Pendente"),(P126))))</formula>
    </cfRule>
    <cfRule type="containsText" dxfId="2858" priority="1712" operator="containsText" text="em andamento">
      <formula>NOT(ISERROR(SEARCH(("em andamento"),(P126))))</formula>
    </cfRule>
    <cfRule type="containsText" dxfId="2857" priority="1713" operator="containsText" text="Lançado">
      <formula>NOT(ISERROR(SEARCH(("Lançado"),(P126))))</formula>
    </cfRule>
    <cfRule type="containsText" dxfId="2856" priority="1714" operator="containsText" text="N/A">
      <formula>NOT(ISERROR(SEARCH(("N/A"),(P126))))</formula>
    </cfRule>
    <cfRule type="containsText" dxfId="2855" priority="1715" operator="containsText" text="Pendente">
      <formula>NOT(ISERROR(SEARCH(("Pendente"),(P126))))</formula>
    </cfRule>
    <cfRule type="containsText" dxfId="2854" priority="1716" operator="containsText" text="Finalizado">
      <formula>NOT(ISERROR(SEARCH(("Finalizado"),(P126))))</formula>
    </cfRule>
    <cfRule type="containsText" dxfId="2853" priority="1717" operator="containsText" text="em andamento">
      <formula>NOT(ISERROR(SEARCH(("em andamento"),(P126))))</formula>
    </cfRule>
    <cfRule type="expression" dxfId="2852" priority="1718">
      <formula>$H126="CÉLULA CONSTRUTIVA"</formula>
    </cfRule>
    <cfRule type="expression" dxfId="2851" priority="1719">
      <formula>$H126="SUBETAPA"</formula>
    </cfRule>
    <cfRule type="expression" dxfId="2850" priority="1720">
      <formula>$H126="ETAPA"</formula>
    </cfRule>
    <cfRule type="containsText" dxfId="2849" priority="1721" operator="containsText" text="Lançado">
      <formula>NOT(ISERROR(SEARCH(("Lançado"),(P126))))</formula>
    </cfRule>
    <cfRule type="containsText" dxfId="2848" priority="1722" operator="containsText" text="N/A">
      <formula>NOT(ISERROR(SEARCH(("N/A"),(P126))))</formula>
    </cfRule>
    <cfRule type="containsText" dxfId="2847" priority="1723" operator="containsText" text="Pendente">
      <formula>NOT(ISERROR(SEARCH(("Pendente"),(P126))))</formula>
    </cfRule>
    <cfRule type="containsText" dxfId="2846" priority="1724" operator="containsText" text="Finalizado">
      <formula>NOT(ISERROR(SEARCH(("Finalizado"),(P126))))</formula>
    </cfRule>
    <cfRule type="containsText" dxfId="2845" priority="1725" operator="containsText" text="em andamento">
      <formula>NOT(ISERROR(SEARCH(("em andamento"),(P126))))</formula>
    </cfRule>
    <cfRule type="containsText" dxfId="2844" priority="1726" operator="containsText" text="Lançado">
      <formula>NOT(ISERROR(SEARCH(("Lançado"),(P126))))</formula>
    </cfRule>
    <cfRule type="containsText" dxfId="2843" priority="1727" operator="containsText" text="N/A">
      <formula>NOT(ISERROR(SEARCH(("N/A"),(P126))))</formula>
    </cfRule>
    <cfRule type="containsText" dxfId="2842" priority="1728" operator="containsText" text="Pendente">
      <formula>NOT(ISERROR(SEARCH(("Pendente"),(P126))))</formula>
    </cfRule>
    <cfRule type="containsText" dxfId="2841" priority="1729" operator="containsText" text="Finalizado">
      <formula>NOT(ISERROR(SEARCH(("Finalizado"),(P126))))</formula>
    </cfRule>
    <cfRule type="containsText" dxfId="2840" priority="1730" operator="containsText" text="em andamento">
      <formula>NOT(ISERROR(SEARCH(("em andamento"),(P126))))</formula>
    </cfRule>
    <cfRule type="containsText" dxfId="2839" priority="1731" operator="containsText" text="Pendente">
      <formula>NOT(ISERROR(SEARCH(("Pendente"),(P126))))</formula>
    </cfRule>
    <cfRule type="containsText" dxfId="2838" priority="1732" operator="containsText" text="Finalizado">
      <formula>NOT(ISERROR(SEARCH(("Finalizado"),(P126))))</formula>
    </cfRule>
    <cfRule type="containsText" dxfId="2837" priority="1733" operator="containsText" text="em andamento">
      <formula>NOT(ISERROR(SEARCH(("em andamento"),(P126))))</formula>
    </cfRule>
    <cfRule type="expression" dxfId="2836" priority="1734">
      <formula>$H126="SUBETAPA"</formula>
    </cfRule>
    <cfRule type="containsText" dxfId="2835" priority="1735" operator="containsText" text="Lançado">
      <formula>NOT(ISERROR(SEARCH(("Lançado"),(P126))))</formula>
    </cfRule>
    <cfRule type="containsText" dxfId="2834" priority="1736" operator="containsText" text="N/A">
      <formula>NOT(ISERROR(SEARCH(("N/A"),(P126))))</formula>
    </cfRule>
    <cfRule type="containsText" dxfId="2833" priority="1737" operator="containsText" text="Finalizado">
      <formula>NOT(ISERROR(SEARCH(("Finalizado"),(P126))))</formula>
    </cfRule>
    <cfRule type="containsText" dxfId="2832" priority="1738" operator="containsText" text="em andamento">
      <formula>NOT(ISERROR(SEARCH(("em andamento"),(P126))))</formula>
    </cfRule>
    <cfRule type="containsText" dxfId="2831" priority="1739" operator="containsText" text="Lançado">
      <formula>NOT(ISERROR(SEARCH(("Lançado"),(P126))))</formula>
    </cfRule>
    <cfRule type="containsText" dxfId="2830" priority="1740" operator="containsText" text="N/A">
      <formula>NOT(ISERROR(SEARCH(("N/A"),(P126))))</formula>
    </cfRule>
    <cfRule type="containsText" dxfId="2829" priority="1741" operator="containsText" text="Pendente">
      <formula>NOT(ISERROR(SEARCH(("Pendente"),(P126))))</formula>
    </cfRule>
    <cfRule type="containsText" dxfId="2828" priority="1742" operator="containsText" text="Finalizado">
      <formula>NOT(ISERROR(SEARCH(("Finalizado"),(P126))))</formula>
    </cfRule>
    <cfRule type="containsText" dxfId="2827" priority="1743" operator="containsText" text="em andamento">
      <formula>NOT(ISERROR(SEARCH(("em andamento"),(P126))))</formula>
    </cfRule>
    <cfRule type="containsText" dxfId="2826" priority="1744" operator="containsText" text="Pendente">
      <formula>NOT(ISERROR(SEARCH(("Pendente"),(P126))))</formula>
    </cfRule>
    <cfRule type="containsText" dxfId="2825" priority="1745" operator="containsText" text="Finalizado">
      <formula>NOT(ISERROR(SEARCH(("Finalizado"),(P126))))</formula>
    </cfRule>
    <cfRule type="containsText" dxfId="2824" priority="1746" operator="containsText" text="em andamento">
      <formula>NOT(ISERROR(SEARCH(("em andamento"),(P126))))</formula>
    </cfRule>
    <cfRule type="containsText" dxfId="2823" priority="1747" operator="containsText" text="Lançado">
      <formula>NOT(ISERROR(SEARCH(("Lançado"),(P126))))</formula>
    </cfRule>
    <cfRule type="containsText" dxfId="2822" priority="1748" operator="containsText" text="N/A">
      <formula>NOT(ISERROR(SEARCH(("N/A"),(P126))))</formula>
    </cfRule>
    <cfRule type="containsText" dxfId="2821" priority="1749" operator="containsText" text="Pendente">
      <formula>NOT(ISERROR(SEARCH(("Pendente"),(P126))))</formula>
    </cfRule>
    <cfRule type="containsText" dxfId="2820" priority="1750" operator="containsText" text="Lançado">
      <formula>NOT(ISERROR(SEARCH(("Lançado"),(P126))))</formula>
    </cfRule>
    <cfRule type="containsText" dxfId="2819" priority="1751" operator="containsText" text="N/A">
      <formula>NOT(ISERROR(SEARCH(("N/A"),(P126))))</formula>
    </cfRule>
    <cfRule type="expression" dxfId="2818" priority="1752">
      <formula>$H126="SUBETAPA"</formula>
    </cfRule>
    <cfRule type="expression" dxfId="2817" priority="1753">
      <formula>$H126="CÉLULA CONSTRUTIVA"</formula>
    </cfRule>
    <cfRule type="expression" dxfId="2816" priority="1754">
      <formula>$H126="ETAPA"</formula>
    </cfRule>
    <cfRule type="containsText" dxfId="2815" priority="1755" operator="containsText" text="Pendente">
      <formula>NOT(ISERROR(SEARCH(("Pendente"),(P126))))</formula>
    </cfRule>
    <cfRule type="containsText" dxfId="2814" priority="1756" operator="containsText" text="Lançado">
      <formula>NOT(ISERROR(SEARCH(("Lançado"),(P126))))</formula>
    </cfRule>
    <cfRule type="containsText" dxfId="2813" priority="1757" operator="containsText" text="N/A">
      <formula>NOT(ISERROR(SEARCH(("N/A"),(P126))))</formula>
    </cfRule>
    <cfRule type="containsText" dxfId="2812" priority="1758" operator="containsText" text="Finalizado">
      <formula>NOT(ISERROR(SEARCH(("Finalizado"),(P126))))</formula>
    </cfRule>
    <cfRule type="containsText" dxfId="2811" priority="1759" operator="containsText" text="em andamento">
      <formula>NOT(ISERROR(SEARCH(("em andamento"),(P126))))</formula>
    </cfRule>
    <cfRule type="containsText" dxfId="2810" priority="1760" operator="containsText" text="Lançado">
      <formula>NOT(ISERROR(SEARCH(("Lançado"),(P126))))</formula>
    </cfRule>
    <cfRule type="containsText" dxfId="2809" priority="1761" operator="containsText" text="N/A">
      <formula>NOT(ISERROR(SEARCH(("N/A"),(P126))))</formula>
    </cfRule>
    <cfRule type="containsText" dxfId="2808" priority="1762" operator="containsText" text="Pendente">
      <formula>NOT(ISERROR(SEARCH(("Pendente"),(P126))))</formula>
    </cfRule>
    <cfRule type="containsText" dxfId="2807" priority="1763" operator="containsText" text="Finalizado">
      <formula>NOT(ISERROR(SEARCH(("Finalizado"),(P126))))</formula>
    </cfRule>
    <cfRule type="containsText" dxfId="2806" priority="1764" operator="containsText" text="em andamento">
      <formula>NOT(ISERROR(SEARCH(("em andamento"),(P126))))</formula>
    </cfRule>
    <cfRule type="containsText" dxfId="2805" priority="1765" operator="containsText" text="Lançado">
      <formula>NOT(ISERROR(SEARCH(("Lançado"),(P126))))</formula>
    </cfRule>
    <cfRule type="containsText" dxfId="2804" priority="1766" operator="containsText" text="N/A">
      <formula>NOT(ISERROR(SEARCH(("N/A"),(P126))))</formula>
    </cfRule>
    <cfRule type="containsText" dxfId="2803" priority="1767" operator="containsText" text="Pendente">
      <formula>NOT(ISERROR(SEARCH(("Pendente"),(P126))))</formula>
    </cfRule>
    <cfRule type="containsText" dxfId="2802" priority="1768" operator="containsText" text="Finalizado">
      <formula>NOT(ISERROR(SEARCH(("Finalizado"),(P126))))</formula>
    </cfRule>
    <cfRule type="containsText" dxfId="2801" priority="1769" operator="containsText" text="em andamento">
      <formula>NOT(ISERROR(SEARCH(("em andamento"),(P126))))</formula>
    </cfRule>
    <cfRule type="containsText" dxfId="2800" priority="1770" operator="containsText" text="Lançado">
      <formula>NOT(ISERROR(SEARCH(("Lançado"),(P126))))</formula>
    </cfRule>
    <cfRule type="containsText" dxfId="2799" priority="1771" operator="containsText" text="N/A">
      <formula>NOT(ISERROR(SEARCH(("N/A"),(P126))))</formula>
    </cfRule>
    <cfRule type="containsText" dxfId="2798" priority="1772" operator="containsText" text="Pendente">
      <formula>NOT(ISERROR(SEARCH(("Pendente"),(P126))))</formula>
    </cfRule>
    <cfRule type="containsText" dxfId="2797" priority="1773" operator="containsText" text="Finalizado">
      <formula>NOT(ISERROR(SEARCH(("Finalizado"),(P126))))</formula>
    </cfRule>
    <cfRule type="containsText" dxfId="2796" priority="1774" operator="containsText" text="em andamento">
      <formula>NOT(ISERROR(SEARCH(("em andamento"),(P126))))</formula>
    </cfRule>
    <cfRule type="containsText" dxfId="2795" priority="1775" operator="containsText" text="Lançado">
      <formula>NOT(ISERROR(SEARCH(("Lançado"),(P126))))</formula>
    </cfRule>
    <cfRule type="containsText" dxfId="2794" priority="1776" operator="containsText" text="N/A">
      <formula>NOT(ISERROR(SEARCH(("N/A"),(P126))))</formula>
    </cfRule>
    <cfRule type="containsText" dxfId="2793" priority="1777" operator="containsText" text="Pendente">
      <formula>NOT(ISERROR(SEARCH(("Pendente"),(P126))))</formula>
    </cfRule>
    <cfRule type="containsText" dxfId="2792" priority="1778" operator="containsText" text="Finalizado">
      <formula>NOT(ISERROR(SEARCH(("Finalizado"),(P126))))</formula>
    </cfRule>
    <cfRule type="containsText" dxfId="2791" priority="1779" operator="containsText" text="em andamento">
      <formula>NOT(ISERROR(SEARCH(("em andamento"),(P126))))</formula>
    </cfRule>
    <cfRule type="containsText" dxfId="2790" priority="1780" operator="containsText" text="Lançado">
      <formula>NOT(ISERROR(SEARCH(("Lançado"),(P126))))</formula>
    </cfRule>
    <cfRule type="containsText" dxfId="2789" priority="1781" operator="containsText" text="N/A">
      <formula>NOT(ISERROR(SEARCH(("N/A"),(P126))))</formula>
    </cfRule>
    <cfRule type="containsText" dxfId="2788" priority="1782" operator="containsText" text="Pendente">
      <formula>NOT(ISERROR(SEARCH(("Pendente"),(P126))))</formula>
    </cfRule>
    <cfRule type="containsText" dxfId="2787" priority="1783" operator="containsText" text="Finalizado">
      <formula>NOT(ISERROR(SEARCH(("Finalizado"),(P126))))</formula>
    </cfRule>
    <cfRule type="containsText" dxfId="2786" priority="1784" operator="containsText" text="em andamento">
      <formula>NOT(ISERROR(SEARCH(("em andamento"),(P126))))</formula>
    </cfRule>
    <cfRule type="expression" dxfId="2785" priority="1785">
      <formula>$H126="SUBETAPA"</formula>
    </cfRule>
    <cfRule type="expression" dxfId="2784" priority="1786">
      <formula>$H126="CÉLULA CONSTRUTIVA"</formula>
    </cfRule>
    <cfRule type="expression" dxfId="2783" priority="1787">
      <formula>$H126="ETAPA"</formula>
    </cfRule>
    <cfRule type="containsText" dxfId="2782" priority="1788" operator="containsText" text="Pendente">
      <formula>NOT(ISERROR(SEARCH(("Pendente"),(P126))))</formula>
    </cfRule>
    <cfRule type="containsText" dxfId="2781" priority="1789" operator="containsText" text="Finalizado">
      <formula>NOT(ISERROR(SEARCH(("Finalizado"),(P126))))</formula>
    </cfRule>
    <cfRule type="containsText" dxfId="2780" priority="1790" operator="containsText" text="em andamento">
      <formula>NOT(ISERROR(SEARCH(("em andamento"),(P126))))</formula>
    </cfRule>
    <cfRule type="containsText" dxfId="2779" priority="1791" operator="containsText" text="Lançado">
      <formula>NOT(ISERROR(SEARCH(("Lançado"),(P126))))</formula>
    </cfRule>
    <cfRule type="containsText" dxfId="2778" priority="1792" operator="containsText" text="N/A">
      <formula>NOT(ISERROR(SEARCH(("N/A"),(P126))))</formula>
    </cfRule>
  </conditionalFormatting>
  <conditionalFormatting sqref="P127">
    <cfRule type="expression" dxfId="2777" priority="4020">
      <formula>$H127="SUBETAPA"</formula>
    </cfRule>
    <cfRule type="expression" dxfId="2776" priority="4021">
      <formula>$H127="CÉLULA CONSTRUTIVA"</formula>
    </cfRule>
    <cfRule type="expression" dxfId="2775" priority="4022">
      <formula>$H127="ETAPA"</formula>
    </cfRule>
    <cfRule type="containsText" dxfId="2774" priority="4023" operator="containsText" text="Lançado">
      <formula>NOT(ISERROR(SEARCH(("Lançado"),(P127))))</formula>
    </cfRule>
    <cfRule type="containsText" dxfId="2773" priority="4024" operator="containsText" text="N/A">
      <formula>NOT(ISERROR(SEARCH(("N/A"),(P127))))</formula>
    </cfRule>
    <cfRule type="containsText" dxfId="2772" priority="4025" operator="containsText" text="Pendente">
      <formula>NOT(ISERROR(SEARCH(("Pendente"),(P127))))</formula>
    </cfRule>
    <cfRule type="containsText" dxfId="2771" priority="4026" operator="containsText" text="Finalizado">
      <formula>NOT(ISERROR(SEARCH(("Finalizado"),(P127))))</formula>
    </cfRule>
    <cfRule type="containsText" dxfId="2770" priority="4027" operator="containsText" text="em andamento">
      <formula>NOT(ISERROR(SEARCH(("em andamento"),(P127))))</formula>
    </cfRule>
    <cfRule type="containsText" dxfId="2769" priority="4028" operator="containsText" text="Lançado">
      <formula>NOT(ISERROR(SEARCH(("Lançado"),(P127))))</formula>
    </cfRule>
    <cfRule type="containsText" dxfId="2768" priority="4029" operator="containsText" text="N/A">
      <formula>NOT(ISERROR(SEARCH(("N/A"),(P127))))</formula>
    </cfRule>
    <cfRule type="containsText" dxfId="2767" priority="4030" operator="containsText" text="Pendente">
      <formula>NOT(ISERROR(SEARCH(("Pendente"),(P127))))</formula>
    </cfRule>
    <cfRule type="containsText" dxfId="2766" priority="4031" operator="containsText" text="Finalizado">
      <formula>NOT(ISERROR(SEARCH(("Finalizado"),(P127))))</formula>
    </cfRule>
    <cfRule type="containsText" dxfId="2765" priority="4032" operator="containsText" text="em andamento">
      <formula>NOT(ISERROR(SEARCH(("em andamento"),(P127))))</formula>
    </cfRule>
    <cfRule type="expression" dxfId="2764" priority="4033">
      <formula>$H127="ETAPA"</formula>
    </cfRule>
    <cfRule type="containsText" dxfId="2763" priority="4034" operator="containsText" text="Lançado">
      <formula>NOT(ISERROR(SEARCH(("Lançado"),(P127))))</formula>
    </cfRule>
    <cfRule type="containsText" dxfId="2762" priority="4035" operator="containsText" text="N/A">
      <formula>NOT(ISERROR(SEARCH(("N/A"),(P127))))</formula>
    </cfRule>
    <cfRule type="containsText" dxfId="2761" priority="4036" operator="containsText" text="Pendente">
      <formula>NOT(ISERROR(SEARCH(("Pendente"),(P127))))</formula>
    </cfRule>
    <cfRule type="containsText" dxfId="2760" priority="4037" operator="containsText" text="Finalizado">
      <formula>NOT(ISERROR(SEARCH(("Finalizado"),(P127))))</formula>
    </cfRule>
    <cfRule type="containsText" dxfId="2759" priority="4038" operator="containsText" text="em andamento">
      <formula>NOT(ISERROR(SEARCH(("em andamento"),(P127))))</formula>
    </cfRule>
    <cfRule type="expression" dxfId="2758" priority="4039">
      <formula>$H127="ETAPA"</formula>
    </cfRule>
    <cfRule type="containsText" dxfId="2757" priority="4040" operator="containsText" text="Lançado">
      <formula>NOT(ISERROR(SEARCH(("Lançado"),(P127))))</formula>
    </cfRule>
    <cfRule type="containsText" dxfId="2756" priority="4041" operator="containsText" text="N/A">
      <formula>NOT(ISERROR(SEARCH(("N/A"),(P127))))</formula>
    </cfRule>
    <cfRule type="containsText" dxfId="2755" priority="4042" operator="containsText" text="Pendente">
      <formula>NOT(ISERROR(SEARCH(("Pendente"),(P127))))</formula>
    </cfRule>
    <cfRule type="containsText" dxfId="2754" priority="4043" operator="containsText" text="Finalizado">
      <formula>NOT(ISERROR(SEARCH(("Finalizado"),(P127))))</formula>
    </cfRule>
    <cfRule type="containsText" dxfId="2753" priority="4044" operator="containsText" text="em andamento">
      <formula>NOT(ISERROR(SEARCH(("em andamento"),(P127))))</formula>
    </cfRule>
  </conditionalFormatting>
  <conditionalFormatting sqref="P128">
    <cfRule type="containsText" dxfId="2752" priority="2898" operator="containsText" text="N/A">
      <formula>NOT(ISERROR(SEARCH(("N/A"),(P128))))</formula>
    </cfRule>
    <cfRule type="containsText" dxfId="2751" priority="2899" operator="containsText" text="Lançado">
      <formula>NOT(ISERROR(SEARCH(("Lançado"),(P128))))</formula>
    </cfRule>
    <cfRule type="containsText" dxfId="2750" priority="2900" operator="containsText" text="Pendente">
      <formula>NOT(ISERROR(SEARCH(("Pendente"),(P128))))</formula>
    </cfRule>
  </conditionalFormatting>
  <conditionalFormatting sqref="P128:P129">
    <cfRule type="containsText" dxfId="2749" priority="2393" operator="containsText" text="Finalizado">
      <formula>NOT(ISERROR(SEARCH(("Finalizado"),(P128))))</formula>
    </cfRule>
    <cfRule type="containsText" dxfId="2748" priority="2394" operator="containsText" text="em andamento">
      <formula>NOT(ISERROR(SEARCH(("em andamento"),(P128))))</formula>
    </cfRule>
  </conditionalFormatting>
  <conditionalFormatting sqref="P129 G129:L129">
    <cfRule type="expression" dxfId="2747" priority="2365">
      <formula>$H129="CÉLULA CONSTRUTIVA"</formula>
    </cfRule>
  </conditionalFormatting>
  <conditionalFormatting sqref="P129">
    <cfRule type="expression" dxfId="2746" priority="2364">
      <formula>$H129="SUBETAPA"</formula>
    </cfRule>
    <cfRule type="containsText" dxfId="2745" priority="2384" operator="containsText" text="Pendente">
      <formula>NOT(ISERROR(SEARCH(("Pendente"),(P129))))</formula>
    </cfRule>
    <cfRule type="containsText" dxfId="2744" priority="2385" operator="containsText" text="Lançado">
      <formula>NOT(ISERROR(SEARCH(("Lançado"),(P129))))</formula>
    </cfRule>
    <cfRule type="containsText" dxfId="2743" priority="2386" operator="containsText" text="N/A">
      <formula>NOT(ISERROR(SEARCH(("N/A"),(P129))))</formula>
    </cfRule>
    <cfRule type="expression" dxfId="2742" priority="2387">
      <formula>$H129="SUBETAPA"</formula>
    </cfRule>
    <cfRule type="expression" dxfId="2741" priority="2388">
      <formula>$H129="CÉLULA CONSTRUTIVA"</formula>
    </cfRule>
    <cfRule type="expression" dxfId="2740" priority="2389">
      <formula>$H129="ETAPA"</formula>
    </cfRule>
    <cfRule type="containsText" dxfId="2739" priority="2390" operator="containsText" text="Lançado">
      <formula>NOT(ISERROR(SEARCH(("Lançado"),(P129))))</formula>
    </cfRule>
    <cfRule type="containsText" dxfId="2738" priority="2391" operator="containsText" text="N/A">
      <formula>NOT(ISERROR(SEARCH(("N/A"),(P129))))</formula>
    </cfRule>
    <cfRule type="containsText" dxfId="2737" priority="2392" operator="containsText" text="Pendente">
      <formula>NOT(ISERROR(SEARCH(("Pendente"),(P129))))</formula>
    </cfRule>
    <cfRule type="containsText" dxfId="2736" priority="2395" operator="containsText" text="Pendente">
      <formula>NOT(ISERROR(SEARCH(("Pendente"),(P129))))</formula>
    </cfRule>
    <cfRule type="expression" dxfId="2735" priority="2398">
      <formula>$H129="ETAPA"</formula>
    </cfRule>
  </conditionalFormatting>
  <conditionalFormatting sqref="P130 P132 P134 P140 P142 P177">
    <cfRule type="expression" dxfId="2734" priority="4019">
      <formula>$H130="ETAPA"</formula>
    </cfRule>
  </conditionalFormatting>
  <conditionalFormatting sqref="P130 P132 P134 P140 P142 P177:P178 P136">
    <cfRule type="containsText" dxfId="2733" priority="4045" operator="containsText" text="Lançado">
      <formula>NOT(ISERROR(SEARCH(("Lançado"),(P130))))</formula>
    </cfRule>
    <cfRule type="containsText" dxfId="2732" priority="4046" operator="containsText" text="N/A">
      <formula>NOT(ISERROR(SEARCH(("N/A"),(P130))))</formula>
    </cfRule>
  </conditionalFormatting>
  <conditionalFormatting sqref="P130:P133">
    <cfRule type="expression" dxfId="2731" priority="4056">
      <formula>$H130="SUBETAPA"</formula>
    </cfRule>
  </conditionalFormatting>
  <conditionalFormatting sqref="P131">
    <cfRule type="expression" dxfId="2730" priority="4057">
      <formula>$H131="CÉLULA CONSTRUTIVA"</formula>
    </cfRule>
    <cfRule type="expression" dxfId="2729" priority="4058">
      <formula>$H131="ETAPA"</formula>
    </cfRule>
    <cfRule type="containsText" dxfId="2728" priority="4059" operator="containsText" text="Lançado">
      <formula>NOT(ISERROR(SEARCH(("Lançado"),(P131))))</formula>
    </cfRule>
    <cfRule type="containsText" dxfId="2727" priority="4060" operator="containsText" text="N/A">
      <formula>NOT(ISERROR(SEARCH(("N/A"),(P131))))</formula>
    </cfRule>
    <cfRule type="containsText" dxfId="2726" priority="4061" operator="containsText" text="Pendente">
      <formula>NOT(ISERROR(SEARCH(("Pendente"),(P131))))</formula>
    </cfRule>
    <cfRule type="containsText" dxfId="2725" priority="4062" operator="containsText" text="Finalizado">
      <formula>NOT(ISERROR(SEARCH(("Finalizado"),(P131))))</formula>
    </cfRule>
    <cfRule type="containsText" dxfId="2724" priority="4063" operator="containsText" text="em andamento">
      <formula>NOT(ISERROR(SEARCH(("em andamento"),(P131))))</formula>
    </cfRule>
    <cfRule type="containsText" dxfId="2723" priority="4064" operator="containsText" text="Lançado">
      <formula>NOT(ISERROR(SEARCH(("Lançado"),(P131))))</formula>
    </cfRule>
    <cfRule type="containsText" dxfId="2722" priority="4065" operator="containsText" text="N/A">
      <formula>NOT(ISERROR(SEARCH(("N/A"),(P131))))</formula>
    </cfRule>
    <cfRule type="containsText" dxfId="2721" priority="4066" operator="containsText" text="Pendente">
      <formula>NOT(ISERROR(SEARCH(("Pendente"),(P131))))</formula>
    </cfRule>
    <cfRule type="containsText" dxfId="2720" priority="4067" operator="containsText" text="Finalizado">
      <formula>NOT(ISERROR(SEARCH(("Finalizado"),(P131))))</formula>
    </cfRule>
    <cfRule type="containsText" dxfId="2719" priority="4068" operator="containsText" text="em andamento">
      <formula>NOT(ISERROR(SEARCH(("em andamento"),(P131))))</formula>
    </cfRule>
    <cfRule type="expression" dxfId="2718" priority="4069">
      <formula>$H131="CÉLULA CONSTRUTIVA"</formula>
    </cfRule>
    <cfRule type="expression" dxfId="2717" priority="4070">
      <formula>$H131="ETAPA"</formula>
    </cfRule>
    <cfRule type="containsText" dxfId="2716" priority="4071" operator="containsText" text="Lançado">
      <formula>NOT(ISERROR(SEARCH(("Lançado"),(P131))))</formula>
    </cfRule>
    <cfRule type="containsText" dxfId="2715" priority="4072" operator="containsText" text="N/A">
      <formula>NOT(ISERROR(SEARCH(("N/A"),(P131))))</formula>
    </cfRule>
  </conditionalFormatting>
  <conditionalFormatting sqref="P131:P132">
    <cfRule type="containsText" dxfId="2714" priority="4073" operator="containsText" text="Pendente">
      <formula>NOT(ISERROR(SEARCH(("Pendente"),(P131))))</formula>
    </cfRule>
    <cfRule type="containsText" dxfId="2713" priority="4074" operator="containsText" text="Finalizado">
      <formula>NOT(ISERROR(SEARCH(("Finalizado"),(P131))))</formula>
    </cfRule>
    <cfRule type="containsText" dxfId="2712" priority="4075" operator="containsText" text="em andamento">
      <formula>NOT(ISERROR(SEARCH(("em andamento"),(P131))))</formula>
    </cfRule>
  </conditionalFormatting>
  <conditionalFormatting sqref="P133">
    <cfRule type="expression" dxfId="2711" priority="4079">
      <formula>$H133="CÉLULA CONSTRUTIVA"</formula>
    </cfRule>
    <cfRule type="expression" dxfId="2710" priority="4080">
      <formula>$H133="ETAPA"</formula>
    </cfRule>
    <cfRule type="containsText" dxfId="2709" priority="4081" operator="containsText" text="Lançado">
      <formula>NOT(ISERROR(SEARCH(("Lançado"),(P133))))</formula>
    </cfRule>
    <cfRule type="containsText" dxfId="2708" priority="4082" operator="containsText" text="N/A">
      <formula>NOT(ISERROR(SEARCH(("N/A"),(P133))))</formula>
    </cfRule>
    <cfRule type="containsText" dxfId="2707" priority="4083" operator="containsText" text="Pendente">
      <formula>NOT(ISERROR(SEARCH(("Pendente"),(P133))))</formula>
    </cfRule>
    <cfRule type="containsText" dxfId="2706" priority="4084" operator="containsText" text="Finalizado">
      <formula>NOT(ISERROR(SEARCH(("Finalizado"),(P133))))</formula>
    </cfRule>
    <cfRule type="containsText" dxfId="2705" priority="4085" operator="containsText" text="em andamento">
      <formula>NOT(ISERROR(SEARCH(("em andamento"),(P133))))</formula>
    </cfRule>
    <cfRule type="containsText" dxfId="2704" priority="4086" operator="containsText" text="Lançado">
      <formula>NOT(ISERROR(SEARCH(("Lançado"),(P133))))</formula>
    </cfRule>
    <cfRule type="containsText" dxfId="2703" priority="4087" operator="containsText" text="N/A">
      <formula>NOT(ISERROR(SEARCH(("N/A"),(P133))))</formula>
    </cfRule>
    <cfRule type="containsText" dxfId="2702" priority="4088" operator="containsText" text="Pendente">
      <formula>NOT(ISERROR(SEARCH(("Pendente"),(P133))))</formula>
    </cfRule>
    <cfRule type="containsText" dxfId="2701" priority="4089" operator="containsText" text="Finalizado">
      <formula>NOT(ISERROR(SEARCH(("Finalizado"),(P133))))</formula>
    </cfRule>
    <cfRule type="containsText" dxfId="2700" priority="4090" operator="containsText" text="em andamento">
      <formula>NOT(ISERROR(SEARCH(("em andamento"),(P133))))</formula>
    </cfRule>
    <cfRule type="expression" dxfId="2699" priority="4091">
      <formula>$H133="CÉLULA CONSTRUTIVA"</formula>
    </cfRule>
    <cfRule type="expression" dxfId="2698" priority="4092">
      <formula>$H133="ETAPA"</formula>
    </cfRule>
    <cfRule type="containsText" dxfId="2697" priority="4093" operator="containsText" text="Lançado">
      <formula>NOT(ISERROR(SEARCH(("Lançado"),(P133))))</formula>
    </cfRule>
    <cfRule type="containsText" dxfId="2696" priority="4094" operator="containsText" text="N/A">
      <formula>NOT(ISERROR(SEARCH(("N/A"),(P133))))</formula>
    </cfRule>
    <cfRule type="containsText" dxfId="2695" priority="4095" operator="containsText" text="Pendente">
      <formula>NOT(ISERROR(SEARCH(("Pendente"),(P133))))</formula>
    </cfRule>
    <cfRule type="containsText" dxfId="2694" priority="4096" operator="containsText" text="Finalizado">
      <formula>NOT(ISERROR(SEARCH(("Finalizado"),(P133))))</formula>
    </cfRule>
    <cfRule type="containsText" dxfId="2693" priority="4097" operator="containsText" text="em andamento">
      <formula>NOT(ISERROR(SEARCH(("em andamento"),(P133))))</formula>
    </cfRule>
  </conditionalFormatting>
  <conditionalFormatting sqref="P134 P136 P140 P142 P177:P178">
    <cfRule type="containsText" dxfId="2692" priority="4077" operator="containsText" text="Finalizado">
      <formula>NOT(ISERROR(SEARCH(("Finalizado"),(P134))))</formula>
    </cfRule>
    <cfRule type="containsText" dxfId="2691" priority="4078" operator="containsText" text="em andamento">
      <formula>NOT(ISERROR(SEARCH(("em andamento"),(P134))))</formula>
    </cfRule>
  </conditionalFormatting>
  <conditionalFormatting sqref="P134 P140 P142 P177:P178 P136">
    <cfRule type="containsText" dxfId="2690" priority="4076" operator="containsText" text="Pendente">
      <formula>NOT(ISERROR(SEARCH(("Pendente"),(P134))))</formula>
    </cfRule>
  </conditionalFormatting>
  <conditionalFormatting sqref="P135">
    <cfRule type="expression" dxfId="2689" priority="4098">
      <formula>$H135="SUBETAPA"</formula>
    </cfRule>
    <cfRule type="expression" dxfId="2688" priority="4099">
      <formula>$H135="CÉLULA CONSTRUTIVA"</formula>
    </cfRule>
    <cfRule type="expression" dxfId="2687" priority="4100">
      <formula>$H135="ETAPA"</formula>
    </cfRule>
    <cfRule type="containsText" dxfId="2686" priority="4101" operator="containsText" text="Lançado">
      <formula>NOT(ISERROR(SEARCH(("Lançado"),(P135))))</formula>
    </cfRule>
    <cfRule type="containsText" dxfId="2685" priority="4102" operator="containsText" text="N/A">
      <formula>NOT(ISERROR(SEARCH(("N/A"),(P135))))</formula>
    </cfRule>
    <cfRule type="containsText" dxfId="2684" priority="4103" operator="containsText" text="Pendente">
      <formula>NOT(ISERROR(SEARCH(("Pendente"),(P135))))</formula>
    </cfRule>
    <cfRule type="containsText" dxfId="2683" priority="4104" operator="containsText" text="Finalizado">
      <formula>NOT(ISERROR(SEARCH(("Finalizado"),(P135))))</formula>
    </cfRule>
    <cfRule type="containsText" dxfId="2682" priority="4105" operator="containsText" text="em andamento">
      <formula>NOT(ISERROR(SEARCH(("em andamento"),(P135))))</formula>
    </cfRule>
    <cfRule type="containsText" dxfId="2681" priority="4106" operator="containsText" text="Lançado">
      <formula>NOT(ISERROR(SEARCH(("Lançado"),(P135))))</formula>
    </cfRule>
    <cfRule type="containsText" dxfId="2680" priority="4107" operator="containsText" text="N/A">
      <formula>NOT(ISERROR(SEARCH(("N/A"),(P135))))</formula>
    </cfRule>
    <cfRule type="containsText" dxfId="2679" priority="4108" operator="containsText" text="Pendente">
      <formula>NOT(ISERROR(SEARCH(("Pendente"),(P135))))</formula>
    </cfRule>
    <cfRule type="containsText" dxfId="2678" priority="4109" operator="containsText" text="Finalizado">
      <formula>NOT(ISERROR(SEARCH(("Finalizado"),(P135))))</formula>
    </cfRule>
    <cfRule type="containsText" dxfId="2677" priority="4110" operator="containsText" text="em andamento">
      <formula>NOT(ISERROR(SEARCH(("em andamento"),(P135))))</formula>
    </cfRule>
    <cfRule type="expression" dxfId="2676" priority="4111">
      <formula>$H135="CÉLULA CONSTRUTIVA"</formula>
    </cfRule>
    <cfRule type="expression" dxfId="2675" priority="4112">
      <formula>$H135="ETAPA"</formula>
    </cfRule>
    <cfRule type="containsText" dxfId="2674" priority="4113" operator="containsText" text="Lançado">
      <formula>NOT(ISERROR(SEARCH(("Lançado"),(P135))))</formula>
    </cfRule>
    <cfRule type="containsText" dxfId="2673" priority="4114" operator="containsText" text="N/A">
      <formula>NOT(ISERROR(SEARCH(("N/A"),(P135))))</formula>
    </cfRule>
    <cfRule type="containsText" dxfId="2672" priority="4115" operator="containsText" text="Pendente">
      <formula>NOT(ISERROR(SEARCH(("Pendente"),(P135))))</formula>
    </cfRule>
    <cfRule type="containsText" dxfId="2671" priority="4116" operator="containsText" text="Finalizado">
      <formula>NOT(ISERROR(SEARCH(("Finalizado"),(P135))))</formula>
    </cfRule>
    <cfRule type="containsText" dxfId="2670" priority="4117" operator="containsText" text="em andamento">
      <formula>NOT(ISERROR(SEARCH(("em andamento"),(P135))))</formula>
    </cfRule>
  </conditionalFormatting>
  <conditionalFormatting sqref="P137">
    <cfRule type="expression" dxfId="2669" priority="4118">
      <formula>$H137="SUBETAPA"</formula>
    </cfRule>
    <cfRule type="expression" dxfId="2668" priority="4119">
      <formula>$H137="CÉLULA CONSTRUTIVA"</formula>
    </cfRule>
    <cfRule type="expression" dxfId="2667" priority="4120">
      <formula>$H137="ETAPA"</formula>
    </cfRule>
    <cfRule type="containsText" dxfId="2666" priority="4121" operator="containsText" text="Lançado">
      <formula>NOT(ISERROR(SEARCH(("Lançado"),(P137))))</formula>
    </cfRule>
    <cfRule type="containsText" dxfId="2665" priority="4122" operator="containsText" text="N/A">
      <formula>NOT(ISERROR(SEARCH(("N/A"),(P137))))</formula>
    </cfRule>
    <cfRule type="containsText" dxfId="2664" priority="4123" operator="containsText" text="Pendente">
      <formula>NOT(ISERROR(SEARCH(("Pendente"),(P137))))</formula>
    </cfRule>
    <cfRule type="containsText" dxfId="2663" priority="4124" operator="containsText" text="Finalizado">
      <formula>NOT(ISERROR(SEARCH(("Finalizado"),(P137))))</formula>
    </cfRule>
    <cfRule type="containsText" dxfId="2662" priority="4125" operator="containsText" text="em andamento">
      <formula>NOT(ISERROR(SEARCH(("em andamento"),(P137))))</formula>
    </cfRule>
    <cfRule type="containsText" dxfId="2661" priority="4126" operator="containsText" text="Lançado">
      <formula>NOT(ISERROR(SEARCH(("Lançado"),(P137))))</formula>
    </cfRule>
    <cfRule type="containsText" dxfId="2660" priority="4127" operator="containsText" text="N/A">
      <formula>NOT(ISERROR(SEARCH(("N/A"),(P137))))</formula>
    </cfRule>
    <cfRule type="containsText" dxfId="2659" priority="4128" operator="containsText" text="Pendente">
      <formula>NOT(ISERROR(SEARCH(("Pendente"),(P137))))</formula>
    </cfRule>
    <cfRule type="containsText" dxfId="2658" priority="4129" operator="containsText" text="Finalizado">
      <formula>NOT(ISERROR(SEARCH(("Finalizado"),(P137))))</formula>
    </cfRule>
    <cfRule type="containsText" dxfId="2657" priority="4130" operator="containsText" text="em andamento">
      <formula>NOT(ISERROR(SEARCH(("em andamento"),(P137))))</formula>
    </cfRule>
    <cfRule type="expression" dxfId="2656" priority="4131">
      <formula>$H137="CÉLULA CONSTRUTIVA"</formula>
    </cfRule>
    <cfRule type="expression" dxfId="2655" priority="4132">
      <formula>$H137="ETAPA"</formula>
    </cfRule>
    <cfRule type="containsText" dxfId="2654" priority="4133" operator="containsText" text="Lançado">
      <formula>NOT(ISERROR(SEARCH(("Lançado"),(P137))))</formula>
    </cfRule>
    <cfRule type="containsText" dxfId="2653" priority="4134" operator="containsText" text="N/A">
      <formula>NOT(ISERROR(SEARCH(("N/A"),(P137))))</formula>
    </cfRule>
    <cfRule type="containsText" dxfId="2652" priority="4135" operator="containsText" text="Pendente">
      <formula>NOT(ISERROR(SEARCH(("Pendente"),(P137))))</formula>
    </cfRule>
    <cfRule type="containsText" dxfId="2651" priority="4136" operator="containsText" text="Finalizado">
      <formula>NOT(ISERROR(SEARCH(("Finalizado"),(P137))))</formula>
    </cfRule>
    <cfRule type="containsText" dxfId="2650" priority="4137" operator="containsText" text="em andamento">
      <formula>NOT(ISERROR(SEARCH(("em andamento"),(P137))))</formula>
    </cfRule>
  </conditionalFormatting>
  <conditionalFormatting sqref="P138">
    <cfRule type="expression" dxfId="2649" priority="1559">
      <formula>$H138="CÉLULA CONSTRUTIVA"</formula>
    </cfRule>
    <cfRule type="expression" dxfId="2648" priority="1560">
      <formula>$H138="SUBETAPA"</formula>
    </cfRule>
    <cfRule type="containsText" dxfId="2647" priority="1565" operator="containsText" text="em andamento">
      <formula>NOT(ISERROR(SEARCH(("em andamento"),(P138))))</formula>
    </cfRule>
    <cfRule type="containsText" dxfId="2646" priority="1566" operator="containsText" text="Pendente">
      <formula>NOT(ISERROR(SEARCH(("Pendente"),(P138))))</formula>
    </cfRule>
    <cfRule type="containsText" dxfId="2645" priority="1567" operator="containsText" text="Lançado">
      <formula>NOT(ISERROR(SEARCH(("Lançado"),(P138))))</formula>
    </cfRule>
    <cfRule type="containsText" dxfId="2644" priority="1568" operator="containsText" text="N/A">
      <formula>NOT(ISERROR(SEARCH(("N/A"),(P138))))</formula>
    </cfRule>
    <cfRule type="containsText" dxfId="2643" priority="1569" operator="containsText" text="Finalizado">
      <formula>NOT(ISERROR(SEARCH(("Finalizado"),(P138))))</formula>
    </cfRule>
    <cfRule type="expression" dxfId="2642" priority="1572">
      <formula>$H138="ETAPA"</formula>
    </cfRule>
    <cfRule type="containsText" dxfId="2641" priority="1573" operator="containsText" text="Pendente">
      <formula>NOT(ISERROR(SEARCH(("Pendente"),(P138))))</formula>
    </cfRule>
    <cfRule type="containsText" dxfId="2640" priority="1574" operator="containsText" text="em andamento">
      <formula>NOT(ISERROR(SEARCH(("em andamento"),(P138))))</formula>
    </cfRule>
    <cfRule type="containsText" dxfId="2639" priority="1575" operator="containsText" text="Lançado">
      <formula>NOT(ISERROR(SEARCH(("Lançado"),(P138))))</formula>
    </cfRule>
    <cfRule type="containsText" dxfId="2638" priority="1576" operator="containsText" text="N/A">
      <formula>NOT(ISERROR(SEARCH(("N/A"),(P138))))</formula>
    </cfRule>
    <cfRule type="containsText" dxfId="2637" priority="1577" operator="containsText" text="Pendente">
      <formula>NOT(ISERROR(SEARCH(("Pendente"),(P138))))</formula>
    </cfRule>
    <cfRule type="containsText" dxfId="2636" priority="1578" operator="containsText" text="Finalizado">
      <formula>NOT(ISERROR(SEARCH(("Finalizado"),(P138))))</formula>
    </cfRule>
    <cfRule type="containsText" dxfId="2635" priority="1579" operator="containsText" text="em andamento">
      <formula>NOT(ISERROR(SEARCH(("em andamento"),(P138))))</formula>
    </cfRule>
    <cfRule type="expression" dxfId="2634" priority="1580">
      <formula>$H138="CÉLULA CONSTRUTIVA"</formula>
    </cfRule>
    <cfRule type="expression" dxfId="2633" priority="1581">
      <formula>$H138="SUBETAPA"</formula>
    </cfRule>
    <cfRule type="expression" dxfId="2632" priority="1582">
      <formula>$H138="ETAPA"</formula>
    </cfRule>
    <cfRule type="containsText" dxfId="2631" priority="1583" operator="containsText" text="Lançado">
      <formula>NOT(ISERROR(SEARCH(("Lançado"),(P138))))</formula>
    </cfRule>
    <cfRule type="containsText" dxfId="2630" priority="1584" operator="containsText" text="N/A">
      <formula>NOT(ISERROR(SEARCH(("N/A"),(P138))))</formula>
    </cfRule>
    <cfRule type="containsText" dxfId="2629" priority="1585" operator="containsText" text="Pendente">
      <formula>NOT(ISERROR(SEARCH(("Pendente"),(P138))))</formula>
    </cfRule>
    <cfRule type="containsText" dxfId="2628" priority="1586" operator="containsText" text="Finalizado">
      <formula>NOT(ISERROR(SEARCH(("Finalizado"),(P138))))</formula>
    </cfRule>
    <cfRule type="containsText" dxfId="2627" priority="1587" operator="containsText" text="em andamento">
      <formula>NOT(ISERROR(SEARCH(("em andamento"),(P138))))</formula>
    </cfRule>
    <cfRule type="containsText" dxfId="2626" priority="1588" operator="containsText" text="Lançado">
      <formula>NOT(ISERROR(SEARCH(("Lançado"),(P138))))</formula>
    </cfRule>
    <cfRule type="containsText" dxfId="2625" priority="1589" operator="containsText" text="N/A">
      <formula>NOT(ISERROR(SEARCH(("N/A"),(P138))))</formula>
    </cfRule>
    <cfRule type="containsText" dxfId="2624" priority="1590" operator="containsText" text="Pendente">
      <formula>NOT(ISERROR(SEARCH(("Pendente"),(P138))))</formula>
    </cfRule>
    <cfRule type="containsText" dxfId="2623" priority="1591" operator="containsText" text="Finalizado">
      <formula>NOT(ISERROR(SEARCH(("Finalizado"),(P138))))</formula>
    </cfRule>
    <cfRule type="containsText" dxfId="2622" priority="1592" operator="containsText" text="em andamento">
      <formula>NOT(ISERROR(SEARCH(("em andamento"),(P138))))</formula>
    </cfRule>
    <cfRule type="containsText" dxfId="2621" priority="1593" operator="containsText" text="Pendente">
      <formula>NOT(ISERROR(SEARCH(("Pendente"),(P138))))</formula>
    </cfRule>
    <cfRule type="containsText" dxfId="2620" priority="1594" operator="containsText" text="Finalizado">
      <formula>NOT(ISERROR(SEARCH(("Finalizado"),(P138))))</formula>
    </cfRule>
    <cfRule type="containsText" dxfId="2619" priority="1595" operator="containsText" text="em andamento">
      <formula>NOT(ISERROR(SEARCH(("em andamento"),(P138))))</formula>
    </cfRule>
    <cfRule type="expression" dxfId="2618" priority="1596">
      <formula>$H138="SUBETAPA"</formula>
    </cfRule>
    <cfRule type="containsText" dxfId="2617" priority="1597" operator="containsText" text="Lançado">
      <formula>NOT(ISERROR(SEARCH(("Lançado"),(P138))))</formula>
    </cfRule>
    <cfRule type="containsText" dxfId="2616" priority="1598" operator="containsText" text="N/A">
      <formula>NOT(ISERROR(SEARCH(("N/A"),(P138))))</formula>
    </cfRule>
    <cfRule type="containsText" dxfId="2615" priority="1599" operator="containsText" text="Finalizado">
      <formula>NOT(ISERROR(SEARCH(("Finalizado"),(P138))))</formula>
    </cfRule>
    <cfRule type="containsText" dxfId="2614" priority="1600" operator="containsText" text="em andamento">
      <formula>NOT(ISERROR(SEARCH(("em andamento"),(P138))))</formula>
    </cfRule>
    <cfRule type="containsText" dxfId="2613" priority="1601" operator="containsText" text="Lançado">
      <formula>NOT(ISERROR(SEARCH(("Lançado"),(P138))))</formula>
    </cfRule>
    <cfRule type="containsText" dxfId="2612" priority="1602" operator="containsText" text="N/A">
      <formula>NOT(ISERROR(SEARCH(("N/A"),(P138))))</formula>
    </cfRule>
    <cfRule type="containsText" dxfId="2611" priority="1603" operator="containsText" text="Pendente">
      <formula>NOT(ISERROR(SEARCH(("Pendente"),(P138))))</formula>
    </cfRule>
    <cfRule type="containsText" dxfId="2610" priority="1604" operator="containsText" text="Finalizado">
      <formula>NOT(ISERROR(SEARCH(("Finalizado"),(P138))))</formula>
    </cfRule>
    <cfRule type="containsText" dxfId="2609" priority="1605" operator="containsText" text="em andamento">
      <formula>NOT(ISERROR(SEARCH(("em andamento"),(P138))))</formula>
    </cfRule>
    <cfRule type="containsText" dxfId="2608" priority="1606" operator="containsText" text="Pendente">
      <formula>NOT(ISERROR(SEARCH(("Pendente"),(P138))))</formula>
    </cfRule>
    <cfRule type="containsText" dxfId="2607" priority="1607" operator="containsText" text="Finalizado">
      <formula>NOT(ISERROR(SEARCH(("Finalizado"),(P138))))</formula>
    </cfRule>
    <cfRule type="containsText" dxfId="2606" priority="1608" operator="containsText" text="em andamento">
      <formula>NOT(ISERROR(SEARCH(("em andamento"),(P138))))</formula>
    </cfRule>
    <cfRule type="containsText" dxfId="2605" priority="1609" operator="containsText" text="Lançado">
      <formula>NOT(ISERROR(SEARCH(("Lançado"),(P138))))</formula>
    </cfRule>
    <cfRule type="containsText" dxfId="2604" priority="1610" operator="containsText" text="N/A">
      <formula>NOT(ISERROR(SEARCH(("N/A"),(P138))))</formula>
    </cfRule>
    <cfRule type="containsText" dxfId="2603" priority="1611" operator="containsText" text="Pendente">
      <formula>NOT(ISERROR(SEARCH(("Pendente"),(P138))))</formula>
    </cfRule>
    <cfRule type="containsText" dxfId="2602" priority="1612" operator="containsText" text="Lançado">
      <formula>NOT(ISERROR(SEARCH(("Lançado"),(P138))))</formula>
    </cfRule>
    <cfRule type="containsText" dxfId="2601" priority="1613" operator="containsText" text="N/A">
      <formula>NOT(ISERROR(SEARCH(("N/A"),(P138))))</formula>
    </cfRule>
    <cfRule type="expression" dxfId="2600" priority="1614">
      <formula>$H138="SUBETAPA"</formula>
    </cfRule>
    <cfRule type="expression" dxfId="2599" priority="1615">
      <formula>$H138="CÉLULA CONSTRUTIVA"</formula>
    </cfRule>
    <cfRule type="expression" dxfId="2598" priority="1616">
      <formula>$H138="ETAPA"</formula>
    </cfRule>
    <cfRule type="containsText" dxfId="2597" priority="1617" operator="containsText" text="Pendente">
      <formula>NOT(ISERROR(SEARCH(("Pendente"),(P138))))</formula>
    </cfRule>
    <cfRule type="containsText" dxfId="2596" priority="1618" operator="containsText" text="Lançado">
      <formula>NOT(ISERROR(SEARCH(("Lançado"),(P138))))</formula>
    </cfRule>
    <cfRule type="containsText" dxfId="2595" priority="1619" operator="containsText" text="N/A">
      <formula>NOT(ISERROR(SEARCH(("N/A"),(P138))))</formula>
    </cfRule>
    <cfRule type="containsText" dxfId="2594" priority="1620" operator="containsText" text="Finalizado">
      <formula>NOT(ISERROR(SEARCH(("Finalizado"),(P138))))</formula>
    </cfRule>
    <cfRule type="containsText" dxfId="2593" priority="1621" operator="containsText" text="em andamento">
      <formula>NOT(ISERROR(SEARCH(("em andamento"),(P138))))</formula>
    </cfRule>
    <cfRule type="containsText" dxfId="2592" priority="1622" operator="containsText" text="Lançado">
      <formula>NOT(ISERROR(SEARCH(("Lançado"),(P138))))</formula>
    </cfRule>
    <cfRule type="containsText" dxfId="2591" priority="1623" operator="containsText" text="N/A">
      <formula>NOT(ISERROR(SEARCH(("N/A"),(P138))))</formula>
    </cfRule>
    <cfRule type="containsText" dxfId="2590" priority="1624" operator="containsText" text="Pendente">
      <formula>NOT(ISERROR(SEARCH(("Pendente"),(P138))))</formula>
    </cfRule>
    <cfRule type="containsText" dxfId="2589" priority="1625" operator="containsText" text="Finalizado">
      <formula>NOT(ISERROR(SEARCH(("Finalizado"),(P138))))</formula>
    </cfRule>
    <cfRule type="containsText" dxfId="2588" priority="1626" operator="containsText" text="em andamento">
      <formula>NOT(ISERROR(SEARCH(("em andamento"),(P138))))</formula>
    </cfRule>
    <cfRule type="containsText" dxfId="2587" priority="1627" operator="containsText" text="Lançado">
      <formula>NOT(ISERROR(SEARCH(("Lançado"),(P138))))</formula>
    </cfRule>
    <cfRule type="containsText" dxfId="2586" priority="1628" operator="containsText" text="N/A">
      <formula>NOT(ISERROR(SEARCH(("N/A"),(P138))))</formula>
    </cfRule>
    <cfRule type="containsText" dxfId="2585" priority="1629" operator="containsText" text="Pendente">
      <formula>NOT(ISERROR(SEARCH(("Pendente"),(P138))))</formula>
    </cfRule>
    <cfRule type="containsText" dxfId="2584" priority="1630" operator="containsText" text="Finalizado">
      <formula>NOT(ISERROR(SEARCH(("Finalizado"),(P138))))</formula>
    </cfRule>
    <cfRule type="containsText" dxfId="2583" priority="1631" operator="containsText" text="em andamento">
      <formula>NOT(ISERROR(SEARCH(("em andamento"),(P138))))</formula>
    </cfRule>
    <cfRule type="containsText" dxfId="2582" priority="1632" operator="containsText" text="Lançado">
      <formula>NOT(ISERROR(SEARCH(("Lançado"),(P138))))</formula>
    </cfRule>
    <cfRule type="containsText" dxfId="2581" priority="1633" operator="containsText" text="N/A">
      <formula>NOT(ISERROR(SEARCH(("N/A"),(P138))))</formula>
    </cfRule>
    <cfRule type="containsText" dxfId="2580" priority="1634" operator="containsText" text="Pendente">
      <formula>NOT(ISERROR(SEARCH(("Pendente"),(P138))))</formula>
    </cfRule>
    <cfRule type="containsText" dxfId="2579" priority="1635" operator="containsText" text="Finalizado">
      <formula>NOT(ISERROR(SEARCH(("Finalizado"),(P138))))</formula>
    </cfRule>
    <cfRule type="containsText" dxfId="2578" priority="1636" operator="containsText" text="em andamento">
      <formula>NOT(ISERROR(SEARCH(("em andamento"),(P138))))</formula>
    </cfRule>
    <cfRule type="containsText" dxfId="2577" priority="1637" operator="containsText" text="Lançado">
      <formula>NOT(ISERROR(SEARCH(("Lançado"),(P138))))</formula>
    </cfRule>
    <cfRule type="containsText" dxfId="2576" priority="1638" operator="containsText" text="N/A">
      <formula>NOT(ISERROR(SEARCH(("N/A"),(P138))))</formula>
    </cfRule>
    <cfRule type="containsText" dxfId="2575" priority="1639" operator="containsText" text="Pendente">
      <formula>NOT(ISERROR(SEARCH(("Pendente"),(P138))))</formula>
    </cfRule>
    <cfRule type="containsText" dxfId="2574" priority="1640" operator="containsText" text="Finalizado">
      <formula>NOT(ISERROR(SEARCH(("Finalizado"),(P138))))</formula>
    </cfRule>
    <cfRule type="containsText" dxfId="2573" priority="1641" operator="containsText" text="em andamento">
      <formula>NOT(ISERROR(SEARCH(("em andamento"),(P138))))</formula>
    </cfRule>
    <cfRule type="containsText" dxfId="2572" priority="1642" operator="containsText" text="Lançado">
      <formula>NOT(ISERROR(SEARCH(("Lançado"),(P138))))</formula>
    </cfRule>
    <cfRule type="containsText" dxfId="2571" priority="1643" operator="containsText" text="N/A">
      <formula>NOT(ISERROR(SEARCH(("N/A"),(P138))))</formula>
    </cfRule>
    <cfRule type="containsText" dxfId="2570" priority="1644" operator="containsText" text="Pendente">
      <formula>NOT(ISERROR(SEARCH(("Pendente"),(P138))))</formula>
    </cfRule>
    <cfRule type="containsText" dxfId="2569" priority="1645" operator="containsText" text="Finalizado">
      <formula>NOT(ISERROR(SEARCH(("Finalizado"),(P138))))</formula>
    </cfRule>
    <cfRule type="containsText" dxfId="2568" priority="1646" operator="containsText" text="em andamento">
      <formula>NOT(ISERROR(SEARCH(("em andamento"),(P138))))</formula>
    </cfRule>
    <cfRule type="expression" dxfId="2567" priority="1647">
      <formula>$H138="SUBETAPA"</formula>
    </cfRule>
    <cfRule type="expression" dxfId="2566" priority="1648">
      <formula>$H138="CÉLULA CONSTRUTIVA"</formula>
    </cfRule>
    <cfRule type="expression" dxfId="2565" priority="1649">
      <formula>$H138="ETAPA"</formula>
    </cfRule>
    <cfRule type="containsText" dxfId="2564" priority="1650" operator="containsText" text="Pendente">
      <formula>NOT(ISERROR(SEARCH(("Pendente"),(P138))))</formula>
    </cfRule>
    <cfRule type="containsText" dxfId="2563" priority="1651" operator="containsText" text="Finalizado">
      <formula>NOT(ISERROR(SEARCH(("Finalizado"),(P138))))</formula>
    </cfRule>
    <cfRule type="containsText" dxfId="2562" priority="1652" operator="containsText" text="em andamento">
      <formula>NOT(ISERROR(SEARCH(("em andamento"),(P138))))</formula>
    </cfRule>
    <cfRule type="containsText" dxfId="2561" priority="1653" operator="containsText" text="Lançado">
      <formula>NOT(ISERROR(SEARCH(("Lançado"),(P138))))</formula>
    </cfRule>
    <cfRule type="containsText" dxfId="2560" priority="1654" operator="containsText" text="N/A">
      <formula>NOT(ISERROR(SEARCH(("N/A"),(P138))))</formula>
    </cfRule>
  </conditionalFormatting>
  <conditionalFormatting sqref="P139">
    <cfRule type="expression" dxfId="2559" priority="4138">
      <formula>$H139="SUBETAPA"</formula>
    </cfRule>
    <cfRule type="expression" dxfId="2558" priority="4139">
      <formula>$H139="CÉLULA CONSTRUTIVA"</formula>
    </cfRule>
    <cfRule type="expression" dxfId="2557" priority="4140">
      <formula>$H139="ETAPA"</formula>
    </cfRule>
    <cfRule type="containsText" dxfId="2556" priority="4141" operator="containsText" text="Lançado">
      <formula>NOT(ISERROR(SEARCH(("Lançado"),(P139))))</formula>
    </cfRule>
    <cfRule type="containsText" dxfId="2555" priority="4142" operator="containsText" text="N/A">
      <formula>NOT(ISERROR(SEARCH(("N/A"),(P139))))</formula>
    </cfRule>
    <cfRule type="containsText" dxfId="2554" priority="4143" operator="containsText" text="Pendente">
      <formula>NOT(ISERROR(SEARCH(("Pendente"),(P139))))</formula>
    </cfRule>
    <cfRule type="containsText" dxfId="2553" priority="4144" operator="containsText" text="Finalizado">
      <formula>NOT(ISERROR(SEARCH(("Finalizado"),(P139))))</formula>
    </cfRule>
    <cfRule type="containsText" dxfId="2552" priority="4145" operator="containsText" text="em andamento">
      <formula>NOT(ISERROR(SEARCH(("em andamento"),(P139))))</formula>
    </cfRule>
    <cfRule type="containsText" dxfId="2551" priority="4146" operator="containsText" text="Lançado">
      <formula>NOT(ISERROR(SEARCH(("Lançado"),(P139))))</formula>
    </cfRule>
    <cfRule type="containsText" dxfId="2550" priority="4147" operator="containsText" text="N/A">
      <formula>NOT(ISERROR(SEARCH(("N/A"),(P139))))</formula>
    </cfRule>
    <cfRule type="containsText" dxfId="2549" priority="4148" operator="containsText" text="Pendente">
      <formula>NOT(ISERROR(SEARCH(("Pendente"),(P139))))</formula>
    </cfRule>
    <cfRule type="containsText" dxfId="2548" priority="4149" operator="containsText" text="Finalizado">
      <formula>NOT(ISERROR(SEARCH(("Finalizado"),(P139))))</formula>
    </cfRule>
    <cfRule type="containsText" dxfId="2547" priority="4150" operator="containsText" text="em andamento">
      <formula>NOT(ISERROR(SEARCH(("em andamento"),(P139))))</formula>
    </cfRule>
    <cfRule type="expression" dxfId="2546" priority="4151">
      <formula>$H139="CÉLULA CONSTRUTIVA"</formula>
    </cfRule>
    <cfRule type="expression" dxfId="2545" priority="4152">
      <formula>$H139="ETAPA"</formula>
    </cfRule>
    <cfRule type="containsText" dxfId="2544" priority="4153" operator="containsText" text="Lançado">
      <formula>NOT(ISERROR(SEARCH(("Lançado"),(P139))))</formula>
    </cfRule>
    <cfRule type="containsText" dxfId="2543" priority="4154" operator="containsText" text="N/A">
      <formula>NOT(ISERROR(SEARCH(("N/A"),(P139))))</formula>
    </cfRule>
    <cfRule type="containsText" dxfId="2542" priority="4155" operator="containsText" text="Pendente">
      <formula>NOT(ISERROR(SEARCH(("Pendente"),(P139))))</formula>
    </cfRule>
    <cfRule type="containsText" dxfId="2541" priority="4156" operator="containsText" text="Finalizado">
      <formula>NOT(ISERROR(SEARCH(("Finalizado"),(P139))))</formula>
    </cfRule>
    <cfRule type="containsText" dxfId="2540" priority="4157" operator="containsText" text="em andamento">
      <formula>NOT(ISERROR(SEARCH(("em andamento"),(P139))))</formula>
    </cfRule>
  </conditionalFormatting>
  <conditionalFormatting sqref="P141">
    <cfRule type="expression" dxfId="2539" priority="4158">
      <formula>$H141="SUBETAPA"</formula>
    </cfRule>
    <cfRule type="expression" dxfId="2538" priority="4159">
      <formula>$H141="CÉLULA CONSTRUTIVA"</formula>
    </cfRule>
    <cfRule type="expression" dxfId="2537" priority="4160">
      <formula>$H141="ETAPA"</formula>
    </cfRule>
    <cfRule type="containsText" dxfId="2536" priority="4161" operator="containsText" text="Lançado">
      <formula>NOT(ISERROR(SEARCH(("Lançado"),(P141))))</formula>
    </cfRule>
    <cfRule type="containsText" dxfId="2535" priority="4162" operator="containsText" text="N/A">
      <formula>NOT(ISERROR(SEARCH(("N/A"),(P141))))</formula>
    </cfRule>
    <cfRule type="containsText" dxfId="2534" priority="4163" operator="containsText" text="Pendente">
      <formula>NOT(ISERROR(SEARCH(("Pendente"),(P141))))</formula>
    </cfRule>
    <cfRule type="containsText" dxfId="2533" priority="4164" operator="containsText" text="Finalizado">
      <formula>NOT(ISERROR(SEARCH(("Finalizado"),(P141))))</formula>
    </cfRule>
    <cfRule type="containsText" dxfId="2532" priority="4165" operator="containsText" text="em andamento">
      <formula>NOT(ISERROR(SEARCH(("em andamento"),(P141))))</formula>
    </cfRule>
    <cfRule type="containsText" dxfId="2531" priority="4166" operator="containsText" text="Lançado">
      <formula>NOT(ISERROR(SEARCH(("Lançado"),(P141))))</formula>
    </cfRule>
    <cfRule type="containsText" dxfId="2530" priority="4167" operator="containsText" text="N/A">
      <formula>NOT(ISERROR(SEARCH(("N/A"),(P141))))</formula>
    </cfRule>
    <cfRule type="containsText" dxfId="2529" priority="4168" operator="containsText" text="Pendente">
      <formula>NOT(ISERROR(SEARCH(("Pendente"),(P141))))</formula>
    </cfRule>
    <cfRule type="containsText" dxfId="2528" priority="4169" operator="containsText" text="Finalizado">
      <formula>NOT(ISERROR(SEARCH(("Finalizado"),(P141))))</formula>
    </cfRule>
    <cfRule type="containsText" dxfId="2527" priority="4170" operator="containsText" text="em andamento">
      <formula>NOT(ISERROR(SEARCH(("em andamento"),(P141))))</formula>
    </cfRule>
    <cfRule type="expression" dxfId="2526" priority="4171">
      <formula>$H141="CÉLULA CONSTRUTIVA"</formula>
    </cfRule>
    <cfRule type="expression" dxfId="2525" priority="4172">
      <formula>$H141="ETAPA"</formula>
    </cfRule>
    <cfRule type="containsText" dxfId="2524" priority="4173" operator="containsText" text="Lançado">
      <formula>NOT(ISERROR(SEARCH(("Lançado"),(P141))))</formula>
    </cfRule>
    <cfRule type="containsText" dxfId="2523" priority="4174" operator="containsText" text="N/A">
      <formula>NOT(ISERROR(SEARCH(("N/A"),(P141))))</formula>
    </cfRule>
    <cfRule type="containsText" dxfId="2522" priority="4175" operator="containsText" text="Pendente">
      <formula>NOT(ISERROR(SEARCH(("Pendente"),(P141))))</formula>
    </cfRule>
    <cfRule type="containsText" dxfId="2521" priority="4176" operator="containsText" text="Finalizado">
      <formula>NOT(ISERROR(SEARCH(("Finalizado"),(P141))))</formula>
    </cfRule>
    <cfRule type="containsText" dxfId="2520" priority="4177" operator="containsText" text="em andamento">
      <formula>NOT(ISERROR(SEARCH(("em andamento"),(P141))))</formula>
    </cfRule>
  </conditionalFormatting>
  <conditionalFormatting sqref="P143 P145">
    <cfRule type="expression" dxfId="2519" priority="4196">
      <formula>$H143="CÉLULA CONSTRUTIVA"</formula>
    </cfRule>
  </conditionalFormatting>
  <conditionalFormatting sqref="P143">
    <cfRule type="expression" dxfId="2518" priority="4178">
      <formula>$H143="ETAPA"</formula>
    </cfRule>
    <cfRule type="containsText" dxfId="2517" priority="4179" operator="containsText" text="Lançado">
      <formula>NOT(ISERROR(SEARCH(("Lançado"),(P143))))</formula>
    </cfRule>
    <cfRule type="containsText" dxfId="2516" priority="4180" operator="containsText" text="N/A">
      <formula>NOT(ISERROR(SEARCH(("N/A"),(P143))))</formula>
    </cfRule>
    <cfRule type="containsText" dxfId="2515" priority="4181" operator="containsText" text="Pendente">
      <formula>NOT(ISERROR(SEARCH(("Pendente"),(P143))))</formula>
    </cfRule>
    <cfRule type="containsText" dxfId="2514" priority="4182" operator="containsText" text="Finalizado">
      <formula>NOT(ISERROR(SEARCH(("Finalizado"),(P143))))</formula>
    </cfRule>
    <cfRule type="containsText" dxfId="2513" priority="4183" operator="containsText" text="em andamento">
      <formula>NOT(ISERROR(SEARCH(("em andamento"),(P143))))</formula>
    </cfRule>
    <cfRule type="containsText" dxfId="2512" priority="4184" operator="containsText" text="Lançado">
      <formula>NOT(ISERROR(SEARCH(("Lançado"),(P143))))</formula>
    </cfRule>
    <cfRule type="containsText" dxfId="2511" priority="4185" operator="containsText" text="N/A">
      <formula>NOT(ISERROR(SEARCH(("N/A"),(P143))))</formula>
    </cfRule>
    <cfRule type="containsText" dxfId="2510" priority="4186" operator="containsText" text="Pendente">
      <formula>NOT(ISERROR(SEARCH(("Pendente"),(P143))))</formula>
    </cfRule>
    <cfRule type="containsText" dxfId="2509" priority="4187" operator="containsText" text="Finalizado">
      <formula>NOT(ISERROR(SEARCH(("Finalizado"),(P143))))</formula>
    </cfRule>
    <cfRule type="containsText" dxfId="2508" priority="4188" operator="containsText" text="em andamento">
      <formula>NOT(ISERROR(SEARCH(("em andamento"),(P143))))</formula>
    </cfRule>
    <cfRule type="containsText" dxfId="2507" priority="4189" operator="containsText" text="Lançado">
      <formula>NOT(ISERROR(SEARCH(("Lançado"),(P143))))</formula>
    </cfRule>
    <cfRule type="containsText" dxfId="2506" priority="4190" operator="containsText" text="N/A">
      <formula>NOT(ISERROR(SEARCH(("N/A"),(P143))))</formula>
    </cfRule>
    <cfRule type="containsText" dxfId="2505" priority="4191" operator="containsText" text="Pendente">
      <formula>NOT(ISERROR(SEARCH(("Pendente"),(P143))))</formula>
    </cfRule>
    <cfRule type="containsText" dxfId="2504" priority="4192" operator="containsText" text="Finalizado">
      <formula>NOT(ISERROR(SEARCH(("Finalizado"),(P143))))</formula>
    </cfRule>
    <cfRule type="containsText" dxfId="2503" priority="4193" operator="containsText" text="em andamento">
      <formula>NOT(ISERROR(SEARCH(("em andamento"),(P143))))</formula>
    </cfRule>
    <cfRule type="expression" dxfId="2502" priority="4194">
      <formula>$H143="SUBETAPA"</formula>
    </cfRule>
    <cfRule type="expression" dxfId="2501" priority="4195">
      <formula>$H143="ETAPA"</formula>
    </cfRule>
  </conditionalFormatting>
  <conditionalFormatting sqref="P144">
    <cfRule type="containsText" dxfId="2500" priority="2880" operator="containsText" text="Finalizado">
      <formula>NOT(ISERROR(SEARCH(("Finalizado"),(P144))))</formula>
    </cfRule>
    <cfRule type="containsText" dxfId="2499" priority="2881" operator="containsText" text="em andamento">
      <formula>NOT(ISERROR(SEARCH(("em andamento"),(P144))))</formula>
    </cfRule>
    <cfRule type="containsText" dxfId="2498" priority="2883" operator="containsText" text="N/A">
      <formula>NOT(ISERROR(SEARCH(("N/A"),(P144))))</formula>
    </cfRule>
    <cfRule type="containsText" dxfId="2497" priority="2884" operator="containsText" text="Lançado">
      <formula>NOT(ISERROR(SEARCH(("Lançado"),(P144))))</formula>
    </cfRule>
    <cfRule type="containsText" dxfId="2496" priority="2885" operator="containsText" text="Pendente">
      <formula>NOT(ISERROR(SEARCH(("Pendente"),(P144))))</formula>
    </cfRule>
  </conditionalFormatting>
  <conditionalFormatting sqref="P146">
    <cfRule type="expression" dxfId="2495" priority="1372">
      <formula>$H146="ETAPA"</formula>
    </cfRule>
    <cfRule type="containsText" dxfId="2494" priority="1373" operator="containsText" text="Lançado">
      <formula>NOT(ISERROR(SEARCH(("Lançado"),(P146))))</formula>
    </cfRule>
    <cfRule type="containsText" dxfId="2493" priority="1374" operator="containsText" text="N/A">
      <formula>NOT(ISERROR(SEARCH(("N/A"),(P146))))</formula>
    </cfRule>
    <cfRule type="expression" dxfId="2492" priority="1375">
      <formula>$H146="CÉLULA CONSTRUTIVA"</formula>
    </cfRule>
    <cfRule type="containsText" dxfId="2491" priority="1376" operator="containsText" text="Pendente">
      <formula>NOT(ISERROR(SEARCH(("Pendente"),(P146))))</formula>
    </cfRule>
    <cfRule type="containsText" dxfId="2490" priority="1377" operator="containsText" text="Finalizado">
      <formula>NOT(ISERROR(SEARCH(("Finalizado"),(P146))))</formula>
    </cfRule>
    <cfRule type="containsText" dxfId="2489" priority="1378" operator="containsText" text="em andamento">
      <formula>NOT(ISERROR(SEARCH(("em andamento"),(P146))))</formula>
    </cfRule>
  </conditionalFormatting>
  <conditionalFormatting sqref="P147 P149 P151 P153">
    <cfRule type="containsText" dxfId="2488" priority="4235" operator="containsText" text="em andamento">
      <formula>NOT(ISERROR(SEARCH(("em andamento"),(P147))))</formula>
    </cfRule>
  </conditionalFormatting>
  <conditionalFormatting sqref="P147 P151 P153 P149">
    <cfRule type="containsText" dxfId="2487" priority="4234" operator="containsText" text="Finalizado">
      <formula>NOT(ISERROR(SEARCH(("Finalizado"),(P147))))</formula>
    </cfRule>
  </conditionalFormatting>
  <conditionalFormatting sqref="P147 P151 P153">
    <cfRule type="expression" dxfId="2486" priority="4215">
      <formula>$H147="SUBETAPA"</formula>
    </cfRule>
    <cfRule type="expression" dxfId="2485" priority="4216">
      <formula>$H147="CÉLULA CONSTRUTIVA"</formula>
    </cfRule>
    <cfRule type="expression" dxfId="2484" priority="4217">
      <formula>$H147="ETAPA"</formula>
    </cfRule>
    <cfRule type="containsText" dxfId="2483" priority="4218" operator="containsText" text="Lançado">
      <formula>NOT(ISERROR(SEARCH(("Lançado"),(P147))))</formula>
    </cfRule>
    <cfRule type="containsText" dxfId="2482" priority="4219" operator="containsText" text="N/A">
      <formula>NOT(ISERROR(SEARCH(("N/A"),(P147))))</formula>
    </cfRule>
    <cfRule type="containsText" dxfId="2481" priority="4220" operator="containsText" text="Pendente">
      <formula>NOT(ISERROR(SEARCH(("Pendente"),(P147))))</formula>
    </cfRule>
    <cfRule type="containsText" dxfId="2480" priority="4221" operator="containsText" text="Finalizado">
      <formula>NOT(ISERROR(SEARCH(("Finalizado"),(P147))))</formula>
    </cfRule>
    <cfRule type="containsText" dxfId="2479" priority="4222" operator="containsText" text="em andamento">
      <formula>NOT(ISERROR(SEARCH(("em andamento"),(P147))))</formula>
    </cfRule>
    <cfRule type="containsText" dxfId="2478" priority="4223" operator="containsText" text="Lançado">
      <formula>NOT(ISERROR(SEARCH(("Lançado"),(P147))))</formula>
    </cfRule>
    <cfRule type="containsText" dxfId="2477" priority="4224" operator="containsText" text="N/A">
      <formula>NOT(ISERROR(SEARCH(("N/A"),(P147))))</formula>
    </cfRule>
    <cfRule type="containsText" dxfId="2476" priority="4225" operator="containsText" text="Pendente">
      <formula>NOT(ISERROR(SEARCH(("Pendente"),(P147))))</formula>
    </cfRule>
    <cfRule type="containsText" dxfId="2475" priority="4226" operator="containsText" text="Finalizado">
      <formula>NOT(ISERROR(SEARCH(("Finalizado"),(P147))))</formula>
    </cfRule>
    <cfRule type="containsText" dxfId="2474" priority="4227" operator="containsText" text="em andamento">
      <formula>NOT(ISERROR(SEARCH(("em andamento"),(P147))))</formula>
    </cfRule>
    <cfRule type="expression" dxfId="2473" priority="4228">
      <formula>$H147="SUBETAPA"</formula>
    </cfRule>
    <cfRule type="expression" dxfId="2472" priority="4229">
      <formula>$H147="CÉLULA CONSTRUTIVA"</formula>
    </cfRule>
    <cfRule type="expression" dxfId="2471" priority="4230">
      <formula>$H147="ETAPA"</formula>
    </cfRule>
    <cfRule type="containsText" dxfId="2470" priority="4231" operator="containsText" text="Lançado">
      <formula>NOT(ISERROR(SEARCH(("Lançado"),(P147))))</formula>
    </cfRule>
    <cfRule type="containsText" dxfId="2469" priority="4232" operator="containsText" text="N/A">
      <formula>NOT(ISERROR(SEARCH(("N/A"),(P147))))</formula>
    </cfRule>
    <cfRule type="containsText" dxfId="2468" priority="4233" operator="containsText" text="Pendente">
      <formula>NOT(ISERROR(SEARCH(("Pendente"),(P147))))</formula>
    </cfRule>
  </conditionalFormatting>
  <conditionalFormatting sqref="P148">
    <cfRule type="containsText" dxfId="2467" priority="1357" operator="containsText" text="Lançado">
      <formula>NOT(ISERROR(SEARCH(("Lançado"),(P148))))</formula>
    </cfRule>
    <cfRule type="containsText" dxfId="2466" priority="1358" operator="containsText" text="N/A">
      <formula>NOT(ISERROR(SEARCH(("N/A"),(P148))))</formula>
    </cfRule>
    <cfRule type="expression" dxfId="2465" priority="1359">
      <formula>$H148="CÉLULA CONSTRUTIVA"</formula>
    </cfRule>
    <cfRule type="containsText" dxfId="2464" priority="1360" operator="containsText" text="Pendente">
      <formula>NOT(ISERROR(SEARCH(("Pendente"),(P148))))</formula>
    </cfRule>
    <cfRule type="containsText" dxfId="2463" priority="1361" operator="containsText" text="Finalizado">
      <formula>NOT(ISERROR(SEARCH(("Finalizado"),(P148))))</formula>
    </cfRule>
    <cfRule type="containsText" dxfId="2462" priority="1362" operator="containsText" text="em andamento">
      <formula>NOT(ISERROR(SEARCH(("em andamento"),(P148))))</formula>
    </cfRule>
  </conditionalFormatting>
  <conditionalFormatting sqref="P149 P151 P153 P155">
    <cfRule type="containsText" dxfId="2461" priority="4255" operator="containsText" text="Lançado">
      <formula>NOT(ISERROR(SEARCH(("Lançado"),(P149))))</formula>
    </cfRule>
    <cfRule type="containsText" dxfId="2460" priority="4256" operator="containsText" text="N/A">
      <formula>NOT(ISERROR(SEARCH(("N/A"),(P149))))</formula>
    </cfRule>
    <cfRule type="containsText" dxfId="2459" priority="4259" operator="containsText" text="Pendente">
      <formula>NOT(ISERROR(SEARCH(("Pendente"),(P149))))</formula>
    </cfRule>
    <cfRule type="containsText" dxfId="2458" priority="4260" operator="containsText" text="Finalizado">
      <formula>NOT(ISERROR(SEARCH(("Finalizado"),(P149))))</formula>
    </cfRule>
    <cfRule type="containsText" dxfId="2457" priority="4261" operator="containsText" text="em andamento">
      <formula>NOT(ISERROR(SEARCH(("em andamento"),(P149))))</formula>
    </cfRule>
  </conditionalFormatting>
  <conditionalFormatting sqref="P149 P151 P153">
    <cfRule type="containsText" dxfId="2456" priority="4246" operator="containsText" text="Pendente">
      <formula>NOT(ISERROR(SEARCH(("Pendente"),(P149))))</formula>
    </cfRule>
    <cfRule type="containsText" dxfId="2455" priority="4247" operator="containsText" text="Finalizado">
      <formula>NOT(ISERROR(SEARCH(("Finalizado"),(P149))))</formula>
    </cfRule>
    <cfRule type="containsText" dxfId="2454" priority="4248" operator="containsText" text="em andamento">
      <formula>NOT(ISERROR(SEARCH(("em andamento"),(P149))))</formula>
    </cfRule>
    <cfRule type="expression" dxfId="2453" priority="4249">
      <formula>$H149="SUBETAPA"</formula>
    </cfRule>
    <cfRule type="expression" dxfId="2452" priority="4250">
      <formula>$H149="CÉLULA CONSTRUTIVA"</formula>
    </cfRule>
    <cfRule type="expression" dxfId="2451" priority="4251">
      <formula>$H149="ETAPA"</formula>
    </cfRule>
    <cfRule type="expression" dxfId="2450" priority="4252">
      <formula>$H149="SUBETAPA"</formula>
    </cfRule>
    <cfRule type="expression" dxfId="2449" priority="4253">
      <formula>$H149="CÉLULA CONSTRUTIVA"</formula>
    </cfRule>
    <cfRule type="expression" dxfId="2448" priority="4254">
      <formula>$H149="ETAPA"</formula>
    </cfRule>
  </conditionalFormatting>
  <conditionalFormatting sqref="P150">
    <cfRule type="containsText" dxfId="2447" priority="1341" operator="containsText" text="Lançado">
      <formula>NOT(ISERROR(SEARCH(("Lançado"),(P150))))</formula>
    </cfRule>
    <cfRule type="containsText" dxfId="2446" priority="1342" operator="containsText" text="N/A">
      <formula>NOT(ISERROR(SEARCH(("N/A"),(P150))))</formula>
    </cfRule>
    <cfRule type="expression" dxfId="2445" priority="1343">
      <formula>$H150="CÉLULA CONSTRUTIVA"</formula>
    </cfRule>
    <cfRule type="containsText" dxfId="2444" priority="1344" operator="containsText" text="Pendente">
      <formula>NOT(ISERROR(SEARCH(("Pendente"),(P150))))</formula>
    </cfRule>
    <cfRule type="containsText" dxfId="2443" priority="1345" operator="containsText" text="Finalizado">
      <formula>NOT(ISERROR(SEARCH(("Finalizado"),(P150))))</formula>
    </cfRule>
    <cfRule type="containsText" dxfId="2442" priority="1346" operator="containsText" text="em andamento">
      <formula>NOT(ISERROR(SEARCH(("em andamento"),(P150))))</formula>
    </cfRule>
  </conditionalFormatting>
  <conditionalFormatting sqref="P151 P153 P149">
    <cfRule type="containsText" dxfId="2441" priority="4244" operator="containsText" text="Lançado">
      <formula>NOT(ISERROR(SEARCH(("Lançado"),(P149))))</formula>
    </cfRule>
    <cfRule type="containsText" dxfId="2440" priority="4245" operator="containsText" text="N/A">
      <formula>NOT(ISERROR(SEARCH(("N/A"),(P149))))</formula>
    </cfRule>
  </conditionalFormatting>
  <conditionalFormatting sqref="P151 P153">
    <cfRule type="containsText" dxfId="2439" priority="4241" operator="containsText" text="Pendente">
      <formula>NOT(ISERROR(SEARCH(("Pendente"),(P151))))</formula>
    </cfRule>
    <cfRule type="containsText" dxfId="2438" priority="4242" operator="containsText" text="Finalizado">
      <formula>NOT(ISERROR(SEARCH(("Finalizado"),(P151))))</formula>
    </cfRule>
    <cfRule type="containsText" dxfId="2437" priority="4243" operator="containsText" text="em andamento">
      <formula>NOT(ISERROR(SEARCH(("em andamento"),(P151))))</formula>
    </cfRule>
  </conditionalFormatting>
  <conditionalFormatting sqref="P152">
    <cfRule type="containsText" dxfId="2436" priority="1325" operator="containsText" text="Lançado">
      <formula>NOT(ISERROR(SEARCH(("Lançado"),(P152))))</formula>
    </cfRule>
    <cfRule type="containsText" dxfId="2435" priority="1326" operator="containsText" text="N/A">
      <formula>NOT(ISERROR(SEARCH(("N/A"),(P152))))</formula>
    </cfRule>
    <cfRule type="expression" dxfId="2434" priority="1327">
      <formula>$H152="CÉLULA CONSTRUTIVA"</formula>
    </cfRule>
    <cfRule type="containsText" dxfId="2433" priority="1328" operator="containsText" text="Pendente">
      <formula>NOT(ISERROR(SEARCH(("Pendente"),(P152))))</formula>
    </cfRule>
    <cfRule type="containsText" dxfId="2432" priority="1329" operator="containsText" text="Finalizado">
      <formula>NOT(ISERROR(SEARCH(("Finalizado"),(P152))))</formula>
    </cfRule>
    <cfRule type="containsText" dxfId="2431" priority="1330" operator="containsText" text="em andamento">
      <formula>NOT(ISERROR(SEARCH(("em andamento"),(P152))))</formula>
    </cfRule>
  </conditionalFormatting>
  <conditionalFormatting sqref="P154">
    <cfRule type="containsText" dxfId="2430" priority="1217" operator="containsText" text="Lançado">
      <formula>NOT(ISERROR(SEARCH(("Lançado"),(P154))))</formula>
    </cfRule>
    <cfRule type="containsText" dxfId="2429" priority="1218" operator="containsText" text="N/A">
      <formula>NOT(ISERROR(SEARCH(("N/A"),(P154))))</formula>
    </cfRule>
    <cfRule type="containsText" dxfId="2428" priority="1219" operator="containsText" text="Pendente">
      <formula>NOT(ISERROR(SEARCH(("Pendente"),(P154))))</formula>
    </cfRule>
    <cfRule type="containsText" dxfId="2427" priority="1220" operator="containsText" text="Finalizado">
      <formula>NOT(ISERROR(SEARCH(("Finalizado"),(P154))))</formula>
    </cfRule>
    <cfRule type="containsText" dxfId="2426" priority="1221" operator="containsText" text="em andamento">
      <formula>NOT(ISERROR(SEARCH(("em andamento"),(P154))))</formula>
    </cfRule>
    <cfRule type="expression" dxfId="2425" priority="1222">
      <formula>$H154="CÉLULA CONSTRUTIVA"</formula>
    </cfRule>
    <cfRule type="expression" dxfId="2424" priority="1223">
      <formula>$H154="ETAPA"</formula>
    </cfRule>
    <cfRule type="expression" dxfId="2423" priority="1224">
      <formula>$H154="SUBETAPA"</formula>
    </cfRule>
    <cfRule type="expression" dxfId="2422" priority="1225">
      <formula>$H154="CÉLULA CONSTRUTIVA"</formula>
    </cfRule>
    <cfRule type="expression" dxfId="2421" priority="1226">
      <formula>$H154="ETAPA"</formula>
    </cfRule>
  </conditionalFormatting>
  <conditionalFormatting sqref="P155">
    <cfRule type="expression" dxfId="2420" priority="4277">
      <formula>$H155="SUBETAPA"</formula>
    </cfRule>
    <cfRule type="expression" dxfId="2419" priority="4278">
      <formula>$H155="CÉLULA CONSTRUTIVA"</formula>
    </cfRule>
    <cfRule type="expression" dxfId="2418" priority="4279">
      <formula>$H155="ETAPA"</formula>
    </cfRule>
    <cfRule type="containsText" dxfId="2417" priority="4280" operator="containsText" text="Lançado">
      <formula>NOT(ISERROR(SEARCH(("Lançado"),(P155))))</formula>
    </cfRule>
    <cfRule type="containsText" dxfId="2416" priority="4281" operator="containsText" text="N/A">
      <formula>NOT(ISERROR(SEARCH(("N/A"),(P155))))</formula>
    </cfRule>
    <cfRule type="containsText" dxfId="2415" priority="4282" operator="containsText" text="Pendente">
      <formula>NOT(ISERROR(SEARCH(("Pendente"),(P155))))</formula>
    </cfRule>
    <cfRule type="containsText" dxfId="2414" priority="4283" operator="containsText" text="Finalizado">
      <formula>NOT(ISERROR(SEARCH(("Finalizado"),(P155))))</formula>
    </cfRule>
    <cfRule type="containsText" dxfId="2413" priority="4284" operator="containsText" text="em andamento">
      <formula>NOT(ISERROR(SEARCH(("em andamento"),(P155))))</formula>
    </cfRule>
    <cfRule type="containsText" dxfId="2412" priority="4285" operator="containsText" text="Lançado">
      <formula>NOT(ISERROR(SEARCH(("Lançado"),(P155))))</formula>
    </cfRule>
    <cfRule type="containsText" dxfId="2411" priority="4286" operator="containsText" text="N/A">
      <formula>NOT(ISERROR(SEARCH(("N/A"),(P155))))</formula>
    </cfRule>
    <cfRule type="containsText" dxfId="2410" priority="4287" operator="containsText" text="Pendente">
      <formula>NOT(ISERROR(SEARCH(("Pendente"),(P155))))</formula>
    </cfRule>
    <cfRule type="containsText" dxfId="2409" priority="4288" operator="containsText" text="Finalizado">
      <formula>NOT(ISERROR(SEARCH(("Finalizado"),(P155))))</formula>
    </cfRule>
    <cfRule type="containsText" dxfId="2408" priority="4289" operator="containsText" text="em andamento">
      <formula>NOT(ISERROR(SEARCH(("em andamento"),(P155))))</formula>
    </cfRule>
    <cfRule type="expression" dxfId="2407" priority="4290">
      <formula>$H155="ETAPA"</formula>
    </cfRule>
    <cfRule type="expression" dxfId="2406" priority="4291">
      <formula>$H155="SUBETAPA"</formula>
    </cfRule>
  </conditionalFormatting>
  <conditionalFormatting sqref="P156">
    <cfRule type="containsText" dxfId="2405" priority="2865" operator="containsText" text="Finalizado">
      <formula>NOT(ISERROR(SEARCH(("Finalizado"),(P156))))</formula>
    </cfRule>
    <cfRule type="containsText" dxfId="2404" priority="2866" operator="containsText" text="em andamento">
      <formula>NOT(ISERROR(SEARCH(("em andamento"),(P156))))</formula>
    </cfRule>
    <cfRule type="containsText" dxfId="2403" priority="2868" operator="containsText" text="N/A">
      <formula>NOT(ISERROR(SEARCH(("N/A"),(P156))))</formula>
    </cfRule>
    <cfRule type="containsText" dxfId="2402" priority="2869" operator="containsText" text="Lançado">
      <formula>NOT(ISERROR(SEARCH(("Lançado"),(P156))))</formula>
    </cfRule>
    <cfRule type="containsText" dxfId="2401" priority="2870" operator="containsText" text="Pendente">
      <formula>NOT(ISERROR(SEARCH(("Pendente"),(P156))))</formula>
    </cfRule>
  </conditionalFormatting>
  <conditionalFormatting sqref="P157">
    <cfRule type="expression" dxfId="2400" priority="4308">
      <formula>$H157="SUBETAPA"</formula>
    </cfRule>
    <cfRule type="containsText" dxfId="2399" priority="4309" operator="containsText" text="Lançado">
      <formula>NOT(ISERROR(SEARCH(("Lançado"),(P157))))</formula>
    </cfRule>
    <cfRule type="containsText" dxfId="2398" priority="4310" operator="containsText" text="N/A">
      <formula>NOT(ISERROR(SEARCH(("N/A"),(P157))))</formula>
    </cfRule>
    <cfRule type="containsText" dxfId="2397" priority="4311" operator="containsText" text="Pendente">
      <formula>NOT(ISERROR(SEARCH(("Pendente"),(P157))))</formula>
    </cfRule>
    <cfRule type="containsText" dxfId="2396" priority="4312" operator="containsText" text="Finalizado">
      <formula>NOT(ISERROR(SEARCH(("Finalizado"),(P157))))</formula>
    </cfRule>
    <cfRule type="containsText" dxfId="2395" priority="4313" operator="containsText" text="em andamento">
      <formula>NOT(ISERROR(SEARCH(("em andamento"),(P157))))</formula>
    </cfRule>
  </conditionalFormatting>
  <conditionalFormatting sqref="P158">
    <cfRule type="containsText" dxfId="2394" priority="536" operator="containsText" text="Lançado">
      <formula>NOT(ISERROR(SEARCH(("Lançado"),(P158))))</formula>
    </cfRule>
    <cfRule type="containsText" dxfId="2393" priority="537" operator="containsText" text="N/A">
      <formula>NOT(ISERROR(SEARCH(("N/A"),(P158))))</formula>
    </cfRule>
    <cfRule type="expression" dxfId="2392" priority="538">
      <formula>$H158="CÉLULA CONSTRUTIVA"</formula>
    </cfRule>
    <cfRule type="containsText" dxfId="2391" priority="539" operator="containsText" text="Pendente">
      <formula>NOT(ISERROR(SEARCH(("Pendente"),(P158))))</formula>
    </cfRule>
    <cfRule type="containsText" dxfId="2390" priority="540" operator="containsText" text="Finalizado">
      <formula>NOT(ISERROR(SEARCH(("Finalizado"),(P158))))</formula>
    </cfRule>
    <cfRule type="containsText" dxfId="2389" priority="541" operator="containsText" text="em andamento">
      <formula>NOT(ISERROR(SEARCH(("em andamento"),(P158))))</formula>
    </cfRule>
  </conditionalFormatting>
  <conditionalFormatting sqref="P159 P161">
    <cfRule type="containsText" dxfId="2388" priority="4330" operator="containsText" text="Lançado">
      <formula>NOT(ISERROR(SEARCH(("Lançado"),(P159))))</formula>
    </cfRule>
    <cfRule type="containsText" dxfId="2387" priority="4331" operator="containsText" text="N/A">
      <formula>NOT(ISERROR(SEARCH(("N/A"),(P159))))</formula>
    </cfRule>
    <cfRule type="containsText" dxfId="2386" priority="4332" operator="containsText" text="Pendente">
      <formula>NOT(ISERROR(SEARCH(("Pendente"),(P159))))</formula>
    </cfRule>
    <cfRule type="containsText" dxfId="2385" priority="4333" operator="containsText" text="Finalizado">
      <formula>NOT(ISERROR(SEARCH(("Finalizado"),(P159))))</formula>
    </cfRule>
    <cfRule type="containsText" dxfId="2384" priority="4334" operator="containsText" text="em andamento">
      <formula>NOT(ISERROR(SEARCH(("em andamento"),(P159))))</formula>
    </cfRule>
  </conditionalFormatting>
  <conditionalFormatting sqref="P159">
    <cfRule type="containsText" dxfId="2383" priority="490" operator="containsText" text="Lançado">
      <formula>NOT(ISERROR(SEARCH(("Lançado"),(P159))))</formula>
    </cfRule>
    <cfRule type="containsText" dxfId="2382" priority="491" operator="containsText" text="N/A">
      <formula>NOT(ISERROR(SEARCH(("N/A"),(P159))))</formula>
    </cfRule>
    <cfRule type="containsText" dxfId="2381" priority="492" operator="containsText" text="Pendente">
      <formula>NOT(ISERROR(SEARCH(("Pendente"),(P159))))</formula>
    </cfRule>
    <cfRule type="containsText" dxfId="2380" priority="493" operator="containsText" text="Finalizado">
      <formula>NOT(ISERROR(SEARCH(("Finalizado"),(P159))))</formula>
    </cfRule>
    <cfRule type="containsText" dxfId="2379" priority="494" operator="containsText" text="em andamento">
      <formula>NOT(ISERROR(SEARCH(("em andamento"),(P159))))</formula>
    </cfRule>
    <cfRule type="expression" dxfId="2378" priority="495">
      <formula>$H159="SUBETAPA"</formula>
    </cfRule>
    <cfRule type="expression" dxfId="2377" priority="496">
      <formula>$H159="CÉLULA CONSTRUTIVA"</formula>
    </cfRule>
    <cfRule type="expression" dxfId="2376" priority="497">
      <formula>$H159="ETAPA"</formula>
    </cfRule>
    <cfRule type="containsText" dxfId="2375" priority="498" operator="containsText" text="Lançado">
      <formula>NOT(ISERROR(SEARCH(("Lançado"),(P159))))</formula>
    </cfRule>
    <cfRule type="containsText" dxfId="2374" priority="499" operator="containsText" text="N/A">
      <formula>NOT(ISERROR(SEARCH(("N/A"),(P159))))</formula>
    </cfRule>
    <cfRule type="containsText" dxfId="2373" priority="500" operator="containsText" text="Pendente">
      <formula>NOT(ISERROR(SEARCH(("Pendente"),(P159))))</formula>
    </cfRule>
    <cfRule type="containsText" dxfId="2372" priority="501" operator="containsText" text="Finalizado">
      <formula>NOT(ISERROR(SEARCH(("Finalizado"),(P159))))</formula>
    </cfRule>
    <cfRule type="containsText" dxfId="2371" priority="502" operator="containsText" text="em andamento">
      <formula>NOT(ISERROR(SEARCH(("em andamento"),(P159))))</formula>
    </cfRule>
    <cfRule type="containsText" dxfId="2370" priority="503" operator="containsText" text="Lançado">
      <formula>NOT(ISERROR(SEARCH(("Lançado"),(P159))))</formula>
    </cfRule>
    <cfRule type="containsText" dxfId="2369" priority="504" operator="containsText" text="N/A">
      <formula>NOT(ISERROR(SEARCH(("N/A"),(P159))))</formula>
    </cfRule>
    <cfRule type="containsText" dxfId="2368" priority="505" operator="containsText" text="Pendente">
      <formula>NOT(ISERROR(SEARCH(("Pendente"),(P159))))</formula>
    </cfRule>
    <cfRule type="containsText" dxfId="2367" priority="506" operator="containsText" text="Finalizado">
      <formula>NOT(ISERROR(SEARCH(("Finalizado"),(P159))))</formula>
    </cfRule>
    <cfRule type="containsText" dxfId="2366" priority="507" operator="containsText" text="em andamento">
      <formula>NOT(ISERROR(SEARCH(("em andamento"),(P159))))</formula>
    </cfRule>
    <cfRule type="expression" dxfId="2365" priority="508">
      <formula>$H159="ETAPA"</formula>
    </cfRule>
    <cfRule type="expression" dxfId="2364" priority="509">
      <formula>$H159="SUBETAPA"</formula>
    </cfRule>
    <cfRule type="expression" dxfId="2363" priority="4314">
      <formula>$H159="SUBETAPA"</formula>
    </cfRule>
    <cfRule type="expression" dxfId="2362" priority="4315">
      <formula>$H159="CÉLULA CONSTRUTIVA"</formula>
    </cfRule>
    <cfRule type="expression" dxfId="2361" priority="4316">
      <formula>$H159="ETAPA"</formula>
    </cfRule>
    <cfRule type="containsText" dxfId="2360" priority="4317" operator="containsText" text="Lançado">
      <formula>NOT(ISERROR(SEARCH(("Lançado"),(P159))))</formula>
    </cfRule>
    <cfRule type="containsText" dxfId="2359" priority="4318" operator="containsText" text="N/A">
      <formula>NOT(ISERROR(SEARCH(("N/A"),(P159))))</formula>
    </cfRule>
    <cfRule type="containsText" dxfId="2358" priority="4319" operator="containsText" text="Pendente">
      <formula>NOT(ISERROR(SEARCH(("Pendente"),(P159))))</formula>
    </cfRule>
    <cfRule type="containsText" dxfId="2357" priority="4320" operator="containsText" text="Finalizado">
      <formula>NOT(ISERROR(SEARCH(("Finalizado"),(P159))))</formula>
    </cfRule>
    <cfRule type="containsText" dxfId="2356" priority="4321" operator="containsText" text="em andamento">
      <formula>NOT(ISERROR(SEARCH(("em andamento"),(P159))))</formula>
    </cfRule>
    <cfRule type="containsText" dxfId="2355" priority="4322" operator="containsText" text="Lançado">
      <formula>NOT(ISERROR(SEARCH(("Lançado"),(P159))))</formula>
    </cfRule>
    <cfRule type="containsText" dxfId="2354" priority="4323" operator="containsText" text="N/A">
      <formula>NOT(ISERROR(SEARCH(("N/A"),(P159))))</formula>
    </cfRule>
    <cfRule type="containsText" dxfId="2353" priority="4324" operator="containsText" text="Pendente">
      <formula>NOT(ISERROR(SEARCH(("Pendente"),(P159))))</formula>
    </cfRule>
    <cfRule type="containsText" dxfId="2352" priority="4325" operator="containsText" text="Finalizado">
      <formula>NOT(ISERROR(SEARCH(("Finalizado"),(P159))))</formula>
    </cfRule>
    <cfRule type="containsText" dxfId="2351" priority="4326" operator="containsText" text="em andamento">
      <formula>NOT(ISERROR(SEARCH(("em andamento"),(P159))))</formula>
    </cfRule>
    <cfRule type="expression" dxfId="2350" priority="4327">
      <formula>$H159="SUBETAPA"</formula>
    </cfRule>
  </conditionalFormatting>
  <conditionalFormatting sqref="P160">
    <cfRule type="containsText" dxfId="2349" priority="520" operator="containsText" text="Lançado">
      <formula>NOT(ISERROR(SEARCH(("Lançado"),(P160))))</formula>
    </cfRule>
    <cfRule type="containsText" dxfId="2348" priority="521" operator="containsText" text="N/A">
      <formula>NOT(ISERROR(SEARCH(("N/A"),(P160))))</formula>
    </cfRule>
    <cfRule type="expression" dxfId="2347" priority="522">
      <formula>$H160="CÉLULA CONSTRUTIVA"</formula>
    </cfRule>
    <cfRule type="containsText" dxfId="2346" priority="523" operator="containsText" text="Pendente">
      <formula>NOT(ISERROR(SEARCH(("Pendente"),(P160))))</formula>
    </cfRule>
    <cfRule type="containsText" dxfId="2345" priority="524" operator="containsText" text="Finalizado">
      <formula>NOT(ISERROR(SEARCH(("Finalizado"),(P160))))</formula>
    </cfRule>
    <cfRule type="containsText" dxfId="2344" priority="525" operator="containsText" text="em andamento">
      <formula>NOT(ISERROR(SEARCH(("em andamento"),(P160))))</formula>
    </cfRule>
  </conditionalFormatting>
  <conditionalFormatting sqref="P161">
    <cfRule type="expression" dxfId="2343" priority="4335">
      <formula>$H161="SUBETAPA"</formula>
    </cfRule>
    <cfRule type="expression" dxfId="2342" priority="4336">
      <formula>$H161="CÉLULA CONSTRUTIVA"</formula>
    </cfRule>
    <cfRule type="expression" dxfId="2341" priority="4337">
      <formula>$H161="ETAPA"</formula>
    </cfRule>
    <cfRule type="containsText" dxfId="2340" priority="4338" operator="containsText" text="Lançado">
      <formula>NOT(ISERROR(SEARCH(("Lançado"),(P161))))</formula>
    </cfRule>
    <cfRule type="containsText" dxfId="2339" priority="4339" operator="containsText" text="N/A">
      <formula>NOT(ISERROR(SEARCH(("N/A"),(P161))))</formula>
    </cfRule>
    <cfRule type="containsText" dxfId="2338" priority="4340" operator="containsText" text="Pendente">
      <formula>NOT(ISERROR(SEARCH(("Pendente"),(P161))))</formula>
    </cfRule>
    <cfRule type="containsText" dxfId="2337" priority="4341" operator="containsText" text="Finalizado">
      <formula>NOT(ISERROR(SEARCH(("Finalizado"),(P161))))</formula>
    </cfRule>
    <cfRule type="containsText" dxfId="2336" priority="4342" operator="containsText" text="em andamento">
      <formula>NOT(ISERROR(SEARCH(("em andamento"),(P161))))</formula>
    </cfRule>
    <cfRule type="containsText" dxfId="2335" priority="4343" operator="containsText" text="Lançado">
      <formula>NOT(ISERROR(SEARCH(("Lançado"),(P161))))</formula>
    </cfRule>
    <cfRule type="containsText" dxfId="2334" priority="4344" operator="containsText" text="N/A">
      <formula>NOT(ISERROR(SEARCH(("N/A"),(P161))))</formula>
    </cfRule>
    <cfRule type="containsText" dxfId="2333" priority="4345" operator="containsText" text="Pendente">
      <formula>NOT(ISERROR(SEARCH(("Pendente"),(P161))))</formula>
    </cfRule>
    <cfRule type="containsText" dxfId="2332" priority="4346" operator="containsText" text="Finalizado">
      <formula>NOT(ISERROR(SEARCH(("Finalizado"),(P161))))</formula>
    </cfRule>
    <cfRule type="containsText" dxfId="2331" priority="4347" operator="containsText" text="em andamento">
      <formula>NOT(ISERROR(SEARCH(("em andamento"),(P161))))</formula>
    </cfRule>
    <cfRule type="expression" dxfId="2330" priority="4348">
      <formula>$H161="SUBETAPA"</formula>
    </cfRule>
    <cfRule type="expression" dxfId="2329" priority="4349">
      <formula>$H161="CÉLULA CONSTRUTIVA"</formula>
    </cfRule>
    <cfRule type="expression" dxfId="2328" priority="4350">
      <formula>$H161="ETAPA"</formula>
    </cfRule>
  </conditionalFormatting>
  <conditionalFormatting sqref="P162">
    <cfRule type="containsText" dxfId="2327" priority="2850" operator="containsText" text="Finalizado">
      <formula>NOT(ISERROR(SEARCH(("Finalizado"),(P162))))</formula>
    </cfRule>
    <cfRule type="containsText" dxfId="2326" priority="2851" operator="containsText" text="em andamento">
      <formula>NOT(ISERROR(SEARCH(("em andamento"),(P162))))</formula>
    </cfRule>
    <cfRule type="expression" dxfId="2325" priority="2852">
      <formula>$H162="CÉLULA CONSTRUTIVA"</formula>
    </cfRule>
    <cfRule type="containsText" dxfId="2324" priority="2853" operator="containsText" text="N/A">
      <formula>NOT(ISERROR(SEARCH(("N/A"),(P162))))</formula>
    </cfRule>
    <cfRule type="containsText" dxfId="2323" priority="2854" operator="containsText" text="Lançado">
      <formula>NOT(ISERROR(SEARCH(("Lançado"),(P162))))</formula>
    </cfRule>
    <cfRule type="containsText" dxfId="2322" priority="2855" operator="containsText" text="Pendente">
      <formula>NOT(ISERROR(SEARCH(("Pendente"),(P162))))</formula>
    </cfRule>
  </conditionalFormatting>
  <conditionalFormatting sqref="P163 P170">
    <cfRule type="expression" dxfId="2321" priority="4351">
      <formula>$H163="ETAPA"</formula>
    </cfRule>
    <cfRule type="expression" dxfId="2320" priority="4352">
      <formula>$H163="SUBETAPA"</formula>
    </cfRule>
    <cfRule type="expression" dxfId="2319" priority="4353">
      <formula>$H163="ETAPA"</formula>
    </cfRule>
  </conditionalFormatting>
  <conditionalFormatting sqref="P163 P170:P171">
    <cfRule type="expression" dxfId="2318" priority="4354">
      <formula>$H163="CÉLULA CONSTRUTIVA"</formula>
    </cfRule>
  </conditionalFormatting>
  <conditionalFormatting sqref="P163">
    <cfRule type="containsText" dxfId="2317" priority="4355" operator="containsText" text="Lançado">
      <formula>NOT(ISERROR(SEARCH(("Lançado"),(P163))))</formula>
    </cfRule>
    <cfRule type="containsText" dxfId="2316" priority="4356" operator="containsText" text="N/A">
      <formula>NOT(ISERROR(SEARCH(("N/A"),(P163))))</formula>
    </cfRule>
    <cfRule type="containsText" dxfId="2315" priority="4357" operator="containsText" text="Pendente">
      <formula>NOT(ISERROR(SEARCH(("Pendente"),(P163))))</formula>
    </cfRule>
    <cfRule type="containsText" dxfId="2314" priority="4358" operator="containsText" text="Finalizado">
      <formula>NOT(ISERROR(SEARCH(("Finalizado"),(P163))))</formula>
    </cfRule>
    <cfRule type="containsText" dxfId="2313" priority="4359" operator="containsText" text="em andamento">
      <formula>NOT(ISERROR(SEARCH(("em andamento"),(P163))))</formula>
    </cfRule>
  </conditionalFormatting>
  <conditionalFormatting sqref="P163:P165 P167 P178 P180:P182">
    <cfRule type="expression" dxfId="2312" priority="4361">
      <formula>$H163="SUBETAPA"</formula>
    </cfRule>
  </conditionalFormatting>
  <conditionalFormatting sqref="P163:P165 P178 P167 P182">
    <cfRule type="expression" dxfId="2311" priority="4360">
      <formula>$H163="CÉLULA CONSTRUTIVA"</formula>
    </cfRule>
  </conditionalFormatting>
  <conditionalFormatting sqref="P163:P168 O101:O104 O106 P118:P127 G119:L121 G122:H122 G124:H124 G126:H126 P130:P137 G138:H138 O138:P138 P139:P143 P145:P155 P157:P161 P177:P183 N208:P208 N223:P223 P297:P305 P307:P325 N90:P90 G101:L101 G103:L103 G106:H106 G109:L109 G147:O147 M155:O155 N191:O193 P205 N206:P206 P207 P213 N214:P214 P215:P217 N218:P218 G230:L231 P238 N239:P239 P240 N241:P241 P242:P246 N247:P247 P248:P258 G97:H97 J97 O97 G99:H99 J99:K99 O99 K106:K107 O109 J122:K122 J124:K124 J126:K126 J138:K138 G86:M90 O86:O89 G125:M125 G151:M151 G157:M157 O171 O173:O174">
    <cfRule type="expression" dxfId="2310" priority="3056">
      <formula>$H86="SUBETAPA"</formula>
    </cfRule>
  </conditionalFormatting>
  <conditionalFormatting sqref="P164 P178:P179 P182">
    <cfRule type="expression" dxfId="2309" priority="4368">
      <formula>$H164="SUBETAPA"</formula>
    </cfRule>
  </conditionalFormatting>
  <conditionalFormatting sqref="P164 P171 P173:P174 P178 P182">
    <cfRule type="containsText" dxfId="2308" priority="4363" operator="containsText" text="Finalizado">
      <formula>NOT(ISERROR(SEARCH(("Finalizado"),(P164))))</formula>
    </cfRule>
    <cfRule type="containsText" dxfId="2307" priority="4364" operator="containsText" text="em andamento">
      <formula>NOT(ISERROR(SEARCH(("em andamento"),(P164))))</formula>
    </cfRule>
    <cfRule type="containsText" dxfId="2306" priority="4365" operator="containsText" text="Pendente">
      <formula>NOT(ISERROR(SEARCH(("Pendente"),(P164))))</formula>
    </cfRule>
  </conditionalFormatting>
  <conditionalFormatting sqref="P164 P171 P173:P174">
    <cfRule type="containsText" dxfId="2305" priority="4366" operator="containsText" text="Lançado">
      <formula>NOT(ISERROR(SEARCH(("Lançado"),(P164))))</formula>
    </cfRule>
    <cfRule type="containsText" dxfId="2304" priority="4367" operator="containsText" text="N/A">
      <formula>NOT(ISERROR(SEARCH(("N/A"),(P164))))</formula>
    </cfRule>
  </conditionalFormatting>
  <conditionalFormatting sqref="P164 P174 P178 P182">
    <cfRule type="expression" dxfId="2303" priority="4369">
      <formula>$H164="CÉLULA CONSTRUTIVA"</formula>
    </cfRule>
  </conditionalFormatting>
  <conditionalFormatting sqref="P164 P178 P182 P171 P174">
    <cfRule type="expression" dxfId="2302" priority="4362">
      <formula>$H164="ETAPA"</formula>
    </cfRule>
  </conditionalFormatting>
  <conditionalFormatting sqref="P164:P165 P178 P182 P167">
    <cfRule type="expression" dxfId="2301" priority="4370">
      <formula>$H164="ETAPA"</formula>
    </cfRule>
  </conditionalFormatting>
  <conditionalFormatting sqref="P165 P167">
    <cfRule type="containsText" dxfId="2300" priority="4372" operator="containsText" text="Lançado">
      <formula>NOT(ISERROR(SEARCH(("Lançado"),(P165))))</formula>
    </cfRule>
    <cfRule type="containsText" dxfId="2299" priority="4373" operator="containsText" text="N/A">
      <formula>NOT(ISERROR(SEARCH(("N/A"),(P165))))</formula>
    </cfRule>
    <cfRule type="containsText" dxfId="2298" priority="4374" operator="containsText" text="Pendente">
      <formula>NOT(ISERROR(SEARCH(("Pendente"),(P165))))</formula>
    </cfRule>
    <cfRule type="containsText" dxfId="2297" priority="4375" operator="containsText" text="Finalizado">
      <formula>NOT(ISERROR(SEARCH(("Finalizado"),(P165))))</formula>
    </cfRule>
    <cfRule type="containsText" dxfId="2296" priority="4376" operator="containsText" text="em andamento">
      <formula>NOT(ISERROR(SEARCH(("em andamento"),(P165))))</formula>
    </cfRule>
    <cfRule type="containsText" dxfId="2295" priority="4377" operator="containsText" text="Lançado">
      <formula>NOT(ISERROR(SEARCH(("Lançado"),(P165))))</formula>
    </cfRule>
    <cfRule type="containsText" dxfId="2294" priority="4378" operator="containsText" text="N/A">
      <formula>NOT(ISERROR(SEARCH(("N/A"),(P165))))</formula>
    </cfRule>
    <cfRule type="containsText" dxfId="2293" priority="4379" operator="containsText" text="Pendente">
      <formula>NOT(ISERROR(SEARCH(("Pendente"),(P165))))</formula>
    </cfRule>
    <cfRule type="containsText" dxfId="2292" priority="4380" operator="containsText" text="Finalizado">
      <formula>NOT(ISERROR(SEARCH(("Finalizado"),(P165))))</formula>
    </cfRule>
    <cfRule type="containsText" dxfId="2291" priority="4381" operator="containsText" text="em andamento">
      <formula>NOT(ISERROR(SEARCH(("em andamento"),(P165))))</formula>
    </cfRule>
    <cfRule type="expression" dxfId="2290" priority="4382">
      <formula>$H165="CÉLULA CONSTRUTIVA"</formula>
    </cfRule>
    <cfRule type="expression" dxfId="2289" priority="4383">
      <formula>$H165="ETAPA"</formula>
    </cfRule>
    <cfRule type="containsText" dxfId="2288" priority="4384" operator="containsText" text="Lançado">
      <formula>NOT(ISERROR(SEARCH(("Lançado"),(P165))))</formula>
    </cfRule>
    <cfRule type="containsText" dxfId="2287" priority="4385" operator="containsText" text="N/A">
      <formula>NOT(ISERROR(SEARCH(("N/A"),(P165))))</formula>
    </cfRule>
    <cfRule type="containsText" dxfId="2286" priority="4386" operator="containsText" text="Pendente">
      <formula>NOT(ISERROR(SEARCH(("Pendente"),(P165))))</formula>
    </cfRule>
    <cfRule type="containsText" dxfId="2285" priority="4387" operator="containsText" text="Finalizado">
      <formula>NOT(ISERROR(SEARCH(("Finalizado"),(P165))))</formula>
    </cfRule>
    <cfRule type="containsText" dxfId="2284" priority="4388" operator="containsText" text="em andamento">
      <formula>NOT(ISERROR(SEARCH(("em andamento"),(P165))))</formula>
    </cfRule>
  </conditionalFormatting>
  <conditionalFormatting sqref="P166">
    <cfRule type="expression" dxfId="2283" priority="425">
      <formula>$H166="ETAPA"</formula>
    </cfRule>
    <cfRule type="containsText" dxfId="2282" priority="426" operator="containsText" text="Lançado">
      <formula>NOT(ISERROR(SEARCH(("Lançado"),(P166))))</formula>
    </cfRule>
    <cfRule type="containsText" dxfId="2281" priority="427" operator="containsText" text="N/A">
      <formula>NOT(ISERROR(SEARCH(("N/A"),(P166))))</formula>
    </cfRule>
    <cfRule type="containsText" dxfId="2280" priority="428" operator="containsText" text="Pendente">
      <formula>NOT(ISERROR(SEARCH(("Pendente"),(P166))))</formula>
    </cfRule>
    <cfRule type="containsText" dxfId="2279" priority="429" operator="containsText" text="Finalizado">
      <formula>NOT(ISERROR(SEARCH(("Finalizado"),(P166))))</formula>
    </cfRule>
    <cfRule type="containsText" dxfId="2278" priority="430" operator="containsText" text="em andamento">
      <formula>NOT(ISERROR(SEARCH(("em andamento"),(P166))))</formula>
    </cfRule>
    <cfRule type="containsText" dxfId="2277" priority="431" operator="containsText" text="Lançado">
      <formula>NOT(ISERROR(SEARCH(("Lançado"),(P166))))</formula>
    </cfRule>
    <cfRule type="containsText" dxfId="2276" priority="432" operator="containsText" text="N/A">
      <formula>NOT(ISERROR(SEARCH(("N/A"),(P166))))</formula>
    </cfRule>
    <cfRule type="containsText" dxfId="2275" priority="433" operator="containsText" text="Pendente">
      <formula>NOT(ISERROR(SEARCH(("Pendente"),(P166))))</formula>
    </cfRule>
    <cfRule type="containsText" dxfId="2274" priority="434" operator="containsText" text="Finalizado">
      <formula>NOT(ISERROR(SEARCH(("Finalizado"),(P166))))</formula>
    </cfRule>
    <cfRule type="containsText" dxfId="2273" priority="435" operator="containsText" text="em andamento">
      <formula>NOT(ISERROR(SEARCH(("em andamento"),(P166))))</formula>
    </cfRule>
    <cfRule type="expression" dxfId="2272" priority="436">
      <formula>$H166="CÉLULA CONSTRUTIVA"</formula>
    </cfRule>
    <cfRule type="expression" dxfId="2271" priority="437">
      <formula>$H166="ETAPA"</formula>
    </cfRule>
    <cfRule type="expression" dxfId="2270" priority="438">
      <formula>$H166="CÉLULA CONSTRUTIVA"</formula>
    </cfRule>
    <cfRule type="expression" dxfId="2269" priority="439">
      <formula>$H166="SUBETAPA"</formula>
    </cfRule>
    <cfRule type="containsText" dxfId="2268" priority="440" operator="containsText" text="Lançado">
      <formula>NOT(ISERROR(SEARCH(("Lançado"),(P166))))</formula>
    </cfRule>
    <cfRule type="containsText" dxfId="2267" priority="441" operator="containsText" text="N/A">
      <formula>NOT(ISERROR(SEARCH(("N/A"),(P166))))</formula>
    </cfRule>
    <cfRule type="containsText" dxfId="2266" priority="442" operator="containsText" text="Pendente">
      <formula>NOT(ISERROR(SEARCH(("Pendente"),(P166))))</formula>
    </cfRule>
    <cfRule type="containsText" dxfId="2265" priority="443" operator="containsText" text="Finalizado">
      <formula>NOT(ISERROR(SEARCH(("Finalizado"),(P166))))</formula>
    </cfRule>
    <cfRule type="containsText" dxfId="2264" priority="444" operator="containsText" text="em andamento">
      <formula>NOT(ISERROR(SEARCH(("em andamento"),(P166))))</formula>
    </cfRule>
  </conditionalFormatting>
  <conditionalFormatting sqref="P167">
    <cfRule type="containsText" dxfId="2263" priority="4389" operator="containsText" text="Lançado">
      <formula>NOT(ISERROR(SEARCH(("Lançado"),(P167))))</formula>
    </cfRule>
    <cfRule type="containsText" dxfId="2262" priority="4390" operator="containsText" text="N/A">
      <formula>NOT(ISERROR(SEARCH(("N/A"),(P167))))</formula>
    </cfRule>
    <cfRule type="containsText" dxfId="2261" priority="4391" operator="containsText" text="Pendente">
      <formula>NOT(ISERROR(SEARCH(("Pendente"),(P167))))</formula>
    </cfRule>
    <cfRule type="containsText" dxfId="2260" priority="4392" operator="containsText" text="Finalizado">
      <formula>NOT(ISERROR(SEARCH(("Finalizado"),(P167))))</formula>
    </cfRule>
    <cfRule type="containsText" dxfId="2259" priority="4393" operator="containsText" text="em andamento">
      <formula>NOT(ISERROR(SEARCH(("em andamento"),(P167))))</formula>
    </cfRule>
    <cfRule type="expression" dxfId="2258" priority="4394">
      <formula>$H167="CÉLULA CONSTRUTIVA"</formula>
    </cfRule>
    <cfRule type="expression" dxfId="2257" priority="4395">
      <formula>$H167="ETAPA"</formula>
    </cfRule>
    <cfRule type="containsText" dxfId="2256" priority="4396" operator="containsText" text="Lançado">
      <formula>NOT(ISERROR(SEARCH(("Lançado"),(P167))))</formula>
    </cfRule>
    <cfRule type="containsText" dxfId="2255" priority="4397" operator="containsText" text="N/A">
      <formula>NOT(ISERROR(SEARCH(("N/A"),(P167))))</formula>
    </cfRule>
    <cfRule type="containsText" dxfId="2254" priority="4398" operator="containsText" text="Pendente">
      <formula>NOT(ISERROR(SEARCH(("Pendente"),(P167))))</formula>
    </cfRule>
    <cfRule type="containsText" dxfId="2253" priority="4399" operator="containsText" text="Finalizado">
      <formula>NOT(ISERROR(SEARCH(("Finalizado"),(P167))))</formula>
    </cfRule>
    <cfRule type="containsText" dxfId="2252" priority="4400" operator="containsText" text="em andamento">
      <formula>NOT(ISERROR(SEARCH(("em andamento"),(P167))))</formula>
    </cfRule>
    <cfRule type="expression" dxfId="2251" priority="4401">
      <formula>$H167="SUBETAPA"</formula>
    </cfRule>
    <cfRule type="expression" dxfId="2250" priority="4402">
      <formula>$H167="CÉLULA CONSTRUTIVA"</formula>
    </cfRule>
    <cfRule type="expression" dxfId="2249" priority="4403">
      <formula>$H167="ETAPA"</formula>
    </cfRule>
    <cfRule type="containsText" dxfId="2248" priority="4404" operator="containsText" text="Lançado">
      <formula>NOT(ISERROR(SEARCH(("Lançado"),(P167))))</formula>
    </cfRule>
    <cfRule type="containsText" dxfId="2247" priority="4405" operator="containsText" text="N/A">
      <formula>NOT(ISERROR(SEARCH(("N/A"),(P167))))</formula>
    </cfRule>
    <cfRule type="containsText" dxfId="2246" priority="4406" operator="containsText" text="Pendente">
      <formula>NOT(ISERROR(SEARCH(("Pendente"),(P167))))</formula>
    </cfRule>
    <cfRule type="containsText" dxfId="2245" priority="4407" operator="containsText" text="Finalizado">
      <formula>NOT(ISERROR(SEARCH(("Finalizado"),(P167))))</formula>
    </cfRule>
    <cfRule type="containsText" dxfId="2244" priority="4408" operator="containsText" text="em andamento">
      <formula>NOT(ISERROR(SEARCH(("em andamento"),(P167))))</formula>
    </cfRule>
    <cfRule type="containsText" dxfId="2243" priority="4409" operator="containsText" text="Lançado">
      <formula>NOT(ISERROR(SEARCH(("Lançado"),(P167))))</formula>
    </cfRule>
    <cfRule type="containsText" dxfId="2242" priority="4410" operator="containsText" text="N/A">
      <formula>NOT(ISERROR(SEARCH(("N/A"),(P167))))</formula>
    </cfRule>
    <cfRule type="containsText" dxfId="2241" priority="4411" operator="containsText" text="Pendente">
      <formula>NOT(ISERROR(SEARCH(("Pendente"),(P167))))</formula>
    </cfRule>
    <cfRule type="containsText" dxfId="2240" priority="4412" operator="containsText" text="Finalizado">
      <formula>NOT(ISERROR(SEARCH(("Finalizado"),(P167))))</formula>
    </cfRule>
    <cfRule type="containsText" dxfId="2239" priority="4413" operator="containsText" text="em andamento">
      <formula>NOT(ISERROR(SEARCH(("em andamento"),(P167))))</formula>
    </cfRule>
    <cfRule type="expression" dxfId="2238" priority="4414">
      <formula>$H167="SUBETAPA"</formula>
    </cfRule>
  </conditionalFormatting>
  <conditionalFormatting sqref="P167:P168">
    <cfRule type="expression" dxfId="2237" priority="4415">
      <formula>$H167="CÉLULA CONSTRUTIVA"</formula>
    </cfRule>
    <cfRule type="expression" dxfId="2236" priority="4416">
      <formula>$H167="ETAPA"</formula>
    </cfRule>
    <cfRule type="containsText" dxfId="2235" priority="4417" operator="containsText" text="Lançado">
      <formula>NOT(ISERROR(SEARCH(("Lançado"),(P167))))</formula>
    </cfRule>
    <cfRule type="containsText" dxfId="2234" priority="4418" operator="containsText" text="N/A">
      <formula>NOT(ISERROR(SEARCH(("N/A"),(P167))))</formula>
    </cfRule>
    <cfRule type="containsText" dxfId="2233" priority="4419" operator="containsText" text="Pendente">
      <formula>NOT(ISERROR(SEARCH(("Pendente"),(P167))))</formula>
    </cfRule>
    <cfRule type="containsText" dxfId="2232" priority="4420" operator="containsText" text="Finalizado">
      <formula>NOT(ISERROR(SEARCH(("Finalizado"),(P167))))</formula>
    </cfRule>
    <cfRule type="containsText" dxfId="2231" priority="4421" operator="containsText" text="em andamento">
      <formula>NOT(ISERROR(SEARCH(("em andamento"),(P167))))</formula>
    </cfRule>
  </conditionalFormatting>
  <conditionalFormatting sqref="P168">
    <cfRule type="containsText" dxfId="2230" priority="4422" operator="containsText" text="Lançado">
      <formula>NOT(ISERROR(SEARCH(("Lançado"),(P168))))</formula>
    </cfRule>
    <cfRule type="containsText" dxfId="2229" priority="4423" operator="containsText" text="N/A">
      <formula>NOT(ISERROR(SEARCH(("N/A"),(P168))))</formula>
    </cfRule>
    <cfRule type="containsText" dxfId="2228" priority="4424" operator="containsText" text="Pendente">
      <formula>NOT(ISERROR(SEARCH(("Pendente"),(P168))))</formula>
    </cfRule>
    <cfRule type="containsText" dxfId="2227" priority="4425" operator="containsText" text="Finalizado">
      <formula>NOT(ISERROR(SEARCH(("Finalizado"),(P168))))</formula>
    </cfRule>
    <cfRule type="containsText" dxfId="2226" priority="4426" operator="containsText" text="em andamento">
      <formula>NOT(ISERROR(SEARCH(("em andamento"),(P168))))</formula>
    </cfRule>
    <cfRule type="expression" dxfId="2225" priority="4427">
      <formula>$H168="CÉLULA CONSTRUTIVA"</formula>
    </cfRule>
    <cfRule type="expression" dxfId="2224" priority="4428">
      <formula>$H168="ETAPA"</formula>
    </cfRule>
    <cfRule type="containsText" dxfId="2223" priority="4429" operator="containsText" text="Lançado">
      <formula>NOT(ISERROR(SEARCH(("Lançado"),(P168))))</formula>
    </cfRule>
    <cfRule type="containsText" dxfId="2222" priority="4430" operator="containsText" text="N/A">
      <formula>NOT(ISERROR(SEARCH(("N/A"),(P168))))</formula>
    </cfRule>
    <cfRule type="containsText" dxfId="2221" priority="4431" operator="containsText" text="Pendente">
      <formula>NOT(ISERROR(SEARCH(("Pendente"),(P168))))</formula>
    </cfRule>
    <cfRule type="containsText" dxfId="2220" priority="4432" operator="containsText" text="Finalizado">
      <formula>NOT(ISERROR(SEARCH(("Finalizado"),(P168))))</formula>
    </cfRule>
    <cfRule type="containsText" dxfId="2219" priority="4433" operator="containsText" text="em andamento">
      <formula>NOT(ISERROR(SEARCH(("em andamento"),(P168))))</formula>
    </cfRule>
  </conditionalFormatting>
  <conditionalFormatting sqref="P169">
    <cfRule type="containsText" dxfId="2218" priority="2835" operator="containsText" text="Finalizado">
      <formula>NOT(ISERROR(SEARCH(("Finalizado"),(P169))))</formula>
    </cfRule>
    <cfRule type="containsText" dxfId="2217" priority="2836" operator="containsText" text="em andamento">
      <formula>NOT(ISERROR(SEARCH(("em andamento"),(P169))))</formula>
    </cfRule>
    <cfRule type="expression" dxfId="2216" priority="2837">
      <formula>$H169="CÉLULA CONSTRUTIVA"</formula>
    </cfRule>
    <cfRule type="containsText" dxfId="2215" priority="2838" operator="containsText" text="N/A">
      <formula>NOT(ISERROR(SEARCH(("N/A"),(P169))))</formula>
    </cfRule>
    <cfRule type="containsText" dxfId="2214" priority="2839" operator="containsText" text="Lançado">
      <formula>NOT(ISERROR(SEARCH(("Lançado"),(P169))))</formula>
    </cfRule>
    <cfRule type="containsText" dxfId="2213" priority="2840" operator="containsText" text="Pendente">
      <formula>NOT(ISERROR(SEARCH(("Pendente"),(P169))))</formula>
    </cfRule>
  </conditionalFormatting>
  <conditionalFormatting sqref="P178:P182">
    <cfRule type="containsText" dxfId="2212" priority="4438" operator="containsText" text="Pendente">
      <formula>NOT(ISERROR(SEARCH(("Pendente"),(P178))))</formula>
    </cfRule>
    <cfRule type="containsText" dxfId="2211" priority="4439" operator="containsText" text="Finalizado">
      <formula>NOT(ISERROR(SEARCH(("Finalizado"),(P178))))</formula>
    </cfRule>
    <cfRule type="containsText" dxfId="2210" priority="4440" operator="containsText" text="em andamento">
      <formula>NOT(ISERROR(SEARCH(("em andamento"),(P178))))</formula>
    </cfRule>
  </conditionalFormatting>
  <conditionalFormatting sqref="P172">
    <cfRule type="expression" dxfId="2209" priority="448">
      <formula>$H172="ETAPA"</formula>
    </cfRule>
    <cfRule type="containsText" dxfId="2208" priority="449" operator="containsText" text="Lançado">
      <formula>NOT(ISERROR(SEARCH(("Lançado"),(P172))))</formula>
    </cfRule>
    <cfRule type="containsText" dxfId="2207" priority="450" operator="containsText" text="N/A">
      <formula>NOT(ISERROR(SEARCH(("N/A"),(P172))))</formula>
    </cfRule>
    <cfRule type="containsText" dxfId="2206" priority="451" operator="containsText" text="Pendente">
      <formula>NOT(ISERROR(SEARCH(("Pendente"),(P172))))</formula>
    </cfRule>
    <cfRule type="containsText" dxfId="2205" priority="452" operator="containsText" text="Finalizado">
      <formula>NOT(ISERROR(SEARCH(("Finalizado"),(P172))))</formula>
    </cfRule>
    <cfRule type="containsText" dxfId="2204" priority="453" operator="containsText" text="em andamento">
      <formula>NOT(ISERROR(SEARCH(("em andamento"),(P172))))</formula>
    </cfRule>
    <cfRule type="containsText" dxfId="2203" priority="454" operator="containsText" text="Lançado">
      <formula>NOT(ISERROR(SEARCH(("Lançado"),(P172))))</formula>
    </cfRule>
    <cfRule type="containsText" dxfId="2202" priority="455" operator="containsText" text="N/A">
      <formula>NOT(ISERROR(SEARCH(("N/A"),(P172))))</formula>
    </cfRule>
    <cfRule type="containsText" dxfId="2201" priority="456" operator="containsText" text="Pendente">
      <formula>NOT(ISERROR(SEARCH(("Pendente"),(P172))))</formula>
    </cfRule>
    <cfRule type="containsText" dxfId="2200" priority="457" operator="containsText" text="Finalizado">
      <formula>NOT(ISERROR(SEARCH(("Finalizado"),(P172))))</formula>
    </cfRule>
    <cfRule type="containsText" dxfId="2199" priority="458" operator="containsText" text="em andamento">
      <formula>NOT(ISERROR(SEARCH(("em andamento"),(P172))))</formula>
    </cfRule>
    <cfRule type="expression" dxfId="2198" priority="459">
      <formula>$H172="CÉLULA CONSTRUTIVA"</formula>
    </cfRule>
    <cfRule type="expression" dxfId="2197" priority="460">
      <formula>$H172="ETAPA"</formula>
    </cfRule>
    <cfRule type="expression" dxfId="2196" priority="461">
      <formula>$H172="CÉLULA CONSTRUTIVA"</formula>
    </cfRule>
  </conditionalFormatting>
  <conditionalFormatting sqref="P173">
    <cfRule type="expression" dxfId="2195" priority="4441">
      <formula>$H173="CÉLULA CONSTRUTIVA"</formula>
    </cfRule>
    <cfRule type="expression" dxfId="2194" priority="4442">
      <formula>$H173="ETAPA"</formula>
    </cfRule>
  </conditionalFormatting>
  <conditionalFormatting sqref="P175 P178 P180:P182">
    <cfRule type="containsText" dxfId="2193" priority="4451" operator="containsText" text="Pendente">
      <formula>NOT(ISERROR(SEARCH(("Pendente"),(P175))))</formula>
    </cfRule>
    <cfRule type="containsText" dxfId="2192" priority="4452" operator="containsText" text="Finalizado">
      <formula>NOT(ISERROR(SEARCH(("Finalizado"),(P175))))</formula>
    </cfRule>
    <cfRule type="containsText" dxfId="2191" priority="4453" operator="containsText" text="em andamento">
      <formula>NOT(ISERROR(SEARCH(("em andamento"),(P175))))</formula>
    </cfRule>
    <cfRule type="expression" dxfId="2190" priority="4454">
      <formula>$H175="CÉLULA CONSTRUTIVA"</formula>
    </cfRule>
    <cfRule type="expression" dxfId="2189" priority="4455">
      <formula>$H175="ETAPA"</formula>
    </cfRule>
  </conditionalFormatting>
  <conditionalFormatting sqref="P175 P180:P181">
    <cfRule type="expression" dxfId="2188" priority="4443">
      <formula>$H175="ETAPA"</formula>
    </cfRule>
    <cfRule type="containsText" dxfId="2187" priority="4444" operator="containsText" text="Lançado">
      <formula>NOT(ISERROR(SEARCH(("Lançado"),(P175))))</formula>
    </cfRule>
    <cfRule type="containsText" dxfId="2186" priority="4445" operator="containsText" text="N/A">
      <formula>NOT(ISERROR(SEARCH(("N/A"),(P175))))</formula>
    </cfRule>
    <cfRule type="containsText" dxfId="2185" priority="4446" operator="containsText" text="Pendente">
      <formula>NOT(ISERROR(SEARCH(("Pendente"),(P175))))</formula>
    </cfRule>
    <cfRule type="containsText" dxfId="2184" priority="4447" operator="containsText" text="Finalizado">
      <formula>NOT(ISERROR(SEARCH(("Finalizado"),(P175))))</formula>
    </cfRule>
    <cfRule type="containsText" dxfId="2183" priority="4448" operator="containsText" text="em andamento">
      <formula>NOT(ISERROR(SEARCH(("em andamento"),(P175))))</formula>
    </cfRule>
  </conditionalFormatting>
  <conditionalFormatting sqref="P175 P180:P182 P178">
    <cfRule type="containsText" dxfId="2182" priority="4449" operator="containsText" text="Lançado">
      <formula>NOT(ISERROR(SEARCH(("Lançado"),(P175))))</formula>
    </cfRule>
    <cfRule type="containsText" dxfId="2181" priority="4450" operator="containsText" text="N/A">
      <formula>NOT(ISERROR(SEARCH(("N/A"),(P175))))</formula>
    </cfRule>
  </conditionalFormatting>
  <conditionalFormatting sqref="P176">
    <cfRule type="containsText" dxfId="2180" priority="2820" operator="containsText" text="Finalizado">
      <formula>NOT(ISERROR(SEARCH(("Finalizado"),(P176))))</formula>
    </cfRule>
    <cfRule type="containsText" dxfId="2179" priority="2821" operator="containsText" text="em andamento">
      <formula>NOT(ISERROR(SEARCH(("em andamento"),(P176))))</formula>
    </cfRule>
    <cfRule type="expression" dxfId="2178" priority="2822">
      <formula>$H176="CÉLULA CONSTRUTIVA"</formula>
    </cfRule>
    <cfRule type="containsText" dxfId="2177" priority="2823" operator="containsText" text="N/A">
      <formula>NOT(ISERROR(SEARCH(("N/A"),(P176))))</formula>
    </cfRule>
    <cfRule type="containsText" dxfId="2176" priority="2824" operator="containsText" text="Lançado">
      <formula>NOT(ISERROR(SEARCH(("Lançado"),(P176))))</formula>
    </cfRule>
    <cfRule type="containsText" dxfId="2175" priority="2825" operator="containsText" text="Pendente">
      <formula>NOT(ISERROR(SEARCH(("Pendente"),(P176))))</formula>
    </cfRule>
  </conditionalFormatting>
  <conditionalFormatting sqref="P177 P130 P132 P134 P140 P142:P143">
    <cfRule type="expression" dxfId="2174" priority="4055">
      <formula>$H130="CÉLULA CONSTRUTIVA"</formula>
    </cfRule>
  </conditionalFormatting>
  <conditionalFormatting sqref="P177">
    <cfRule type="expression" dxfId="2173" priority="4047">
      <formula>$H177="SUBETAPA"</formula>
    </cfRule>
  </conditionalFormatting>
  <conditionalFormatting sqref="P178 P180:P182 P264:P266">
    <cfRule type="expression" dxfId="2172" priority="4479">
      <formula>$H178="SUBETAPA"</formula>
    </cfRule>
    <cfRule type="expression" dxfId="2171" priority="4481">
      <formula>$H178="ETAPA"</formula>
    </cfRule>
    <cfRule type="containsText" dxfId="2170" priority="4482" operator="containsText" text="Lançado">
      <formula>NOT(ISERROR(SEARCH(("Lançado"),(P178))))</formula>
    </cfRule>
    <cfRule type="containsText" dxfId="2169" priority="4483" operator="containsText" text="N/A">
      <formula>NOT(ISERROR(SEARCH(("N/A"),(P178))))</formula>
    </cfRule>
    <cfRule type="containsText" dxfId="2168" priority="4484" operator="containsText" text="Pendente">
      <formula>NOT(ISERROR(SEARCH(("Pendente"),(P178))))</formula>
    </cfRule>
    <cfRule type="containsText" dxfId="2167" priority="4485" operator="containsText" text="Finalizado">
      <formula>NOT(ISERROR(SEARCH(("Finalizado"),(P178))))</formula>
    </cfRule>
    <cfRule type="containsText" dxfId="2166" priority="4486" operator="containsText" text="em andamento">
      <formula>NOT(ISERROR(SEARCH(("em andamento"),(P178))))</formula>
    </cfRule>
    <cfRule type="containsText" dxfId="2165" priority="4487" operator="containsText" text="Lançado">
      <formula>NOT(ISERROR(SEARCH(("Lançado"),(P178))))</formula>
    </cfRule>
    <cfRule type="containsText" dxfId="2164" priority="4488" operator="containsText" text="N/A">
      <formula>NOT(ISERROR(SEARCH(("N/A"),(P178))))</formula>
    </cfRule>
  </conditionalFormatting>
  <conditionalFormatting sqref="P178 P180:P182 P264:P267">
    <cfRule type="expression" dxfId="2163" priority="4480">
      <formula>$H178="CÉLULA CONSTRUTIVA"</formula>
    </cfRule>
    <cfRule type="containsText" dxfId="2162" priority="4489" operator="containsText" text="Pendente">
      <formula>NOT(ISERROR(SEARCH(("Pendente"),(P178))))</formula>
    </cfRule>
    <cfRule type="containsText" dxfId="2161" priority="4490" operator="containsText" text="Finalizado">
      <formula>NOT(ISERROR(SEARCH(("Finalizado"),(P178))))</formula>
    </cfRule>
    <cfRule type="containsText" dxfId="2160" priority="4491" operator="containsText" text="em andamento">
      <formula>NOT(ISERROR(SEARCH(("em andamento"),(P178))))</formula>
    </cfRule>
  </conditionalFormatting>
  <conditionalFormatting sqref="P178 P180:P183">
    <cfRule type="expression" dxfId="2159" priority="4492">
      <formula>$H178="CÉLULA CONSTRUTIVA"</formula>
    </cfRule>
    <cfRule type="expression" dxfId="2158" priority="4493">
      <formula>$H178="ETAPA"</formula>
    </cfRule>
    <cfRule type="containsText" dxfId="2157" priority="4494" operator="containsText" text="Lançado">
      <formula>NOT(ISERROR(SEARCH(("Lançado"),(P178))))</formula>
    </cfRule>
    <cfRule type="containsText" dxfId="2156" priority="4495" operator="containsText" text="N/A">
      <formula>NOT(ISERROR(SEARCH(("N/A"),(P178))))</formula>
    </cfRule>
    <cfRule type="containsText" dxfId="2155" priority="4496" operator="containsText" text="Pendente">
      <formula>NOT(ISERROR(SEARCH(("Pendente"),(P178))))</formula>
    </cfRule>
    <cfRule type="containsText" dxfId="2154" priority="4497" operator="containsText" text="Finalizado">
      <formula>NOT(ISERROR(SEARCH(("Finalizado"),(P178))))</formula>
    </cfRule>
    <cfRule type="containsText" dxfId="2153" priority="4498" operator="containsText" text="em andamento">
      <formula>NOT(ISERROR(SEARCH(("em andamento"),(P178))))</formula>
    </cfRule>
  </conditionalFormatting>
  <conditionalFormatting sqref="P178 P182">
    <cfRule type="containsText" dxfId="2152" priority="4466" operator="containsText" text="Lançado">
      <formula>NOT(ISERROR(SEARCH(("Lançado"),(P178))))</formula>
    </cfRule>
    <cfRule type="containsText" dxfId="2151" priority="4467" operator="containsText" text="N/A">
      <formula>NOT(ISERROR(SEARCH(("N/A"),(P178))))</formula>
    </cfRule>
    <cfRule type="containsText" dxfId="2150" priority="4468" operator="containsText" text="Pendente">
      <formula>NOT(ISERROR(SEARCH(("Pendente"),(P178))))</formula>
    </cfRule>
    <cfRule type="containsText" dxfId="2149" priority="4469" operator="containsText" text="Finalizado">
      <formula>NOT(ISERROR(SEARCH(("Finalizado"),(P178))))</formula>
    </cfRule>
    <cfRule type="containsText" dxfId="2148" priority="4470" operator="containsText" text="em andamento">
      <formula>NOT(ISERROR(SEARCH(("em andamento"),(P178))))</formula>
    </cfRule>
  </conditionalFormatting>
  <conditionalFormatting sqref="P178 P293">
    <cfRule type="expression" dxfId="2147" priority="4471">
      <formula>$H178="SUBETAPA"</formula>
    </cfRule>
    <cfRule type="expression" dxfId="2146" priority="4472">
      <formula>$H178="CÉLULA CONSTRUTIVA"</formula>
    </cfRule>
    <cfRule type="expression" dxfId="2145" priority="4473">
      <formula>$H178="ETAPA"</formula>
    </cfRule>
    <cfRule type="containsText" dxfId="2144" priority="4474" operator="containsText" text="Lançado">
      <formula>NOT(ISERROR(SEARCH(("Lançado"),(P178))))</formula>
    </cfRule>
    <cfRule type="containsText" dxfId="2143" priority="4475" operator="containsText" text="N/A">
      <formula>NOT(ISERROR(SEARCH(("N/A"),(P178))))</formula>
    </cfRule>
    <cfRule type="containsText" dxfId="2142" priority="4476" operator="containsText" text="Pendente">
      <formula>NOT(ISERROR(SEARCH(("Pendente"),(P178))))</formula>
    </cfRule>
    <cfRule type="containsText" dxfId="2141" priority="4477" operator="containsText" text="Finalizado">
      <formula>NOT(ISERROR(SEARCH(("Finalizado"),(P178))))</formula>
    </cfRule>
  </conditionalFormatting>
  <conditionalFormatting sqref="P178 P293:P294">
    <cfRule type="containsText" dxfId="2140" priority="4478" operator="containsText" text="em andamento">
      <formula>NOT(ISERROR(SEARCH(("em andamento"),(P178))))</formula>
    </cfRule>
  </conditionalFormatting>
  <conditionalFormatting sqref="P178:P182">
    <cfRule type="containsText" dxfId="2139" priority="4436" operator="containsText" text="Lançado">
      <formula>NOT(ISERROR(SEARCH(("Lançado"),(P178))))</formula>
    </cfRule>
    <cfRule type="containsText" dxfId="2138" priority="4437" operator="containsText" text="N/A">
      <formula>NOT(ISERROR(SEARCH(("N/A"),(P178))))</formula>
    </cfRule>
  </conditionalFormatting>
  <conditionalFormatting sqref="P179">
    <cfRule type="expression" dxfId="2137" priority="408">
      <formula>$H179="ETAPA"</formula>
    </cfRule>
    <cfRule type="containsText" dxfId="2136" priority="409" operator="containsText" text="Lançado">
      <formula>NOT(ISERROR(SEARCH(("Lançado"),(P179))))</formula>
    </cfRule>
    <cfRule type="containsText" dxfId="2135" priority="410" operator="containsText" text="N/A">
      <formula>NOT(ISERROR(SEARCH(("N/A"),(P179))))</formula>
    </cfRule>
    <cfRule type="containsText" dxfId="2134" priority="411" operator="containsText" text="Pendente">
      <formula>NOT(ISERROR(SEARCH(("Pendente"),(P179))))</formula>
    </cfRule>
    <cfRule type="containsText" dxfId="2133" priority="412" operator="containsText" text="Finalizado">
      <formula>NOT(ISERROR(SEARCH(("Finalizado"),(P179))))</formula>
    </cfRule>
    <cfRule type="containsText" dxfId="2132" priority="413" operator="containsText" text="em andamento">
      <formula>NOT(ISERROR(SEARCH(("em andamento"),(P179))))</formula>
    </cfRule>
    <cfRule type="containsText" dxfId="2131" priority="414" operator="containsText" text="Lançado">
      <formula>NOT(ISERROR(SEARCH(("Lançado"),(P179))))</formula>
    </cfRule>
    <cfRule type="containsText" dxfId="2130" priority="415" operator="containsText" text="N/A">
      <formula>NOT(ISERROR(SEARCH(("N/A"),(P179))))</formula>
    </cfRule>
    <cfRule type="containsText" dxfId="2129" priority="416" operator="containsText" text="Pendente">
      <formula>NOT(ISERROR(SEARCH(("Pendente"),(P179))))</formula>
    </cfRule>
    <cfRule type="containsText" dxfId="2128" priority="417" operator="containsText" text="Finalizado">
      <formula>NOT(ISERROR(SEARCH(("Finalizado"),(P179))))</formula>
    </cfRule>
    <cfRule type="containsText" dxfId="2127" priority="418" operator="containsText" text="em andamento">
      <formula>NOT(ISERROR(SEARCH(("em andamento"),(P179))))</formula>
    </cfRule>
    <cfRule type="expression" dxfId="2126" priority="419">
      <formula>$H179="CÉLULA CONSTRUTIVA"</formula>
    </cfRule>
    <cfRule type="expression" dxfId="2125" priority="420">
      <formula>$H179="ETAPA"</formula>
    </cfRule>
    <cfRule type="expression" dxfId="2124" priority="421">
      <formula>$H179="CÉLULA CONSTRUTIVA"</formula>
    </cfRule>
  </conditionalFormatting>
  <conditionalFormatting sqref="P180:P181 P175">
    <cfRule type="expression" dxfId="2123" priority="4499">
      <formula>$H175="CÉLULA CONSTRUTIVA"</formula>
    </cfRule>
  </conditionalFormatting>
  <conditionalFormatting sqref="P182">
    <cfRule type="containsText" dxfId="2122" priority="1258" operator="containsText" text="Lançado">
      <formula>NOT(ISERROR(SEARCH(("Lançado"),(P182))))</formula>
    </cfRule>
    <cfRule type="containsText" dxfId="2121" priority="1259" operator="containsText" text="N/A">
      <formula>NOT(ISERROR(SEARCH(("N/A"),(P182))))</formula>
    </cfRule>
    <cfRule type="containsText" dxfId="2120" priority="1260" operator="containsText" text="Pendente">
      <formula>NOT(ISERROR(SEARCH(("Pendente"),(P182))))</formula>
    </cfRule>
    <cfRule type="containsText" dxfId="2119" priority="1261" operator="containsText" text="Finalizado">
      <formula>NOT(ISERROR(SEARCH(("Finalizado"),(P182))))</formula>
    </cfRule>
    <cfRule type="containsText" dxfId="2118" priority="1262" operator="containsText" text="em andamento">
      <formula>NOT(ISERROR(SEARCH(("em andamento"),(P182))))</formula>
    </cfRule>
    <cfRule type="expression" dxfId="2117" priority="1263">
      <formula>$H182="SUBETAPA"</formula>
    </cfRule>
    <cfRule type="expression" dxfId="2116" priority="1264">
      <formula>$H182="CÉLULA CONSTRUTIVA"</formula>
    </cfRule>
    <cfRule type="expression" dxfId="2115" priority="1265">
      <formula>$H182="ETAPA"</formula>
    </cfRule>
    <cfRule type="containsText" dxfId="2114" priority="1266" operator="containsText" text="Lançado">
      <formula>NOT(ISERROR(SEARCH(("Lançado"),(P182))))</formula>
    </cfRule>
    <cfRule type="containsText" dxfId="2113" priority="1267" operator="containsText" text="N/A">
      <formula>NOT(ISERROR(SEARCH(("N/A"),(P182))))</formula>
    </cfRule>
    <cfRule type="containsText" dxfId="2112" priority="1268" operator="containsText" text="Pendente">
      <formula>NOT(ISERROR(SEARCH(("Pendente"),(P182))))</formula>
    </cfRule>
    <cfRule type="containsText" dxfId="2111" priority="1269" operator="containsText" text="Finalizado">
      <formula>NOT(ISERROR(SEARCH(("Finalizado"),(P182))))</formula>
    </cfRule>
    <cfRule type="containsText" dxfId="2110" priority="1270" operator="containsText" text="em andamento">
      <formula>NOT(ISERROR(SEARCH(("em andamento"),(P182))))</formula>
    </cfRule>
  </conditionalFormatting>
  <conditionalFormatting sqref="P183 P185:P189">
    <cfRule type="containsText" dxfId="2109" priority="4503" operator="containsText" text="Lançado">
      <formula>NOT(ISERROR(SEARCH(("Lançado"),(P183))))</formula>
    </cfRule>
    <cfRule type="containsText" dxfId="2108" priority="4504" operator="containsText" text="N/A">
      <formula>NOT(ISERROR(SEARCH(("N/A"),(P183))))</formula>
    </cfRule>
    <cfRule type="containsText" dxfId="2107" priority="4505" operator="containsText" text="Pendente">
      <formula>NOT(ISERROR(SEARCH(("Pendente"),(P183))))</formula>
    </cfRule>
    <cfRule type="containsText" dxfId="2106" priority="4506" operator="containsText" text="Finalizado">
      <formula>NOT(ISERROR(SEARCH(("Finalizado"),(P183))))</formula>
    </cfRule>
    <cfRule type="containsText" dxfId="2105" priority="4507" operator="containsText" text="em andamento">
      <formula>NOT(ISERROR(SEARCH(("em andamento"),(P183))))</formula>
    </cfRule>
  </conditionalFormatting>
  <conditionalFormatting sqref="P183">
    <cfRule type="expression" dxfId="2104" priority="4500">
      <formula>$H183="SUBETAPA"</formula>
    </cfRule>
    <cfRule type="expression" dxfId="2103" priority="4501">
      <formula>$H183="CÉLULA CONSTRUTIVA"</formula>
    </cfRule>
    <cfRule type="expression" dxfId="2102" priority="4502">
      <formula>$H183="ETAPA"</formula>
    </cfRule>
    <cfRule type="containsText" dxfId="2101" priority="4508" operator="containsText" text="Lançado">
      <formula>NOT(ISERROR(SEARCH(("Lançado"),(P183))))</formula>
    </cfRule>
    <cfRule type="containsText" dxfId="2100" priority="4509" operator="containsText" text="N/A">
      <formula>NOT(ISERROR(SEARCH(("N/A"),(P183))))</formula>
    </cfRule>
    <cfRule type="containsText" dxfId="2099" priority="4510" operator="containsText" text="Pendente">
      <formula>NOT(ISERROR(SEARCH(("Pendente"),(P183))))</formula>
    </cfRule>
    <cfRule type="containsText" dxfId="2098" priority="4511" operator="containsText" text="Finalizado">
      <formula>NOT(ISERROR(SEARCH(("Finalizado"),(P183))))</formula>
    </cfRule>
    <cfRule type="containsText" dxfId="2097" priority="4512" operator="containsText" text="em andamento">
      <formula>NOT(ISERROR(SEARCH(("em andamento"),(P183))))</formula>
    </cfRule>
  </conditionalFormatting>
  <conditionalFormatting sqref="P184">
    <cfRule type="containsText" dxfId="2096" priority="2805" operator="containsText" text="Finalizado">
      <formula>NOT(ISERROR(SEARCH(("Finalizado"),(P184))))</formula>
    </cfRule>
    <cfRule type="containsText" dxfId="2095" priority="2806" operator="containsText" text="em andamento">
      <formula>NOT(ISERROR(SEARCH(("em andamento"),(P184))))</formula>
    </cfRule>
    <cfRule type="containsText" dxfId="2094" priority="2808" operator="containsText" text="N/A">
      <formula>NOT(ISERROR(SEARCH(("N/A"),(P184))))</formula>
    </cfRule>
    <cfRule type="containsText" dxfId="2093" priority="2809" operator="containsText" text="Lançado">
      <formula>NOT(ISERROR(SEARCH(("Lançado"),(P184))))</formula>
    </cfRule>
    <cfRule type="containsText" dxfId="2092" priority="2810" operator="containsText" text="Pendente">
      <formula>NOT(ISERROR(SEARCH(("Pendente"),(P184))))</formula>
    </cfRule>
  </conditionalFormatting>
  <conditionalFormatting sqref="P185:P203 P209:P211 P219:P222 N62:N67 N185:N192 N188:O189 N195 P224:P225 P227:P236 N233:O236 O61:O67 J233:J236 L233:L236 G329:I329 K329:L329 J329:J330">
    <cfRule type="expression" dxfId="2091" priority="3053">
      <formula>$H61="SUBETAPA"</formula>
    </cfRule>
  </conditionalFormatting>
  <conditionalFormatting sqref="P186">
    <cfRule type="expression" dxfId="2090" priority="4516">
      <formula>$H186="CÉLULA CONSTRUTIVA"</formula>
    </cfRule>
    <cfRule type="expression" dxfId="2089" priority="4517">
      <formula>$H186="ETAPA"</formula>
    </cfRule>
    <cfRule type="expression" dxfId="2088" priority="4518">
      <formula>$H186="SUBETAPA"</formula>
    </cfRule>
    <cfRule type="expression" dxfId="2087" priority="4519">
      <formula>$H186="CÉLULA CONSTRUTIVA"</formula>
    </cfRule>
    <cfRule type="expression" dxfId="2086" priority="4520">
      <formula>$H186="ETAPA"</formula>
    </cfRule>
    <cfRule type="expression" dxfId="2085" priority="4521">
      <formula>$H186="SUBETAPA"</formula>
    </cfRule>
  </conditionalFormatting>
  <conditionalFormatting sqref="P187:P189">
    <cfRule type="containsText" dxfId="2084" priority="4527" operator="containsText" text="Lançado">
      <formula>NOT(ISERROR(SEARCH(("Lançado"),(P187))))</formula>
    </cfRule>
    <cfRule type="containsText" dxfId="2083" priority="4528" operator="containsText" text="N/A">
      <formula>NOT(ISERROR(SEARCH(("N/A"),(P187))))</formula>
    </cfRule>
    <cfRule type="containsText" dxfId="2082" priority="4529" operator="containsText" text="Pendente">
      <formula>NOT(ISERROR(SEARCH(("Pendente"),(P187))))</formula>
    </cfRule>
    <cfRule type="containsText" dxfId="2081" priority="4530" operator="containsText" text="Finalizado">
      <formula>NOT(ISERROR(SEARCH(("Finalizado"),(P187))))</formula>
    </cfRule>
    <cfRule type="containsText" dxfId="2080" priority="4531" operator="containsText" text="em andamento">
      <formula>NOT(ISERROR(SEARCH(("em andamento"),(P187))))</formula>
    </cfRule>
    <cfRule type="expression" dxfId="2079" priority="4532">
      <formula>$H187="SUBETAPA"</formula>
    </cfRule>
    <cfRule type="expression" dxfId="2078" priority="4533">
      <formula>$H187="CÉLULA CONSTRUTIVA"</formula>
    </cfRule>
    <cfRule type="expression" dxfId="2077" priority="4534">
      <formula>$H187="ETAPA"</formula>
    </cfRule>
    <cfRule type="containsText" dxfId="2076" priority="4535" operator="containsText" text="Pendente">
      <formula>NOT(ISERROR(SEARCH(("Pendente"),(P187))))</formula>
    </cfRule>
    <cfRule type="containsText" dxfId="2075" priority="4536" operator="containsText" text="Lançado">
      <formula>NOT(ISERROR(SEARCH(("Lançado"),(P187))))</formula>
    </cfRule>
    <cfRule type="containsText" dxfId="2074" priority="4537" operator="containsText" text="N/A">
      <formula>NOT(ISERROR(SEARCH(("N/A"),(P187))))</formula>
    </cfRule>
  </conditionalFormatting>
  <conditionalFormatting sqref="P190 P253:P258 P33">
    <cfRule type="expression" dxfId="2073" priority="3589">
      <formula>$H33="CÉLULA CONSTRUTIVA"</formula>
    </cfRule>
  </conditionalFormatting>
  <conditionalFormatting sqref="P191">
    <cfRule type="expression" dxfId="2072" priority="4538">
      <formula>$H191="SUBETAPA"</formula>
    </cfRule>
    <cfRule type="expression" dxfId="2071" priority="4539">
      <formula>$H191="CÉLULA CONSTRUTIVA"</formula>
    </cfRule>
    <cfRule type="expression" dxfId="2070" priority="4540">
      <formula>$H191="ETAPA"</formula>
    </cfRule>
  </conditionalFormatting>
  <conditionalFormatting sqref="P191:P192">
    <cfRule type="expression" dxfId="2069" priority="4541">
      <formula>$H191="SUBETAPA"</formula>
    </cfRule>
    <cfRule type="expression" dxfId="2068" priority="4542">
      <formula>$H191="CÉLULA CONSTRUTIVA"</formula>
    </cfRule>
    <cfRule type="expression" dxfId="2067" priority="4543">
      <formula>$H191="ETAPA"</formula>
    </cfRule>
    <cfRule type="containsText" dxfId="2066" priority="4544" operator="containsText" text="Lançado">
      <formula>NOT(ISERROR(SEARCH(("Lançado"),(P191))))</formula>
    </cfRule>
    <cfRule type="containsText" dxfId="2065" priority="4545" operator="containsText" text="N/A">
      <formula>NOT(ISERROR(SEARCH(("N/A"),(P191))))</formula>
    </cfRule>
    <cfRule type="containsText" dxfId="2064" priority="4546" operator="containsText" text="Pendente">
      <formula>NOT(ISERROR(SEARCH(("Pendente"),(P191))))</formula>
    </cfRule>
    <cfRule type="containsText" dxfId="2063" priority="4547" operator="containsText" text="Finalizado">
      <formula>NOT(ISERROR(SEARCH(("Finalizado"),(P191))))</formula>
    </cfRule>
    <cfRule type="containsText" dxfId="2062" priority="4548" operator="containsText" text="em andamento">
      <formula>NOT(ISERROR(SEARCH(("em andamento"),(P191))))</formula>
    </cfRule>
  </conditionalFormatting>
  <conditionalFormatting sqref="P192">
    <cfRule type="containsText" dxfId="2061" priority="4549" operator="containsText" text="Lançado">
      <formula>NOT(ISERROR(SEARCH(("Lançado"),(P192))))</formula>
    </cfRule>
    <cfRule type="containsText" dxfId="2060" priority="4550" operator="containsText" text="N/A">
      <formula>NOT(ISERROR(SEARCH(("N/A"),(P192))))</formula>
    </cfRule>
    <cfRule type="containsText" dxfId="2059" priority="4551" operator="containsText" text="Pendente">
      <formula>NOT(ISERROR(SEARCH(("Pendente"),(P192))))</formula>
    </cfRule>
    <cfRule type="containsText" dxfId="2058" priority="4552" operator="containsText" text="Finalizado">
      <formula>NOT(ISERROR(SEARCH(("Finalizado"),(P192))))</formula>
    </cfRule>
    <cfRule type="containsText" dxfId="2057" priority="4553" operator="containsText" text="em andamento">
      <formula>NOT(ISERROR(SEARCH(("em andamento"),(P192))))</formula>
    </cfRule>
    <cfRule type="containsText" dxfId="2056" priority="4556" operator="containsText" text="Pendente">
      <formula>NOT(ISERROR(SEARCH(("Pendente"),(P192))))</formula>
    </cfRule>
    <cfRule type="containsText" dxfId="2055" priority="4558" operator="containsText" text="em andamento">
      <formula>NOT(ISERROR(SEARCH(("em andamento"),(P192))))</formula>
    </cfRule>
    <cfRule type="expression" dxfId="2054" priority="4559">
      <formula>$H192="SUBETAPA"</formula>
    </cfRule>
    <cfRule type="expression" dxfId="2053" priority="4560">
      <formula>$H192="CÉLULA CONSTRUTIVA"</formula>
    </cfRule>
    <cfRule type="expression" dxfId="2052" priority="4561">
      <formula>$H192="ETAPA"</formula>
    </cfRule>
  </conditionalFormatting>
  <conditionalFormatting sqref="P192:P193">
    <cfRule type="containsText" dxfId="2051" priority="4554" operator="containsText" text="Lançado">
      <formula>NOT(ISERROR(SEARCH(("Lançado"),(P192))))</formula>
    </cfRule>
    <cfRule type="containsText" dxfId="2050" priority="4555" operator="containsText" text="N/A">
      <formula>NOT(ISERROR(SEARCH(("N/A"),(P192))))</formula>
    </cfRule>
    <cfRule type="containsText" dxfId="2049" priority="4557" operator="containsText" text="Finalizado">
      <formula>NOT(ISERROR(SEARCH(("Finalizado"),(P192))))</formula>
    </cfRule>
  </conditionalFormatting>
  <conditionalFormatting sqref="P193 P219:P222 P224:P225">
    <cfRule type="containsText" dxfId="2048" priority="4693" operator="containsText" text="Finalizado">
      <formula>NOT(ISERROR(SEARCH(("Finalizado"),(P193))))</formula>
    </cfRule>
    <cfRule type="containsText" dxfId="2047" priority="4694" operator="containsText" text="em andamento">
      <formula>NOT(ISERROR(SEARCH(("em andamento"),(P193))))</formula>
    </cfRule>
    <cfRule type="containsText" dxfId="2046" priority="4695" operator="containsText" text="Lançado">
      <formula>NOT(ISERROR(SEARCH(("Lançado"),(P193))))</formula>
    </cfRule>
    <cfRule type="containsText" dxfId="2045" priority="4696" operator="containsText" text="N/A">
      <formula>NOT(ISERROR(SEARCH(("N/A"),(P193))))</formula>
    </cfRule>
    <cfRule type="containsText" dxfId="2044" priority="4697" operator="containsText" text="Pendente">
      <formula>NOT(ISERROR(SEARCH(("Pendente"),(P193))))</formula>
    </cfRule>
    <cfRule type="containsText" dxfId="2043" priority="4698" operator="containsText" text="em andamento">
      <formula>NOT(ISERROR(SEARCH(("em andamento"),(P193))))</formula>
    </cfRule>
    <cfRule type="containsText" dxfId="2042" priority="4699" operator="containsText" text="Lançado">
      <formula>NOT(ISERROR(SEARCH(("Lançado"),(P193))))</formula>
    </cfRule>
    <cfRule type="containsText" dxfId="2041" priority="4700" operator="containsText" text="N/A">
      <formula>NOT(ISERROR(SEARCH(("N/A"),(P193))))</formula>
    </cfRule>
    <cfRule type="containsText" dxfId="2040" priority="4701" operator="containsText" text="Pendente">
      <formula>NOT(ISERROR(SEARCH(("Pendente"),(P193))))</formula>
    </cfRule>
    <cfRule type="expression" dxfId="2039" priority="4702">
      <formula>$H193="SUBETAPA"</formula>
    </cfRule>
    <cfRule type="expression" dxfId="2038" priority="4703">
      <formula>$H193="CÉLULA CONSTRUTIVA"</formula>
    </cfRule>
    <cfRule type="expression" dxfId="2037" priority="4704">
      <formula>$H193="ETAPA"</formula>
    </cfRule>
    <cfRule type="containsText" dxfId="2036" priority="4705" operator="containsText" text="em andamento">
      <formula>NOT(ISERROR(SEARCH(("em andamento"),(P193))))</formula>
    </cfRule>
  </conditionalFormatting>
  <conditionalFormatting sqref="P193">
    <cfRule type="containsText" dxfId="2035" priority="4692" operator="containsText" text="Pendente">
      <formula>NOT(ISERROR(SEARCH(("Pendente"),(P193))))</formula>
    </cfRule>
  </conditionalFormatting>
  <conditionalFormatting sqref="P194">
    <cfRule type="containsText" dxfId="2034" priority="1237" operator="containsText" text="Lançado">
      <formula>NOT(ISERROR(SEARCH(("Lançado"),(P194))))</formula>
    </cfRule>
    <cfRule type="containsText" dxfId="2033" priority="1238" operator="containsText" text="N/A">
      <formula>NOT(ISERROR(SEARCH(("N/A"),(P194))))</formula>
    </cfRule>
    <cfRule type="containsText" dxfId="2032" priority="1239" operator="containsText" text="Pendente">
      <formula>NOT(ISERROR(SEARCH(("Pendente"),(P194))))</formula>
    </cfRule>
    <cfRule type="containsText" dxfId="2031" priority="1240" operator="containsText" text="Finalizado">
      <formula>NOT(ISERROR(SEARCH(("Finalizado"),(P194))))</formula>
    </cfRule>
    <cfRule type="containsText" dxfId="2030" priority="1241" operator="containsText" text="em andamento">
      <formula>NOT(ISERROR(SEARCH(("em andamento"),(P194))))</formula>
    </cfRule>
    <cfRule type="expression" dxfId="2029" priority="1242">
      <formula>$H194="CÉLULA CONSTRUTIVA"</formula>
    </cfRule>
    <cfRule type="expression" dxfId="2028" priority="1243">
      <formula>$H194="ETAPA"</formula>
    </cfRule>
    <cfRule type="expression" dxfId="2027" priority="1244">
      <formula>$H194="SUBETAPA"</formula>
    </cfRule>
    <cfRule type="expression" dxfId="2026" priority="1245">
      <formula>$H194="CÉLULA CONSTRUTIVA"</formula>
    </cfRule>
    <cfRule type="expression" dxfId="2025" priority="1246">
      <formula>$H194="ETAPA"</formula>
    </cfRule>
    <cfRule type="expression" dxfId="2024" priority="1247">
      <formula>$H194="SUBETAPA"</formula>
    </cfRule>
  </conditionalFormatting>
  <conditionalFormatting sqref="P195">
    <cfRule type="containsText" dxfId="2023" priority="4574" operator="containsText" text="Finalizado">
      <formula>NOT(ISERROR(SEARCH(("Finalizado"),(P195))))</formula>
    </cfRule>
    <cfRule type="containsText" dxfId="2022" priority="4575" operator="containsText" text="em andamento">
      <formula>NOT(ISERROR(SEARCH(("em andamento"),(P195))))</formula>
    </cfRule>
    <cfRule type="containsText" dxfId="2021" priority="4576" operator="containsText" text="Lançado">
      <formula>NOT(ISERROR(SEARCH(("Lançado"),(P195))))</formula>
    </cfRule>
    <cfRule type="containsText" dxfId="2020" priority="4577" operator="containsText" text="N/A">
      <formula>NOT(ISERROR(SEARCH(("N/A"),(P195))))</formula>
    </cfRule>
    <cfRule type="containsText" dxfId="2019" priority="4578" operator="containsText" text="Pendente">
      <formula>NOT(ISERROR(SEARCH(("Pendente"),(P195))))</formula>
    </cfRule>
    <cfRule type="containsText" dxfId="2018" priority="4579" operator="containsText" text="Finalizado">
      <formula>NOT(ISERROR(SEARCH(("Finalizado"),(P195))))</formula>
    </cfRule>
    <cfRule type="containsText" dxfId="2017" priority="4580" operator="containsText" text="em andamento">
      <formula>NOT(ISERROR(SEARCH(("em andamento"),(P195))))</formula>
    </cfRule>
    <cfRule type="containsText" dxfId="2016" priority="4581" operator="containsText" text="Lançado">
      <formula>NOT(ISERROR(SEARCH(("Lançado"),(P195))))</formula>
    </cfRule>
    <cfRule type="containsText" dxfId="2015" priority="4582" operator="containsText" text="N/A">
      <formula>NOT(ISERROR(SEARCH(("N/A"),(P195))))</formula>
    </cfRule>
    <cfRule type="containsText" dxfId="2014" priority="4583" operator="containsText" text="Finalizado">
      <formula>NOT(ISERROR(SEARCH(("Finalizado"),(P195))))</formula>
    </cfRule>
  </conditionalFormatting>
  <conditionalFormatting sqref="P196">
    <cfRule type="containsText" dxfId="2013" priority="365" operator="containsText" text="Pendente">
      <formula>NOT(ISERROR(SEARCH(("Pendente"),(P196))))</formula>
    </cfRule>
    <cfRule type="containsText" dxfId="2012" priority="366" operator="containsText" text="Finalizado">
      <formula>NOT(ISERROR(SEARCH(("Finalizado"),(P196))))</formula>
    </cfRule>
    <cfRule type="containsText" dxfId="2011" priority="367" operator="containsText" text="em andamento">
      <formula>NOT(ISERROR(SEARCH(("em andamento"),(P196))))</formula>
    </cfRule>
    <cfRule type="expression" dxfId="2010" priority="368">
      <formula>$H196="CÉLULA CONSTRUTIVA"</formula>
    </cfRule>
    <cfRule type="expression" dxfId="2009" priority="369">
      <formula>$H196="ETAPA"</formula>
    </cfRule>
    <cfRule type="expression" dxfId="2008" priority="370">
      <formula>$H196="SUBETAPA"</formula>
    </cfRule>
    <cfRule type="expression" dxfId="2007" priority="371">
      <formula>$H196="CÉLULA CONSTRUTIVA"</formula>
    </cfRule>
    <cfRule type="expression" dxfId="2006" priority="372">
      <formula>$H196="ETAPA"</formula>
    </cfRule>
    <cfRule type="expression" dxfId="2005" priority="373">
      <formula>$H196="SUBETAPA"</formula>
    </cfRule>
  </conditionalFormatting>
  <conditionalFormatting sqref="P196:P198">
    <cfRule type="containsText" dxfId="2004" priority="153" operator="containsText" text="Lançado">
      <formula>NOT(ISERROR(SEARCH(("Lançado"),(P196))))</formula>
    </cfRule>
    <cfRule type="containsText" dxfId="2003" priority="154" operator="containsText" text="N/A">
      <formula>NOT(ISERROR(SEARCH(("N/A"),(P196))))</formula>
    </cfRule>
  </conditionalFormatting>
  <conditionalFormatting sqref="P197:P198">
    <cfRule type="containsText" dxfId="2002" priority="142" operator="containsText" text="Finalizado">
      <formula>NOT(ISERROR(SEARCH(("Finalizado"),(P197))))</formula>
    </cfRule>
    <cfRule type="containsText" dxfId="2001" priority="143" operator="containsText" text="N/A">
      <formula>NOT(ISERROR(SEARCH(("N/A"),(P197))))</formula>
    </cfRule>
    <cfRule type="containsText" dxfId="2000" priority="144" operator="containsText" text="Pendente">
      <formula>NOT(ISERROR(SEARCH(("Pendente"),(P197))))</formula>
    </cfRule>
    <cfRule type="containsText" dxfId="1999" priority="145" operator="containsText" text="em andamento">
      <formula>NOT(ISERROR(SEARCH(("em andamento"),(P197))))</formula>
    </cfRule>
    <cfRule type="containsText" dxfId="1998" priority="146" operator="containsText" text="Lançado">
      <formula>NOT(ISERROR(SEARCH(("Lançado"),(P197))))</formula>
    </cfRule>
    <cfRule type="containsText" dxfId="1997" priority="147" operator="containsText" text="N/A">
      <formula>NOT(ISERROR(SEARCH(("N/A"),(P197))))</formula>
    </cfRule>
    <cfRule type="containsText" dxfId="1996" priority="148" operator="containsText" text="Pendente">
      <formula>NOT(ISERROR(SEARCH(("Pendente"),(P197))))</formula>
    </cfRule>
    <cfRule type="containsText" dxfId="1995" priority="149" operator="containsText" text="Finalizado">
      <formula>NOT(ISERROR(SEARCH(("Finalizado"),(P197))))</formula>
    </cfRule>
    <cfRule type="containsText" dxfId="1994" priority="150" operator="containsText" text="em andamento">
      <formula>NOT(ISERROR(SEARCH(("em andamento"),(P197))))</formula>
    </cfRule>
    <cfRule type="expression" dxfId="1993" priority="151">
      <formula>$H197="CÉLULA CONSTRUTIVA"</formula>
    </cfRule>
    <cfRule type="expression" dxfId="1992" priority="152">
      <formula>$H197="ETAPA"</formula>
    </cfRule>
    <cfRule type="containsText" dxfId="1991" priority="155" operator="containsText" text="Finalizado">
      <formula>NOT(ISERROR(SEARCH(("Finalizado"),(P197))))</formula>
    </cfRule>
    <cfRule type="containsText" dxfId="1990" priority="156" operator="containsText" text="Pendente">
      <formula>NOT(ISERROR(SEARCH(("Pendente"),(P197))))</formula>
    </cfRule>
    <cfRule type="containsText" dxfId="1989" priority="157" operator="containsText" text="Finalizado">
      <formula>NOT(ISERROR(SEARCH(("Finalizado"),(P197))))</formula>
    </cfRule>
    <cfRule type="containsText" dxfId="1988" priority="158" operator="containsText" text="em andamento">
      <formula>NOT(ISERROR(SEARCH(("em andamento"),(P197))))</formula>
    </cfRule>
    <cfRule type="containsText" dxfId="1987" priority="159" operator="containsText" text="em andamento">
      <formula>NOT(ISERROR(SEARCH(("em andamento"),(P197))))</formula>
    </cfRule>
    <cfRule type="containsText" dxfId="1986" priority="160" operator="containsText" text="Pendente">
      <formula>NOT(ISERROR(SEARCH(("Pendente"),(P197))))</formula>
    </cfRule>
  </conditionalFormatting>
  <conditionalFormatting sqref="P197:P199">
    <cfRule type="expression" dxfId="1985" priority="161">
      <formula>$H186="ETAPA"</formula>
    </cfRule>
  </conditionalFormatting>
  <conditionalFormatting sqref="P199">
    <cfRule type="containsText" dxfId="1984" priority="4587" operator="containsText" text="Finalizado">
      <formula>NOT(ISERROR(SEARCH(("Finalizado"),(P199))))</formula>
    </cfRule>
    <cfRule type="containsText" dxfId="1983" priority="4588" operator="containsText" text="em andamento">
      <formula>NOT(ISERROR(SEARCH(("em andamento"),(P199))))</formula>
    </cfRule>
  </conditionalFormatting>
  <conditionalFormatting sqref="P199:P203 P238:P258 P163:P168 P177:P183 P145:P155 P1:P5 P118:P127 P130:P143 P157:P161">
    <cfRule type="containsText" dxfId="1982" priority="3765" operator="containsText" text="Pendente">
      <formula>NOT(ISERROR(SEARCH(("Pendente"),(P1))))</formula>
    </cfRule>
  </conditionalFormatting>
  <conditionalFormatting sqref="P200:P203 P38:P46">
    <cfRule type="containsText" dxfId="1981" priority="3626" operator="containsText" text="Pendente">
      <formula>NOT(ISERROR(SEARCH(("Pendente"),(P38))))</formula>
    </cfRule>
  </conditionalFormatting>
  <conditionalFormatting sqref="P200:P203">
    <cfRule type="containsText" dxfId="1980" priority="3624" operator="containsText" text="Lançado">
      <formula>NOT(ISERROR(SEARCH(("Lançado"),(P200))))</formula>
    </cfRule>
    <cfRule type="expression" dxfId="1979" priority="5829">
      <formula>$H189="ETAPA"</formula>
    </cfRule>
  </conditionalFormatting>
  <conditionalFormatting sqref="P204">
    <cfRule type="containsText" dxfId="1978" priority="2790" operator="containsText" text="Finalizado">
      <formula>NOT(ISERROR(SEARCH(("Finalizado"),(P204))))</formula>
    </cfRule>
    <cfRule type="containsText" dxfId="1977" priority="2791" operator="containsText" text="em andamento">
      <formula>NOT(ISERROR(SEARCH(("em andamento"),(P204))))</formula>
    </cfRule>
    <cfRule type="containsText" dxfId="1976" priority="2793" operator="containsText" text="N/A">
      <formula>NOT(ISERROR(SEARCH(("N/A"),(P204))))</formula>
    </cfRule>
    <cfRule type="containsText" dxfId="1975" priority="2794" operator="containsText" text="Lançado">
      <formula>NOT(ISERROR(SEARCH(("Lançado"),(P204))))</formula>
    </cfRule>
    <cfRule type="containsText" dxfId="1974" priority="2795" operator="containsText" text="Pendente">
      <formula>NOT(ISERROR(SEARCH(("Pendente"),(P204))))</formula>
    </cfRule>
  </conditionalFormatting>
  <conditionalFormatting sqref="P205 P207 P213">
    <cfRule type="expression" dxfId="1973" priority="4589">
      <formula>$H205="ETAPA"</formula>
    </cfRule>
  </conditionalFormatting>
  <conditionalFormatting sqref="P206">
    <cfRule type="expression" dxfId="1972" priority="1203">
      <formula>$H206="SUBETAPA"</formula>
    </cfRule>
    <cfRule type="expression" dxfId="1971" priority="1204">
      <formula>$H206="CÉLULA CONSTRUTIVA"</formula>
    </cfRule>
    <cfRule type="expression" dxfId="1970" priority="1205">
      <formula>$H206="ETAPA"</formula>
    </cfRule>
    <cfRule type="expression" dxfId="1969" priority="1206">
      <formula>$H206="SUBETAPA"</formula>
    </cfRule>
    <cfRule type="expression" dxfId="1968" priority="1207">
      <formula>$H206="CÉLULA CONSTRUTIVA"</formula>
    </cfRule>
    <cfRule type="expression" dxfId="1967" priority="1208">
      <formula>$H206="ETAPA"</formula>
    </cfRule>
    <cfRule type="containsText" dxfId="1966" priority="1209" operator="containsText" text="Lançado">
      <formula>NOT(ISERROR(SEARCH(("Lançado"),(P206))))</formula>
    </cfRule>
    <cfRule type="containsText" dxfId="1965" priority="1210" operator="containsText" text="N/A">
      <formula>NOT(ISERROR(SEARCH(("N/A"),(P206))))</formula>
    </cfRule>
    <cfRule type="containsText" dxfId="1964" priority="1211" operator="containsText" text="Pendente">
      <formula>NOT(ISERROR(SEARCH(("Pendente"),(P206))))</formula>
    </cfRule>
    <cfRule type="containsText" dxfId="1963" priority="1212" operator="containsText" text="Finalizado">
      <formula>NOT(ISERROR(SEARCH(("Finalizado"),(P206))))</formula>
    </cfRule>
    <cfRule type="containsText" dxfId="1962" priority="1213" operator="containsText" text="em andamento">
      <formula>NOT(ISERROR(SEARCH(("em andamento"),(P206))))</formula>
    </cfRule>
  </conditionalFormatting>
  <conditionalFormatting sqref="P207">
    <cfRule type="containsText" dxfId="1961" priority="4591" operator="containsText" text="Lançado">
      <formula>NOT(ISERROR(SEARCH(("Lançado"),(P207))))</formula>
    </cfRule>
    <cfRule type="containsText" dxfId="1960" priority="4592" operator="containsText" text="N/A">
      <formula>NOT(ISERROR(SEARCH(("N/A"),(P207))))</formula>
    </cfRule>
    <cfRule type="containsText" dxfId="1959" priority="4593" operator="containsText" text="Pendente">
      <formula>NOT(ISERROR(SEARCH(("Pendente"),(P207))))</formula>
    </cfRule>
    <cfRule type="containsText" dxfId="1958" priority="4594" operator="containsText" text="Finalizado">
      <formula>NOT(ISERROR(SEARCH(("Finalizado"),(P207))))</formula>
    </cfRule>
    <cfRule type="containsText" dxfId="1957" priority="4595" operator="containsText" text="em andamento">
      <formula>NOT(ISERROR(SEARCH(("em andamento"),(P207))))</formula>
    </cfRule>
    <cfRule type="containsText" dxfId="1956" priority="4596" operator="containsText" text="Lançado">
      <formula>NOT(ISERROR(SEARCH(("Lançado"),(P207))))</formula>
    </cfRule>
    <cfRule type="containsText" dxfId="1955" priority="4597" operator="containsText" text="N/A">
      <formula>NOT(ISERROR(SEARCH(("N/A"),(P207))))</formula>
    </cfRule>
    <cfRule type="containsText" dxfId="1954" priority="4598" operator="containsText" text="Pendente">
      <formula>NOT(ISERROR(SEARCH(("Pendente"),(P207))))</formula>
    </cfRule>
    <cfRule type="containsText" dxfId="1953" priority="4599" operator="containsText" text="Finalizado">
      <formula>NOT(ISERROR(SEARCH(("Finalizado"),(P207))))</formula>
    </cfRule>
    <cfRule type="containsText" dxfId="1952" priority="4600" operator="containsText" text="em andamento">
      <formula>NOT(ISERROR(SEARCH(("em andamento"),(P207))))</formula>
    </cfRule>
    <cfRule type="containsText" dxfId="1951" priority="4601" operator="containsText" text="Lançado">
      <formula>NOT(ISERROR(SEARCH(("Lançado"),(P207))))</formula>
    </cfRule>
    <cfRule type="containsText" dxfId="1950" priority="4602" operator="containsText" text="N/A">
      <formula>NOT(ISERROR(SEARCH(("N/A"),(P207))))</formula>
    </cfRule>
    <cfRule type="containsText" dxfId="1949" priority="4603" operator="containsText" text="Pendente">
      <formula>NOT(ISERROR(SEARCH(("Pendente"),(P207))))</formula>
    </cfRule>
    <cfRule type="containsText" dxfId="1948" priority="4604" operator="containsText" text="Finalizado">
      <formula>NOT(ISERROR(SEARCH(("Finalizado"),(P207))))</formula>
    </cfRule>
    <cfRule type="containsText" dxfId="1947" priority="4605" operator="containsText" text="em andamento">
      <formula>NOT(ISERROR(SEARCH(("em andamento"),(P207))))</formula>
    </cfRule>
  </conditionalFormatting>
  <conditionalFormatting sqref="P208">
    <cfRule type="expression" dxfId="1946" priority="1180">
      <formula>$H208="SUBETAPA"</formula>
    </cfRule>
    <cfRule type="expression" dxfId="1945" priority="1181">
      <formula>$H208="CÉLULA CONSTRUTIVA"</formula>
    </cfRule>
    <cfRule type="expression" dxfId="1944" priority="1182">
      <formula>$H208="ETAPA"</formula>
    </cfRule>
    <cfRule type="expression" dxfId="1943" priority="1183">
      <formula>$H208="SUBETAPA"</formula>
    </cfRule>
    <cfRule type="expression" dxfId="1942" priority="1184">
      <formula>$H208="CÉLULA CONSTRUTIVA"</formula>
    </cfRule>
    <cfRule type="expression" dxfId="1941" priority="1185">
      <formula>$H208="ETAPA"</formula>
    </cfRule>
    <cfRule type="containsText" dxfId="1940" priority="1186" operator="containsText" text="Lançado">
      <formula>NOT(ISERROR(SEARCH(("Lançado"),(P208))))</formula>
    </cfRule>
    <cfRule type="containsText" dxfId="1939" priority="1187" operator="containsText" text="N/A">
      <formula>NOT(ISERROR(SEARCH(("N/A"),(P208))))</formula>
    </cfRule>
    <cfRule type="containsText" dxfId="1938" priority="1188" operator="containsText" text="Pendente">
      <formula>NOT(ISERROR(SEARCH(("Pendente"),(P208))))</formula>
    </cfRule>
    <cfRule type="containsText" dxfId="1937" priority="1189" operator="containsText" text="Finalizado">
      <formula>NOT(ISERROR(SEARCH(("Finalizado"),(P208))))</formula>
    </cfRule>
    <cfRule type="containsText" dxfId="1936" priority="1190" operator="containsText" text="em andamento">
      <formula>NOT(ISERROR(SEARCH(("em andamento"),(P208))))</formula>
    </cfRule>
  </conditionalFormatting>
  <conditionalFormatting sqref="P209">
    <cfRule type="expression" dxfId="1935" priority="4606">
      <formula>$H209="SUBETAPA"</formula>
    </cfRule>
    <cfRule type="expression" dxfId="1934" priority="4607">
      <formula>$H209="CÉLULA CONSTRUTIVA"</formula>
    </cfRule>
    <cfRule type="expression" dxfId="1933" priority="4608">
      <formula>$H209="ETAPA"</formula>
    </cfRule>
    <cfRule type="containsText" dxfId="1932" priority="4609" operator="containsText" text="Lançado">
      <formula>NOT(ISERROR(SEARCH(("Lançado"),(P209))))</formula>
    </cfRule>
    <cfRule type="containsText" dxfId="1931" priority="4610" operator="containsText" text="N/A">
      <formula>NOT(ISERROR(SEARCH(("N/A"),(P209))))</formula>
    </cfRule>
    <cfRule type="containsText" dxfId="1930" priority="4611" operator="containsText" text="Pendente">
      <formula>NOT(ISERROR(SEARCH(("Pendente"),(P209))))</formula>
    </cfRule>
    <cfRule type="containsText" dxfId="1929" priority="4612" operator="containsText" text="Finalizado">
      <formula>NOT(ISERROR(SEARCH(("Finalizado"),(P209))))</formula>
    </cfRule>
    <cfRule type="containsText" dxfId="1928" priority="4613" operator="containsText" text="em andamento">
      <formula>NOT(ISERROR(SEARCH(("em andamento"),(P209))))</formula>
    </cfRule>
    <cfRule type="containsText" dxfId="1927" priority="4614" operator="containsText" text="Lançado">
      <formula>NOT(ISERROR(SEARCH(("Lançado"),(P209))))</formula>
    </cfRule>
    <cfRule type="containsText" dxfId="1926" priority="4615" operator="containsText" text="N/A">
      <formula>NOT(ISERROR(SEARCH(("N/A"),(P209))))</formula>
    </cfRule>
    <cfRule type="containsText" dxfId="1925" priority="4616" operator="containsText" text="Pendente">
      <formula>NOT(ISERROR(SEARCH(("Pendente"),(P209))))</formula>
    </cfRule>
    <cfRule type="containsText" dxfId="1924" priority="4617" operator="containsText" text="Finalizado">
      <formula>NOT(ISERROR(SEARCH(("Finalizado"),(P209))))</formula>
    </cfRule>
    <cfRule type="containsText" dxfId="1923" priority="4618" operator="containsText" text="em andamento">
      <formula>NOT(ISERROR(SEARCH(("em andamento"),(P209))))</formula>
    </cfRule>
  </conditionalFormatting>
  <conditionalFormatting sqref="P209:P211">
    <cfRule type="containsText" dxfId="1922" priority="4619" operator="containsText" text="Lançado">
      <formula>NOT(ISERROR(SEARCH(("Lançado"),(P209))))</formula>
    </cfRule>
    <cfRule type="containsText" dxfId="1921" priority="4620" operator="containsText" text="N/A">
      <formula>NOT(ISERROR(SEARCH(("N/A"),(P209))))</formula>
    </cfRule>
    <cfRule type="containsText" dxfId="1920" priority="4621" operator="containsText" text="Pendente">
      <formula>NOT(ISERROR(SEARCH(("Pendente"),(P209))))</formula>
    </cfRule>
    <cfRule type="containsText" dxfId="1919" priority="4622" operator="containsText" text="Finalizado">
      <formula>NOT(ISERROR(SEARCH(("Finalizado"),(P209))))</formula>
    </cfRule>
    <cfRule type="containsText" dxfId="1918" priority="4623" operator="containsText" text="em andamento">
      <formula>NOT(ISERROR(SEARCH(("em andamento"),(P209))))</formula>
    </cfRule>
  </conditionalFormatting>
  <conditionalFormatting sqref="P211 P207 P205">
    <cfRule type="expression" dxfId="1917" priority="4634">
      <formula>$H205="CÉLULA CONSTRUTIVA"</formula>
    </cfRule>
  </conditionalFormatting>
  <conditionalFormatting sqref="P211">
    <cfRule type="containsText" dxfId="1916" priority="4635" operator="containsText" text="Lançado">
      <formula>NOT(ISERROR(SEARCH(("Lançado"),(P211))))</formula>
    </cfRule>
    <cfRule type="containsText" dxfId="1915" priority="4636" operator="containsText" text="N/A">
      <formula>NOT(ISERROR(SEARCH(("N/A"),(P211))))</formula>
    </cfRule>
    <cfRule type="containsText" dxfId="1914" priority="4637" operator="containsText" text="Pendente">
      <formula>NOT(ISERROR(SEARCH(("Pendente"),(P211))))</formula>
    </cfRule>
    <cfRule type="containsText" dxfId="1913" priority="4638" operator="containsText" text="Finalizado">
      <formula>NOT(ISERROR(SEARCH(("Finalizado"),(P211))))</formula>
    </cfRule>
    <cfRule type="containsText" dxfId="1912" priority="4639" operator="containsText" text="em andamento">
      <formula>NOT(ISERROR(SEARCH(("em andamento"),(P211))))</formula>
    </cfRule>
    <cfRule type="containsText" dxfId="1911" priority="4640" operator="containsText" text="Lançado">
      <formula>NOT(ISERROR(SEARCH(("Lançado"),(P211))))</formula>
    </cfRule>
    <cfRule type="containsText" dxfId="1910" priority="4641" operator="containsText" text="N/A">
      <formula>NOT(ISERROR(SEARCH(("N/A"),(P211))))</formula>
    </cfRule>
    <cfRule type="containsText" dxfId="1909" priority="4642" operator="containsText" text="Pendente">
      <formula>NOT(ISERROR(SEARCH(("Pendente"),(P211))))</formula>
    </cfRule>
    <cfRule type="containsText" dxfId="1908" priority="4643" operator="containsText" text="Finalizado">
      <formula>NOT(ISERROR(SEARCH(("Finalizado"),(P211))))</formula>
    </cfRule>
    <cfRule type="containsText" dxfId="1907" priority="4644" operator="containsText" text="em andamento">
      <formula>NOT(ISERROR(SEARCH(("em andamento"),(P211))))</formula>
    </cfRule>
  </conditionalFormatting>
  <conditionalFormatting sqref="P212">
    <cfRule type="containsText" dxfId="1906" priority="2775" operator="containsText" text="Finalizado">
      <formula>NOT(ISERROR(SEARCH(("Finalizado"),(P212))))</formula>
    </cfRule>
    <cfRule type="containsText" dxfId="1905" priority="2776" operator="containsText" text="em andamento">
      <formula>NOT(ISERROR(SEARCH(("em andamento"),(P212))))</formula>
    </cfRule>
    <cfRule type="containsText" dxfId="1904" priority="2778" operator="containsText" text="N/A">
      <formula>NOT(ISERROR(SEARCH(("N/A"),(P212))))</formula>
    </cfRule>
    <cfRule type="containsText" dxfId="1903" priority="2779" operator="containsText" text="Lançado">
      <formula>NOT(ISERROR(SEARCH(("Lançado"),(P212))))</formula>
    </cfRule>
    <cfRule type="containsText" dxfId="1902" priority="2780" operator="containsText" text="Pendente">
      <formula>NOT(ISERROR(SEARCH(("Pendente"),(P212))))</formula>
    </cfRule>
  </conditionalFormatting>
  <conditionalFormatting sqref="P213 P215:P217">
    <cfRule type="containsText" dxfId="1901" priority="4655" operator="containsText" text="Lançado">
      <formula>NOT(ISERROR(SEARCH(("Lançado"),(P213))))</formula>
    </cfRule>
    <cfRule type="containsText" dxfId="1900" priority="4669" operator="containsText" text="Finalizado">
      <formula>NOT(ISERROR(SEARCH(("Finalizado"),(P213))))</formula>
    </cfRule>
  </conditionalFormatting>
  <conditionalFormatting sqref="P213">
    <cfRule type="containsText" dxfId="1899" priority="4650" operator="containsText" text="Lançado">
      <formula>NOT(ISERROR(SEARCH(("Lançado"),(P213))))</formula>
    </cfRule>
    <cfRule type="containsText" dxfId="1898" priority="4651" operator="containsText" text="N/A">
      <formula>NOT(ISERROR(SEARCH(("N/A"),(P213))))</formula>
    </cfRule>
    <cfRule type="containsText" dxfId="1897" priority="4652" operator="containsText" text="Pendente">
      <formula>NOT(ISERROR(SEARCH(("Pendente"),(P213))))</formula>
    </cfRule>
    <cfRule type="containsText" dxfId="1896" priority="4653" operator="containsText" text="Finalizado">
      <formula>NOT(ISERROR(SEARCH(("Finalizado"),(P213))))</formula>
    </cfRule>
    <cfRule type="containsText" dxfId="1895" priority="4654" operator="containsText" text="em andamento">
      <formula>NOT(ISERROR(SEARCH(("em andamento"),(P213))))</formula>
    </cfRule>
    <cfRule type="containsText" dxfId="1894" priority="4656" operator="containsText" text="N/A">
      <formula>NOT(ISERROR(SEARCH(("N/A"),(P213))))</formula>
    </cfRule>
    <cfRule type="expression" dxfId="1893" priority="4657">
      <formula>$H213="ETAPA"</formula>
    </cfRule>
    <cfRule type="expression" dxfId="1892" priority="4658">
      <formula>$H213="SUBETAPA"</formula>
    </cfRule>
    <cfRule type="expression" dxfId="1891" priority="4659">
      <formula>$H213="CÉLULA CONSTRUTIVA"</formula>
    </cfRule>
    <cfRule type="expression" dxfId="1890" priority="4660">
      <formula>$H213="ETAPA"</formula>
    </cfRule>
    <cfRule type="expression" dxfId="1889" priority="4661">
      <formula>$H213="SUBETAPA"</formula>
    </cfRule>
    <cfRule type="expression" dxfId="1888" priority="4662">
      <formula>$H213="CÉLULA CONSTRUTIVA"</formula>
    </cfRule>
    <cfRule type="expression" dxfId="1887" priority="4663">
      <formula>$H213="ETAPA"</formula>
    </cfRule>
    <cfRule type="containsText" dxfId="1886" priority="4664" operator="containsText" text="Lançado">
      <formula>NOT(ISERROR(SEARCH(("Lançado"),(P213))))</formula>
    </cfRule>
    <cfRule type="containsText" dxfId="1885" priority="4665" operator="containsText" text="N/A">
      <formula>NOT(ISERROR(SEARCH(("N/A"),(P213))))</formula>
    </cfRule>
    <cfRule type="containsText" dxfId="1884" priority="4666" operator="containsText" text="Pendente">
      <formula>NOT(ISERROR(SEARCH(("Pendente"),(P213))))</formula>
    </cfRule>
    <cfRule type="containsText" dxfId="1883" priority="4667" operator="containsText" text="Finalizado">
      <formula>NOT(ISERROR(SEARCH(("Finalizado"),(P213))))</formula>
    </cfRule>
    <cfRule type="containsText" dxfId="1882" priority="4668" operator="containsText" text="em andamento">
      <formula>NOT(ISERROR(SEARCH(("em andamento"),(P213))))</formula>
    </cfRule>
  </conditionalFormatting>
  <conditionalFormatting sqref="P214">
    <cfRule type="expression" dxfId="1881" priority="1134">
      <formula>$H214="SUBETAPA"</formula>
    </cfRule>
    <cfRule type="expression" dxfId="1880" priority="1135">
      <formula>$H214="CÉLULA CONSTRUTIVA"</formula>
    </cfRule>
    <cfRule type="expression" dxfId="1879" priority="1136">
      <formula>$H214="ETAPA"</formula>
    </cfRule>
    <cfRule type="expression" dxfId="1878" priority="1137">
      <formula>$H214="SUBETAPA"</formula>
    </cfRule>
    <cfRule type="expression" dxfId="1877" priority="1138">
      <formula>$H214="CÉLULA CONSTRUTIVA"</formula>
    </cfRule>
    <cfRule type="expression" dxfId="1876" priority="1139">
      <formula>$H214="ETAPA"</formula>
    </cfRule>
    <cfRule type="containsText" dxfId="1875" priority="1140" operator="containsText" text="Lançado">
      <formula>NOT(ISERROR(SEARCH(("Lançado"),(P214))))</formula>
    </cfRule>
    <cfRule type="containsText" dxfId="1874" priority="1141" operator="containsText" text="N/A">
      <formula>NOT(ISERROR(SEARCH(("N/A"),(P214))))</formula>
    </cfRule>
    <cfRule type="containsText" dxfId="1873" priority="1142" operator="containsText" text="Pendente">
      <formula>NOT(ISERROR(SEARCH(("Pendente"),(P214))))</formula>
    </cfRule>
    <cfRule type="containsText" dxfId="1872" priority="1143" operator="containsText" text="Finalizado">
      <formula>NOT(ISERROR(SEARCH(("Finalizado"),(P214))))</formula>
    </cfRule>
    <cfRule type="containsText" dxfId="1871" priority="1144" operator="containsText" text="em andamento">
      <formula>NOT(ISERROR(SEARCH(("em andamento"),(P214))))</formula>
    </cfRule>
  </conditionalFormatting>
  <conditionalFormatting sqref="P215:P217">
    <cfRule type="containsText" dxfId="1870" priority="4672" operator="containsText" text="Pendente">
      <formula>NOT(ISERROR(SEARCH(("Pendente"),(P215))))</formula>
    </cfRule>
    <cfRule type="containsText" dxfId="1869" priority="4673" operator="containsText" text="Finalizado">
      <formula>NOT(ISERROR(SEARCH(("Finalizado"),(P215))))</formula>
    </cfRule>
    <cfRule type="containsText" dxfId="1868" priority="4674" operator="containsText" text="em andamento">
      <formula>NOT(ISERROR(SEARCH(("em andamento"),(P215))))</formula>
    </cfRule>
    <cfRule type="containsText" dxfId="1867" priority="4675" operator="containsText" text="Lançado">
      <formula>NOT(ISERROR(SEARCH(("Lançado"),(P215))))</formula>
    </cfRule>
    <cfRule type="containsText" dxfId="1866" priority="4676" operator="containsText" text="N/A">
      <formula>NOT(ISERROR(SEARCH(("N/A"),(P215))))</formula>
    </cfRule>
    <cfRule type="containsText" dxfId="1865" priority="4677" operator="containsText" text="Pendente">
      <formula>NOT(ISERROR(SEARCH(("Pendente"),(P215))))</formula>
    </cfRule>
    <cfRule type="containsText" dxfId="1864" priority="4678" operator="containsText" text="Finalizado">
      <formula>NOT(ISERROR(SEARCH(("Finalizado"),(P215))))</formula>
    </cfRule>
    <cfRule type="containsText" dxfId="1863" priority="4679" operator="containsText" text="em andamento">
      <formula>NOT(ISERROR(SEARCH(("em andamento"),(P215))))</formula>
    </cfRule>
    <cfRule type="expression" dxfId="1862" priority="4680">
      <formula>$H215="SUBETAPA"</formula>
    </cfRule>
    <cfRule type="expression" dxfId="1861" priority="4681">
      <formula>$H215="CÉLULA CONSTRUTIVA"</formula>
    </cfRule>
    <cfRule type="expression" dxfId="1860" priority="4682">
      <formula>$H215="ETAPA"</formula>
    </cfRule>
    <cfRule type="expression" dxfId="1859" priority="4683">
      <formula>$H215="SUBETAPA"</formula>
    </cfRule>
    <cfRule type="expression" dxfId="1858" priority="4684">
      <formula>$H215="CÉLULA CONSTRUTIVA"</formula>
    </cfRule>
    <cfRule type="expression" dxfId="1857" priority="4685">
      <formula>$H215="ETAPA"</formula>
    </cfRule>
  </conditionalFormatting>
  <conditionalFormatting sqref="P218">
    <cfRule type="expression" dxfId="1856" priority="1111">
      <formula>$H218="SUBETAPA"</formula>
    </cfRule>
    <cfRule type="expression" dxfId="1855" priority="1112">
      <formula>$H218="CÉLULA CONSTRUTIVA"</formula>
    </cfRule>
    <cfRule type="expression" dxfId="1854" priority="1113">
      <formula>$H218="ETAPA"</formula>
    </cfRule>
    <cfRule type="expression" dxfId="1853" priority="1114">
      <formula>$H218="SUBETAPA"</formula>
    </cfRule>
    <cfRule type="expression" dxfId="1852" priority="1115">
      <formula>$H218="CÉLULA CONSTRUTIVA"</formula>
    </cfRule>
    <cfRule type="expression" dxfId="1851" priority="1116">
      <formula>$H218="ETAPA"</formula>
    </cfRule>
    <cfRule type="containsText" dxfId="1850" priority="1117" operator="containsText" text="Lançado">
      <formula>NOT(ISERROR(SEARCH(("Lançado"),(P218))))</formula>
    </cfRule>
    <cfRule type="containsText" dxfId="1849" priority="1118" operator="containsText" text="N/A">
      <formula>NOT(ISERROR(SEARCH(("N/A"),(P218))))</formula>
    </cfRule>
    <cfRule type="containsText" dxfId="1848" priority="1119" operator="containsText" text="Pendente">
      <formula>NOT(ISERROR(SEARCH(("Pendente"),(P218))))</formula>
    </cfRule>
    <cfRule type="containsText" dxfId="1847" priority="1120" operator="containsText" text="Finalizado">
      <formula>NOT(ISERROR(SEARCH(("Finalizado"),(P218))))</formula>
    </cfRule>
    <cfRule type="containsText" dxfId="1846" priority="1121" operator="containsText" text="em andamento">
      <formula>NOT(ISERROR(SEARCH(("em andamento"),(P218))))</formula>
    </cfRule>
  </conditionalFormatting>
  <conditionalFormatting sqref="P223">
    <cfRule type="expression" dxfId="1845" priority="1088">
      <formula>$H223="SUBETAPA"</formula>
    </cfRule>
    <cfRule type="expression" dxfId="1844" priority="1089">
      <formula>$H223="CÉLULA CONSTRUTIVA"</formula>
    </cfRule>
    <cfRule type="expression" dxfId="1843" priority="1090">
      <formula>$H223="ETAPA"</formula>
    </cfRule>
    <cfRule type="expression" dxfId="1842" priority="1091">
      <formula>$H223="SUBETAPA"</formula>
    </cfRule>
    <cfRule type="expression" dxfId="1841" priority="1092">
      <formula>$H223="CÉLULA CONSTRUTIVA"</formula>
    </cfRule>
    <cfRule type="expression" dxfId="1840" priority="1093">
      <formula>$H223="ETAPA"</formula>
    </cfRule>
    <cfRule type="containsText" dxfId="1839" priority="1094" operator="containsText" text="Lançado">
      <formula>NOT(ISERROR(SEARCH(("Lançado"),(P223))))</formula>
    </cfRule>
    <cfRule type="containsText" dxfId="1838" priority="1095" operator="containsText" text="N/A">
      <formula>NOT(ISERROR(SEARCH(("N/A"),(P223))))</formula>
    </cfRule>
    <cfRule type="containsText" dxfId="1837" priority="1096" operator="containsText" text="Pendente">
      <formula>NOT(ISERROR(SEARCH(("Pendente"),(P223))))</formula>
    </cfRule>
    <cfRule type="containsText" dxfId="1836" priority="1097" operator="containsText" text="Finalizado">
      <formula>NOT(ISERROR(SEARCH(("Finalizado"),(P223))))</formula>
    </cfRule>
    <cfRule type="containsText" dxfId="1835" priority="1098" operator="containsText" text="em andamento">
      <formula>NOT(ISERROR(SEARCH(("em andamento"),(P223))))</formula>
    </cfRule>
  </conditionalFormatting>
  <conditionalFormatting sqref="P226">
    <cfRule type="expression" dxfId="1834" priority="330">
      <formula>$H226="SUBETAPA"</formula>
    </cfRule>
    <cfRule type="expression" dxfId="1833" priority="331">
      <formula>$H226="CÉLULA CONSTRUTIVA"</formula>
    </cfRule>
    <cfRule type="expression" dxfId="1832" priority="332">
      <formula>$H226="ETAPA"</formula>
    </cfRule>
    <cfRule type="containsText" dxfId="1831" priority="333" operator="containsText" text="Lançado">
      <formula>NOT(ISERROR(SEARCH(("Lançado"),(P226))))</formula>
    </cfRule>
    <cfRule type="containsText" dxfId="1830" priority="334" operator="containsText" text="N/A">
      <formula>NOT(ISERROR(SEARCH(("N/A"),(P226))))</formula>
    </cfRule>
    <cfRule type="containsText" dxfId="1829" priority="335" operator="containsText" text="Pendente">
      <formula>NOT(ISERROR(SEARCH(("Pendente"),(P226))))</formula>
    </cfRule>
    <cfRule type="containsText" dxfId="1828" priority="336" operator="containsText" text="Finalizado">
      <formula>NOT(ISERROR(SEARCH(("Finalizado"),(P226))))</formula>
    </cfRule>
    <cfRule type="containsText" dxfId="1827" priority="337" operator="containsText" text="em andamento">
      <formula>NOT(ISERROR(SEARCH(("em andamento"),(P226))))</formula>
    </cfRule>
  </conditionalFormatting>
  <conditionalFormatting sqref="P226:P229">
    <cfRule type="expression" dxfId="1826" priority="35">
      <formula>$H226="SUBETAPA"</formula>
    </cfRule>
  </conditionalFormatting>
  <conditionalFormatting sqref="P227:P229">
    <cfRule type="containsText" dxfId="1825" priority="24" operator="containsText" text="Lançado">
      <formula>NOT(ISERROR(SEARCH(("Lançado"),(P227))))</formula>
    </cfRule>
    <cfRule type="containsText" dxfId="1824" priority="25" operator="containsText" text="N/A">
      <formula>NOT(ISERROR(SEARCH(("N/A"),(P227))))</formula>
    </cfRule>
    <cfRule type="containsText" dxfId="1823" priority="26" operator="containsText" text="Finalizado">
      <formula>NOT(ISERROR(SEARCH(("Finalizado"),(P227))))</formula>
    </cfRule>
    <cfRule type="containsText" dxfId="1822" priority="27" operator="containsText" text="em andamento">
      <formula>NOT(ISERROR(SEARCH(("em andamento"),(P227))))</formula>
    </cfRule>
    <cfRule type="containsText" dxfId="1821" priority="28" operator="containsText" text="Lançado">
      <formula>NOT(ISERROR(SEARCH(("Lançado"),(P227))))</formula>
    </cfRule>
    <cfRule type="containsText" dxfId="1820" priority="29" operator="containsText" text="N/A">
      <formula>NOT(ISERROR(SEARCH(("N/A"),(P227))))</formula>
    </cfRule>
    <cfRule type="containsText" dxfId="1819" priority="30" operator="containsText" text="Pendente">
      <formula>NOT(ISERROR(SEARCH(("Pendente"),(P227))))</formula>
    </cfRule>
    <cfRule type="containsText" dxfId="1818" priority="31" operator="containsText" text="em andamento">
      <formula>NOT(ISERROR(SEARCH(("em andamento"),(P227))))</formula>
    </cfRule>
    <cfRule type="containsText" dxfId="1817" priority="32" operator="containsText" text="Lançado">
      <formula>NOT(ISERROR(SEARCH(("Lançado"),(P227))))</formula>
    </cfRule>
    <cfRule type="containsText" dxfId="1816" priority="33" operator="containsText" text="N/A">
      <formula>NOT(ISERROR(SEARCH(("N/A"),(P227))))</formula>
    </cfRule>
    <cfRule type="containsText" dxfId="1815" priority="34" operator="containsText" text="Pendente">
      <formula>NOT(ISERROR(SEARCH(("Pendente"),(P227))))</formula>
    </cfRule>
    <cfRule type="expression" dxfId="1814" priority="36">
      <formula>$H227="CÉLULA CONSTRUTIVA"</formula>
    </cfRule>
    <cfRule type="expression" dxfId="1813" priority="37">
      <formula>$H227="ETAPA"</formula>
    </cfRule>
    <cfRule type="containsText" dxfId="1812" priority="38" operator="containsText" text="em andamento">
      <formula>NOT(ISERROR(SEARCH(("em andamento"),(P227))))</formula>
    </cfRule>
    <cfRule type="expression" dxfId="1811" priority="39">
      <formula>$H219="ETAPA"</formula>
    </cfRule>
  </conditionalFormatting>
  <conditionalFormatting sqref="P230">
    <cfRule type="containsText" dxfId="1810" priority="4741" operator="containsText" text="Lançado">
      <formula>NOT(ISERROR(SEARCH(("Lançado"),(P230))))</formula>
    </cfRule>
    <cfRule type="containsText" dxfId="1809" priority="4742" operator="containsText" text="N/A">
      <formula>NOT(ISERROR(SEARCH(("N/A"),(P230))))</formula>
    </cfRule>
    <cfRule type="containsText" dxfId="1808" priority="4743" operator="containsText" text="Pendente">
      <formula>NOT(ISERROR(SEARCH(("Pendente"),(P230))))</formula>
    </cfRule>
    <cfRule type="containsText" dxfId="1807" priority="4744" operator="containsText" text="Finalizado">
      <formula>NOT(ISERROR(SEARCH(("Finalizado"),(P230))))</formula>
    </cfRule>
    <cfRule type="containsText" dxfId="1806" priority="4745" operator="containsText" text="em andamento">
      <formula>NOT(ISERROR(SEARCH(("em andamento"),(P230))))</formula>
    </cfRule>
  </conditionalFormatting>
  <conditionalFormatting sqref="P230:P231">
    <cfRule type="containsText" dxfId="1805" priority="4720" operator="containsText" text="Lançado">
      <formula>NOT(ISERROR(SEARCH(("Lançado"),(P230))))</formula>
    </cfRule>
    <cfRule type="containsText" dxfId="1804" priority="4721" operator="containsText" text="N/A">
      <formula>NOT(ISERROR(SEARCH(("N/A"),(P230))))</formula>
    </cfRule>
    <cfRule type="containsText" dxfId="1803" priority="4723" operator="containsText" text="Finalizado">
      <formula>NOT(ISERROR(SEARCH(("Finalizado"),(P230))))</formula>
    </cfRule>
  </conditionalFormatting>
  <conditionalFormatting sqref="P230:P236">
    <cfRule type="containsText" dxfId="1802" priority="4722" operator="containsText" text="Pendente">
      <formula>NOT(ISERROR(SEARCH(("Pendente"),(P230))))</formula>
    </cfRule>
    <cfRule type="containsText" dxfId="1801" priority="4730" operator="containsText" text="em andamento">
      <formula>NOT(ISERROR(SEARCH(("em andamento"),(P230))))</formula>
    </cfRule>
  </conditionalFormatting>
  <conditionalFormatting sqref="P231">
    <cfRule type="expression" dxfId="1800" priority="4713">
      <formula>$H231="CÉLULA CONSTRUTIVA"</formula>
    </cfRule>
    <cfRule type="expression" dxfId="1799" priority="4714">
      <formula>$H231="ETAPA"</formula>
    </cfRule>
    <cfRule type="containsText" dxfId="1798" priority="4715" operator="containsText" text="Lançado">
      <formula>NOT(ISERROR(SEARCH(("Lançado"),(P231))))</formula>
    </cfRule>
    <cfRule type="containsText" dxfId="1797" priority="4716" operator="containsText" text="N/A">
      <formula>NOT(ISERROR(SEARCH(("N/A"),(P231))))</formula>
    </cfRule>
    <cfRule type="containsText" dxfId="1796" priority="4717" operator="containsText" text="Pendente">
      <formula>NOT(ISERROR(SEARCH(("Pendente"),(P231))))</formula>
    </cfRule>
    <cfRule type="containsText" dxfId="1795" priority="4718" operator="containsText" text="Finalizado">
      <formula>NOT(ISERROR(SEARCH(("Finalizado"),(P231))))</formula>
    </cfRule>
    <cfRule type="containsText" dxfId="1794" priority="4719" operator="containsText" text="em andamento">
      <formula>NOT(ISERROR(SEARCH(("em andamento"),(P231))))</formula>
    </cfRule>
    <cfRule type="containsText" dxfId="1793" priority="4724" operator="containsText" text="em andamento">
      <formula>NOT(ISERROR(SEARCH(("em andamento"),(P231))))</formula>
    </cfRule>
    <cfRule type="expression" dxfId="1792" priority="4725">
      <formula>$H231="SUBETAPA"</formula>
    </cfRule>
    <cfRule type="expression" dxfId="1791" priority="4726">
      <formula>$H231="ETAPA"</formula>
    </cfRule>
  </conditionalFormatting>
  <conditionalFormatting sqref="P231:P236">
    <cfRule type="expression" dxfId="1790" priority="4515">
      <formula>$H231="SUBETAPA"</formula>
    </cfRule>
  </conditionalFormatting>
  <conditionalFormatting sqref="P232:P236">
    <cfRule type="expression" dxfId="1789" priority="4513">
      <formula>$H232="CÉLULA CONSTRUTIVA"</formula>
    </cfRule>
    <cfRule type="expression" dxfId="1788" priority="4514">
      <formula>$H232="ETAPA"</formula>
    </cfRule>
  </conditionalFormatting>
  <conditionalFormatting sqref="P233 P206">
    <cfRule type="expression" dxfId="1787" priority="5860">
      <formula>#REF!="ETAPA"</formula>
    </cfRule>
  </conditionalFormatting>
  <conditionalFormatting sqref="P237">
    <cfRule type="containsText" dxfId="1786" priority="2760" operator="containsText" text="Finalizado">
      <formula>NOT(ISERROR(SEARCH(("Finalizado"),(P237))))</formula>
    </cfRule>
    <cfRule type="containsText" dxfId="1785" priority="2761" operator="containsText" text="em andamento">
      <formula>NOT(ISERROR(SEARCH(("em andamento"),(P237))))</formula>
    </cfRule>
    <cfRule type="containsText" dxfId="1784" priority="2763" operator="containsText" text="N/A">
      <formula>NOT(ISERROR(SEARCH(("N/A"),(P237))))</formula>
    </cfRule>
    <cfRule type="containsText" dxfId="1783" priority="2764" operator="containsText" text="Lançado">
      <formula>NOT(ISERROR(SEARCH(("Lançado"),(P237))))</formula>
    </cfRule>
    <cfRule type="containsText" dxfId="1782" priority="2765" operator="containsText" text="Pendente">
      <formula>NOT(ISERROR(SEARCH(("Pendente"),(P237))))</formula>
    </cfRule>
  </conditionalFormatting>
  <conditionalFormatting sqref="P238 P252 P260 P275 P287 P240 P242:P246">
    <cfRule type="containsText" dxfId="1781" priority="4764" operator="containsText" text="Lançado">
      <formula>NOT(ISERROR(SEARCH(("Lançado"),(P238))))</formula>
    </cfRule>
    <cfRule type="containsText" dxfId="1780" priority="4765" operator="containsText" text="N/A">
      <formula>NOT(ISERROR(SEARCH(("N/A"),(P238))))</formula>
    </cfRule>
  </conditionalFormatting>
  <conditionalFormatting sqref="P238">
    <cfRule type="containsText" dxfId="1779" priority="4761" operator="containsText" text="Finalizado">
      <formula>NOT(ISERROR(SEARCH(("Finalizado"),(P238))))</formula>
    </cfRule>
  </conditionalFormatting>
  <conditionalFormatting sqref="P238:P258 P307:P325 P163:P168 P177:P183 P145:P155 P1:P5 P118:P127 P130:P143 P157:P161 P297:P305 P345:P346 P350:P352">
    <cfRule type="containsText" dxfId="1778" priority="3764" operator="containsText" text="em andamento">
      <formula>NOT(ISERROR(SEARCH(("em andamento"),(P1))))</formula>
    </cfRule>
  </conditionalFormatting>
  <conditionalFormatting sqref="P239">
    <cfRule type="expression" dxfId="1777" priority="226">
      <formula>$H239="SUBETAPA"</formula>
    </cfRule>
    <cfRule type="expression" dxfId="1776" priority="227">
      <formula>$H239="CÉLULA CONSTRUTIVA"</formula>
    </cfRule>
    <cfRule type="expression" dxfId="1775" priority="228">
      <formula>$H239="ETAPA"</formula>
    </cfRule>
    <cfRule type="expression" dxfId="1774" priority="229">
      <formula>$H239="SUBETAPA"</formula>
    </cfRule>
    <cfRule type="expression" dxfId="1773" priority="230">
      <formula>$H239="CÉLULA CONSTRUTIVA"</formula>
    </cfRule>
    <cfRule type="expression" dxfId="1772" priority="231">
      <formula>$H239="ETAPA"</formula>
    </cfRule>
    <cfRule type="containsText" dxfId="1771" priority="232" operator="containsText" text="Lançado">
      <formula>NOT(ISERROR(SEARCH(("Lançado"),(P239))))</formula>
    </cfRule>
    <cfRule type="containsText" dxfId="1770" priority="233" operator="containsText" text="N/A">
      <formula>NOT(ISERROR(SEARCH(("N/A"),(P239))))</formula>
    </cfRule>
    <cfRule type="containsText" dxfId="1769" priority="234" operator="containsText" text="Pendente">
      <formula>NOT(ISERROR(SEARCH(("Pendente"),(P239))))</formula>
    </cfRule>
    <cfRule type="containsText" dxfId="1768" priority="235" operator="containsText" text="Finalizado">
      <formula>NOT(ISERROR(SEARCH(("Finalizado"),(P239))))</formula>
    </cfRule>
    <cfRule type="containsText" dxfId="1767" priority="236" operator="containsText" text="em andamento">
      <formula>NOT(ISERROR(SEARCH(("em andamento"),(P239))))</formula>
    </cfRule>
    <cfRule type="expression" dxfId="1766" priority="261">
      <formula>#REF!="ETAPA"</formula>
    </cfRule>
  </conditionalFormatting>
  <conditionalFormatting sqref="P240">
    <cfRule type="containsText" dxfId="1765" priority="242" operator="containsText" text="Pendente">
      <formula>NOT(ISERROR(SEARCH(("Pendente"),(P240))))</formula>
    </cfRule>
    <cfRule type="containsText" dxfId="1764" priority="243" operator="containsText" text="Finalizado">
      <formula>NOT(ISERROR(SEARCH(("Finalizado"),(P240))))</formula>
    </cfRule>
    <cfRule type="containsText" dxfId="1763" priority="244" operator="containsText" text="em andamento">
      <formula>NOT(ISERROR(SEARCH(("em andamento"),(P240))))</formula>
    </cfRule>
    <cfRule type="containsText" dxfId="1762" priority="245" operator="containsText" text="Lançado">
      <formula>NOT(ISERROR(SEARCH(("Lançado"),(P240))))</formula>
    </cfRule>
    <cfRule type="containsText" dxfId="1761" priority="246" operator="containsText" text="N/A">
      <formula>NOT(ISERROR(SEARCH(("N/A"),(P240))))</formula>
    </cfRule>
    <cfRule type="containsText" dxfId="1760" priority="247" operator="containsText" text="Pendente">
      <formula>NOT(ISERROR(SEARCH(("Pendente"),(P240))))</formula>
    </cfRule>
    <cfRule type="containsText" dxfId="1759" priority="248" operator="containsText" text="Finalizado">
      <formula>NOT(ISERROR(SEARCH(("Finalizado"),(P240))))</formula>
    </cfRule>
    <cfRule type="containsText" dxfId="1758" priority="249" operator="containsText" text="em andamento">
      <formula>NOT(ISERROR(SEARCH(("em andamento"),(P240))))</formula>
    </cfRule>
    <cfRule type="containsText" dxfId="1757" priority="250" operator="containsText" text="Lançado">
      <formula>NOT(ISERROR(SEARCH(("Lançado"),(P240))))</formula>
    </cfRule>
    <cfRule type="containsText" dxfId="1756" priority="251" operator="containsText" text="N/A">
      <formula>NOT(ISERROR(SEARCH(("N/A"),(P240))))</formula>
    </cfRule>
    <cfRule type="containsText" dxfId="1755" priority="252" operator="containsText" text="Pendente">
      <formula>NOT(ISERROR(SEARCH(("Pendente"),(P240))))</formula>
    </cfRule>
    <cfRule type="containsText" dxfId="1754" priority="253" operator="containsText" text="Finalizado">
      <formula>NOT(ISERROR(SEARCH(("Finalizado"),(P240))))</formula>
    </cfRule>
    <cfRule type="containsText" dxfId="1753" priority="254" operator="containsText" text="em andamento">
      <formula>NOT(ISERROR(SEARCH(("em andamento"),(P240))))</formula>
    </cfRule>
    <cfRule type="expression" dxfId="1752" priority="255">
      <formula>$H240="SUBETAPA"</formula>
    </cfRule>
    <cfRule type="expression" dxfId="1751" priority="256">
      <formula>$H240="CÉLULA CONSTRUTIVA"</formula>
    </cfRule>
    <cfRule type="expression" dxfId="1750" priority="257">
      <formula>$H240="ETAPA"</formula>
    </cfRule>
    <cfRule type="expression" dxfId="1749" priority="259">
      <formula>$H240="CÉLULA CONSTRUTIVA"</formula>
    </cfRule>
    <cfRule type="expression" dxfId="1748" priority="260">
      <formula>$H228="ETAPA"</formula>
    </cfRule>
  </conditionalFormatting>
  <conditionalFormatting sqref="P240:P241">
    <cfRule type="expression" dxfId="1747" priority="258">
      <formula>$H240="SUBETAPA"</formula>
    </cfRule>
  </conditionalFormatting>
  <conditionalFormatting sqref="P241">
    <cfRule type="expression" dxfId="1746" priority="1068">
      <formula>$H241="SUBETAPA"</formula>
    </cfRule>
    <cfRule type="expression" dxfId="1745" priority="1069">
      <formula>$H241="CÉLULA CONSTRUTIVA"</formula>
    </cfRule>
    <cfRule type="expression" dxfId="1744" priority="1070">
      <formula>$H241="ETAPA"</formula>
    </cfRule>
    <cfRule type="containsText" dxfId="1743" priority="1071" operator="containsText" text="Lançado">
      <formula>NOT(ISERROR(SEARCH(("Lançado"),(P241))))</formula>
    </cfRule>
    <cfRule type="containsText" dxfId="1742" priority="1072" operator="containsText" text="N/A">
      <formula>NOT(ISERROR(SEARCH(("N/A"),(P241))))</formula>
    </cfRule>
    <cfRule type="containsText" dxfId="1741" priority="1073" operator="containsText" text="Pendente">
      <formula>NOT(ISERROR(SEARCH(("Pendente"),(P241))))</formula>
    </cfRule>
    <cfRule type="containsText" dxfId="1740" priority="1074" operator="containsText" text="Finalizado">
      <formula>NOT(ISERROR(SEARCH(("Finalizado"),(P241))))</formula>
    </cfRule>
    <cfRule type="containsText" dxfId="1739" priority="1075" operator="containsText" text="em andamento">
      <formula>NOT(ISERROR(SEARCH(("em andamento"),(P241))))</formula>
    </cfRule>
  </conditionalFormatting>
  <conditionalFormatting sqref="P242:P246 P248:P252">
    <cfRule type="expression" dxfId="1738" priority="4785">
      <formula>$H242="SUBETAPA"</formula>
    </cfRule>
    <cfRule type="expression" dxfId="1737" priority="4786">
      <formula>$H242="CÉLULA CONSTRUTIVA"</formula>
    </cfRule>
  </conditionalFormatting>
  <conditionalFormatting sqref="P242:P246">
    <cfRule type="containsText" dxfId="1736" priority="4768" operator="containsText" text="Pendente">
      <formula>NOT(ISERROR(SEARCH(("Pendente"),(P242))))</formula>
    </cfRule>
    <cfRule type="containsText" dxfId="1735" priority="4769" operator="containsText" text="Finalizado">
      <formula>NOT(ISERROR(SEARCH(("Finalizado"),(P242))))</formula>
    </cfRule>
    <cfRule type="containsText" dxfId="1734" priority="4770" operator="containsText" text="em andamento">
      <formula>NOT(ISERROR(SEARCH(("em andamento"),(P242))))</formula>
    </cfRule>
    <cfRule type="containsText" dxfId="1733" priority="4771" operator="containsText" text="Lançado">
      <formula>NOT(ISERROR(SEARCH(("Lançado"),(P242))))</formula>
    </cfRule>
    <cfRule type="containsText" dxfId="1732" priority="4772" operator="containsText" text="N/A">
      <formula>NOT(ISERROR(SEARCH(("N/A"),(P242))))</formula>
    </cfRule>
    <cfRule type="containsText" dxfId="1731" priority="4773" operator="containsText" text="Pendente">
      <formula>NOT(ISERROR(SEARCH(("Pendente"),(P242))))</formula>
    </cfRule>
    <cfRule type="containsText" dxfId="1730" priority="4774" operator="containsText" text="Finalizado">
      <formula>NOT(ISERROR(SEARCH(("Finalizado"),(P242))))</formula>
    </cfRule>
    <cfRule type="containsText" dxfId="1729" priority="4775" operator="containsText" text="em andamento">
      <formula>NOT(ISERROR(SEARCH(("em andamento"),(P242))))</formula>
    </cfRule>
    <cfRule type="containsText" dxfId="1728" priority="4776" operator="containsText" text="Lançado">
      <formula>NOT(ISERROR(SEARCH(("Lançado"),(P242))))</formula>
    </cfRule>
    <cfRule type="containsText" dxfId="1727" priority="4777" operator="containsText" text="N/A">
      <formula>NOT(ISERROR(SEARCH(("N/A"),(P242))))</formula>
    </cfRule>
    <cfRule type="containsText" dxfId="1726" priority="4778" operator="containsText" text="Pendente">
      <formula>NOT(ISERROR(SEARCH(("Pendente"),(P242))))</formula>
    </cfRule>
    <cfRule type="containsText" dxfId="1725" priority="4779" operator="containsText" text="Finalizado">
      <formula>NOT(ISERROR(SEARCH(("Finalizado"),(P242))))</formula>
    </cfRule>
    <cfRule type="containsText" dxfId="1724" priority="4780" operator="containsText" text="em andamento">
      <formula>NOT(ISERROR(SEARCH(("em andamento"),(P242))))</formula>
    </cfRule>
    <cfRule type="expression" dxfId="1723" priority="4781">
      <formula>$H242="SUBETAPA"</formula>
    </cfRule>
    <cfRule type="expression" dxfId="1722" priority="4782">
      <formula>$H242="CÉLULA CONSTRUTIVA"</formula>
    </cfRule>
    <cfRule type="expression" dxfId="1721" priority="4783">
      <formula>$H242="ETAPA"</formula>
    </cfRule>
  </conditionalFormatting>
  <conditionalFormatting sqref="P243:P244 P238 P234:P236 L87 N87:O87 O77:P77">
    <cfRule type="expression" dxfId="1720" priority="5152">
      <formula>$H63="ETAPA"</formula>
    </cfRule>
  </conditionalFormatting>
  <conditionalFormatting sqref="P245:P247 M93">
    <cfRule type="expression" dxfId="1719" priority="3207">
      <formula>$H78="ETAPA"</formula>
    </cfRule>
  </conditionalFormatting>
  <conditionalFormatting sqref="P247">
    <cfRule type="expression" dxfId="1718" priority="1045">
      <formula>$H247="SUBETAPA"</formula>
    </cfRule>
    <cfRule type="expression" dxfId="1717" priority="1046">
      <formula>$H247="CÉLULA CONSTRUTIVA"</formula>
    </cfRule>
    <cfRule type="expression" dxfId="1716" priority="1047">
      <formula>$H247="ETAPA"</formula>
    </cfRule>
    <cfRule type="containsText" dxfId="1715" priority="1048" operator="containsText" text="Lançado">
      <formula>NOT(ISERROR(SEARCH(("Lançado"),(P247))))</formula>
    </cfRule>
    <cfRule type="containsText" dxfId="1714" priority="1049" operator="containsText" text="N/A">
      <formula>NOT(ISERROR(SEARCH(("N/A"),(P247))))</formula>
    </cfRule>
    <cfRule type="containsText" dxfId="1713" priority="1050" operator="containsText" text="Pendente">
      <formula>NOT(ISERROR(SEARCH(("Pendente"),(P247))))</formula>
    </cfRule>
    <cfRule type="containsText" dxfId="1712" priority="1051" operator="containsText" text="Finalizado">
      <formula>NOT(ISERROR(SEARCH(("Finalizado"),(P247))))</formula>
    </cfRule>
    <cfRule type="containsText" dxfId="1711" priority="1052" operator="containsText" text="em andamento">
      <formula>NOT(ISERROR(SEARCH(("em andamento"),(P247))))</formula>
    </cfRule>
  </conditionalFormatting>
  <conditionalFormatting sqref="P247:P248">
    <cfRule type="expression" dxfId="1710" priority="204">
      <formula>$H247="SUBETAPA"</formula>
    </cfRule>
  </conditionalFormatting>
  <conditionalFormatting sqref="P248">
    <cfRule type="containsText" dxfId="1709" priority="191" operator="containsText" text="Pendente">
      <formula>NOT(ISERROR(SEARCH(("Pendente"),(P248))))</formula>
    </cfRule>
    <cfRule type="containsText" dxfId="1708" priority="192" operator="containsText" text="Finalizado">
      <formula>NOT(ISERROR(SEARCH(("Finalizado"),(P248))))</formula>
    </cfRule>
    <cfRule type="containsText" dxfId="1707" priority="193" operator="containsText" text="em andamento">
      <formula>NOT(ISERROR(SEARCH(("em andamento"),(P248))))</formula>
    </cfRule>
    <cfRule type="containsText" dxfId="1706" priority="194" operator="containsText" text="Lançado">
      <formula>NOT(ISERROR(SEARCH(("Lançado"),(P248))))</formula>
    </cfRule>
    <cfRule type="containsText" dxfId="1705" priority="195" operator="containsText" text="N/A">
      <formula>NOT(ISERROR(SEARCH(("N/A"),(P248))))</formula>
    </cfRule>
    <cfRule type="containsText" dxfId="1704" priority="196" operator="containsText" text="Pendente">
      <formula>NOT(ISERROR(SEARCH(("Pendente"),(P248))))</formula>
    </cfRule>
    <cfRule type="containsText" dxfId="1703" priority="197" operator="containsText" text="Finalizado">
      <formula>NOT(ISERROR(SEARCH(("Finalizado"),(P248))))</formula>
    </cfRule>
    <cfRule type="containsText" dxfId="1702" priority="198" operator="containsText" text="em andamento">
      <formula>NOT(ISERROR(SEARCH(("em andamento"),(P248))))</formula>
    </cfRule>
    <cfRule type="containsText" dxfId="1701" priority="199" operator="containsText" text="Lançado">
      <formula>NOT(ISERROR(SEARCH(("Lançado"),(P248))))</formula>
    </cfRule>
    <cfRule type="containsText" dxfId="1700" priority="200" operator="containsText" text="N/A">
      <formula>NOT(ISERROR(SEARCH(("N/A"),(P248))))</formula>
    </cfRule>
    <cfRule type="containsText" dxfId="1699" priority="201" operator="containsText" text="Pendente">
      <formula>NOT(ISERROR(SEARCH(("Pendente"),(P248))))</formula>
    </cfRule>
    <cfRule type="containsText" dxfId="1698" priority="202" operator="containsText" text="Finalizado">
      <formula>NOT(ISERROR(SEARCH(("Finalizado"),(P248))))</formula>
    </cfRule>
    <cfRule type="containsText" dxfId="1697" priority="203" operator="containsText" text="em andamento">
      <formula>NOT(ISERROR(SEARCH(("em andamento"),(P248))))</formula>
    </cfRule>
    <cfRule type="expression" dxfId="1696" priority="205">
      <formula>$H248="CÉLULA CONSTRUTIVA"</formula>
    </cfRule>
    <cfRule type="expression" dxfId="1695" priority="206">
      <formula>$H248="ETAPA"</formula>
    </cfRule>
    <cfRule type="expression" dxfId="1694" priority="207">
      <formula>$H234="ETAPA"</formula>
    </cfRule>
  </conditionalFormatting>
  <conditionalFormatting sqref="P248:P249">
    <cfRule type="containsText" dxfId="1693" priority="176" operator="containsText" text="Lançado">
      <formula>NOT(ISERROR(SEARCH(("Lançado"),(P248))))</formula>
    </cfRule>
    <cfRule type="containsText" dxfId="1692" priority="177" operator="containsText" text="N/A">
      <formula>NOT(ISERROR(SEARCH(("N/A"),(P248))))</formula>
    </cfRule>
  </conditionalFormatting>
  <conditionalFormatting sqref="P249">
    <cfRule type="containsText" dxfId="1691" priority="166" operator="containsText" text="Lançado">
      <formula>NOT(ISERROR(SEARCH(("Lançado"),(P249))))</formula>
    </cfRule>
    <cfRule type="containsText" dxfId="1690" priority="167" operator="containsText" text="N/A">
      <formula>NOT(ISERROR(SEARCH(("N/A"),(P249))))</formula>
    </cfRule>
    <cfRule type="containsText" dxfId="1689" priority="168" operator="containsText" text="Pendente">
      <formula>NOT(ISERROR(SEARCH(("Pendente"),(P249))))</formula>
    </cfRule>
    <cfRule type="containsText" dxfId="1688" priority="169" operator="containsText" text="Finalizado">
      <formula>NOT(ISERROR(SEARCH(("Finalizado"),(P249))))</formula>
    </cfRule>
    <cfRule type="containsText" dxfId="1687" priority="170" operator="containsText" text="em andamento">
      <formula>NOT(ISERROR(SEARCH(("em andamento"),(P249))))</formula>
    </cfRule>
    <cfRule type="containsText" dxfId="1686" priority="171" operator="containsText" text="Lançado">
      <formula>NOT(ISERROR(SEARCH(("Lançado"),(P249))))</formula>
    </cfRule>
    <cfRule type="containsText" dxfId="1685" priority="172" operator="containsText" text="N/A">
      <formula>NOT(ISERROR(SEARCH(("N/A"),(P249))))</formula>
    </cfRule>
    <cfRule type="containsText" dxfId="1684" priority="173" operator="containsText" text="Pendente">
      <formula>NOT(ISERROR(SEARCH(("Pendente"),(P249))))</formula>
    </cfRule>
    <cfRule type="containsText" dxfId="1683" priority="174" operator="containsText" text="Finalizado">
      <formula>NOT(ISERROR(SEARCH(("Finalizado"),(P249))))</formula>
    </cfRule>
    <cfRule type="containsText" dxfId="1682" priority="175" operator="containsText" text="em andamento">
      <formula>NOT(ISERROR(SEARCH(("em andamento"),(P249))))</formula>
    </cfRule>
    <cfRule type="containsText" dxfId="1681" priority="178" operator="containsText" text="Pendente">
      <formula>NOT(ISERROR(SEARCH(("Pendente"),(P249))))</formula>
    </cfRule>
    <cfRule type="containsText" dxfId="1680" priority="179" operator="containsText" text="Finalizado">
      <formula>NOT(ISERROR(SEARCH(("Finalizado"),(P249))))</formula>
    </cfRule>
    <cfRule type="containsText" dxfId="1679" priority="180" operator="containsText" text="em andamento">
      <formula>NOT(ISERROR(SEARCH(("em andamento"),(P249))))</formula>
    </cfRule>
    <cfRule type="expression" dxfId="1678" priority="181">
      <formula>$H249="SUBETAPA"</formula>
    </cfRule>
    <cfRule type="expression" dxfId="1677" priority="182">
      <formula>$H249="CÉLULA CONSTRUTIVA"</formula>
    </cfRule>
    <cfRule type="expression" dxfId="1676" priority="183">
      <formula>$H249="ETAPA"</formula>
    </cfRule>
    <cfRule type="expression" dxfId="1675" priority="184">
      <formula>$H235="ETAPA"</formula>
    </cfRule>
  </conditionalFormatting>
  <conditionalFormatting sqref="P250:P252">
    <cfRule type="expression" dxfId="1674" priority="4792">
      <formula>$H250="ETAPA"</formula>
    </cfRule>
    <cfRule type="containsText" dxfId="1673" priority="4793" operator="containsText" text="Lançado">
      <formula>NOT(ISERROR(SEARCH(("Lançado"),(P250))))</formula>
    </cfRule>
    <cfRule type="containsText" dxfId="1672" priority="4794" operator="containsText" text="N/A">
      <formula>NOT(ISERROR(SEARCH(("N/A"),(P250))))</formula>
    </cfRule>
    <cfRule type="containsText" dxfId="1671" priority="4795" operator="containsText" text="Pendente">
      <formula>NOT(ISERROR(SEARCH(("Pendente"),(P250))))</formula>
    </cfRule>
    <cfRule type="containsText" dxfId="1670" priority="4796" operator="containsText" text="Finalizado">
      <formula>NOT(ISERROR(SEARCH(("Finalizado"),(P250))))</formula>
    </cfRule>
    <cfRule type="containsText" dxfId="1669" priority="4797" operator="containsText" text="em andamento">
      <formula>NOT(ISERROR(SEARCH(("em andamento"),(P250))))</formula>
    </cfRule>
    <cfRule type="containsText" dxfId="1668" priority="4798" operator="containsText" text="Lançado">
      <formula>NOT(ISERROR(SEARCH(("Lançado"),(P250))))</formula>
    </cfRule>
    <cfRule type="containsText" dxfId="1667" priority="4799" operator="containsText" text="N/A">
      <formula>NOT(ISERROR(SEARCH(("N/A"),(P250))))</formula>
    </cfRule>
    <cfRule type="containsText" dxfId="1666" priority="4800" operator="containsText" text="Pendente">
      <formula>NOT(ISERROR(SEARCH(("Pendente"),(P250))))</formula>
    </cfRule>
    <cfRule type="containsText" dxfId="1665" priority="4801" operator="containsText" text="Finalizado">
      <formula>NOT(ISERROR(SEARCH(("Finalizado"),(P250))))</formula>
    </cfRule>
    <cfRule type="containsText" dxfId="1664" priority="4802" operator="containsText" text="em andamento">
      <formula>NOT(ISERROR(SEARCH(("em andamento"),(P250))))</formula>
    </cfRule>
    <cfRule type="containsText" dxfId="1663" priority="4803" operator="containsText" text="Lançado">
      <formula>NOT(ISERROR(SEARCH(("Lançado"),(P250))))</formula>
    </cfRule>
    <cfRule type="containsText" dxfId="1662" priority="4804" operator="containsText" text="N/A">
      <formula>NOT(ISERROR(SEARCH(("N/A"),(P250))))</formula>
    </cfRule>
    <cfRule type="containsText" dxfId="1661" priority="4805" operator="containsText" text="Pendente">
      <formula>NOT(ISERROR(SEARCH(("Pendente"),(P250))))</formula>
    </cfRule>
    <cfRule type="containsText" dxfId="1660" priority="4806" operator="containsText" text="Finalizado">
      <formula>NOT(ISERROR(SEARCH(("Finalizado"),(P250))))</formula>
    </cfRule>
    <cfRule type="containsText" dxfId="1659" priority="4807" operator="containsText" text="em andamento">
      <formula>NOT(ISERROR(SEARCH(("em andamento"),(P250))))</formula>
    </cfRule>
  </conditionalFormatting>
  <conditionalFormatting sqref="P252 P217:P218 P241">
    <cfRule type="expression" dxfId="1658" priority="5894">
      <formula>#REF!="ETAPA"</formula>
    </cfRule>
  </conditionalFormatting>
  <conditionalFormatting sqref="P252 P260 P275 P287 P238">
    <cfRule type="containsText" dxfId="1657" priority="4763" operator="containsText" text="Pendente">
      <formula>NOT(ISERROR(SEARCH(("Pendente"),(P238))))</formula>
    </cfRule>
  </conditionalFormatting>
  <conditionalFormatting sqref="P252 P260 P275 P287">
    <cfRule type="containsText" dxfId="1656" priority="4762" operator="containsText" text="Finalizado">
      <formula>NOT(ISERROR(SEARCH(("Finalizado"),(P252))))</formula>
    </cfRule>
  </conditionalFormatting>
  <conditionalFormatting sqref="P254:P256">
    <cfRule type="expression" dxfId="1655" priority="6158">
      <formula>$H236="ETAPA"</formula>
    </cfRule>
  </conditionalFormatting>
  <conditionalFormatting sqref="P259">
    <cfRule type="containsText" dxfId="1654" priority="2745" operator="containsText" text="Finalizado">
      <formula>NOT(ISERROR(SEARCH(("Finalizado"),(P259))))</formula>
    </cfRule>
    <cfRule type="containsText" dxfId="1653" priority="2746" operator="containsText" text="em andamento">
      <formula>NOT(ISERROR(SEARCH(("em andamento"),(P259))))</formula>
    </cfRule>
    <cfRule type="containsText" dxfId="1652" priority="2748" operator="containsText" text="N/A">
      <formula>NOT(ISERROR(SEARCH(("N/A"),(P259))))</formula>
    </cfRule>
    <cfRule type="containsText" dxfId="1651" priority="2749" operator="containsText" text="Lançado">
      <formula>NOT(ISERROR(SEARCH(("Lançado"),(P259))))</formula>
    </cfRule>
    <cfRule type="containsText" dxfId="1650" priority="2750" operator="containsText" text="Pendente">
      <formula>NOT(ISERROR(SEARCH(("Pendente"),(P259))))</formula>
    </cfRule>
  </conditionalFormatting>
  <conditionalFormatting sqref="P260 P262 P275 P287">
    <cfRule type="containsText" dxfId="1649" priority="4811" operator="containsText" text="Finalizado">
      <formula>NOT(ISERROR(SEARCH(("Finalizado"),(P260))))</formula>
    </cfRule>
    <cfRule type="containsText" dxfId="1648" priority="4812" operator="containsText" text="Pendente">
      <formula>NOT(ISERROR(SEARCH(("Pendente"),(P260))))</formula>
    </cfRule>
  </conditionalFormatting>
  <conditionalFormatting sqref="P260 P275 P287 P307:P308 P297 P300 P302 P262 P272 P281 P283 P285">
    <cfRule type="containsText" dxfId="1647" priority="4809" operator="containsText" text="em andamento">
      <formula>NOT(ISERROR(SEARCH(("em andamento"),(P260))))</formula>
    </cfRule>
  </conditionalFormatting>
  <conditionalFormatting sqref="P260:P295 M261:M270 L263:L267 N264:P267 M272:O274 M288:M295 P327:P343 M333:P339 L327:M343 G264:K270 M161:O161 M340:O343 G333:L344 G272:K275 G271:M271">
    <cfRule type="expression" dxfId="1646" priority="3114">
      <formula>$H161="SUBETAPA"</formula>
    </cfRule>
  </conditionalFormatting>
  <conditionalFormatting sqref="P261">
    <cfRule type="expression" dxfId="1645" priority="993">
      <formula>$H261="CÉLULA CONSTRUTIVA"</formula>
    </cfRule>
    <cfRule type="containsText" dxfId="1644" priority="994" operator="containsText" text="Pendente">
      <formula>NOT(ISERROR(SEARCH(("Pendente"),(P261))))</formula>
    </cfRule>
    <cfRule type="containsText" dxfId="1643" priority="995" operator="containsText" text="Finalizado">
      <formula>NOT(ISERROR(SEARCH(("Finalizado"),(P261))))</formula>
    </cfRule>
    <cfRule type="containsText" dxfId="1642" priority="996" operator="containsText" text="em andamento">
      <formula>NOT(ISERROR(SEARCH(("em andamento"),(P261))))</formula>
    </cfRule>
    <cfRule type="containsText" dxfId="1641" priority="997" operator="containsText" text="Lançado">
      <formula>NOT(ISERROR(SEARCH(("Lançado"),(P261))))</formula>
    </cfRule>
    <cfRule type="containsText" dxfId="1640" priority="998" operator="containsText" text="N/A">
      <formula>NOT(ISERROR(SEARCH(("N/A"),(P261))))</formula>
    </cfRule>
    <cfRule type="expression" dxfId="1639" priority="999">
      <formula>$H261="SUBETAPA"</formula>
    </cfRule>
    <cfRule type="expression" dxfId="1638" priority="1000">
      <formula>$H261="CÉLULA CONSTRUTIVA"</formula>
    </cfRule>
    <cfRule type="expression" dxfId="1637" priority="1001">
      <formula>$H261="ETAPA"</formula>
    </cfRule>
    <cfRule type="containsText" dxfId="1636" priority="1002" operator="containsText" text="Lançado">
      <formula>NOT(ISERROR(SEARCH(("Lançado"),(P261))))</formula>
    </cfRule>
    <cfRule type="containsText" dxfId="1635" priority="1003" operator="containsText" text="N/A">
      <formula>NOT(ISERROR(SEARCH(("N/A"),(P261))))</formula>
    </cfRule>
    <cfRule type="containsText" dxfId="1634" priority="1004" operator="containsText" text="Pendente">
      <formula>NOT(ISERROR(SEARCH(("Pendente"),(P261))))</formula>
    </cfRule>
    <cfRule type="containsText" dxfId="1633" priority="1005" operator="containsText" text="Finalizado">
      <formula>NOT(ISERROR(SEARCH(("Finalizado"),(P261))))</formula>
    </cfRule>
    <cfRule type="containsText" dxfId="1632" priority="1006" operator="containsText" text="em andamento">
      <formula>NOT(ISERROR(SEARCH(("em andamento"),(P261))))</formula>
    </cfRule>
    <cfRule type="containsText" dxfId="1631" priority="1007" operator="containsText" text="Lançado">
      <formula>NOT(ISERROR(SEARCH(("Lançado"),(P261))))</formula>
    </cfRule>
    <cfRule type="containsText" dxfId="1630" priority="1008" operator="containsText" text="N/A">
      <formula>NOT(ISERROR(SEARCH(("N/A"),(P261))))</formula>
    </cfRule>
    <cfRule type="containsText" dxfId="1629" priority="1009" operator="containsText" text="Pendente">
      <formula>NOT(ISERROR(SEARCH(("Pendente"),(P261))))</formula>
    </cfRule>
    <cfRule type="containsText" dxfId="1628" priority="1010" operator="containsText" text="Finalizado">
      <formula>NOT(ISERROR(SEARCH(("Finalizado"),(P261))))</formula>
    </cfRule>
    <cfRule type="containsText" dxfId="1627" priority="1011" operator="containsText" text="em andamento">
      <formula>NOT(ISERROR(SEARCH(("em andamento"),(P261))))</formula>
    </cfRule>
    <cfRule type="expression" dxfId="1626" priority="1012">
      <formula>$H261="CÉLULA CONSTRUTIVA"</formula>
    </cfRule>
    <cfRule type="expression" dxfId="1625" priority="1013">
      <formula>$H261="ETAPA"</formula>
    </cfRule>
    <cfRule type="containsText" dxfId="1624" priority="1014" operator="containsText" text="Lançado">
      <formula>NOT(ISERROR(SEARCH(("Lançado"),(P261))))</formula>
    </cfRule>
    <cfRule type="containsText" dxfId="1623" priority="1015" operator="containsText" text="N/A">
      <formula>NOT(ISERROR(SEARCH(("N/A"),(P261))))</formula>
    </cfRule>
    <cfRule type="containsText" dxfId="1622" priority="1016" operator="containsText" text="Pendente">
      <formula>NOT(ISERROR(SEARCH(("Pendente"),(P261))))</formula>
    </cfRule>
    <cfRule type="containsText" dxfId="1621" priority="1017" operator="containsText" text="Finalizado">
      <formula>NOT(ISERROR(SEARCH(("Finalizado"),(P261))))</formula>
    </cfRule>
    <cfRule type="containsText" dxfId="1620" priority="1018" operator="containsText" text="em andamento">
      <formula>NOT(ISERROR(SEARCH(("em andamento"),(P261))))</formula>
    </cfRule>
    <cfRule type="containsText" dxfId="1619" priority="1019" operator="containsText" text="Lançado">
      <formula>NOT(ISERROR(SEARCH(("Lançado"),(P261))))</formula>
    </cfRule>
    <cfRule type="containsText" dxfId="1618" priority="1020" operator="containsText" text="N/A">
      <formula>NOT(ISERROR(SEARCH(("N/A"),(P261))))</formula>
    </cfRule>
    <cfRule type="containsText" dxfId="1617" priority="1021" operator="containsText" text="Pendente">
      <formula>NOT(ISERROR(SEARCH(("Pendente"),(P261))))</formula>
    </cfRule>
    <cfRule type="containsText" dxfId="1616" priority="1022" operator="containsText" text="Finalizado">
      <formula>NOT(ISERROR(SEARCH(("Finalizado"),(P261))))</formula>
    </cfRule>
    <cfRule type="containsText" dxfId="1615" priority="1023" operator="containsText" text="em andamento">
      <formula>NOT(ISERROR(SEARCH(("em andamento"),(P261))))</formula>
    </cfRule>
  </conditionalFormatting>
  <conditionalFormatting sqref="P261:P263 P205 P267:P270 P278:P281 P319:P322">
    <cfRule type="expression" dxfId="1614" priority="2978">
      <formula>$H194="ETAPA"</formula>
    </cfRule>
  </conditionalFormatting>
  <conditionalFormatting sqref="P262">
    <cfRule type="containsText" dxfId="1613" priority="4813" operator="containsText" text="em andamento">
      <formula>NOT(ISERROR(SEARCH(("em andamento"),(P262))))</formula>
    </cfRule>
    <cfRule type="expression" dxfId="1612" priority="4814">
      <formula>$H262="SUBETAPA"</formula>
    </cfRule>
    <cfRule type="expression" dxfId="1611" priority="4815">
      <formula>$H262="CÉLULA CONSTRUTIVA"</formula>
    </cfRule>
    <cfRule type="expression" dxfId="1610" priority="4816">
      <formula>$H262="ETAPA"</formula>
    </cfRule>
    <cfRule type="containsText" dxfId="1609" priority="4817" operator="containsText" text="Lançado">
      <formula>NOT(ISERROR(SEARCH(("Lançado"),(P262))))</formula>
    </cfRule>
    <cfRule type="containsText" dxfId="1608" priority="4818" operator="containsText" text="N/A">
      <formula>NOT(ISERROR(SEARCH(("N/A"),(P262))))</formula>
    </cfRule>
    <cfRule type="containsText" dxfId="1607" priority="4819" operator="containsText" text="Pendente">
      <formula>NOT(ISERROR(SEARCH(("Pendente"),(P262))))</formula>
    </cfRule>
    <cfRule type="containsText" dxfId="1606" priority="4820" operator="containsText" text="Finalizado">
      <formula>NOT(ISERROR(SEARCH(("Finalizado"),(P262))))</formula>
    </cfRule>
    <cfRule type="containsText" dxfId="1605" priority="4821" operator="containsText" text="em andamento">
      <formula>NOT(ISERROR(SEARCH(("em andamento"),(P262))))</formula>
    </cfRule>
    <cfRule type="containsText" dxfId="1604" priority="4822" operator="containsText" text="Lançado">
      <formula>NOT(ISERROR(SEARCH(("Lançado"),(P262))))</formula>
    </cfRule>
    <cfRule type="containsText" dxfId="1603" priority="4823" operator="containsText" text="N/A">
      <formula>NOT(ISERROR(SEARCH(("N/A"),(P262))))</formula>
    </cfRule>
    <cfRule type="containsText" dxfId="1602" priority="4824" operator="containsText" text="Pendente">
      <formula>NOT(ISERROR(SEARCH(("Pendente"),(P262))))</formula>
    </cfRule>
    <cfRule type="containsText" dxfId="1601" priority="4825" operator="containsText" text="Finalizado">
      <formula>NOT(ISERROR(SEARCH(("Finalizado"),(P262))))</formula>
    </cfRule>
    <cfRule type="containsText" dxfId="1600" priority="4826" operator="containsText" text="em andamento">
      <formula>NOT(ISERROR(SEARCH(("em andamento"),(P262))))</formula>
    </cfRule>
    <cfRule type="containsText" dxfId="1599" priority="4827" operator="containsText" text="Lançado">
      <formula>NOT(ISERROR(SEARCH(("Lançado"),(P262))))</formula>
    </cfRule>
    <cfRule type="containsText" dxfId="1598" priority="4828" operator="containsText" text="N/A">
      <formula>NOT(ISERROR(SEARCH(("N/A"),(P262))))</formula>
    </cfRule>
    <cfRule type="containsText" dxfId="1597" priority="4829" operator="containsText" text="Pendente">
      <formula>NOT(ISERROR(SEARCH(("Pendente"),(P262))))</formula>
    </cfRule>
    <cfRule type="containsText" dxfId="1596" priority="4830" operator="containsText" text="Finalizado">
      <formula>NOT(ISERROR(SEARCH(("Finalizado"),(P262))))</formula>
    </cfRule>
    <cfRule type="containsText" dxfId="1595" priority="4831" operator="containsText" text="em andamento">
      <formula>NOT(ISERROR(SEARCH(("em andamento"),(P262))))</formula>
    </cfRule>
  </conditionalFormatting>
  <conditionalFormatting sqref="P263">
    <cfRule type="expression" dxfId="1594" priority="955">
      <formula>$H263="CÉLULA CONSTRUTIVA"</formula>
    </cfRule>
    <cfRule type="containsText" dxfId="1593" priority="956" operator="containsText" text="Pendente">
      <formula>NOT(ISERROR(SEARCH(("Pendente"),(P263))))</formula>
    </cfRule>
    <cfRule type="containsText" dxfId="1592" priority="957" operator="containsText" text="Finalizado">
      <formula>NOT(ISERROR(SEARCH(("Finalizado"),(P263))))</formula>
    </cfRule>
    <cfRule type="containsText" dxfId="1591" priority="958" operator="containsText" text="em andamento">
      <formula>NOT(ISERROR(SEARCH(("em andamento"),(P263))))</formula>
    </cfRule>
    <cfRule type="containsText" dxfId="1590" priority="959" operator="containsText" text="Lançado">
      <formula>NOT(ISERROR(SEARCH(("Lançado"),(P263))))</formula>
    </cfRule>
    <cfRule type="containsText" dxfId="1589" priority="960" operator="containsText" text="N/A">
      <formula>NOT(ISERROR(SEARCH(("N/A"),(P263))))</formula>
    </cfRule>
    <cfRule type="expression" dxfId="1588" priority="961">
      <formula>$H263="SUBETAPA"</formula>
    </cfRule>
    <cfRule type="expression" dxfId="1587" priority="962">
      <formula>$H263="CÉLULA CONSTRUTIVA"</formula>
    </cfRule>
    <cfRule type="expression" dxfId="1586" priority="963">
      <formula>$H263="ETAPA"</formula>
    </cfRule>
    <cfRule type="containsText" dxfId="1585" priority="964" operator="containsText" text="Lançado">
      <formula>NOT(ISERROR(SEARCH(("Lançado"),(P263))))</formula>
    </cfRule>
    <cfRule type="containsText" dxfId="1584" priority="965" operator="containsText" text="N/A">
      <formula>NOT(ISERROR(SEARCH(("N/A"),(P263))))</formula>
    </cfRule>
    <cfRule type="containsText" dxfId="1583" priority="966" operator="containsText" text="Pendente">
      <formula>NOT(ISERROR(SEARCH(("Pendente"),(P263))))</formula>
    </cfRule>
    <cfRule type="containsText" dxfId="1582" priority="967" operator="containsText" text="Finalizado">
      <formula>NOT(ISERROR(SEARCH(("Finalizado"),(P263))))</formula>
    </cfRule>
    <cfRule type="containsText" dxfId="1581" priority="968" operator="containsText" text="em andamento">
      <formula>NOT(ISERROR(SEARCH(("em andamento"),(P263))))</formula>
    </cfRule>
    <cfRule type="containsText" dxfId="1580" priority="969" operator="containsText" text="Lançado">
      <formula>NOT(ISERROR(SEARCH(("Lançado"),(P263))))</formula>
    </cfRule>
    <cfRule type="containsText" dxfId="1579" priority="970" operator="containsText" text="N/A">
      <formula>NOT(ISERROR(SEARCH(("N/A"),(P263))))</formula>
    </cfRule>
    <cfRule type="containsText" dxfId="1578" priority="971" operator="containsText" text="Pendente">
      <formula>NOT(ISERROR(SEARCH(("Pendente"),(P263))))</formula>
    </cfRule>
    <cfRule type="containsText" dxfId="1577" priority="972" operator="containsText" text="Finalizado">
      <formula>NOT(ISERROR(SEARCH(("Finalizado"),(P263))))</formula>
    </cfRule>
    <cfRule type="containsText" dxfId="1576" priority="973" operator="containsText" text="em andamento">
      <formula>NOT(ISERROR(SEARCH(("em andamento"),(P263))))</formula>
    </cfRule>
    <cfRule type="expression" dxfId="1575" priority="974">
      <formula>$H263="CÉLULA CONSTRUTIVA"</formula>
    </cfRule>
    <cfRule type="expression" dxfId="1574" priority="975">
      <formula>$H263="ETAPA"</formula>
    </cfRule>
    <cfRule type="containsText" dxfId="1573" priority="976" operator="containsText" text="Lançado">
      <formula>NOT(ISERROR(SEARCH(("Lançado"),(P263))))</formula>
    </cfRule>
    <cfRule type="containsText" dxfId="1572" priority="977" operator="containsText" text="N/A">
      <formula>NOT(ISERROR(SEARCH(("N/A"),(P263))))</formula>
    </cfRule>
    <cfRule type="containsText" dxfId="1571" priority="978" operator="containsText" text="Pendente">
      <formula>NOT(ISERROR(SEARCH(("Pendente"),(P263))))</formula>
    </cfRule>
    <cfRule type="containsText" dxfId="1570" priority="979" operator="containsText" text="Finalizado">
      <formula>NOT(ISERROR(SEARCH(("Finalizado"),(P263))))</formula>
    </cfRule>
    <cfRule type="containsText" dxfId="1569" priority="980" operator="containsText" text="em andamento">
      <formula>NOT(ISERROR(SEARCH(("em andamento"),(P263))))</formula>
    </cfRule>
    <cfRule type="containsText" dxfId="1568" priority="981" operator="containsText" text="Lançado">
      <formula>NOT(ISERROR(SEARCH(("Lançado"),(P263))))</formula>
    </cfRule>
    <cfRule type="containsText" dxfId="1567" priority="982" operator="containsText" text="N/A">
      <formula>NOT(ISERROR(SEARCH(("N/A"),(P263))))</formula>
    </cfRule>
    <cfRule type="containsText" dxfId="1566" priority="983" operator="containsText" text="Pendente">
      <formula>NOT(ISERROR(SEARCH(("Pendente"),(P263))))</formula>
    </cfRule>
    <cfRule type="containsText" dxfId="1565" priority="984" operator="containsText" text="Finalizado">
      <formula>NOT(ISERROR(SEARCH(("Finalizado"),(P263))))</formula>
    </cfRule>
    <cfRule type="containsText" dxfId="1564" priority="985" operator="containsText" text="em andamento">
      <formula>NOT(ISERROR(SEARCH(("em andamento"),(P263))))</formula>
    </cfRule>
  </conditionalFormatting>
  <conditionalFormatting sqref="P267 P269 G267:J270">
    <cfRule type="expression" dxfId="1563" priority="3055">
      <formula>$H267="ETAPA"</formula>
    </cfRule>
  </conditionalFormatting>
  <conditionalFormatting sqref="P268:P270 P272:P274">
    <cfRule type="containsText" dxfId="1562" priority="4853" operator="containsText" text="Lançado">
      <formula>NOT(ISERROR(SEARCH(("Lançado"),(P268))))</formula>
    </cfRule>
    <cfRule type="containsText" dxfId="1561" priority="4854" operator="containsText" text="N/A">
      <formula>NOT(ISERROR(SEARCH(("N/A"),(P268))))</formula>
    </cfRule>
    <cfRule type="containsText" dxfId="1560" priority="4855" operator="containsText" text="Pendente">
      <formula>NOT(ISERROR(SEARCH(("Pendente"),(P268))))</formula>
    </cfRule>
    <cfRule type="containsText" dxfId="1559" priority="4856" operator="containsText" text="Finalizado">
      <formula>NOT(ISERROR(SEARCH(("Finalizado"),(P268))))</formula>
    </cfRule>
    <cfRule type="containsText" dxfId="1558" priority="4857" operator="containsText" text="em andamento">
      <formula>NOT(ISERROR(SEARCH(("em andamento"),(P268))))</formula>
    </cfRule>
  </conditionalFormatting>
  <conditionalFormatting sqref="P268:P270">
    <cfRule type="expression" dxfId="1557" priority="4838">
      <formula>$H268="SUBETAPA"</formula>
    </cfRule>
    <cfRule type="expression" dxfId="1556" priority="4839">
      <formula>$H268="CÉLULA CONSTRUTIVA"</formula>
    </cfRule>
    <cfRule type="expression" dxfId="1555" priority="4840">
      <formula>$H268="ETAPA"</formula>
    </cfRule>
    <cfRule type="containsText" dxfId="1554" priority="4841" operator="containsText" text="Lançado">
      <formula>NOT(ISERROR(SEARCH(("Lançado"),(P268))))</formula>
    </cfRule>
    <cfRule type="containsText" dxfId="1553" priority="4842" operator="containsText" text="N/A">
      <formula>NOT(ISERROR(SEARCH(("N/A"),(P268))))</formula>
    </cfRule>
    <cfRule type="containsText" dxfId="1552" priority="4843" operator="containsText" text="Pendente">
      <formula>NOT(ISERROR(SEARCH(("Pendente"),(P268))))</formula>
    </cfRule>
    <cfRule type="containsText" dxfId="1551" priority="4844" operator="containsText" text="Finalizado">
      <formula>NOT(ISERROR(SEARCH(("Finalizado"),(P268))))</formula>
    </cfRule>
    <cfRule type="containsText" dxfId="1550" priority="4845" operator="containsText" text="em andamento">
      <formula>NOT(ISERROR(SEARCH(("em andamento"),(P268))))</formula>
    </cfRule>
    <cfRule type="containsText" dxfId="1549" priority="4846" operator="containsText" text="Lançado">
      <formula>NOT(ISERROR(SEARCH(("Lançado"),(P268))))</formula>
    </cfRule>
    <cfRule type="containsText" dxfId="1548" priority="4847" operator="containsText" text="N/A">
      <formula>NOT(ISERROR(SEARCH(("N/A"),(P268))))</formula>
    </cfRule>
    <cfRule type="containsText" dxfId="1547" priority="4848" operator="containsText" text="Pendente">
      <formula>NOT(ISERROR(SEARCH(("Pendente"),(P268))))</formula>
    </cfRule>
    <cfRule type="containsText" dxfId="1546" priority="4849" operator="containsText" text="Finalizado">
      <formula>NOT(ISERROR(SEARCH(("Finalizado"),(P268))))</formula>
    </cfRule>
    <cfRule type="containsText" dxfId="1545" priority="4850" operator="containsText" text="em andamento">
      <formula>NOT(ISERROR(SEARCH(("em andamento"),(P268))))</formula>
    </cfRule>
    <cfRule type="expression" dxfId="1544" priority="4851">
      <formula>$H268="CÉLULA CONSTRUTIVA"</formula>
    </cfRule>
    <cfRule type="expression" dxfId="1543" priority="4852">
      <formula>$H268="ETAPA"</formula>
    </cfRule>
  </conditionalFormatting>
  <conditionalFormatting sqref="P269 P267">
    <cfRule type="containsText" dxfId="1542" priority="4836" operator="containsText" text="Lançado">
      <formula>NOT(ISERROR(SEARCH(("Lançado"),(P267))))</formula>
    </cfRule>
    <cfRule type="containsText" dxfId="1541" priority="4837" operator="containsText" text="N/A">
      <formula>NOT(ISERROR(SEARCH(("N/A"),(P267))))</formula>
    </cfRule>
  </conditionalFormatting>
  <conditionalFormatting sqref="P269">
    <cfRule type="expression" dxfId="1540" priority="4832">
      <formula>$H269="CÉLULA CONSTRUTIVA"</formula>
    </cfRule>
    <cfRule type="containsText" dxfId="1539" priority="4833" operator="containsText" text="Pendente">
      <formula>NOT(ISERROR(SEARCH(("Pendente"),(P269))))</formula>
    </cfRule>
    <cfRule type="containsText" dxfId="1538" priority="4834" operator="containsText" text="Finalizado">
      <formula>NOT(ISERROR(SEARCH(("Finalizado"),(P269))))</formula>
    </cfRule>
    <cfRule type="containsText" dxfId="1537" priority="4835" operator="containsText" text="em andamento">
      <formula>NOT(ISERROR(SEARCH(("em andamento"),(P269))))</formula>
    </cfRule>
    <cfRule type="containsText" dxfId="1536" priority="4858" operator="containsText" text="Lançado">
      <formula>NOT(ISERROR(SEARCH(("Lançado"),(P269))))</formula>
    </cfRule>
    <cfRule type="containsText" dxfId="1535" priority="4859" operator="containsText" text="N/A">
      <formula>NOT(ISERROR(SEARCH(("N/A"),(P269))))</formula>
    </cfRule>
    <cfRule type="containsText" dxfId="1534" priority="4860" operator="containsText" text="Pendente">
      <formula>NOT(ISERROR(SEARCH(("Pendente"),(P269))))</formula>
    </cfRule>
    <cfRule type="containsText" dxfId="1533" priority="4861" operator="containsText" text="Finalizado">
      <formula>NOT(ISERROR(SEARCH(("Finalizado"),(P269))))</formula>
    </cfRule>
    <cfRule type="containsText" dxfId="1532" priority="4862" operator="containsText" text="em andamento">
      <formula>NOT(ISERROR(SEARCH(("em andamento"),(P269))))</formula>
    </cfRule>
  </conditionalFormatting>
  <conditionalFormatting sqref="P271">
    <cfRule type="expression" dxfId="1531" priority="40">
      <formula>$H262="ETAPA"</formula>
    </cfRule>
    <cfRule type="containsText" dxfId="1530" priority="54" operator="containsText" text="Lançado">
      <formula>NOT(ISERROR(SEARCH(("Lançado"),(P271))))</formula>
    </cfRule>
    <cfRule type="containsText" dxfId="1529" priority="55" operator="containsText" text="N/A">
      <formula>NOT(ISERROR(SEARCH(("N/A"),(P271))))</formula>
    </cfRule>
    <cfRule type="containsText" dxfId="1528" priority="56" operator="containsText" text="Finalizado">
      <formula>NOT(ISERROR(SEARCH(("Finalizado"),(P271))))</formula>
    </cfRule>
    <cfRule type="containsText" dxfId="1527" priority="57" operator="containsText" text="Pendente">
      <formula>NOT(ISERROR(SEARCH(("Pendente"),(P271))))</formula>
    </cfRule>
  </conditionalFormatting>
  <conditionalFormatting sqref="P272 P281 P283 P285 P300 P302 P307:P308 P294">
    <cfRule type="containsText" dxfId="1526" priority="4863" operator="containsText" text="Finalizado">
      <formula>NOT(ISERROR(SEARCH(("Finalizado"),(P272))))</formula>
    </cfRule>
  </conditionalFormatting>
  <conditionalFormatting sqref="P272:P274 P230:P232 P207">
    <cfRule type="expression" dxfId="1525" priority="5859">
      <formula>$H195="ETAPA"</formula>
    </cfRule>
  </conditionalFormatting>
  <conditionalFormatting sqref="P273:P274">
    <cfRule type="expression" dxfId="1524" priority="126">
      <formula>$H273="SUBETAPA"</formula>
    </cfRule>
    <cfRule type="expression" dxfId="1523" priority="127">
      <formula>$H273="CÉLULA CONSTRUTIVA"</formula>
    </cfRule>
    <cfRule type="expression" dxfId="1522" priority="128">
      <formula>$H273="ETAPA"</formula>
    </cfRule>
    <cfRule type="containsText" dxfId="1521" priority="129" operator="containsText" text="Lançado">
      <formula>NOT(ISERROR(SEARCH(("Lançado"),(P273))))</formula>
    </cfRule>
    <cfRule type="containsText" dxfId="1520" priority="130" operator="containsText" text="N/A">
      <formula>NOT(ISERROR(SEARCH(("N/A"),(P273))))</formula>
    </cfRule>
    <cfRule type="containsText" dxfId="1519" priority="131" operator="containsText" text="Pendente">
      <formula>NOT(ISERROR(SEARCH(("Pendente"),(P273))))</formula>
    </cfRule>
    <cfRule type="containsText" dxfId="1518" priority="132" operator="containsText" text="Finalizado">
      <formula>NOT(ISERROR(SEARCH(("Finalizado"),(P273))))</formula>
    </cfRule>
    <cfRule type="containsText" dxfId="1517" priority="133" operator="containsText" text="em andamento">
      <formula>NOT(ISERROR(SEARCH(("em andamento"),(P273))))</formula>
    </cfRule>
    <cfRule type="containsText" dxfId="1516" priority="134" operator="containsText" text="Lançado">
      <formula>NOT(ISERROR(SEARCH(("Lançado"),(P273))))</formula>
    </cfRule>
    <cfRule type="containsText" dxfId="1515" priority="135" operator="containsText" text="N/A">
      <formula>NOT(ISERROR(SEARCH(("N/A"),(P273))))</formula>
    </cfRule>
    <cfRule type="containsText" dxfId="1514" priority="136" operator="containsText" text="Pendente">
      <formula>NOT(ISERROR(SEARCH(("Pendente"),(P273))))</formula>
    </cfRule>
    <cfRule type="containsText" dxfId="1513" priority="137" operator="containsText" text="Finalizado">
      <formula>NOT(ISERROR(SEARCH(("Finalizado"),(P273))))</formula>
    </cfRule>
    <cfRule type="containsText" dxfId="1512" priority="138" operator="containsText" text="em andamento">
      <formula>NOT(ISERROR(SEARCH(("em andamento"),(P273))))</formula>
    </cfRule>
    <cfRule type="expression" dxfId="1511" priority="139">
      <formula>$H273="CÉLULA CONSTRUTIVA"</formula>
    </cfRule>
    <cfRule type="expression" dxfId="1510" priority="140">
      <formula>$H273="ETAPA"</formula>
    </cfRule>
  </conditionalFormatting>
  <conditionalFormatting sqref="P275">
    <cfRule type="containsText" dxfId="1509" priority="1029" operator="containsText" text="Finalizado">
      <formula>NOT(ISERROR(SEARCH(("Finalizado"),(P275))))</formula>
    </cfRule>
  </conditionalFormatting>
  <conditionalFormatting sqref="P276">
    <cfRule type="expression" dxfId="1508" priority="917">
      <formula>$H276="CÉLULA CONSTRUTIVA"</formula>
    </cfRule>
    <cfRule type="containsText" dxfId="1507" priority="918" operator="containsText" text="Pendente">
      <formula>NOT(ISERROR(SEARCH(("Pendente"),(P276))))</formula>
    </cfRule>
    <cfRule type="containsText" dxfId="1506" priority="919" operator="containsText" text="Finalizado">
      <formula>NOT(ISERROR(SEARCH(("Finalizado"),(P276))))</formula>
    </cfRule>
    <cfRule type="containsText" dxfId="1505" priority="920" operator="containsText" text="em andamento">
      <formula>NOT(ISERROR(SEARCH(("em andamento"),(P276))))</formula>
    </cfRule>
    <cfRule type="containsText" dxfId="1504" priority="921" operator="containsText" text="Lançado">
      <formula>NOT(ISERROR(SEARCH(("Lançado"),(P276))))</formula>
    </cfRule>
    <cfRule type="containsText" dxfId="1503" priority="922" operator="containsText" text="N/A">
      <formula>NOT(ISERROR(SEARCH(("N/A"),(P276))))</formula>
    </cfRule>
    <cfRule type="expression" dxfId="1502" priority="923">
      <formula>$H276="SUBETAPA"</formula>
    </cfRule>
    <cfRule type="expression" dxfId="1501" priority="924">
      <formula>$H276="CÉLULA CONSTRUTIVA"</formula>
    </cfRule>
    <cfRule type="expression" dxfId="1500" priority="925">
      <formula>$H276="ETAPA"</formula>
    </cfRule>
    <cfRule type="containsText" dxfId="1499" priority="926" operator="containsText" text="Lançado">
      <formula>NOT(ISERROR(SEARCH(("Lançado"),(P276))))</formula>
    </cfRule>
    <cfRule type="containsText" dxfId="1498" priority="927" operator="containsText" text="N/A">
      <formula>NOT(ISERROR(SEARCH(("N/A"),(P276))))</formula>
    </cfRule>
    <cfRule type="containsText" dxfId="1497" priority="928" operator="containsText" text="Pendente">
      <formula>NOT(ISERROR(SEARCH(("Pendente"),(P276))))</formula>
    </cfRule>
    <cfRule type="containsText" dxfId="1496" priority="929" operator="containsText" text="Finalizado">
      <formula>NOT(ISERROR(SEARCH(("Finalizado"),(P276))))</formula>
    </cfRule>
    <cfRule type="containsText" dxfId="1495" priority="930" operator="containsText" text="em andamento">
      <formula>NOT(ISERROR(SEARCH(("em andamento"),(P276))))</formula>
    </cfRule>
    <cfRule type="containsText" dxfId="1494" priority="931" operator="containsText" text="Lançado">
      <formula>NOT(ISERROR(SEARCH(("Lançado"),(P276))))</formula>
    </cfRule>
    <cfRule type="containsText" dxfId="1493" priority="932" operator="containsText" text="N/A">
      <formula>NOT(ISERROR(SEARCH(("N/A"),(P276))))</formula>
    </cfRule>
    <cfRule type="containsText" dxfId="1492" priority="933" operator="containsText" text="Pendente">
      <formula>NOT(ISERROR(SEARCH(("Pendente"),(P276))))</formula>
    </cfRule>
    <cfRule type="containsText" dxfId="1491" priority="934" operator="containsText" text="Finalizado">
      <formula>NOT(ISERROR(SEARCH(("Finalizado"),(P276))))</formula>
    </cfRule>
    <cfRule type="containsText" dxfId="1490" priority="935" operator="containsText" text="em andamento">
      <formula>NOT(ISERROR(SEARCH(("em andamento"),(P276))))</formula>
    </cfRule>
    <cfRule type="expression" dxfId="1489" priority="936">
      <formula>$H276="CÉLULA CONSTRUTIVA"</formula>
    </cfRule>
    <cfRule type="expression" dxfId="1488" priority="937">
      <formula>$H276="ETAPA"</formula>
    </cfRule>
    <cfRule type="containsText" dxfId="1487" priority="938" operator="containsText" text="Lançado">
      <formula>NOT(ISERROR(SEARCH(("Lançado"),(P276))))</formula>
    </cfRule>
    <cfRule type="containsText" dxfId="1486" priority="939" operator="containsText" text="N/A">
      <formula>NOT(ISERROR(SEARCH(("N/A"),(P276))))</formula>
    </cfRule>
    <cfRule type="containsText" dxfId="1485" priority="940" operator="containsText" text="Pendente">
      <formula>NOT(ISERROR(SEARCH(("Pendente"),(P276))))</formula>
    </cfRule>
    <cfRule type="containsText" dxfId="1484" priority="941" operator="containsText" text="Finalizado">
      <formula>NOT(ISERROR(SEARCH(("Finalizado"),(P276))))</formula>
    </cfRule>
    <cfRule type="containsText" dxfId="1483" priority="942" operator="containsText" text="em andamento">
      <formula>NOT(ISERROR(SEARCH(("em andamento"),(P276))))</formula>
    </cfRule>
    <cfRule type="containsText" dxfId="1482" priority="943" operator="containsText" text="Lançado">
      <formula>NOT(ISERROR(SEARCH(("Lançado"),(P276))))</formula>
    </cfRule>
    <cfRule type="containsText" dxfId="1481" priority="944" operator="containsText" text="N/A">
      <formula>NOT(ISERROR(SEARCH(("N/A"),(P276))))</formula>
    </cfRule>
    <cfRule type="containsText" dxfId="1480" priority="945" operator="containsText" text="Pendente">
      <formula>NOT(ISERROR(SEARCH(("Pendente"),(P276))))</formula>
    </cfRule>
    <cfRule type="containsText" dxfId="1479" priority="946" operator="containsText" text="Finalizado">
      <formula>NOT(ISERROR(SEARCH(("Finalizado"),(P276))))</formula>
    </cfRule>
    <cfRule type="containsText" dxfId="1478" priority="947" operator="containsText" text="em andamento">
      <formula>NOT(ISERROR(SEARCH(("em andamento"),(P276))))</formula>
    </cfRule>
  </conditionalFormatting>
  <conditionalFormatting sqref="P277:P280">
    <cfRule type="expression" dxfId="1477" priority="4881">
      <formula>$H277="SUBETAPA"</formula>
    </cfRule>
    <cfRule type="expression" dxfId="1476" priority="4889">
      <formula>$H277="CÉLULA CONSTRUTIVA"</formula>
    </cfRule>
    <cfRule type="expression" dxfId="1475" priority="4890">
      <formula>$H277="ETAPA"</formula>
    </cfRule>
    <cfRule type="containsText" dxfId="1474" priority="4891" operator="containsText" text="Lançado">
      <formula>NOT(ISERROR(SEARCH(("Lançado"),(P277))))</formula>
    </cfRule>
    <cfRule type="containsText" dxfId="1473" priority="4892" operator="containsText" text="N/A">
      <formula>NOT(ISERROR(SEARCH(("N/A"),(P277))))</formula>
    </cfRule>
    <cfRule type="containsText" dxfId="1472" priority="4893" operator="containsText" text="Pendente">
      <formula>NOT(ISERROR(SEARCH(("Pendente"),(P277))))</formula>
    </cfRule>
    <cfRule type="containsText" dxfId="1471" priority="4894" operator="containsText" text="Finalizado">
      <formula>NOT(ISERROR(SEARCH(("Finalizado"),(P277))))</formula>
    </cfRule>
    <cfRule type="containsText" dxfId="1470" priority="4895" operator="containsText" text="em andamento">
      <formula>NOT(ISERROR(SEARCH(("em andamento"),(P277))))</formula>
    </cfRule>
    <cfRule type="containsText" dxfId="1469" priority="4896" operator="containsText" text="Lançado">
      <formula>NOT(ISERROR(SEARCH(("Lançado"),(P277))))</formula>
    </cfRule>
    <cfRule type="containsText" dxfId="1468" priority="4897" operator="containsText" text="N/A">
      <formula>NOT(ISERROR(SEARCH(("N/A"),(P277))))</formula>
    </cfRule>
    <cfRule type="containsText" dxfId="1467" priority="4898" operator="containsText" text="Pendente">
      <formula>NOT(ISERROR(SEARCH(("Pendente"),(P277))))</formula>
    </cfRule>
    <cfRule type="containsText" dxfId="1466" priority="4899" operator="containsText" text="Finalizado">
      <formula>NOT(ISERROR(SEARCH(("Finalizado"),(P277))))</formula>
    </cfRule>
    <cfRule type="containsText" dxfId="1465" priority="4900" operator="containsText" text="em andamento">
      <formula>NOT(ISERROR(SEARCH(("em andamento"),(P277))))</formula>
    </cfRule>
    <cfRule type="containsText" dxfId="1464" priority="4901" operator="containsText" text="Lançado">
      <formula>NOT(ISERROR(SEARCH(("Lançado"),(P277))))</formula>
    </cfRule>
    <cfRule type="containsText" dxfId="1463" priority="4902" operator="containsText" text="N/A">
      <formula>NOT(ISERROR(SEARCH(("N/A"),(P277))))</formula>
    </cfRule>
    <cfRule type="containsText" dxfId="1462" priority="4903" operator="containsText" text="Pendente">
      <formula>NOT(ISERROR(SEARCH(("Pendente"),(P277))))</formula>
    </cfRule>
    <cfRule type="containsText" dxfId="1461" priority="4904" operator="containsText" text="Finalizado">
      <formula>NOT(ISERROR(SEARCH(("Finalizado"),(P277))))</formula>
    </cfRule>
    <cfRule type="containsText" dxfId="1460" priority="4905" operator="containsText" text="em andamento">
      <formula>NOT(ISERROR(SEARCH(("em andamento"),(P277))))</formula>
    </cfRule>
  </conditionalFormatting>
  <conditionalFormatting sqref="P282">
    <cfRule type="expression" dxfId="1459" priority="4906">
      <formula>$H282="SUBETAPA"</formula>
    </cfRule>
    <cfRule type="expression" dxfId="1458" priority="4907">
      <formula>$H282="CÉLULA CONSTRUTIVA"</formula>
    </cfRule>
    <cfRule type="expression" dxfId="1457" priority="4908">
      <formula>$H282="ETAPA"</formula>
    </cfRule>
    <cfRule type="containsText" dxfId="1456" priority="4909" operator="containsText" text="Lançado">
      <formula>NOT(ISERROR(SEARCH(("Lançado"),(P282))))</formula>
    </cfRule>
    <cfRule type="containsText" dxfId="1455" priority="4910" operator="containsText" text="N/A">
      <formula>NOT(ISERROR(SEARCH(("N/A"),(P282))))</formula>
    </cfRule>
    <cfRule type="containsText" dxfId="1454" priority="4911" operator="containsText" text="Pendente">
      <formula>NOT(ISERROR(SEARCH(("Pendente"),(P282))))</formula>
    </cfRule>
    <cfRule type="containsText" dxfId="1453" priority="4912" operator="containsText" text="Finalizado">
      <formula>NOT(ISERROR(SEARCH(("Finalizado"),(P282))))</formula>
    </cfRule>
    <cfRule type="containsText" dxfId="1452" priority="4913" operator="containsText" text="em andamento">
      <formula>NOT(ISERROR(SEARCH(("em andamento"),(P282))))</formula>
    </cfRule>
    <cfRule type="containsText" dxfId="1451" priority="4914" operator="containsText" text="Lançado">
      <formula>NOT(ISERROR(SEARCH(("Lançado"),(P282))))</formula>
    </cfRule>
    <cfRule type="containsText" dxfId="1450" priority="4915" operator="containsText" text="N/A">
      <formula>NOT(ISERROR(SEARCH(("N/A"),(P282))))</formula>
    </cfRule>
    <cfRule type="containsText" dxfId="1449" priority="4916" operator="containsText" text="Pendente">
      <formula>NOT(ISERROR(SEARCH(("Pendente"),(P282))))</formula>
    </cfRule>
    <cfRule type="containsText" dxfId="1448" priority="4917" operator="containsText" text="Finalizado">
      <formula>NOT(ISERROR(SEARCH(("Finalizado"),(P282))))</formula>
    </cfRule>
    <cfRule type="containsText" dxfId="1447" priority="4918" operator="containsText" text="em andamento">
      <formula>NOT(ISERROR(SEARCH(("em andamento"),(P282))))</formula>
    </cfRule>
    <cfRule type="containsText" dxfId="1446" priority="4919" operator="containsText" text="Lançado">
      <formula>NOT(ISERROR(SEARCH(("Lançado"),(P282))))</formula>
    </cfRule>
    <cfRule type="containsText" dxfId="1445" priority="4920" operator="containsText" text="N/A">
      <formula>NOT(ISERROR(SEARCH(("N/A"),(P282))))</formula>
    </cfRule>
    <cfRule type="containsText" dxfId="1444" priority="4921" operator="containsText" text="Pendente">
      <formula>NOT(ISERROR(SEARCH(("Pendente"),(P282))))</formula>
    </cfRule>
    <cfRule type="containsText" dxfId="1443" priority="4922" operator="containsText" text="Finalizado">
      <formula>NOT(ISERROR(SEARCH(("Finalizado"),(P282))))</formula>
    </cfRule>
    <cfRule type="containsText" dxfId="1442" priority="4923" operator="containsText" text="em andamento">
      <formula>NOT(ISERROR(SEARCH(("em andamento"),(P282))))</formula>
    </cfRule>
  </conditionalFormatting>
  <conditionalFormatting sqref="P284">
    <cfRule type="expression" dxfId="1441" priority="3">
      <formula>$H284="ETAPA"</formula>
    </cfRule>
    <cfRule type="expression" dxfId="1440" priority="4">
      <formula>$H284="CÉLULA CONSTRUTIVA"</formula>
    </cfRule>
    <cfRule type="expression" dxfId="1439" priority="5">
      <formula>$H284="SUBETAPA"</formula>
    </cfRule>
    <cfRule type="expression" dxfId="1438" priority="7">
      <formula>$H284="CÉLULA CONSTRUTIVA"</formula>
    </cfRule>
    <cfRule type="expression" dxfId="1437" priority="8">
      <formula>$H284="ETAPA"</formula>
    </cfRule>
    <cfRule type="containsText" dxfId="1436" priority="9" operator="containsText" text="Lançado">
      <formula>NOT(ISERROR(SEARCH(("Lançado"),(P284))))</formula>
    </cfRule>
    <cfRule type="containsText" dxfId="1435" priority="10" operator="containsText" text="N/A">
      <formula>NOT(ISERROR(SEARCH(("N/A"),(P284))))</formula>
    </cfRule>
    <cfRule type="containsText" dxfId="1434" priority="11" operator="containsText" text="Pendente">
      <formula>NOT(ISERROR(SEARCH(("Pendente"),(P284))))</formula>
    </cfRule>
    <cfRule type="containsText" dxfId="1433" priority="12" operator="containsText" text="Finalizado">
      <formula>NOT(ISERROR(SEARCH(("Finalizado"),(P284))))</formula>
    </cfRule>
    <cfRule type="containsText" dxfId="1432" priority="13" operator="containsText" text="em andamento">
      <formula>NOT(ISERROR(SEARCH(("em andamento"),(P284))))</formula>
    </cfRule>
    <cfRule type="containsText" dxfId="1431" priority="14" operator="containsText" text="Lançado">
      <formula>NOT(ISERROR(SEARCH(("Lançado"),(P284))))</formula>
    </cfRule>
    <cfRule type="containsText" dxfId="1430" priority="15" operator="containsText" text="N/A">
      <formula>NOT(ISERROR(SEARCH(("N/A"),(P284))))</formula>
    </cfRule>
    <cfRule type="containsText" dxfId="1429" priority="16" operator="containsText" text="Pendente">
      <formula>NOT(ISERROR(SEARCH(("Pendente"),(P284))))</formula>
    </cfRule>
    <cfRule type="containsText" dxfId="1428" priority="17" operator="containsText" text="Finalizado">
      <formula>NOT(ISERROR(SEARCH(("Finalizado"),(P284))))</formula>
    </cfRule>
    <cfRule type="containsText" dxfId="1427" priority="18" operator="containsText" text="em andamento">
      <formula>NOT(ISERROR(SEARCH(("em andamento"),(P284))))</formula>
    </cfRule>
    <cfRule type="containsText" dxfId="1426" priority="19" operator="containsText" text="Lançado">
      <formula>NOT(ISERROR(SEARCH(("Lançado"),(P284))))</formula>
    </cfRule>
    <cfRule type="containsText" dxfId="1425" priority="20" operator="containsText" text="N/A">
      <formula>NOT(ISERROR(SEARCH(("N/A"),(P284))))</formula>
    </cfRule>
    <cfRule type="containsText" dxfId="1424" priority="21" operator="containsText" text="Pendente">
      <formula>NOT(ISERROR(SEARCH(("Pendente"),(P284))))</formula>
    </cfRule>
    <cfRule type="containsText" dxfId="1423" priority="22" operator="containsText" text="Finalizado">
      <formula>NOT(ISERROR(SEARCH(("Finalizado"),(P284))))</formula>
    </cfRule>
    <cfRule type="containsText" dxfId="1422" priority="23" operator="containsText" text="em andamento">
      <formula>NOT(ISERROR(SEARCH(("em andamento"),(P284))))</formula>
    </cfRule>
    <cfRule type="expression" dxfId="1421" priority="4924">
      <formula>$H284="SUBETAPA"</formula>
    </cfRule>
    <cfRule type="expression" dxfId="1420" priority="4925">
      <formula>$H284="CÉLULA CONSTRUTIVA"</formula>
    </cfRule>
    <cfRule type="expression" dxfId="1419" priority="4926">
      <formula>$H284="ETAPA"</formula>
    </cfRule>
    <cfRule type="containsText" dxfId="1418" priority="4927" operator="containsText" text="Lançado">
      <formula>NOT(ISERROR(SEARCH(("Lançado"),(P284))))</formula>
    </cfRule>
    <cfRule type="containsText" dxfId="1417" priority="4928" operator="containsText" text="N/A">
      <formula>NOT(ISERROR(SEARCH(("N/A"),(P284))))</formula>
    </cfRule>
    <cfRule type="containsText" dxfId="1416" priority="4929" operator="containsText" text="Pendente">
      <formula>NOT(ISERROR(SEARCH(("Pendente"),(P284))))</formula>
    </cfRule>
    <cfRule type="containsText" dxfId="1415" priority="4930" operator="containsText" text="Finalizado">
      <formula>NOT(ISERROR(SEARCH(("Finalizado"),(P284))))</formula>
    </cfRule>
    <cfRule type="containsText" dxfId="1414" priority="4931" operator="containsText" text="em andamento">
      <formula>NOT(ISERROR(SEARCH(("em andamento"),(P284))))</formula>
    </cfRule>
    <cfRule type="containsText" dxfId="1413" priority="4932" operator="containsText" text="Lançado">
      <formula>NOT(ISERROR(SEARCH(("Lançado"),(P284))))</formula>
    </cfRule>
    <cfRule type="containsText" dxfId="1412" priority="4933" operator="containsText" text="N/A">
      <formula>NOT(ISERROR(SEARCH(("N/A"),(P284))))</formula>
    </cfRule>
    <cfRule type="containsText" dxfId="1411" priority="4934" operator="containsText" text="Pendente">
      <formula>NOT(ISERROR(SEARCH(("Pendente"),(P284))))</formula>
    </cfRule>
    <cfRule type="containsText" dxfId="1410" priority="4935" operator="containsText" text="Finalizado">
      <formula>NOT(ISERROR(SEARCH(("Finalizado"),(P284))))</formula>
    </cfRule>
    <cfRule type="containsText" dxfId="1409" priority="4936" operator="containsText" text="em andamento">
      <formula>NOT(ISERROR(SEARCH(("em andamento"),(P284))))</formula>
    </cfRule>
  </conditionalFormatting>
  <conditionalFormatting sqref="P284:P286">
    <cfRule type="containsText" dxfId="1408" priority="4937" operator="containsText" text="Lançado">
      <formula>NOT(ISERROR(SEARCH(("Lançado"),(P284))))</formula>
    </cfRule>
    <cfRule type="containsText" dxfId="1407" priority="4938" operator="containsText" text="N/A">
      <formula>NOT(ISERROR(SEARCH(("N/A"),(P284))))</formula>
    </cfRule>
    <cfRule type="containsText" dxfId="1406" priority="4939" operator="containsText" text="Pendente">
      <formula>NOT(ISERROR(SEARCH(("Pendente"),(P284))))</formula>
    </cfRule>
    <cfRule type="containsText" dxfId="1405" priority="4940" operator="containsText" text="Finalizado">
      <formula>NOT(ISERROR(SEARCH(("Finalizado"),(P284))))</formula>
    </cfRule>
    <cfRule type="containsText" dxfId="1404" priority="4941" operator="containsText" text="em andamento">
      <formula>NOT(ISERROR(SEARCH(("em andamento"),(P284))))</formula>
    </cfRule>
  </conditionalFormatting>
  <conditionalFormatting sqref="P286">
    <cfRule type="expression" dxfId="1403" priority="4942">
      <formula>$H286="SUBETAPA"</formula>
    </cfRule>
    <cfRule type="expression" dxfId="1402" priority="4943">
      <formula>$H286="CÉLULA CONSTRUTIVA"</formula>
    </cfRule>
    <cfRule type="expression" dxfId="1401" priority="4944">
      <formula>$H286="ETAPA"</formula>
    </cfRule>
    <cfRule type="containsText" dxfId="1400" priority="4945" operator="containsText" text="Lançado">
      <formula>NOT(ISERROR(SEARCH(("Lançado"),(P286))))</formula>
    </cfRule>
    <cfRule type="containsText" dxfId="1399" priority="4946" operator="containsText" text="N/A">
      <formula>NOT(ISERROR(SEARCH(("N/A"),(P286))))</formula>
    </cfRule>
    <cfRule type="containsText" dxfId="1398" priority="4947" operator="containsText" text="Pendente">
      <formula>NOT(ISERROR(SEARCH(("Pendente"),(P286))))</formula>
    </cfRule>
    <cfRule type="containsText" dxfId="1397" priority="4948" operator="containsText" text="Finalizado">
      <formula>NOT(ISERROR(SEARCH(("Finalizado"),(P286))))</formula>
    </cfRule>
    <cfRule type="containsText" dxfId="1396" priority="4949" operator="containsText" text="em andamento">
      <formula>NOT(ISERROR(SEARCH(("em andamento"),(P286))))</formula>
    </cfRule>
    <cfRule type="containsText" dxfId="1395" priority="4950" operator="containsText" text="Lançado">
      <formula>NOT(ISERROR(SEARCH(("Lançado"),(P286))))</formula>
    </cfRule>
    <cfRule type="containsText" dxfId="1394" priority="4951" operator="containsText" text="N/A">
      <formula>NOT(ISERROR(SEARCH(("N/A"),(P286))))</formula>
    </cfRule>
    <cfRule type="containsText" dxfId="1393" priority="4952" operator="containsText" text="Pendente">
      <formula>NOT(ISERROR(SEARCH(("Pendente"),(P286))))</formula>
    </cfRule>
    <cfRule type="containsText" dxfId="1392" priority="4953" operator="containsText" text="Finalizado">
      <formula>NOT(ISERROR(SEARCH(("Finalizado"),(P286))))</formula>
    </cfRule>
    <cfRule type="containsText" dxfId="1391" priority="4954" operator="containsText" text="em andamento">
      <formula>NOT(ISERROR(SEARCH(("em andamento"),(P286))))</formula>
    </cfRule>
  </conditionalFormatting>
  <conditionalFormatting sqref="P287">
    <cfRule type="containsText" dxfId="1390" priority="1026" operator="containsText" text="Finalizado">
      <formula>NOT(ISERROR(SEARCH(("Finalizado"),(P287))))</formula>
    </cfRule>
  </conditionalFormatting>
  <conditionalFormatting sqref="P288">
    <cfRule type="expression" dxfId="1389" priority="879">
      <formula>$H288="CÉLULA CONSTRUTIVA"</formula>
    </cfRule>
    <cfRule type="containsText" dxfId="1388" priority="880" operator="containsText" text="Pendente">
      <formula>NOT(ISERROR(SEARCH(("Pendente"),(P288))))</formula>
    </cfRule>
    <cfRule type="containsText" dxfId="1387" priority="881" operator="containsText" text="Finalizado">
      <formula>NOT(ISERROR(SEARCH(("Finalizado"),(P288))))</formula>
    </cfRule>
    <cfRule type="containsText" dxfId="1386" priority="882" operator="containsText" text="em andamento">
      <formula>NOT(ISERROR(SEARCH(("em andamento"),(P288))))</formula>
    </cfRule>
    <cfRule type="containsText" dxfId="1385" priority="883" operator="containsText" text="Lançado">
      <formula>NOT(ISERROR(SEARCH(("Lançado"),(P288))))</formula>
    </cfRule>
    <cfRule type="containsText" dxfId="1384" priority="884" operator="containsText" text="N/A">
      <formula>NOT(ISERROR(SEARCH(("N/A"),(P288))))</formula>
    </cfRule>
    <cfRule type="expression" dxfId="1383" priority="885">
      <formula>$H288="SUBETAPA"</formula>
    </cfRule>
    <cfRule type="expression" dxfId="1382" priority="886">
      <formula>$H288="CÉLULA CONSTRUTIVA"</formula>
    </cfRule>
    <cfRule type="expression" dxfId="1381" priority="887">
      <formula>$H288="ETAPA"</formula>
    </cfRule>
    <cfRule type="containsText" dxfId="1380" priority="888" operator="containsText" text="Lançado">
      <formula>NOT(ISERROR(SEARCH(("Lançado"),(P288))))</formula>
    </cfRule>
    <cfRule type="containsText" dxfId="1379" priority="889" operator="containsText" text="N/A">
      <formula>NOT(ISERROR(SEARCH(("N/A"),(P288))))</formula>
    </cfRule>
    <cfRule type="containsText" dxfId="1378" priority="890" operator="containsText" text="Pendente">
      <formula>NOT(ISERROR(SEARCH(("Pendente"),(P288))))</formula>
    </cfRule>
    <cfRule type="containsText" dxfId="1377" priority="891" operator="containsText" text="Finalizado">
      <formula>NOT(ISERROR(SEARCH(("Finalizado"),(P288))))</formula>
    </cfRule>
    <cfRule type="containsText" dxfId="1376" priority="892" operator="containsText" text="em andamento">
      <formula>NOT(ISERROR(SEARCH(("em andamento"),(P288))))</formula>
    </cfRule>
    <cfRule type="containsText" dxfId="1375" priority="893" operator="containsText" text="Lançado">
      <formula>NOT(ISERROR(SEARCH(("Lançado"),(P288))))</formula>
    </cfRule>
    <cfRule type="containsText" dxfId="1374" priority="894" operator="containsText" text="N/A">
      <formula>NOT(ISERROR(SEARCH(("N/A"),(P288))))</formula>
    </cfRule>
    <cfRule type="containsText" dxfId="1373" priority="895" operator="containsText" text="Pendente">
      <formula>NOT(ISERROR(SEARCH(("Pendente"),(P288))))</formula>
    </cfRule>
    <cfRule type="containsText" dxfId="1372" priority="896" operator="containsText" text="Finalizado">
      <formula>NOT(ISERROR(SEARCH(("Finalizado"),(P288))))</formula>
    </cfRule>
    <cfRule type="containsText" dxfId="1371" priority="897" operator="containsText" text="em andamento">
      <formula>NOT(ISERROR(SEARCH(("em andamento"),(P288))))</formula>
    </cfRule>
    <cfRule type="expression" dxfId="1370" priority="898">
      <formula>$H288="CÉLULA CONSTRUTIVA"</formula>
    </cfRule>
    <cfRule type="expression" dxfId="1369" priority="899">
      <formula>$H288="ETAPA"</formula>
    </cfRule>
    <cfRule type="containsText" dxfId="1368" priority="900" operator="containsText" text="Lançado">
      <formula>NOT(ISERROR(SEARCH(("Lançado"),(P288))))</formula>
    </cfRule>
    <cfRule type="containsText" dxfId="1367" priority="901" operator="containsText" text="N/A">
      <formula>NOT(ISERROR(SEARCH(("N/A"),(P288))))</formula>
    </cfRule>
    <cfRule type="containsText" dxfId="1366" priority="902" operator="containsText" text="Pendente">
      <formula>NOT(ISERROR(SEARCH(("Pendente"),(P288))))</formula>
    </cfRule>
    <cfRule type="containsText" dxfId="1365" priority="903" operator="containsText" text="Finalizado">
      <formula>NOT(ISERROR(SEARCH(("Finalizado"),(P288))))</formula>
    </cfRule>
    <cfRule type="containsText" dxfId="1364" priority="904" operator="containsText" text="em andamento">
      <formula>NOT(ISERROR(SEARCH(("em andamento"),(P288))))</formula>
    </cfRule>
    <cfRule type="containsText" dxfId="1363" priority="905" operator="containsText" text="Lançado">
      <formula>NOT(ISERROR(SEARCH(("Lançado"),(P288))))</formula>
    </cfRule>
    <cfRule type="containsText" dxfId="1362" priority="906" operator="containsText" text="N/A">
      <formula>NOT(ISERROR(SEARCH(("N/A"),(P288))))</formula>
    </cfRule>
    <cfRule type="containsText" dxfId="1361" priority="907" operator="containsText" text="Pendente">
      <formula>NOT(ISERROR(SEARCH(("Pendente"),(P288))))</formula>
    </cfRule>
    <cfRule type="containsText" dxfId="1360" priority="908" operator="containsText" text="Finalizado">
      <formula>NOT(ISERROR(SEARCH(("Finalizado"),(P288))))</formula>
    </cfRule>
    <cfRule type="containsText" dxfId="1359" priority="909" operator="containsText" text="em andamento">
      <formula>NOT(ISERROR(SEARCH(("em andamento"),(P288))))</formula>
    </cfRule>
  </conditionalFormatting>
  <conditionalFormatting sqref="P289">
    <cfRule type="expression" dxfId="1358" priority="4959">
      <formula>$H289="SUBETAPA"</formula>
    </cfRule>
    <cfRule type="expression" dxfId="1357" priority="4960">
      <formula>$H289="CÉLULA CONSTRUTIVA"</formula>
    </cfRule>
    <cfRule type="expression" dxfId="1356" priority="4961">
      <formula>$H289="ETAPA"</formula>
    </cfRule>
    <cfRule type="containsText" dxfId="1355" priority="4962" operator="containsText" text="Lançado">
      <formula>NOT(ISERROR(SEARCH(("Lançado"),(P289))))</formula>
    </cfRule>
    <cfRule type="containsText" dxfId="1354" priority="4963" operator="containsText" text="N/A">
      <formula>NOT(ISERROR(SEARCH(("N/A"),(P289))))</formula>
    </cfRule>
    <cfRule type="containsText" dxfId="1353" priority="4964" operator="containsText" text="Pendente">
      <formula>NOT(ISERROR(SEARCH(("Pendente"),(P289))))</formula>
    </cfRule>
    <cfRule type="containsText" dxfId="1352" priority="4965" operator="containsText" text="Finalizado">
      <formula>NOT(ISERROR(SEARCH(("Finalizado"),(P289))))</formula>
    </cfRule>
    <cfRule type="containsText" dxfId="1351" priority="4966" operator="containsText" text="em andamento">
      <formula>NOT(ISERROR(SEARCH(("em andamento"),(P289))))</formula>
    </cfRule>
    <cfRule type="expression" dxfId="1350" priority="4972">
      <formula>$H289="SUBETAPA"</formula>
    </cfRule>
    <cfRule type="expression" dxfId="1349" priority="4973">
      <formula>$H289="CÉLULA CONSTRUTIVA"</formula>
    </cfRule>
    <cfRule type="expression" dxfId="1348" priority="4974">
      <formula>$H289="ETAPA"</formula>
    </cfRule>
  </conditionalFormatting>
  <conditionalFormatting sqref="P294">
    <cfRule type="containsText" dxfId="1347" priority="4957" operator="containsText" text="em andamento">
      <formula>NOT(ISERROR(SEARCH(("em andamento"),(P294))))</formula>
    </cfRule>
    <cfRule type="containsText" dxfId="1346" priority="4958" operator="containsText" text="Pendente">
      <formula>NOT(ISERROR(SEARCH(("Pendente"),(P294))))</formula>
    </cfRule>
    <cfRule type="containsText" dxfId="1345" priority="4975" operator="containsText" text="Lançado">
      <formula>NOT(ISERROR(SEARCH(("Lançado"),(P294))))</formula>
    </cfRule>
    <cfRule type="containsText" dxfId="1344" priority="4976" operator="containsText" text="N/A">
      <formula>NOT(ISERROR(SEARCH(("N/A"),(P294))))</formula>
    </cfRule>
    <cfRule type="containsText" dxfId="1343" priority="4977" operator="containsText" text="Pendente">
      <formula>NOT(ISERROR(SEARCH(("Pendente"),(P294))))</formula>
    </cfRule>
    <cfRule type="containsText" dxfId="1342" priority="4978" operator="containsText" text="Finalizado">
      <formula>NOT(ISERROR(SEARCH(("Finalizado"),(P294))))</formula>
    </cfRule>
    <cfRule type="containsText" dxfId="1341" priority="4979" operator="containsText" text="em andamento">
      <formula>NOT(ISERROR(SEARCH(("em andamento"),(P294))))</formula>
    </cfRule>
  </conditionalFormatting>
  <conditionalFormatting sqref="P294:P295 P297">
    <cfRule type="expression" dxfId="1340" priority="6244">
      <formula>$H288="ETAPA"</formula>
    </cfRule>
  </conditionalFormatting>
  <conditionalFormatting sqref="P295 P299">
    <cfRule type="containsText" dxfId="1339" priority="5008" operator="containsText" text="Lançado">
      <formula>NOT(ISERROR(SEARCH(("Lançado"),(P295))))</formula>
    </cfRule>
    <cfRule type="containsText" dxfId="1338" priority="5009" operator="containsText" text="N/A">
      <formula>NOT(ISERROR(SEARCH(("N/A"),(P295))))</formula>
    </cfRule>
    <cfRule type="containsText" dxfId="1337" priority="5010" operator="containsText" text="Pendente">
      <formula>NOT(ISERROR(SEARCH(("Pendente"),(P295))))</formula>
    </cfRule>
    <cfRule type="containsText" dxfId="1336" priority="5011" operator="containsText" text="Finalizado">
      <formula>NOT(ISERROR(SEARCH(("Finalizado"),(P295))))</formula>
    </cfRule>
    <cfRule type="containsText" dxfId="1335" priority="5012" operator="containsText" text="em andamento">
      <formula>NOT(ISERROR(SEARCH(("em andamento"),(P295))))</formula>
    </cfRule>
  </conditionalFormatting>
  <conditionalFormatting sqref="P295">
    <cfRule type="expression" dxfId="1334" priority="5000">
      <formula>$H295="SUBETAPA"</formula>
    </cfRule>
    <cfRule type="expression" dxfId="1333" priority="5001">
      <formula>$H295="CÉLULA CONSTRUTIVA"</formula>
    </cfRule>
    <cfRule type="expression" dxfId="1332" priority="5002">
      <formula>$H295="ETAPA"</formula>
    </cfRule>
    <cfRule type="containsText" dxfId="1331" priority="5003" operator="containsText" text="Lançado">
      <formula>NOT(ISERROR(SEARCH(("Lançado"),(P295))))</formula>
    </cfRule>
    <cfRule type="containsText" dxfId="1330" priority="5004" operator="containsText" text="N/A">
      <formula>NOT(ISERROR(SEARCH(("N/A"),(P295))))</formula>
    </cfRule>
    <cfRule type="containsText" dxfId="1329" priority="5005" operator="containsText" text="Pendente">
      <formula>NOT(ISERROR(SEARCH(("Pendente"),(P295))))</formula>
    </cfRule>
    <cfRule type="containsText" dxfId="1328" priority="5006" operator="containsText" text="Finalizado">
      <formula>NOT(ISERROR(SEARCH(("Finalizado"),(P295))))</formula>
    </cfRule>
    <cfRule type="containsText" dxfId="1327" priority="5007" operator="containsText" text="em andamento">
      <formula>NOT(ISERROR(SEARCH(("em andamento"),(P295))))</formula>
    </cfRule>
  </conditionalFormatting>
  <conditionalFormatting sqref="P296">
    <cfRule type="containsText" dxfId="1326" priority="2731" operator="containsText" text="em andamento">
      <formula>NOT(ISERROR(SEARCH(("em andamento"),(P296))))</formula>
    </cfRule>
    <cfRule type="expression" dxfId="1325" priority="2732">
      <formula>$H296="CÉLULA CONSTRUTIVA"</formula>
    </cfRule>
    <cfRule type="containsText" dxfId="1324" priority="2733" operator="containsText" text="N/A">
      <formula>NOT(ISERROR(SEARCH(("N/A"),(P296))))</formula>
    </cfRule>
    <cfRule type="containsText" dxfId="1323" priority="2734" operator="containsText" text="Lançado">
      <formula>NOT(ISERROR(SEARCH(("Lançado"),(P296))))</formula>
    </cfRule>
    <cfRule type="containsText" dxfId="1322" priority="2735" operator="containsText" text="Pendente">
      <formula>NOT(ISERROR(SEARCH(("Pendente"),(P296))))</formula>
    </cfRule>
  </conditionalFormatting>
  <conditionalFormatting sqref="P296:P297">
    <cfRule type="containsText" dxfId="1321" priority="870" operator="containsText" text="Finalizado">
      <formula>NOT(ISERROR(SEARCH(("Finalizado"),(P296))))</formula>
    </cfRule>
  </conditionalFormatting>
  <conditionalFormatting sqref="P297">
    <cfRule type="containsText" dxfId="1320" priority="866" operator="containsText" text="Finalizado">
      <formula>NOT(ISERROR(SEARCH(("Finalizado"),(P297))))</formula>
    </cfRule>
    <cfRule type="containsText" dxfId="1319" priority="867" operator="containsText" text="Pendente">
      <formula>NOT(ISERROR(SEARCH(("Pendente"),(P297))))</formula>
    </cfRule>
    <cfRule type="containsText" dxfId="1318" priority="868" operator="containsText" text="Lançado">
      <formula>NOT(ISERROR(SEARCH(("Lançado"),(P297))))</formula>
    </cfRule>
    <cfRule type="containsText" dxfId="1317" priority="869" operator="containsText" text="N/A">
      <formula>NOT(ISERROR(SEARCH(("N/A"),(P297))))</formula>
    </cfRule>
    <cfRule type="containsText" dxfId="1316" priority="871" operator="containsText" text="Pendente">
      <formula>NOT(ISERROR(SEARCH(("Pendente"),(P297))))</formula>
    </cfRule>
  </conditionalFormatting>
  <conditionalFormatting sqref="P298">
    <cfRule type="containsText" dxfId="1315" priority="848" operator="containsText" text="Finalizado">
      <formula>NOT(ISERROR(SEARCH(("Finalizado"),(P298))))</formula>
    </cfRule>
    <cfRule type="containsText" dxfId="1314" priority="849" operator="containsText" text="em andamento">
      <formula>NOT(ISERROR(SEARCH(("em andamento"),(P298))))</formula>
    </cfRule>
    <cfRule type="containsText" dxfId="1313" priority="850" operator="containsText" text="Pendente">
      <formula>NOT(ISERROR(SEARCH(("Pendente"),(P298))))</formula>
    </cfRule>
    <cfRule type="containsText" dxfId="1312" priority="851" operator="containsText" text="Lançado">
      <formula>NOT(ISERROR(SEARCH(("Lançado"),(P298))))</formula>
    </cfRule>
    <cfRule type="containsText" dxfId="1311" priority="852" operator="containsText" text="N/A">
      <formula>NOT(ISERROR(SEARCH(("N/A"),(P298))))</formula>
    </cfRule>
    <cfRule type="containsText" dxfId="1310" priority="853" operator="containsText" text="Pendente">
      <formula>NOT(ISERROR(SEARCH(("Pendente"),(P298))))</formula>
    </cfRule>
    <cfRule type="containsText" dxfId="1309" priority="854" operator="containsText" text="Finalizado">
      <formula>NOT(ISERROR(SEARCH(("Finalizado"),(P298))))</formula>
    </cfRule>
    <cfRule type="containsText" dxfId="1308" priority="855" operator="containsText" text="em andamento">
      <formula>NOT(ISERROR(SEARCH(("em andamento"),(P298))))</formula>
    </cfRule>
    <cfRule type="containsText" dxfId="1307" priority="856" operator="containsText" text="Lançado">
      <formula>NOT(ISERROR(SEARCH(("Lançado"),(P298))))</formula>
    </cfRule>
    <cfRule type="containsText" dxfId="1306" priority="857" operator="containsText" text="N/A">
      <formula>NOT(ISERROR(SEARCH(("N/A"),(P298))))</formula>
    </cfRule>
    <cfRule type="containsText" dxfId="1305" priority="858" operator="containsText" text="Pendente">
      <formula>NOT(ISERROR(SEARCH(("Pendente"),(P298))))</formula>
    </cfRule>
    <cfRule type="containsText" dxfId="1304" priority="859" operator="containsText" text="Finalizado">
      <formula>NOT(ISERROR(SEARCH(("Finalizado"),(P298))))</formula>
    </cfRule>
    <cfRule type="containsText" dxfId="1303" priority="860" operator="containsText" text="em andamento">
      <formula>NOT(ISERROR(SEARCH(("em andamento"),(P298))))</formula>
    </cfRule>
    <cfRule type="expression" dxfId="1302" priority="6246">
      <formula>#REF!="ETAPA"</formula>
    </cfRule>
  </conditionalFormatting>
  <conditionalFormatting sqref="P299">
    <cfRule type="expression" dxfId="1301" priority="5013">
      <formula>$H299="ETAPA"</formula>
    </cfRule>
    <cfRule type="containsText" dxfId="1300" priority="5014" operator="containsText" text="Lançado">
      <formula>NOT(ISERROR(SEARCH(("Lançado"),(P299))))</formula>
    </cfRule>
    <cfRule type="containsText" dxfId="1299" priority="5015" operator="containsText" text="N/A">
      <formula>NOT(ISERROR(SEARCH(("N/A"),(P299))))</formula>
    </cfRule>
    <cfRule type="containsText" dxfId="1298" priority="5016" operator="containsText" text="Pendente">
      <formula>NOT(ISERROR(SEARCH(("Pendente"),(P299))))</formula>
    </cfRule>
    <cfRule type="containsText" dxfId="1297" priority="5017" operator="containsText" text="Finalizado">
      <formula>NOT(ISERROR(SEARCH(("Finalizado"),(P299))))</formula>
    </cfRule>
    <cfRule type="containsText" dxfId="1296" priority="5018" operator="containsText" text="em andamento">
      <formula>NOT(ISERROR(SEARCH(("em andamento"),(P299))))</formula>
    </cfRule>
    <cfRule type="containsText" dxfId="1295" priority="5019" operator="containsText" text="Lançado">
      <formula>NOT(ISERROR(SEARCH(("Lançado"),(P299))))</formula>
    </cfRule>
    <cfRule type="containsText" dxfId="1294" priority="5020" operator="containsText" text="N/A">
      <formula>NOT(ISERROR(SEARCH(("N/A"),(P299))))</formula>
    </cfRule>
    <cfRule type="containsText" dxfId="1293" priority="5021" operator="containsText" text="Pendente">
      <formula>NOT(ISERROR(SEARCH(("Pendente"),(P299))))</formula>
    </cfRule>
    <cfRule type="containsText" dxfId="1292" priority="5022" operator="containsText" text="Finalizado">
      <formula>NOT(ISERROR(SEARCH(("Finalizado"),(P299))))</formula>
    </cfRule>
    <cfRule type="containsText" dxfId="1291" priority="5023" operator="containsText" text="em andamento">
      <formula>NOT(ISERROR(SEARCH(("em andamento"),(P299))))</formula>
    </cfRule>
  </conditionalFormatting>
  <conditionalFormatting sqref="P301">
    <cfRule type="expression" dxfId="1290" priority="5024">
      <formula>$H301="SUBETAPA"</formula>
    </cfRule>
    <cfRule type="expression" dxfId="1289" priority="5025">
      <formula>$H301="CÉLULA CONSTRUTIVA"</formula>
    </cfRule>
    <cfRule type="expression" dxfId="1288" priority="5026">
      <formula>$H301="ETAPA"</formula>
    </cfRule>
    <cfRule type="containsText" dxfId="1287" priority="5027" operator="containsText" text="Lançado">
      <formula>NOT(ISERROR(SEARCH(("Lançado"),(P301))))</formula>
    </cfRule>
    <cfRule type="containsText" dxfId="1286" priority="5028" operator="containsText" text="N/A">
      <formula>NOT(ISERROR(SEARCH(("N/A"),(P301))))</formula>
    </cfRule>
    <cfRule type="containsText" dxfId="1285" priority="5029" operator="containsText" text="Pendente">
      <formula>NOT(ISERROR(SEARCH(("Pendente"),(P301))))</formula>
    </cfRule>
    <cfRule type="containsText" dxfId="1284" priority="5030" operator="containsText" text="Finalizado">
      <formula>NOT(ISERROR(SEARCH(("Finalizado"),(P301))))</formula>
    </cfRule>
    <cfRule type="containsText" dxfId="1283" priority="5031" operator="containsText" text="em andamento">
      <formula>NOT(ISERROR(SEARCH(("em andamento"),(P301))))</formula>
    </cfRule>
    <cfRule type="containsText" dxfId="1282" priority="5032" operator="containsText" text="Lançado">
      <formula>NOT(ISERROR(SEARCH(("Lançado"),(P301))))</formula>
    </cfRule>
    <cfRule type="containsText" dxfId="1281" priority="5033" operator="containsText" text="N/A">
      <formula>NOT(ISERROR(SEARCH(("N/A"),(P301))))</formula>
    </cfRule>
    <cfRule type="containsText" dxfId="1280" priority="5034" operator="containsText" text="Pendente">
      <formula>NOT(ISERROR(SEARCH(("Pendente"),(P301))))</formula>
    </cfRule>
    <cfRule type="containsText" dxfId="1279" priority="5035" operator="containsText" text="Finalizado">
      <formula>NOT(ISERROR(SEARCH(("Finalizado"),(P301))))</formula>
    </cfRule>
    <cfRule type="containsText" dxfId="1278" priority="5036" operator="containsText" text="em andamento">
      <formula>NOT(ISERROR(SEARCH(("em andamento"),(P301))))</formula>
    </cfRule>
    <cfRule type="containsText" dxfId="1277" priority="5037" operator="containsText" text="Lançado">
      <formula>NOT(ISERROR(SEARCH(("Lançado"),(P301))))</formula>
    </cfRule>
    <cfRule type="containsText" dxfId="1276" priority="5038" operator="containsText" text="N/A">
      <formula>NOT(ISERROR(SEARCH(("N/A"),(P301))))</formula>
    </cfRule>
    <cfRule type="containsText" dxfId="1275" priority="5039" operator="containsText" text="Pendente">
      <formula>NOT(ISERROR(SEARCH(("Pendente"),(P301))))</formula>
    </cfRule>
    <cfRule type="containsText" dxfId="1274" priority="5040" operator="containsText" text="em andamento">
      <formula>NOT(ISERROR(SEARCH(("em andamento"),(P301))))</formula>
    </cfRule>
  </conditionalFormatting>
  <conditionalFormatting sqref="P301:P302">
    <cfRule type="containsText" dxfId="1273" priority="5041" operator="containsText" text="Finalizado">
      <formula>NOT(ISERROR(SEARCH(("Finalizado"),(P301))))</formula>
    </cfRule>
    <cfRule type="expression" dxfId="1272" priority="6195">
      <formula>#REF!="ETAPA"</formula>
    </cfRule>
  </conditionalFormatting>
  <conditionalFormatting sqref="P302 P308">
    <cfRule type="containsText" dxfId="1271" priority="5042" operator="containsText" text="em andamento">
      <formula>NOT(ISERROR(SEARCH(("em andamento"),(P302))))</formula>
    </cfRule>
  </conditionalFormatting>
  <conditionalFormatting sqref="P303">
    <cfRule type="expression" dxfId="1270" priority="5043">
      <formula>$H303="SUBETAPA"</formula>
    </cfRule>
    <cfRule type="expression" dxfId="1269" priority="5044">
      <formula>$H303="CÉLULA CONSTRUTIVA"</formula>
    </cfRule>
    <cfRule type="expression" dxfId="1268" priority="5045">
      <formula>$H303="ETAPA"</formula>
    </cfRule>
    <cfRule type="containsText" dxfId="1267" priority="5046" operator="containsText" text="Lançado">
      <formula>NOT(ISERROR(SEARCH(("Lançado"),(P303))))</formula>
    </cfRule>
    <cfRule type="containsText" dxfId="1266" priority="5047" operator="containsText" text="N/A">
      <formula>NOT(ISERROR(SEARCH(("N/A"),(P303))))</formula>
    </cfRule>
    <cfRule type="containsText" dxfId="1265" priority="5048" operator="containsText" text="Pendente">
      <formula>NOT(ISERROR(SEARCH(("Pendente"),(P303))))</formula>
    </cfRule>
    <cfRule type="containsText" dxfId="1264" priority="5049" operator="containsText" text="Finalizado">
      <formula>NOT(ISERROR(SEARCH(("Finalizado"),(P303))))</formula>
    </cfRule>
    <cfRule type="containsText" dxfId="1263" priority="5050" operator="containsText" text="em andamento">
      <formula>NOT(ISERROR(SEARCH(("em andamento"),(P303))))</formula>
    </cfRule>
    <cfRule type="containsText" dxfId="1262" priority="5051" operator="containsText" text="Lançado">
      <formula>NOT(ISERROR(SEARCH(("Lançado"),(P303))))</formula>
    </cfRule>
    <cfRule type="containsText" dxfId="1261" priority="5052" operator="containsText" text="N/A">
      <formula>NOT(ISERROR(SEARCH(("N/A"),(P303))))</formula>
    </cfRule>
    <cfRule type="containsText" dxfId="1260" priority="5053" operator="containsText" text="Pendente">
      <formula>NOT(ISERROR(SEARCH(("Pendente"),(P303))))</formula>
    </cfRule>
    <cfRule type="containsText" dxfId="1259" priority="5054" operator="containsText" text="Finalizado">
      <formula>NOT(ISERROR(SEARCH(("Finalizado"),(P303))))</formula>
    </cfRule>
    <cfRule type="containsText" dxfId="1258" priority="5055" operator="containsText" text="em andamento">
      <formula>NOT(ISERROR(SEARCH(("em andamento"),(P303))))</formula>
    </cfRule>
    <cfRule type="containsText" dxfId="1257" priority="5056" operator="containsText" text="Lançado">
      <formula>NOT(ISERROR(SEARCH(("Lançado"),(P303))))</formula>
    </cfRule>
    <cfRule type="containsText" dxfId="1256" priority="5057" operator="containsText" text="N/A">
      <formula>NOT(ISERROR(SEARCH(("N/A"),(P303))))</formula>
    </cfRule>
    <cfRule type="containsText" dxfId="1255" priority="5058" operator="containsText" text="Pendente">
      <formula>NOT(ISERROR(SEARCH(("Pendente"),(P303))))</formula>
    </cfRule>
    <cfRule type="containsText" dxfId="1254" priority="5059" operator="containsText" text="Finalizado">
      <formula>NOT(ISERROR(SEARCH(("Finalizado"),(P303))))</formula>
    </cfRule>
    <cfRule type="containsText" dxfId="1253" priority="5060" operator="containsText" text="em andamento">
      <formula>NOT(ISERROR(SEARCH(("em andamento"),(P303))))</formula>
    </cfRule>
  </conditionalFormatting>
  <conditionalFormatting sqref="P304">
    <cfRule type="containsText" dxfId="1252" priority="826" operator="containsText" text="Finalizado">
      <formula>NOT(ISERROR(SEARCH(("Finalizado"),(P304))))</formula>
    </cfRule>
    <cfRule type="containsText" dxfId="1251" priority="827" operator="containsText" text="em andamento">
      <formula>NOT(ISERROR(SEARCH(("em andamento"),(P304))))</formula>
    </cfRule>
    <cfRule type="containsText" dxfId="1250" priority="828" operator="containsText" text="Pendente">
      <formula>NOT(ISERROR(SEARCH(("Pendente"),(P304))))</formula>
    </cfRule>
    <cfRule type="containsText" dxfId="1249" priority="829" operator="containsText" text="Lançado">
      <formula>NOT(ISERROR(SEARCH(("Lançado"),(P304))))</formula>
    </cfRule>
    <cfRule type="containsText" dxfId="1248" priority="830" operator="containsText" text="N/A">
      <formula>NOT(ISERROR(SEARCH(("N/A"),(P304))))</formula>
    </cfRule>
    <cfRule type="containsText" dxfId="1247" priority="831" operator="containsText" text="Pendente">
      <formula>NOT(ISERROR(SEARCH(("Pendente"),(P304))))</formula>
    </cfRule>
    <cfRule type="containsText" dxfId="1246" priority="832" operator="containsText" text="Finalizado">
      <formula>NOT(ISERROR(SEARCH(("Finalizado"),(P304))))</formula>
    </cfRule>
    <cfRule type="containsText" dxfId="1245" priority="833" operator="containsText" text="em andamento">
      <formula>NOT(ISERROR(SEARCH(("em andamento"),(P304))))</formula>
    </cfRule>
    <cfRule type="containsText" dxfId="1244" priority="834" operator="containsText" text="Lançado">
      <formula>NOT(ISERROR(SEARCH(("Lançado"),(P304))))</formula>
    </cfRule>
    <cfRule type="containsText" dxfId="1243" priority="835" operator="containsText" text="N/A">
      <formula>NOT(ISERROR(SEARCH(("N/A"),(P304))))</formula>
    </cfRule>
    <cfRule type="containsText" dxfId="1242" priority="836" operator="containsText" text="Pendente">
      <formula>NOT(ISERROR(SEARCH(("Pendente"),(P304))))</formula>
    </cfRule>
    <cfRule type="containsText" dxfId="1241" priority="837" operator="containsText" text="Finalizado">
      <formula>NOT(ISERROR(SEARCH(("Finalizado"),(P304))))</formula>
    </cfRule>
    <cfRule type="containsText" dxfId="1240" priority="838" operator="containsText" text="em andamento">
      <formula>NOT(ISERROR(SEARCH(("em andamento"),(P304))))</formula>
    </cfRule>
  </conditionalFormatting>
  <conditionalFormatting sqref="P306">
    <cfRule type="containsText" dxfId="1239" priority="2715" operator="containsText" text="Finalizado">
      <formula>NOT(ISERROR(SEARCH(("Finalizado"),(P306))))</formula>
    </cfRule>
    <cfRule type="containsText" dxfId="1238" priority="2716" operator="containsText" text="em andamento">
      <formula>NOT(ISERROR(SEARCH(("em andamento"),(P306))))</formula>
    </cfRule>
    <cfRule type="containsText" dxfId="1237" priority="2718" operator="containsText" text="N/A">
      <formula>NOT(ISERROR(SEARCH(("N/A"),(P306))))</formula>
    </cfRule>
    <cfRule type="containsText" dxfId="1236" priority="2719" operator="containsText" text="Lançado">
      <formula>NOT(ISERROR(SEARCH(("Lançado"),(P306))))</formula>
    </cfRule>
    <cfRule type="containsText" dxfId="1235" priority="2720" operator="containsText" text="Pendente">
      <formula>NOT(ISERROR(SEARCH(("Pendente"),(P306))))</formula>
    </cfRule>
  </conditionalFormatting>
  <conditionalFormatting sqref="P307:P308 P313 P315 P319">
    <cfRule type="containsText" dxfId="1234" priority="5063" operator="containsText" text="em andamento">
      <formula>NOT(ISERROR(SEARCH(("em andamento"),(P307))))</formula>
    </cfRule>
  </conditionalFormatting>
  <conditionalFormatting sqref="P307:P308">
    <cfRule type="containsText" dxfId="1233" priority="5062" operator="containsText" text="Finalizado">
      <formula>NOT(ISERROR(SEARCH(("Finalizado"),(P307))))</formula>
    </cfRule>
  </conditionalFormatting>
  <conditionalFormatting sqref="P307:P325 P297:P305 P346:P352">
    <cfRule type="containsText" dxfId="1232" priority="3570" operator="containsText" text="Pendente">
      <formula>NOT(ISERROR(SEARCH(("Pendente"),(P297))))</formula>
    </cfRule>
  </conditionalFormatting>
  <conditionalFormatting sqref="P309:P312 P320:P321">
    <cfRule type="containsText" dxfId="1231" priority="5064" operator="containsText" text="Pendente">
      <formula>NOT(ISERROR(SEARCH(("Pendente"),(P309))))</formula>
    </cfRule>
    <cfRule type="containsText" dxfId="1230" priority="5065" operator="containsText" text="Finalizado">
      <formula>NOT(ISERROR(SEARCH(("Finalizado"),(P309))))</formula>
    </cfRule>
    <cfRule type="containsText" dxfId="1229" priority="5066" operator="containsText" text="em andamento">
      <formula>NOT(ISERROR(SEARCH(("em andamento"),(P309))))</formula>
    </cfRule>
    <cfRule type="containsText" dxfId="1228" priority="5067" operator="containsText" text="Finalizado">
      <formula>NOT(ISERROR(SEARCH(("Finalizado"),(P309))))</formula>
    </cfRule>
    <cfRule type="containsText" dxfId="1227" priority="5068" operator="containsText" text="em andamento">
      <formula>NOT(ISERROR(SEARCH(("em andamento"),(P309))))</formula>
    </cfRule>
    <cfRule type="expression" dxfId="1226" priority="5069">
      <formula>$H309="SUBETAPA"</formula>
    </cfRule>
    <cfRule type="expression" dxfId="1225" priority="5070">
      <formula>$H309="CÉLULA CONSTRUTIVA"</formula>
    </cfRule>
    <cfRule type="expression" dxfId="1224" priority="5071">
      <formula>$H309="ETAPA"</formula>
    </cfRule>
  </conditionalFormatting>
  <conditionalFormatting sqref="P309:P315 P319:P322">
    <cfRule type="containsText" dxfId="1223" priority="5072" operator="containsText" text="Lançado">
      <formula>NOT(ISERROR(SEARCH(("Lançado"),(P309))))</formula>
    </cfRule>
    <cfRule type="containsText" dxfId="1222" priority="5073" operator="containsText" text="N/A">
      <formula>NOT(ISERROR(SEARCH(("N/A"),(P309))))</formula>
    </cfRule>
    <cfRule type="containsText" dxfId="1221" priority="5074" operator="containsText" text="Finalizado">
      <formula>NOT(ISERROR(SEARCH(("Finalizado"),(P309))))</formula>
    </cfRule>
  </conditionalFormatting>
  <conditionalFormatting sqref="P309:P315 P319:P324">
    <cfRule type="containsText" dxfId="1220" priority="5075" operator="containsText" text="Pendente">
      <formula>NOT(ISERROR(SEARCH(("Pendente"),(P309))))</formula>
    </cfRule>
    <cfRule type="containsText" dxfId="1219" priority="5076" operator="containsText" text="em andamento">
      <formula>NOT(ISERROR(SEARCH(("em andamento"),(P309))))</formula>
    </cfRule>
  </conditionalFormatting>
  <conditionalFormatting sqref="P313 P315 P319 P346:P349 P334 P336 P338">
    <cfRule type="containsText" dxfId="1218" priority="5061" operator="containsText" text="Finalizado">
      <formula>NOT(ISERROR(SEARCH(("Finalizado"),(P313))))</formula>
    </cfRule>
  </conditionalFormatting>
  <conditionalFormatting sqref="P313 P315 P319">
    <cfRule type="expression" dxfId="1217" priority="5077">
      <formula>$H313="CÉLULA CONSTRUTIVA"</formula>
    </cfRule>
  </conditionalFormatting>
  <conditionalFormatting sqref="P319">
    <cfRule type="containsText" dxfId="1216" priority="5078" operator="containsText" text="Finalizado">
      <formula>NOT(ISERROR(SEARCH(("Finalizado"),(P319))))</formula>
    </cfRule>
    <cfRule type="containsText" dxfId="1215" priority="5079" operator="containsText" text="em andamento">
      <formula>NOT(ISERROR(SEARCH(("em andamento"),(P319))))</formula>
    </cfRule>
  </conditionalFormatting>
  <conditionalFormatting sqref="P319:P321 P34 P13:P19 P7:P9 P50:P52">
    <cfRule type="containsText" dxfId="1214" priority="3545" operator="containsText" text="N/A">
      <formula>NOT(ISERROR(SEARCH(("N/A"),(P7))))</formula>
    </cfRule>
    <cfRule type="containsText" dxfId="1213" priority="3546" operator="containsText" text="Lançado">
      <formula>NOT(ISERROR(SEARCH(("Lançado"),(P7))))</formula>
    </cfRule>
  </conditionalFormatting>
  <conditionalFormatting sqref="P323:P324">
    <cfRule type="expression" dxfId="1212" priority="4746">
      <formula>$H323="ETAPA"</formula>
    </cfRule>
    <cfRule type="expression" dxfId="1211" priority="4747">
      <formula>$H323="SUBETAPA"</formula>
    </cfRule>
    <cfRule type="expression" dxfId="1210" priority="5080">
      <formula>$H323="CÉLULA CONSTRUTIVA"</formula>
    </cfRule>
    <cfRule type="containsText" dxfId="1209" priority="5081" operator="containsText" text="Lançado">
      <formula>NOT(ISERROR(SEARCH(("Lançado"),(P323))))</formula>
    </cfRule>
    <cfRule type="containsText" dxfId="1208" priority="5082" operator="containsText" text="N/A">
      <formula>NOT(ISERROR(SEARCH(("N/A"),(P323))))</formula>
    </cfRule>
    <cfRule type="containsText" dxfId="1207" priority="5083" operator="containsText" text="Finalizado">
      <formula>NOT(ISERROR(SEARCH(("Finalizado"),(P323))))</formula>
    </cfRule>
    <cfRule type="containsText" dxfId="1206" priority="5084" operator="containsText" text="Pendente">
      <formula>NOT(ISERROR(SEARCH(("Pendente"),(P323))))</formula>
    </cfRule>
    <cfRule type="containsText" dxfId="1205" priority="5085" operator="containsText" text="Finalizado">
      <formula>NOT(ISERROR(SEARCH(("Finalizado"),(P323))))</formula>
    </cfRule>
    <cfRule type="containsText" dxfId="1204" priority="5086" operator="containsText" text="em andamento">
      <formula>NOT(ISERROR(SEARCH(("em andamento"),(P323))))</formula>
    </cfRule>
    <cfRule type="containsText" dxfId="1203" priority="5087" operator="containsText" text="Finalizado">
      <formula>NOT(ISERROR(SEARCH(("Finalizado"),(P323))))</formula>
    </cfRule>
  </conditionalFormatting>
  <conditionalFormatting sqref="P323:P325 P313:P318 P282:P284 P185:P190 P95:P98 P327 G98:H98 G182:M182 P182:P183">
    <cfRule type="expression" dxfId="1202" priority="5823">
      <formula>$H85="ETAPA"</formula>
    </cfRule>
  </conditionalFormatting>
  <conditionalFormatting sqref="P323:P325">
    <cfRule type="expression" dxfId="1201" priority="4748">
      <formula>$H323="CÉLULA CONSTRUTIVA"</formula>
    </cfRule>
    <cfRule type="expression" dxfId="1200" priority="4749">
      <formula>$H323="ETAPA"</formula>
    </cfRule>
    <cfRule type="expression" dxfId="1199" priority="4750">
      <formula>$H323="SUBETAPA"</formula>
    </cfRule>
    <cfRule type="containsText" dxfId="1198" priority="5088" operator="containsText" text="Lançado">
      <formula>NOT(ISERROR(SEARCH(("Lançado"),(P323))))</formula>
    </cfRule>
    <cfRule type="containsText" dxfId="1197" priority="5089" operator="containsText" text="N/A">
      <formula>NOT(ISERROR(SEARCH(("N/A"),(P323))))</formula>
    </cfRule>
  </conditionalFormatting>
  <conditionalFormatting sqref="P325 P329">
    <cfRule type="containsText" dxfId="1196" priority="5104" operator="containsText" text="Finalizado">
      <formula>NOT(ISERROR(SEARCH(("Finalizado"),(P325))))</formula>
    </cfRule>
    <cfRule type="containsText" dxfId="1195" priority="5105" operator="containsText" text="em andamento">
      <formula>NOT(ISERROR(SEARCH(("em andamento"),(P325))))</formula>
    </cfRule>
  </conditionalFormatting>
  <conditionalFormatting sqref="P325">
    <cfRule type="containsText" dxfId="1194" priority="5090" operator="containsText" text="Pendente">
      <formula>NOT(ISERROR(SEARCH(("Pendente"),(P325))))</formula>
    </cfRule>
    <cfRule type="containsText" dxfId="1193" priority="5091" operator="containsText" text="Finalizado">
      <formula>NOT(ISERROR(SEARCH(("Finalizado"),(P325))))</formula>
    </cfRule>
    <cfRule type="containsText" dxfId="1192" priority="5092" operator="containsText" text="em andamento">
      <formula>NOT(ISERROR(SEARCH(("em andamento"),(P325))))</formula>
    </cfRule>
    <cfRule type="containsText" dxfId="1191" priority="5093" operator="containsText" text="Lançado">
      <formula>NOT(ISERROR(SEARCH(("Lançado"),(P325))))</formula>
    </cfRule>
    <cfRule type="containsText" dxfId="1190" priority="5094" operator="containsText" text="N/A">
      <formula>NOT(ISERROR(SEARCH(("N/A"),(P325))))</formula>
    </cfRule>
    <cfRule type="containsText" dxfId="1189" priority="5095" operator="containsText" text="Pendente">
      <formula>NOT(ISERROR(SEARCH(("Pendente"),(P325))))</formula>
    </cfRule>
    <cfRule type="containsText" dxfId="1188" priority="5096" operator="containsText" text="Finalizado">
      <formula>NOT(ISERROR(SEARCH(("Finalizado"),(P325))))</formula>
    </cfRule>
    <cfRule type="containsText" dxfId="1187" priority="5097" operator="containsText" text="em andamento">
      <formula>NOT(ISERROR(SEARCH(("em andamento"),(P325))))</formula>
    </cfRule>
    <cfRule type="expression" dxfId="1186" priority="5098">
      <formula>$H325="SUBETAPA"</formula>
    </cfRule>
    <cfRule type="expression" dxfId="1185" priority="5099">
      <formula>$H325="CÉLULA CONSTRUTIVA"</formula>
    </cfRule>
    <cfRule type="expression" dxfId="1184" priority="5100">
      <formula>$H325="ETAPA"</formula>
    </cfRule>
    <cfRule type="containsText" dxfId="1183" priority="5101" operator="containsText" text="Lançado">
      <formula>NOT(ISERROR(SEARCH(("Lançado"),(P325))))</formula>
    </cfRule>
    <cfRule type="containsText" dxfId="1182" priority="5102" operator="containsText" text="N/A">
      <formula>NOT(ISERROR(SEARCH(("N/A"),(P325))))</formula>
    </cfRule>
    <cfRule type="containsText" dxfId="1181" priority="5103" operator="containsText" text="Pendente">
      <formula>NOT(ISERROR(SEARCH(("Pendente"),(P325))))</formula>
    </cfRule>
  </conditionalFormatting>
  <conditionalFormatting sqref="P326">
    <cfRule type="containsText" dxfId="1180" priority="2700" operator="containsText" text="Finalizado">
      <formula>NOT(ISERROR(SEARCH(("Finalizado"),(P326))))</formula>
    </cfRule>
    <cfRule type="containsText" dxfId="1179" priority="2701" operator="containsText" text="em andamento">
      <formula>NOT(ISERROR(SEARCH(("em andamento"),(P326))))</formula>
    </cfRule>
    <cfRule type="containsText" dxfId="1178" priority="2703" operator="containsText" text="N/A">
      <formula>NOT(ISERROR(SEARCH(("N/A"),(P326))))</formula>
    </cfRule>
    <cfRule type="containsText" dxfId="1177" priority="2704" operator="containsText" text="Lançado">
      <formula>NOT(ISERROR(SEARCH(("Lançado"),(P326))))</formula>
    </cfRule>
    <cfRule type="containsText" dxfId="1176" priority="2705" operator="containsText" text="Pendente">
      <formula>NOT(ISERROR(SEARCH(("Pendente"),(P326))))</formula>
    </cfRule>
  </conditionalFormatting>
  <conditionalFormatting sqref="P327">
    <cfRule type="expression" dxfId="1175" priority="793">
      <formula>$H327="ETAPA"</formula>
    </cfRule>
    <cfRule type="containsText" dxfId="1174" priority="794" operator="containsText" text="Lançado">
      <formula>NOT(ISERROR(SEARCH(("Lançado"),(P327))))</formula>
    </cfRule>
    <cfRule type="containsText" dxfId="1173" priority="795" operator="containsText" text="N/A">
      <formula>NOT(ISERROR(SEARCH(("N/A"),(P327))))</formula>
    </cfRule>
    <cfRule type="containsText" dxfId="1172" priority="796" operator="containsText" text="Pendente">
      <formula>NOT(ISERROR(SEARCH(("Pendente"),(P327))))</formula>
    </cfRule>
    <cfRule type="containsText" dxfId="1171" priority="797" operator="containsText" text="Finalizado">
      <formula>NOT(ISERROR(SEARCH(("Finalizado"),(P327))))</formula>
    </cfRule>
    <cfRule type="containsText" dxfId="1170" priority="798" operator="containsText" text="em andamento">
      <formula>NOT(ISERROR(SEARCH(("em andamento"),(P327))))</formula>
    </cfRule>
    <cfRule type="containsText" dxfId="1169" priority="799" operator="containsText" text="Lançado">
      <formula>NOT(ISERROR(SEARCH(("Lançado"),(P327))))</formula>
    </cfRule>
    <cfRule type="containsText" dxfId="1168" priority="800" operator="containsText" text="N/A">
      <formula>NOT(ISERROR(SEARCH(("N/A"),(P327))))</formula>
    </cfRule>
    <cfRule type="containsText" dxfId="1167" priority="801" operator="containsText" text="Pendente">
      <formula>NOT(ISERROR(SEARCH(("Pendente"),(P327))))</formula>
    </cfRule>
    <cfRule type="containsText" dxfId="1166" priority="802" operator="containsText" text="Finalizado">
      <formula>NOT(ISERROR(SEARCH(("Finalizado"),(P327))))</formula>
    </cfRule>
    <cfRule type="containsText" dxfId="1165" priority="803" operator="containsText" text="em andamento">
      <formula>NOT(ISERROR(SEARCH(("em andamento"),(P327))))</formula>
    </cfRule>
    <cfRule type="containsText" dxfId="1164" priority="804" operator="containsText" text="Pendente">
      <formula>NOT(ISERROR(SEARCH(("Pendente"),(P327))))</formula>
    </cfRule>
    <cfRule type="containsText" dxfId="1163" priority="805" operator="containsText" text="Finalizado">
      <formula>NOT(ISERROR(SEARCH(("Finalizado"),(P327))))</formula>
    </cfRule>
    <cfRule type="containsText" dxfId="1162" priority="806" operator="containsText" text="em andamento">
      <formula>NOT(ISERROR(SEARCH(("em andamento"),(P327))))</formula>
    </cfRule>
    <cfRule type="expression" dxfId="1161" priority="807">
      <formula>$H327="SUBETAPA"</formula>
    </cfRule>
    <cfRule type="containsText" dxfId="1160" priority="808" operator="containsText" text="Lançado">
      <formula>NOT(ISERROR(SEARCH(("Lançado"),(P327))))</formula>
    </cfRule>
    <cfRule type="containsText" dxfId="1159" priority="809" operator="containsText" text="N/A">
      <formula>NOT(ISERROR(SEARCH(("N/A"),(P327))))</formula>
    </cfRule>
    <cfRule type="containsText" dxfId="1158" priority="810" operator="containsText" text="Finalizado">
      <formula>NOT(ISERROR(SEARCH(("Finalizado"),(P327))))</formula>
    </cfRule>
    <cfRule type="containsText" dxfId="1157" priority="813" operator="containsText" text="em andamento">
      <formula>NOT(ISERROR(SEARCH(("em andamento"),(P327))))</formula>
    </cfRule>
    <cfRule type="containsText" dxfId="1156" priority="814" operator="containsText" text="Finalizado">
      <formula>NOT(ISERROR(SEARCH(("Finalizado"),(P327))))</formula>
    </cfRule>
    <cfRule type="containsText" dxfId="1155" priority="816" operator="containsText" text="em andamento">
      <formula>NOT(ISERROR(SEARCH(("em andamento"),(P327))))</formula>
    </cfRule>
  </conditionalFormatting>
  <conditionalFormatting sqref="P327:P328">
    <cfRule type="expression" dxfId="1154" priority="747">
      <formula>$H327="CÉLULA CONSTRUTIVA"</formula>
    </cfRule>
  </conditionalFormatting>
  <conditionalFormatting sqref="P328">
    <cfRule type="containsText" dxfId="1153" priority="715" operator="containsText" text="Lançado">
      <formula>NOT(ISERROR(SEARCH(("Lançado"),(P328))))</formula>
    </cfRule>
    <cfRule type="containsText" dxfId="1152" priority="716" operator="containsText" text="N/A">
      <formula>NOT(ISERROR(SEARCH(("N/A"),(P328))))</formula>
    </cfRule>
    <cfRule type="containsText" dxfId="1151" priority="717" operator="containsText" text="Pendente">
      <formula>NOT(ISERROR(SEARCH(("Pendente"),(P328))))</formula>
    </cfRule>
    <cfRule type="expression" dxfId="1150" priority="718">
      <formula>$H328="ETAPA"</formula>
    </cfRule>
    <cfRule type="containsText" dxfId="1149" priority="719" operator="containsText" text="Lançado">
      <formula>NOT(ISERROR(SEARCH(("Lançado"),(P328))))</formula>
    </cfRule>
    <cfRule type="containsText" dxfId="1148" priority="720" operator="containsText" text="N/A">
      <formula>NOT(ISERROR(SEARCH(("N/A"),(P328))))</formula>
    </cfRule>
    <cfRule type="containsText" dxfId="1147" priority="721" operator="containsText" text="Pendente">
      <formula>NOT(ISERROR(SEARCH(("Pendente"),(P328))))</formula>
    </cfRule>
    <cfRule type="containsText" dxfId="1146" priority="722" operator="containsText" text="Finalizado">
      <formula>NOT(ISERROR(SEARCH(("Finalizado"),(P328))))</formula>
    </cfRule>
    <cfRule type="containsText" dxfId="1145" priority="723" operator="containsText" text="em andamento">
      <formula>NOT(ISERROR(SEARCH(("em andamento"),(P328))))</formula>
    </cfRule>
    <cfRule type="containsText" dxfId="1144" priority="724" operator="containsText" text="Lançado">
      <formula>NOT(ISERROR(SEARCH(("Lançado"),(P328))))</formula>
    </cfRule>
    <cfRule type="containsText" dxfId="1143" priority="725" operator="containsText" text="N/A">
      <formula>NOT(ISERROR(SEARCH(("N/A"),(P328))))</formula>
    </cfRule>
    <cfRule type="containsText" dxfId="1142" priority="726" operator="containsText" text="Pendente">
      <formula>NOT(ISERROR(SEARCH(("Pendente"),(P328))))</formula>
    </cfRule>
    <cfRule type="containsText" dxfId="1141" priority="727" operator="containsText" text="Finalizado">
      <formula>NOT(ISERROR(SEARCH(("Finalizado"),(P328))))</formula>
    </cfRule>
    <cfRule type="containsText" dxfId="1140" priority="728" operator="containsText" text="em andamento">
      <formula>NOT(ISERROR(SEARCH(("em andamento"),(P328))))</formula>
    </cfRule>
    <cfRule type="containsText" dxfId="1139" priority="729" operator="containsText" text="Pendente">
      <formula>NOT(ISERROR(SEARCH(("Pendente"),(P328))))</formula>
    </cfRule>
    <cfRule type="containsText" dxfId="1138" priority="730" operator="containsText" text="Finalizado">
      <formula>NOT(ISERROR(SEARCH(("Finalizado"),(P328))))</formula>
    </cfRule>
    <cfRule type="containsText" dxfId="1137" priority="731" operator="containsText" text="em andamento">
      <formula>NOT(ISERROR(SEARCH(("em andamento"),(P328))))</formula>
    </cfRule>
    <cfRule type="expression" dxfId="1136" priority="732">
      <formula>$H328="SUBETAPA"</formula>
    </cfRule>
    <cfRule type="containsText" dxfId="1135" priority="733" operator="containsText" text="Lançado">
      <formula>NOT(ISERROR(SEARCH(("Lançado"),(P328))))</formula>
    </cfRule>
    <cfRule type="containsText" dxfId="1134" priority="734" operator="containsText" text="N/A">
      <formula>NOT(ISERROR(SEARCH(("N/A"),(P328))))</formula>
    </cfRule>
    <cfRule type="containsText" dxfId="1133" priority="735" operator="containsText" text="Finalizado">
      <formula>NOT(ISERROR(SEARCH(("Finalizado"),(P328))))</formula>
    </cfRule>
    <cfRule type="containsText" dxfId="1132" priority="736" operator="containsText" text="em andamento">
      <formula>NOT(ISERROR(SEARCH(("em andamento"),(P328))))</formula>
    </cfRule>
    <cfRule type="containsText" dxfId="1131" priority="737" operator="containsText" text="Lançado">
      <formula>NOT(ISERROR(SEARCH(("Lançado"),(P328))))</formula>
    </cfRule>
    <cfRule type="containsText" dxfId="1130" priority="738" operator="containsText" text="N/A">
      <formula>NOT(ISERROR(SEARCH(("N/A"),(P328))))</formula>
    </cfRule>
    <cfRule type="containsText" dxfId="1129" priority="739" operator="containsText" text="em andamento">
      <formula>NOT(ISERROR(SEARCH(("em andamento"),(P328))))</formula>
    </cfRule>
    <cfRule type="containsText" dxfId="1128" priority="740" operator="containsText" text="Finalizado">
      <formula>NOT(ISERROR(SEARCH(("Finalizado"),(P328))))</formula>
    </cfRule>
    <cfRule type="containsText" dxfId="1127" priority="741" operator="containsText" text="em andamento">
      <formula>NOT(ISERROR(SEARCH(("em andamento"),(P328))))</formula>
    </cfRule>
    <cfRule type="containsText" dxfId="1126" priority="742" operator="containsText" text="Lançado">
      <formula>NOT(ISERROR(SEARCH(("Lançado"),(P328))))</formula>
    </cfRule>
    <cfRule type="containsText" dxfId="1125" priority="743" operator="containsText" text="N/A">
      <formula>NOT(ISERROR(SEARCH(("N/A"),(P328))))</formula>
    </cfRule>
    <cfRule type="containsText" dxfId="1124" priority="744" operator="containsText" text="Finalizado">
      <formula>NOT(ISERROR(SEARCH(("Finalizado"),(P328))))</formula>
    </cfRule>
    <cfRule type="containsText" dxfId="1123" priority="745" operator="containsText" text="Pendente">
      <formula>NOT(ISERROR(SEARCH(("Pendente"),(P328))))</formula>
    </cfRule>
    <cfRule type="containsText" dxfId="1122" priority="746" operator="containsText" text="em andamento">
      <formula>NOT(ISERROR(SEARCH(("em andamento"),(P328))))</formula>
    </cfRule>
  </conditionalFormatting>
  <conditionalFormatting sqref="P329">
    <cfRule type="expression" dxfId="1121" priority="5106">
      <formula>$H329="CÉLULA CONSTRUTIVA"</formula>
    </cfRule>
    <cfRule type="expression" dxfId="1120" priority="5107">
      <formula>$H329="ETAPA"</formula>
    </cfRule>
    <cfRule type="containsText" dxfId="1119" priority="5108" operator="containsText" text="Lançado">
      <formula>NOT(ISERROR(SEARCH(("Lançado"),(P329))))</formula>
    </cfRule>
    <cfRule type="containsText" dxfId="1118" priority="5109" operator="containsText" text="N/A">
      <formula>NOT(ISERROR(SEARCH(("N/A"),(P329))))</formula>
    </cfRule>
    <cfRule type="containsText" dxfId="1117" priority="5110" operator="containsText" text="Pendente">
      <formula>NOT(ISERROR(SEARCH(("Pendente"),(P329))))</formula>
    </cfRule>
    <cfRule type="containsText" dxfId="1116" priority="5111" operator="containsText" text="Finalizado">
      <formula>NOT(ISERROR(SEARCH(("Finalizado"),(P329))))</formula>
    </cfRule>
    <cfRule type="containsText" dxfId="1115" priority="5112" operator="containsText" text="em andamento">
      <formula>NOT(ISERROR(SEARCH(("em andamento"),(P329))))</formula>
    </cfRule>
    <cfRule type="containsText" dxfId="1114" priority="5113" operator="containsText" text="Lançado">
      <formula>NOT(ISERROR(SEARCH(("Lançado"),(P329))))</formula>
    </cfRule>
    <cfRule type="containsText" dxfId="1113" priority="5114" operator="containsText" text="N/A">
      <formula>NOT(ISERROR(SEARCH(("N/A"),(P329))))</formula>
    </cfRule>
    <cfRule type="containsText" dxfId="1112" priority="5115" operator="containsText" text="Pendente">
      <formula>NOT(ISERROR(SEARCH(("Pendente"),(P329))))</formula>
    </cfRule>
    <cfRule type="containsText" dxfId="1111" priority="5116" operator="containsText" text="Finalizado">
      <formula>NOT(ISERROR(SEARCH(("Finalizado"),(P329))))</formula>
    </cfRule>
    <cfRule type="containsText" dxfId="1110" priority="5117" operator="containsText" text="em andamento">
      <formula>NOT(ISERROR(SEARCH(("em andamento"),(P329))))</formula>
    </cfRule>
    <cfRule type="expression" dxfId="1109" priority="5118">
      <formula>$H329="SUBETAPA"</formula>
    </cfRule>
    <cfRule type="expression" dxfId="1108" priority="5119">
      <formula>$H329="CÉLULA CONSTRUTIVA"</formula>
    </cfRule>
    <cfRule type="expression" dxfId="1107" priority="5120">
      <formula>$H329="ETAPA"</formula>
    </cfRule>
  </conditionalFormatting>
  <conditionalFormatting sqref="P329:P331">
    <cfRule type="containsText" dxfId="1106" priority="5121" operator="containsText" text="N/A">
      <formula>NOT(ISERROR(SEARCH(("N/A"),(P329))))</formula>
    </cfRule>
    <cfRule type="expression" dxfId="1105" priority="5122">
      <formula>$H329="SUBETAPA"</formula>
    </cfRule>
  </conditionalFormatting>
  <conditionalFormatting sqref="P330:P331">
    <cfRule type="expression" dxfId="1104" priority="5124">
      <formula>$H330="CÉLULA CONSTRUTIVA"</formula>
    </cfRule>
    <cfRule type="expression" dxfId="1103" priority="5125">
      <formula>$H330="ETAPA"</formula>
    </cfRule>
    <cfRule type="containsText" dxfId="1102" priority="5126" operator="containsText" text="Lançado">
      <formula>NOT(ISERROR(SEARCH(("Lançado"),(P330))))</formula>
    </cfRule>
    <cfRule type="containsText" dxfId="1101" priority="5127" operator="containsText" text="N/A">
      <formula>NOT(ISERROR(SEARCH(("N/A"),(P330))))</formula>
    </cfRule>
    <cfRule type="containsText" dxfId="1100" priority="5128" operator="containsText" text="Pendente">
      <formula>NOT(ISERROR(SEARCH(("Pendente"),(P330))))</formula>
    </cfRule>
    <cfRule type="containsText" dxfId="1099" priority="5129" operator="containsText" text="Finalizado">
      <formula>NOT(ISERROR(SEARCH(("Finalizado"),(P330))))</formula>
    </cfRule>
    <cfRule type="containsText" dxfId="1098" priority="5130" operator="containsText" text="em andamento">
      <formula>NOT(ISERROR(SEARCH(("em andamento"),(P330))))</formula>
    </cfRule>
    <cfRule type="containsText" dxfId="1097" priority="5131" operator="containsText" text="Lançado">
      <formula>NOT(ISERROR(SEARCH(("Lançado"),(P330))))</formula>
    </cfRule>
    <cfRule type="containsText" dxfId="1096" priority="5132" operator="containsText" text="N/A">
      <formula>NOT(ISERROR(SEARCH(("N/A"),(P330))))</formula>
    </cfRule>
    <cfRule type="containsText" dxfId="1095" priority="5133" operator="containsText" text="Pendente">
      <formula>NOT(ISERROR(SEARCH(("Pendente"),(P330))))</formula>
    </cfRule>
    <cfRule type="containsText" dxfId="1094" priority="5134" operator="containsText" text="Finalizado">
      <formula>NOT(ISERROR(SEARCH(("Finalizado"),(P330))))</formula>
    </cfRule>
    <cfRule type="containsText" dxfId="1093" priority="5135" operator="containsText" text="em andamento">
      <formula>NOT(ISERROR(SEARCH(("em andamento"),(P330))))</formula>
    </cfRule>
    <cfRule type="expression" dxfId="1092" priority="5136">
      <formula>$H330="CÉLULA CONSTRUTIVA"</formula>
    </cfRule>
    <cfRule type="expression" dxfId="1091" priority="5137">
      <formula>$H330="ETAPA"</formula>
    </cfRule>
    <cfRule type="containsText" dxfId="1090" priority="5138" operator="containsText" text="Lançado">
      <formula>NOT(ISERROR(SEARCH(("Lançado"),(P330))))</formula>
    </cfRule>
    <cfRule type="containsText" dxfId="1089" priority="5139" operator="containsText" text="Finalizado">
      <formula>NOT(ISERROR(SEARCH(("Finalizado"),(P330))))</formula>
    </cfRule>
    <cfRule type="containsText" dxfId="1088" priority="5140" operator="containsText" text="em andamento">
      <formula>NOT(ISERROR(SEARCH(("em andamento"),(P330))))</formula>
    </cfRule>
    <cfRule type="containsText" dxfId="1087" priority="5141" operator="containsText" text="Pendente">
      <formula>NOT(ISERROR(SEARCH(("Pendente"),(P330))))</formula>
    </cfRule>
  </conditionalFormatting>
  <conditionalFormatting sqref="P332">
    <cfRule type="expression" dxfId="1086" priority="754">
      <formula>$H332="CÉLULA CONSTRUTIVA"</formula>
    </cfRule>
    <cfRule type="expression" dxfId="1085" priority="755">
      <formula>$H332="ETAPA"</formula>
    </cfRule>
    <cfRule type="containsText" dxfId="1084" priority="756" operator="containsText" text="Lançado">
      <formula>NOT(ISERROR(SEARCH(("Lançado"),(P332))))</formula>
    </cfRule>
    <cfRule type="containsText" dxfId="1083" priority="757" operator="containsText" text="N/A">
      <formula>NOT(ISERROR(SEARCH(("N/A"),(P332))))</formula>
    </cfRule>
    <cfRule type="containsText" dxfId="1082" priority="758" operator="containsText" text="Pendente">
      <formula>NOT(ISERROR(SEARCH(("Pendente"),(P332))))</formula>
    </cfRule>
    <cfRule type="containsText" dxfId="1081" priority="759" operator="containsText" text="Finalizado">
      <formula>NOT(ISERROR(SEARCH(("Finalizado"),(P332))))</formula>
    </cfRule>
    <cfRule type="containsText" dxfId="1080" priority="760" operator="containsText" text="em andamento">
      <formula>NOT(ISERROR(SEARCH(("em andamento"),(P332))))</formula>
    </cfRule>
    <cfRule type="containsText" dxfId="1079" priority="761" operator="containsText" text="Lançado">
      <formula>NOT(ISERROR(SEARCH(("Lançado"),(P332))))</formula>
    </cfRule>
    <cfRule type="containsText" dxfId="1078" priority="762" operator="containsText" text="N/A">
      <formula>NOT(ISERROR(SEARCH(("N/A"),(P332))))</formula>
    </cfRule>
    <cfRule type="containsText" dxfId="1077" priority="763" operator="containsText" text="Pendente">
      <formula>NOT(ISERROR(SEARCH(("Pendente"),(P332))))</formula>
    </cfRule>
    <cfRule type="containsText" dxfId="1076" priority="764" operator="containsText" text="Finalizado">
      <formula>NOT(ISERROR(SEARCH(("Finalizado"),(P332))))</formula>
    </cfRule>
    <cfRule type="containsText" dxfId="1075" priority="765" operator="containsText" text="em andamento">
      <formula>NOT(ISERROR(SEARCH(("em andamento"),(P332))))</formula>
    </cfRule>
    <cfRule type="containsText" dxfId="1074" priority="766" operator="containsText" text="Pendente">
      <formula>NOT(ISERROR(SEARCH(("Pendente"),(P332))))</formula>
    </cfRule>
    <cfRule type="containsText" dxfId="1073" priority="767" operator="containsText" text="Finalizado">
      <formula>NOT(ISERROR(SEARCH(("Finalizado"),(P332))))</formula>
    </cfRule>
    <cfRule type="containsText" dxfId="1072" priority="768" operator="containsText" text="em andamento">
      <formula>NOT(ISERROR(SEARCH(("em andamento"),(P332))))</formula>
    </cfRule>
    <cfRule type="expression" dxfId="1071" priority="769">
      <formula>$H332="SUBETAPA"</formula>
    </cfRule>
    <cfRule type="containsText" dxfId="1070" priority="770" operator="containsText" text="Lançado">
      <formula>NOT(ISERROR(SEARCH(("Lançado"),(P332))))</formula>
    </cfRule>
    <cfRule type="containsText" dxfId="1069" priority="771" operator="containsText" text="N/A">
      <formula>NOT(ISERROR(SEARCH(("N/A"),(P332))))</formula>
    </cfRule>
    <cfRule type="containsText" dxfId="1068" priority="772" operator="containsText" text="Finalizado">
      <formula>NOT(ISERROR(SEARCH(("Finalizado"),(P332))))</formula>
    </cfRule>
    <cfRule type="containsText" dxfId="1067" priority="775" operator="containsText" text="em andamento">
      <formula>NOT(ISERROR(SEARCH(("em andamento"),(P332))))</formula>
    </cfRule>
    <cfRule type="containsText" dxfId="1066" priority="776" operator="containsText" text="Finalizado">
      <formula>NOT(ISERROR(SEARCH(("Finalizado"),(P332))))</formula>
    </cfRule>
    <cfRule type="containsText" dxfId="1065" priority="778" operator="containsText" text="em andamento">
      <formula>NOT(ISERROR(SEARCH(("em andamento"),(P332))))</formula>
    </cfRule>
  </conditionalFormatting>
  <conditionalFormatting sqref="P336">
    <cfRule type="containsText" dxfId="1064" priority="77" operator="containsText" text="N/A">
      <formula>NOT(ISERROR(SEARCH(("N/A"),(P336))))</formula>
    </cfRule>
    <cfRule type="expression" dxfId="1063" priority="78">
      <formula>$H336="SUBETAPA"</formula>
    </cfRule>
    <cfRule type="expression" dxfId="1062" priority="79">
      <formula>$H336="CÉLULA CONSTRUTIVA"</formula>
    </cfRule>
    <cfRule type="expression" dxfId="1061" priority="80">
      <formula>$H336="ETAPA"</formula>
    </cfRule>
    <cfRule type="containsText" dxfId="1060" priority="81" operator="containsText" text="Lançado">
      <formula>NOT(ISERROR(SEARCH(("Lançado"),(P336))))</formula>
    </cfRule>
    <cfRule type="containsText" dxfId="1059" priority="82" operator="containsText" text="N/A">
      <formula>NOT(ISERROR(SEARCH(("N/A"),(P336))))</formula>
    </cfRule>
    <cfRule type="containsText" dxfId="1058" priority="83" operator="containsText" text="Pendente">
      <formula>NOT(ISERROR(SEARCH(("Pendente"),(P336))))</formula>
    </cfRule>
    <cfRule type="containsText" dxfId="1057" priority="84" operator="containsText" text="Finalizado">
      <formula>NOT(ISERROR(SEARCH(("Finalizado"),(P336))))</formula>
    </cfRule>
    <cfRule type="containsText" dxfId="1056" priority="85" operator="containsText" text="em andamento">
      <formula>NOT(ISERROR(SEARCH(("em andamento"),(P336))))</formula>
    </cfRule>
    <cfRule type="containsText" dxfId="1055" priority="86" operator="containsText" text="Lançado">
      <formula>NOT(ISERROR(SEARCH(("Lançado"),(P336))))</formula>
    </cfRule>
    <cfRule type="containsText" dxfId="1054" priority="87" operator="containsText" text="N/A">
      <formula>NOT(ISERROR(SEARCH(("N/A"),(P336))))</formula>
    </cfRule>
    <cfRule type="containsText" dxfId="1053" priority="88" operator="containsText" text="Pendente">
      <formula>NOT(ISERROR(SEARCH(("Pendente"),(P336))))</formula>
    </cfRule>
    <cfRule type="containsText" dxfId="1052" priority="89" operator="containsText" text="Finalizado">
      <formula>NOT(ISERROR(SEARCH(("Finalizado"),(P336))))</formula>
    </cfRule>
    <cfRule type="containsText" dxfId="1051" priority="90" operator="containsText" text="em andamento">
      <formula>NOT(ISERROR(SEARCH(("em andamento"),(P336))))</formula>
    </cfRule>
    <cfRule type="expression" dxfId="1050" priority="91">
      <formula>$H336="CÉLULA CONSTRUTIVA"</formula>
    </cfRule>
    <cfRule type="expression" dxfId="1049" priority="92">
      <formula>$H336="ETAPA"</formula>
    </cfRule>
    <cfRule type="containsText" dxfId="1048" priority="93" operator="containsText" text="Lançado">
      <formula>NOT(ISERROR(SEARCH(("Lançado"),(P336))))</formula>
    </cfRule>
    <cfRule type="containsText" dxfId="1047" priority="94" operator="containsText" text="Finalizado">
      <formula>NOT(ISERROR(SEARCH(("Finalizado"),(P336))))</formula>
    </cfRule>
    <cfRule type="containsText" dxfId="1046" priority="95" operator="containsText" text="em andamento">
      <formula>NOT(ISERROR(SEARCH(("em andamento"),(P336))))</formula>
    </cfRule>
  </conditionalFormatting>
  <conditionalFormatting sqref="P337:P341 P221:P222 P224:P225 P195:P196 P292:P293 N114:P115 P111:P113 N111:O112 G111:H112 G114:H115">
    <cfRule type="expression" dxfId="1045" priority="5857">
      <formula>$H103="ETAPA"</formula>
    </cfRule>
  </conditionalFormatting>
  <conditionalFormatting sqref="P340">
    <cfRule type="containsText" dxfId="1044" priority="58" operator="containsText" text="N/A">
      <formula>NOT(ISERROR(SEARCH(("N/A"),(P340))))</formula>
    </cfRule>
    <cfRule type="expression" dxfId="1043" priority="59">
      <formula>$H340="SUBETAPA"</formula>
    </cfRule>
    <cfRule type="expression" dxfId="1042" priority="60">
      <formula>$H340="CÉLULA CONSTRUTIVA"</formula>
    </cfRule>
    <cfRule type="expression" dxfId="1041" priority="61">
      <formula>$H340="ETAPA"</formula>
    </cfRule>
    <cfRule type="containsText" dxfId="1040" priority="62" operator="containsText" text="Lançado">
      <formula>NOT(ISERROR(SEARCH(("Lançado"),(P340))))</formula>
    </cfRule>
    <cfRule type="containsText" dxfId="1039" priority="63" operator="containsText" text="N/A">
      <formula>NOT(ISERROR(SEARCH(("N/A"),(P340))))</formula>
    </cfRule>
    <cfRule type="containsText" dxfId="1038" priority="64" operator="containsText" text="Pendente">
      <formula>NOT(ISERROR(SEARCH(("Pendente"),(P340))))</formula>
    </cfRule>
    <cfRule type="containsText" dxfId="1037" priority="65" operator="containsText" text="Finalizado">
      <formula>NOT(ISERROR(SEARCH(("Finalizado"),(P340))))</formula>
    </cfRule>
    <cfRule type="containsText" dxfId="1036" priority="66" operator="containsText" text="em andamento">
      <formula>NOT(ISERROR(SEARCH(("em andamento"),(P340))))</formula>
    </cfRule>
    <cfRule type="containsText" dxfId="1035" priority="67" operator="containsText" text="Lançado">
      <formula>NOT(ISERROR(SEARCH(("Lançado"),(P340))))</formula>
    </cfRule>
    <cfRule type="containsText" dxfId="1034" priority="68" operator="containsText" text="N/A">
      <formula>NOT(ISERROR(SEARCH(("N/A"),(P340))))</formula>
    </cfRule>
    <cfRule type="containsText" dxfId="1033" priority="69" operator="containsText" text="Pendente">
      <formula>NOT(ISERROR(SEARCH(("Pendente"),(P340))))</formula>
    </cfRule>
    <cfRule type="containsText" dxfId="1032" priority="70" operator="containsText" text="Finalizado">
      <formula>NOT(ISERROR(SEARCH(("Finalizado"),(P340))))</formula>
    </cfRule>
    <cfRule type="containsText" dxfId="1031" priority="71" operator="containsText" text="em andamento">
      <formula>NOT(ISERROR(SEARCH(("em andamento"),(P340))))</formula>
    </cfRule>
    <cfRule type="expression" dxfId="1030" priority="72">
      <formula>$H340="CÉLULA CONSTRUTIVA"</formula>
    </cfRule>
    <cfRule type="expression" dxfId="1029" priority="73">
      <formula>$H340="ETAPA"</formula>
    </cfRule>
    <cfRule type="containsText" dxfId="1028" priority="74" operator="containsText" text="Lançado">
      <formula>NOT(ISERROR(SEARCH(("Lançado"),(P340))))</formula>
    </cfRule>
    <cfRule type="containsText" dxfId="1027" priority="75" operator="containsText" text="Finalizado">
      <formula>NOT(ISERROR(SEARCH(("Finalizado"),(P340))))</formula>
    </cfRule>
    <cfRule type="containsText" dxfId="1026" priority="76" operator="containsText" text="em andamento">
      <formula>NOT(ISERROR(SEARCH(("em andamento"),(P340))))</formula>
    </cfRule>
    <cfRule type="expression" dxfId="1025" priority="96">
      <formula>$H340="CÉLULA CONSTRUTIVA"</formula>
    </cfRule>
    <cfRule type="expression" dxfId="1024" priority="97">
      <formula>$H340="ETAPA"</formula>
    </cfRule>
    <cfRule type="expression" dxfId="1023" priority="98">
      <formula>$H340="SUBETAPA"</formula>
    </cfRule>
    <cfRule type="expression" dxfId="1022" priority="99">
      <formula>$H340="CÉLULA CONSTRUTIVA"</formula>
    </cfRule>
    <cfRule type="expression" dxfId="1021" priority="100">
      <formula>$H340="ETAPA"</formula>
    </cfRule>
    <cfRule type="expression" dxfId="1020" priority="101">
      <formula>$H340="SUBETAPA"</formula>
    </cfRule>
  </conditionalFormatting>
  <conditionalFormatting sqref="P342:P343 P299:P300 P220 P213:P216 P210:P211 P101:P102 G101:H102">
    <cfRule type="expression" dxfId="1019" priority="5891">
      <formula>$H94="ETAPA"</formula>
    </cfRule>
  </conditionalFormatting>
  <conditionalFormatting sqref="P344">
    <cfRule type="containsText" dxfId="1018" priority="2685" operator="containsText" text="Finalizado">
      <formula>NOT(ISERROR(SEARCH(("Finalizado"),(P344))))</formula>
    </cfRule>
    <cfRule type="containsText" dxfId="1017" priority="2686" operator="containsText" text="em andamento">
      <formula>NOT(ISERROR(SEARCH(("em andamento"),(P344))))</formula>
    </cfRule>
    <cfRule type="containsText" dxfId="1016" priority="2688" operator="containsText" text="N/A">
      <formula>NOT(ISERROR(SEARCH(("N/A"),(P344))))</formula>
    </cfRule>
    <cfRule type="containsText" dxfId="1015" priority="2689" operator="containsText" text="Lançado">
      <formula>NOT(ISERROR(SEARCH(("Lançado"),(P344))))</formula>
    </cfRule>
    <cfRule type="containsText" dxfId="1014" priority="2690" operator="containsText" text="Pendente">
      <formula>NOT(ISERROR(SEARCH(("Pendente"),(P344))))</formula>
    </cfRule>
  </conditionalFormatting>
  <conditionalFormatting sqref="P345">
    <cfRule type="containsText" dxfId="1013" priority="6327" operator="containsText" text="Lançado">
      <formula>NOT(ISERROR(SEARCH(("Lançado"),(P345))))</formula>
    </cfRule>
    <cfRule type="containsText" dxfId="1012" priority="6328" operator="containsText" text="N/A">
      <formula>NOT(ISERROR(SEARCH(("N/A"),(P345))))</formula>
    </cfRule>
    <cfRule type="containsText" dxfId="1011" priority="6329" operator="containsText" text="Pendente">
      <formula>NOT(ISERROR(SEARCH(("Pendente"),(P345))))</formula>
    </cfRule>
    <cfRule type="containsText" dxfId="1010" priority="6330" operator="containsText" text="Finalizado">
      <formula>NOT(ISERROR(SEARCH(("Finalizado"),(P345))))</formula>
    </cfRule>
    <cfRule type="containsText" dxfId="1009" priority="6331" operator="containsText" text="em andamento">
      <formula>NOT(ISERROR(SEARCH(("em andamento"),(P345))))</formula>
    </cfRule>
    <cfRule type="containsText" dxfId="1008" priority="6332" operator="containsText" text="Lançado">
      <formula>NOT(ISERROR(SEARCH(("Lançado"),(P345))))</formula>
    </cfRule>
    <cfRule type="containsText" dxfId="1007" priority="6333" operator="containsText" text="N/A">
      <formula>NOT(ISERROR(SEARCH(("N/A"),(P345))))</formula>
    </cfRule>
    <cfRule type="containsText" dxfId="1006" priority="6334" operator="containsText" text="Pendente">
      <formula>NOT(ISERROR(SEARCH(("Pendente"),(P345))))</formula>
    </cfRule>
    <cfRule type="containsText" dxfId="1005" priority="6335" operator="containsText" text="Finalizado">
      <formula>NOT(ISERROR(SEARCH(("Finalizado"),(P345))))</formula>
    </cfRule>
    <cfRule type="containsText" dxfId="1004" priority="6336" operator="containsText" text="em andamento">
      <formula>NOT(ISERROR(SEARCH(("em andamento"),(P345))))</formula>
    </cfRule>
    <cfRule type="containsText" dxfId="1003" priority="6337" operator="containsText" text="Pendente">
      <formula>NOT(ISERROR(SEARCH(("Pendente"),(P345))))</formula>
    </cfRule>
    <cfRule type="containsText" dxfId="1002" priority="6338" operator="containsText" text="Finalizado">
      <formula>NOT(ISERROR(SEARCH(("Finalizado"),(P345))))</formula>
    </cfRule>
    <cfRule type="containsText" dxfId="1001" priority="6339" operator="containsText" text="em andamento">
      <formula>NOT(ISERROR(SEARCH(("em andamento"),(P345))))</formula>
    </cfRule>
    <cfRule type="expression" dxfId="1000" priority="6340">
      <formula>$H345="SUBETAPA"</formula>
    </cfRule>
    <cfRule type="containsText" dxfId="999" priority="6341" operator="containsText" text="Lançado">
      <formula>NOT(ISERROR(SEARCH(("Lançado"),(P345))))</formula>
    </cfRule>
    <cfRule type="containsText" dxfId="998" priority="6342" operator="containsText" text="N/A">
      <formula>NOT(ISERROR(SEARCH(("N/A"),(P345))))</formula>
    </cfRule>
    <cfRule type="containsText" dxfId="997" priority="6343" operator="containsText" text="Finalizado">
      <formula>NOT(ISERROR(SEARCH(("Finalizado"),(P345))))</formula>
    </cfRule>
    <cfRule type="containsText" dxfId="996" priority="6344" operator="containsText" text="em andamento">
      <formula>NOT(ISERROR(SEARCH(("em andamento"),(P345))))</formula>
    </cfRule>
    <cfRule type="containsText" dxfId="995" priority="6345" operator="containsText" text="Finalizado">
      <formula>NOT(ISERROR(SEARCH(("Finalizado"),(P345))))</formula>
    </cfRule>
    <cfRule type="containsText" dxfId="994" priority="6346" operator="containsText" text="em andamento">
      <formula>NOT(ISERROR(SEARCH(("em andamento"),(P345))))</formula>
    </cfRule>
    <cfRule type="expression" dxfId="993" priority="6347">
      <formula>$H337="ETAPA"</formula>
    </cfRule>
    <cfRule type="expression" dxfId="992" priority="6348">
      <formula>$H345="SUBETAPA"</formula>
    </cfRule>
    <cfRule type="containsText" dxfId="991" priority="6349" operator="containsText" text="Pendente">
      <formula>NOT(ISERROR(SEARCH(("Pendente"),(P345))))</formula>
    </cfRule>
  </conditionalFormatting>
  <conditionalFormatting sqref="P345:P346">
    <cfRule type="expression" dxfId="990" priority="5150">
      <formula>$H345="CÉLULA CONSTRUTIVA"</formula>
    </cfRule>
    <cfRule type="expression" dxfId="989" priority="5151">
      <formula>$H345="ETAPA"</formula>
    </cfRule>
  </conditionalFormatting>
  <conditionalFormatting sqref="P346 P342">
    <cfRule type="containsText" dxfId="988" priority="5148" operator="containsText" text="Pendente">
      <formula>NOT(ISERROR(SEARCH(("Pendente"),(P342))))</formula>
    </cfRule>
  </conditionalFormatting>
  <conditionalFormatting sqref="P346">
    <cfRule type="containsText" dxfId="987" priority="5144" operator="containsText" text="Lançado">
      <formula>NOT(ISERROR(SEARCH(("Lançado"),(P346))))</formula>
    </cfRule>
    <cfRule type="containsText" dxfId="986" priority="5145" operator="containsText" text="N/A">
      <formula>NOT(ISERROR(SEARCH(("N/A"),(P346))))</formula>
    </cfRule>
    <cfRule type="expression" dxfId="985" priority="5149">
      <formula>$H346="SUBETAPA"</formula>
    </cfRule>
  </conditionalFormatting>
  <conditionalFormatting sqref="P346:P349">
    <cfRule type="containsText" dxfId="984" priority="5147" operator="containsText" text="em andamento">
      <formula>NOT(ISERROR(SEARCH(("em andamento"),(P346))))</formula>
    </cfRule>
  </conditionalFormatting>
  <conditionalFormatting sqref="Q227:Q229">
    <cfRule type="cellIs" dxfId="983" priority="264" operator="equal">
      <formula>"TETO"</formula>
    </cfRule>
    <cfRule type="cellIs" dxfId="982" priority="265" operator="equal">
      <formula>"PAREDE"</formula>
    </cfRule>
    <cfRule type="cellIs" dxfId="981" priority="266" operator="equal">
      <formula>"PISO"</formula>
    </cfRule>
    <cfRule type="cellIs" dxfId="980" priority="267" operator="equal">
      <formula>"FACHADA"</formula>
    </cfRule>
  </conditionalFormatting>
  <conditionalFormatting sqref="N184">
    <cfRule type="expression" dxfId="979" priority="6675">
      <formula>$H184="CÉLULA CONSTRUTIVA"</formula>
    </cfRule>
    <cfRule type="expression" dxfId="978" priority="6676">
      <formula>$H184="SUBETAPA"</formula>
    </cfRule>
    <cfRule type="expression" dxfId="977" priority="6677">
      <formula>$H168="ETAPA"</formula>
    </cfRule>
    <cfRule type="expression" dxfId="976" priority="6678">
      <formula>$H184="CÉLULA CONSTRUTIVA"</formula>
    </cfRule>
  </conditionalFormatting>
  <dataValidations disablePrompts="1" count="4">
    <dataValidation type="list" allowBlank="1" showErrorMessage="1" sqref="P10" xr:uid="{00000000-0002-0000-0500-000000000000}">
      <formula1>$R$2:$R$5</formula1>
    </dataValidation>
    <dataValidation type="list" allowBlank="1" showErrorMessage="1" sqref="P11:P48 P75:P77 P79:P93 P119 P121:P123 P125:P131 P133:P144 P50:P73 P158:P170 P95:P115 P240 P320:P325 P146:P156 P186:P238 P327:P343 P242:P318 P172:P184" xr:uid="{00000000-0002-0000-0500-000001000000}">
      <formula1>"Finalizado,Em Andamento,Pendente,N/A,Lançado ERP"</formula1>
    </dataValidation>
    <dataValidation type="list" allowBlank="1" showErrorMessage="1" sqref="H230:H352 H8:H226" xr:uid="{00000000-0002-0000-0500-000002000000}">
      <formula1>"UNIDADE CONSTRUTIVA,CÉLULA CONSTRUTIVA,ETAPA,SUBETAPA,SERVIÇO"</formula1>
    </dataValidation>
    <dataValidation type="list" allowBlank="1" showInputMessage="1" showErrorMessage="1" sqref="H227:H229" xr:uid="{8A5BC6D9-C3A5-4F09-84A5-16897BADADA4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EECE1"/>
    <outlinePr summaryBelow="0"/>
  </sheetPr>
  <dimension ref="A1:Y489"/>
  <sheetViews>
    <sheetView showGridLines="0" workbookViewId="0">
      <pane ySplit="1" topLeftCell="A2" activePane="bottomLeft" state="frozen"/>
      <selection pane="bottomLeft" activeCell="E364" sqref="E364"/>
    </sheetView>
  </sheetViews>
  <sheetFormatPr defaultColWidth="12.5703125" defaultRowHeight="15" customHeight="1" outlineLevelRow="3" x14ac:dyDescent="0.2"/>
  <cols>
    <col min="1" max="1" width="5.28515625" customWidth="1"/>
    <col min="2" max="2" width="9.140625" customWidth="1"/>
    <col min="3" max="3" width="22.5703125" customWidth="1"/>
    <col min="4" max="4" width="73.85546875" customWidth="1"/>
    <col min="5" max="5" width="8.28515625" customWidth="1"/>
    <col min="6" max="6" width="11.28515625" customWidth="1"/>
    <col min="7" max="9" width="15.140625" customWidth="1"/>
    <col min="10" max="25" width="9.140625" customWidth="1"/>
  </cols>
  <sheetData>
    <row r="1" spans="1:9" x14ac:dyDescent="0.25">
      <c r="A1" s="51" t="s">
        <v>582</v>
      </c>
      <c r="B1" s="303" t="s">
        <v>583</v>
      </c>
      <c r="C1" s="304" t="s">
        <v>7</v>
      </c>
      <c r="D1" s="304" t="s">
        <v>7</v>
      </c>
      <c r="E1" s="304" t="s">
        <v>584</v>
      </c>
      <c r="F1" s="305" t="s">
        <v>9</v>
      </c>
      <c r="G1" s="306" t="s">
        <v>585</v>
      </c>
      <c r="H1" s="306" t="s">
        <v>585</v>
      </c>
      <c r="I1" s="306" t="s">
        <v>172</v>
      </c>
    </row>
    <row r="2" spans="1:9" ht="15.75" customHeight="1" collapsed="1" x14ac:dyDescent="0.2">
      <c r="A2" s="307">
        <f>COUNTIFS($D$2:$D$488,D2,$B$2:$B$488,B2)</f>
        <v>1</v>
      </c>
      <c r="B2" s="307" t="s">
        <v>230</v>
      </c>
      <c r="C2" s="307" t="s">
        <v>7</v>
      </c>
      <c r="D2" s="307" t="s">
        <v>595</v>
      </c>
      <c r="E2" s="308"/>
      <c r="F2" s="319"/>
      <c r="G2" s="309"/>
      <c r="H2" s="309" t="str">
        <f>IF(B2="Serviço",SUMIFS($H3:H$259,$C3:C$259,$C2),IF(B2="Insumo",F2*G2,""))</f>
        <v/>
      </c>
      <c r="I2" s="309"/>
    </row>
    <row r="3" spans="1:9" ht="15.75" hidden="1" customHeight="1" outlineLevel="1" x14ac:dyDescent="0.2">
      <c r="A3" s="307">
        <f>COUNTIFS($D$2:$D$488,D3,$B$2:$B$488,B3)</f>
        <v>1</v>
      </c>
      <c r="B3" s="310" t="s">
        <v>232</v>
      </c>
      <c r="C3" s="302" t="str">
        <f t="shared" ref="C3:C84" si="0">IF(B3="Serviço",D3,C2)</f>
        <v>Bandeja de Proteção Primária com estrutura metálica e trama de madeira</v>
      </c>
      <c r="D3" s="302" t="s">
        <v>300</v>
      </c>
      <c r="E3" s="311" t="s">
        <v>591</v>
      </c>
      <c r="F3" s="312"/>
      <c r="G3" s="313"/>
      <c r="H3" s="313">
        <f>IF(B3="Serviço",SUMIFS($H4:H$259,$C4:C$259,$C3),IF(B3="Insumo",F3*G3,""))</f>
        <v>284.79860000000002</v>
      </c>
      <c r="I3" s="313" t="s">
        <v>141</v>
      </c>
    </row>
    <row r="4" spans="1:9" ht="15.75" hidden="1" customHeight="1" outlineLevel="2" x14ac:dyDescent="0.2">
      <c r="A4" s="307">
        <f>COUNTIFS($D$2:$D$488,D4,$B$2:$B$488,B4)</f>
        <v>2</v>
      </c>
      <c r="B4" s="302" t="s">
        <v>587</v>
      </c>
      <c r="C4" s="302" t="str">
        <f t="shared" si="0"/>
        <v>Bandeja de Proteção Primária com estrutura metálica e trama de madeira</v>
      </c>
      <c r="D4" s="302" t="s">
        <v>596</v>
      </c>
      <c r="E4" s="311" t="s">
        <v>589</v>
      </c>
      <c r="F4" s="314">
        <v>0.17</v>
      </c>
      <c r="G4" s="315">
        <v>13.08</v>
      </c>
      <c r="H4" s="315">
        <f>IF(B4="Serviço",SUMIFS($H5:H$259,$C5:C$259,$C4),IF(B4="Insumo",F4*G4,""))</f>
        <v>2.2236000000000002</v>
      </c>
      <c r="I4" s="315"/>
    </row>
    <row r="5" spans="1:9" ht="15.75" hidden="1" customHeight="1" outlineLevel="2" x14ac:dyDescent="0.2">
      <c r="A5" s="307">
        <f>COUNTIFS($D$2:$D$488,D5,$B$2:$B$488,B5)</f>
        <v>2</v>
      </c>
      <c r="B5" s="302" t="s">
        <v>587</v>
      </c>
      <c r="C5" s="302" t="str">
        <f t="shared" si="0"/>
        <v>Bandeja de Proteção Primária com estrutura metálica e trama de madeira</v>
      </c>
      <c r="D5" s="302" t="s">
        <v>597</v>
      </c>
      <c r="E5" s="311" t="s">
        <v>586</v>
      </c>
      <c r="F5" s="314">
        <v>2.54</v>
      </c>
      <c r="G5" s="315">
        <v>62.2</v>
      </c>
      <c r="H5" s="315">
        <f>IF(B5="Serviço",SUMIFS($H6:H$259,$C6:C$259,$C5),IF(B5="Insumo",F5*G5,""))</f>
        <v>157.988</v>
      </c>
      <c r="I5" s="315"/>
    </row>
    <row r="6" spans="1:9" ht="15.75" hidden="1" customHeight="1" outlineLevel="2" x14ac:dyDescent="0.2">
      <c r="A6" s="307">
        <f>COUNTIFS($D$2:$D$488,D6,$B$2:$B$488,B6)</f>
        <v>2</v>
      </c>
      <c r="B6" s="302" t="s">
        <v>587</v>
      </c>
      <c r="C6" s="302" t="str">
        <f t="shared" si="0"/>
        <v>Bandeja de Proteção Primária com estrutura metálica e trama de madeira</v>
      </c>
      <c r="D6" s="302" t="s">
        <v>598</v>
      </c>
      <c r="E6" s="311" t="s">
        <v>17</v>
      </c>
      <c r="F6" s="314">
        <v>3.39</v>
      </c>
      <c r="G6" s="315">
        <v>5.3</v>
      </c>
      <c r="H6" s="315">
        <f>IF(B6="Serviço",SUMIFS($H7:H$259,$C7:C$259,$C6),IF(B6="Insumo",F6*G6,""))</f>
        <v>17.966999999999999</v>
      </c>
      <c r="I6" s="315"/>
    </row>
    <row r="7" spans="1:9" ht="15.75" hidden="1" customHeight="1" outlineLevel="2" x14ac:dyDescent="0.2">
      <c r="A7" s="307">
        <f>COUNTIFS($D$2:$D$488,D7,$B$2:$B$488,B7)</f>
        <v>2</v>
      </c>
      <c r="B7" s="302" t="s">
        <v>587</v>
      </c>
      <c r="C7" s="302" t="str">
        <f t="shared" si="0"/>
        <v>Bandeja de Proteção Primária com estrutura metálica e trama de madeira</v>
      </c>
      <c r="D7" s="302" t="s">
        <v>599</v>
      </c>
      <c r="E7" s="311" t="s">
        <v>17</v>
      </c>
      <c r="F7" s="314">
        <v>1.1299999999999999</v>
      </c>
      <c r="G7" s="315">
        <v>45</v>
      </c>
      <c r="H7" s="315">
        <f>IF(B7="Serviço",SUMIFS($H8:H$259,$C8:C$259,$C7),IF(B7="Insumo",F7*G7,""))</f>
        <v>50.849999999999994</v>
      </c>
      <c r="I7" s="315"/>
    </row>
    <row r="8" spans="1:9" ht="15.75" hidden="1" customHeight="1" outlineLevel="2" x14ac:dyDescent="0.2">
      <c r="A8" s="307">
        <f>COUNTIFS($D$2:$D$488,D8,$B$2:$B$488,B8)</f>
        <v>7</v>
      </c>
      <c r="B8" s="302" t="s">
        <v>587</v>
      </c>
      <c r="C8" s="302" t="str">
        <f t="shared" si="0"/>
        <v>Bandeja de Proteção Primária com estrutura metálica e trama de madeira</v>
      </c>
      <c r="D8" s="302" t="s">
        <v>600</v>
      </c>
      <c r="E8" s="311" t="s">
        <v>588</v>
      </c>
      <c r="F8" s="314">
        <v>5.0700000000000002E-2</v>
      </c>
      <c r="G8" s="315">
        <v>1100</v>
      </c>
      <c r="H8" s="315">
        <f>IF(B8="Serviço",SUMIFS($H9:H$259,$C9:C$259,$C8),IF(B8="Insumo",F8*G8,""))</f>
        <v>55.77</v>
      </c>
      <c r="I8" s="315"/>
    </row>
    <row r="9" spans="1:9" ht="15.75" hidden="1" customHeight="1" outlineLevel="1" x14ac:dyDescent="0.2">
      <c r="A9" s="307">
        <f>COUNTIFS($D$2:$D$488,D9,$B$2:$B$488,B9)</f>
        <v>1</v>
      </c>
      <c r="B9" s="302" t="s">
        <v>232</v>
      </c>
      <c r="C9" s="302" t="str">
        <f t="shared" si="0"/>
        <v>Bandeja de Proteção Secundária com estrutura metálica e trama de madeira</v>
      </c>
      <c r="D9" s="302" t="s">
        <v>302</v>
      </c>
      <c r="E9" s="311" t="s">
        <v>591</v>
      </c>
      <c r="F9" s="312"/>
      <c r="G9" s="313"/>
      <c r="H9" s="313">
        <f>IF(B9="Serviço",SUMIFS($H10:H$259,$C10:C$259,$C9),IF(B9="Insumo",F9*G9,""))</f>
        <v>270.93860000000001</v>
      </c>
      <c r="I9" s="313" t="s">
        <v>141</v>
      </c>
    </row>
    <row r="10" spans="1:9" ht="15.75" hidden="1" customHeight="1" outlineLevel="2" x14ac:dyDescent="0.2">
      <c r="A10" s="307">
        <f>COUNTIFS($D$2:$D$488,D10,$B$2:$B$488,B10)</f>
        <v>2</v>
      </c>
      <c r="B10" s="302" t="s">
        <v>587</v>
      </c>
      <c r="C10" s="302" t="str">
        <f t="shared" si="0"/>
        <v>Bandeja de Proteção Secundária com estrutura metálica e trama de madeira</v>
      </c>
      <c r="D10" s="302" t="s">
        <v>596</v>
      </c>
      <c r="E10" s="311" t="s">
        <v>589</v>
      </c>
      <c r="F10" s="314">
        <v>0.17</v>
      </c>
      <c r="G10" s="315">
        <v>13.08</v>
      </c>
      <c r="H10" s="315">
        <f>IF(B10="Serviço",SUMIFS($H11:H$259,$C11:C$259,$C10),IF(B10="Insumo",F10*G10,""))</f>
        <v>2.2236000000000002</v>
      </c>
      <c r="I10" s="315"/>
    </row>
    <row r="11" spans="1:9" ht="15.75" hidden="1" customHeight="1" outlineLevel="2" x14ac:dyDescent="0.2">
      <c r="A11" s="307">
        <f>COUNTIFS($D$2:$D$488,D11,$B$2:$B$488,B11)</f>
        <v>2</v>
      </c>
      <c r="B11" s="302" t="s">
        <v>587</v>
      </c>
      <c r="C11" s="302" t="str">
        <f t="shared" si="0"/>
        <v>Bandeja de Proteção Secundária com estrutura metálica e trama de madeira</v>
      </c>
      <c r="D11" s="302" t="s">
        <v>597</v>
      </c>
      <c r="E11" s="311" t="s">
        <v>586</v>
      </c>
      <c r="F11" s="314">
        <v>2.54</v>
      </c>
      <c r="G11" s="315">
        <v>62.2</v>
      </c>
      <c r="H11" s="315">
        <f>IF(B11="Serviço",SUMIFS($H12:H$259,$C12:C$259,$C11),IF(B11="Insumo",F11*G11,""))</f>
        <v>157.988</v>
      </c>
      <c r="I11" s="315"/>
    </row>
    <row r="12" spans="1:9" ht="15.75" hidden="1" customHeight="1" outlineLevel="2" x14ac:dyDescent="0.2">
      <c r="A12" s="307">
        <f>COUNTIFS($D$2:$D$488,D12,$B$2:$B$488,B12)</f>
        <v>2</v>
      </c>
      <c r="B12" s="302" t="s">
        <v>587</v>
      </c>
      <c r="C12" s="302" t="str">
        <f t="shared" si="0"/>
        <v>Bandeja de Proteção Secundária com estrutura metálica e trama de madeira</v>
      </c>
      <c r="D12" s="302" t="s">
        <v>598</v>
      </c>
      <c r="E12" s="311" t="s">
        <v>17</v>
      </c>
      <c r="F12" s="314">
        <v>3.39</v>
      </c>
      <c r="G12" s="315">
        <v>5.3</v>
      </c>
      <c r="H12" s="315">
        <f>IF(B12="Serviço",SUMIFS($H13:H$259,$C13:C$259,$C12),IF(B12="Insumo",F12*G12,""))</f>
        <v>17.966999999999999</v>
      </c>
      <c r="I12" s="315"/>
    </row>
    <row r="13" spans="1:9" ht="15.75" hidden="1" customHeight="1" outlineLevel="2" x14ac:dyDescent="0.2">
      <c r="A13" s="307">
        <f>COUNTIFS($D$2:$D$488,D13,$B$2:$B$488,B13)</f>
        <v>2</v>
      </c>
      <c r="B13" s="302" t="s">
        <v>587</v>
      </c>
      <c r="C13" s="302" t="str">
        <f t="shared" si="0"/>
        <v>Bandeja de Proteção Secundária com estrutura metálica e trama de madeira</v>
      </c>
      <c r="D13" s="302" t="s">
        <v>599</v>
      </c>
      <c r="E13" s="311" t="s">
        <v>17</v>
      </c>
      <c r="F13" s="314">
        <v>1.1299999999999999</v>
      </c>
      <c r="G13" s="315">
        <v>45</v>
      </c>
      <c r="H13" s="315">
        <f>IF(B13="Serviço",SUMIFS($H14:H$259,$C14:C$259,$C13),IF(B13="Insumo",F13*G13,""))</f>
        <v>50.849999999999994</v>
      </c>
      <c r="I13" s="315"/>
    </row>
    <row r="14" spans="1:9" ht="15.75" hidden="1" customHeight="1" outlineLevel="2" x14ac:dyDescent="0.2">
      <c r="A14" s="307">
        <f>COUNTIFS($D$2:$D$488,D14,$B$2:$B$488,B14)</f>
        <v>7</v>
      </c>
      <c r="B14" s="302" t="s">
        <v>587</v>
      </c>
      <c r="C14" s="302" t="str">
        <f t="shared" si="0"/>
        <v>Bandeja de Proteção Secundária com estrutura metálica e trama de madeira</v>
      </c>
      <c r="D14" s="302" t="s">
        <v>600</v>
      </c>
      <c r="E14" s="311" t="s">
        <v>588</v>
      </c>
      <c r="F14" s="314">
        <v>3.8100000000000002E-2</v>
      </c>
      <c r="G14" s="315">
        <v>1100</v>
      </c>
      <c r="H14" s="315">
        <f>IF(B14="Serviço",SUMIFS($H15:H$259,$C15:C$259,$C14),IF(B14="Insumo",F14*G14,""))</f>
        <v>41.910000000000004</v>
      </c>
      <c r="I14" s="315"/>
    </row>
    <row r="15" spans="1:9" ht="15.75" hidden="1" customHeight="1" outlineLevel="1" x14ac:dyDescent="0.2">
      <c r="A15" s="307">
        <f>COUNTIFS($D$2:$D$488,D15,$B$2:$B$488,B15)</f>
        <v>1</v>
      </c>
      <c r="B15" s="302" t="s">
        <v>232</v>
      </c>
      <c r="C15" s="302" t="str">
        <f t="shared" si="0"/>
        <v>Guarda-corpo de vãos, fixado em fôrma de madeira, em trama de madeira com tela de polipropileno</v>
      </c>
      <c r="D15" s="302" t="s">
        <v>303</v>
      </c>
      <c r="E15" s="311" t="s">
        <v>586</v>
      </c>
      <c r="F15" s="312"/>
      <c r="G15" s="313"/>
      <c r="H15" s="313">
        <f>IF(B15="Serviço",SUMIFS($H16:H$259,$C16:C$259,$C15),IF(B15="Insumo",F15*G15,""))</f>
        <v>38.653767000000002</v>
      </c>
      <c r="I15" s="313" t="s">
        <v>141</v>
      </c>
    </row>
    <row r="16" spans="1:9" ht="15.75" hidden="1" customHeight="1" outlineLevel="2" x14ac:dyDescent="0.2">
      <c r="A16" s="307">
        <f>COUNTIFS($D$2:$D$488,D16,$B$2:$B$488,B16)</f>
        <v>14</v>
      </c>
      <c r="B16" s="302" t="s">
        <v>587</v>
      </c>
      <c r="C16" s="302" t="str">
        <f t="shared" si="0"/>
        <v>Guarda-corpo de vãos, fixado em fôrma de madeira, em trama de madeira com tela de polipropileno</v>
      </c>
      <c r="D16" s="302" t="s">
        <v>592</v>
      </c>
      <c r="E16" s="311" t="s">
        <v>589</v>
      </c>
      <c r="F16" s="314">
        <v>3.8899999999999997E-2</v>
      </c>
      <c r="G16" s="315">
        <v>18.93</v>
      </c>
      <c r="H16" s="315">
        <f>IF(B16="Serviço",SUMIFS($H17:H$259,$C17:C$259,$C16),IF(B16="Insumo",F16*G16,""))</f>
        <v>0.73637699999999995</v>
      </c>
      <c r="I16" s="315"/>
    </row>
    <row r="17" spans="1:9" ht="15.75" hidden="1" customHeight="1" outlineLevel="2" x14ac:dyDescent="0.2">
      <c r="A17" s="307">
        <f>COUNTIFS($D$2:$D$488,D17,$B$2:$B$488,B17)</f>
        <v>3</v>
      </c>
      <c r="B17" s="302" t="s">
        <v>587</v>
      </c>
      <c r="C17" s="302" t="str">
        <f t="shared" si="0"/>
        <v>Guarda-corpo de vãos, fixado em fôrma de madeira, em trama de madeira com tela de polipropileno</v>
      </c>
      <c r="D17" s="302" t="s">
        <v>601</v>
      </c>
      <c r="E17" s="311" t="s">
        <v>591</v>
      </c>
      <c r="F17" s="314">
        <v>1.4179999999999999</v>
      </c>
      <c r="G17" s="315">
        <v>21.23</v>
      </c>
      <c r="H17" s="315">
        <f>IF(B17="Serviço",SUMIFS($H18:H$259,$C18:C$259,$C17),IF(B17="Insumo",F17*G17,""))</f>
        <v>30.104139999999997</v>
      </c>
      <c r="I17" s="315"/>
    </row>
    <row r="18" spans="1:9" ht="15.75" hidden="1" customHeight="1" outlineLevel="2" x14ac:dyDescent="0.2">
      <c r="A18" s="307">
        <f>COUNTIFS($D$2:$D$488,D18,$B$2:$B$488,B18)</f>
        <v>2</v>
      </c>
      <c r="B18" s="302" t="s">
        <v>587</v>
      </c>
      <c r="C18" s="302" t="str">
        <f t="shared" si="0"/>
        <v>Guarda-corpo de vãos, fixado em fôrma de madeira, em trama de madeira com tela de polipropileno</v>
      </c>
      <c r="D18" s="302" t="s">
        <v>602</v>
      </c>
      <c r="E18" s="311" t="s">
        <v>591</v>
      </c>
      <c r="F18" s="314">
        <v>0.52500000000000002</v>
      </c>
      <c r="G18" s="315">
        <v>2.73</v>
      </c>
      <c r="H18" s="315">
        <f>IF(B18="Serviço",SUMIFS($H19:H$259,$C19:C$259,$C18),IF(B18="Insumo",F18*G18,""))</f>
        <v>1.4332500000000001</v>
      </c>
      <c r="I18" s="315"/>
    </row>
    <row r="19" spans="1:9" ht="15.75" hidden="1" customHeight="1" outlineLevel="2" x14ac:dyDescent="0.2">
      <c r="A19" s="307">
        <f>COUNTIFS($D$2:$D$488,D19,$B$2:$B$488,B19)</f>
        <v>7</v>
      </c>
      <c r="B19" s="302" t="s">
        <v>587</v>
      </c>
      <c r="C19" s="302" t="str">
        <f t="shared" si="0"/>
        <v>Guarda-corpo de vãos, fixado em fôrma de madeira, em trama de madeira com tela de polipropileno</v>
      </c>
      <c r="D19" s="302" t="s">
        <v>600</v>
      </c>
      <c r="E19" s="311" t="s">
        <v>588</v>
      </c>
      <c r="F19" s="314">
        <v>5.7999999999999996E-3</v>
      </c>
      <c r="G19" s="315">
        <v>1100</v>
      </c>
      <c r="H19" s="315">
        <f>IF(B19="Serviço",SUMIFS($H20:H$259,$C20:C$259,$C19),IF(B19="Insumo",F19*G19,""))</f>
        <v>6.38</v>
      </c>
      <c r="I19" s="315"/>
    </row>
    <row r="20" spans="1:9" ht="15.75" hidden="1" customHeight="1" outlineLevel="1" x14ac:dyDescent="0.2">
      <c r="A20" s="307">
        <f>COUNTIFS($D$2:$D$488,D20,$B$2:$B$488,B20)</f>
        <v>1</v>
      </c>
      <c r="B20" s="302" t="s">
        <v>232</v>
      </c>
      <c r="C20" s="302" t="str">
        <f t="shared" si="0"/>
        <v>Guarda corpo de laje após desforma de pontalete de madeira, travessões e tela</v>
      </c>
      <c r="D20" s="302" t="s">
        <v>304</v>
      </c>
      <c r="E20" s="311" t="s">
        <v>591</v>
      </c>
      <c r="F20" s="312"/>
      <c r="G20" s="313"/>
      <c r="H20" s="313">
        <f>IF(B20="Serviço",SUMIFS($H21:H$259,$C21:C$259,$C20),IF(B20="Insumo",F20*G20,""))</f>
        <v>41.037177000000007</v>
      </c>
      <c r="I20" s="313" t="s">
        <v>141</v>
      </c>
    </row>
    <row r="21" spans="1:9" ht="15.75" hidden="1" customHeight="1" outlineLevel="2" x14ac:dyDescent="0.2">
      <c r="A21" s="307">
        <f>COUNTIFS($D$2:$D$488,D21,$B$2:$B$488,B21)</f>
        <v>14</v>
      </c>
      <c r="B21" s="302" t="s">
        <v>587</v>
      </c>
      <c r="C21" s="302" t="str">
        <f t="shared" si="0"/>
        <v>Guarda corpo de laje após desforma de pontalete de madeira, travessões e tela</v>
      </c>
      <c r="D21" s="302" t="s">
        <v>592</v>
      </c>
      <c r="E21" s="311" t="s">
        <v>589</v>
      </c>
      <c r="F21" s="314">
        <v>3.8899999999999997E-2</v>
      </c>
      <c r="G21" s="315">
        <v>18.93</v>
      </c>
      <c r="H21" s="315">
        <f>IF(B21="Serviço",SUMIFS($H22:H$259,$C22:C$259,$C21),IF(B21="Insumo",F21*G21,""))</f>
        <v>0.73637699999999995</v>
      </c>
      <c r="I21" s="315"/>
    </row>
    <row r="22" spans="1:9" ht="15.75" hidden="1" customHeight="1" outlineLevel="2" x14ac:dyDescent="0.2">
      <c r="A22" s="307">
        <f>COUNTIFS($D$2:$D$488,D22,$B$2:$B$488,B22)</f>
        <v>3</v>
      </c>
      <c r="B22" s="302" t="s">
        <v>587</v>
      </c>
      <c r="C22" s="302" t="str">
        <f t="shared" si="0"/>
        <v>Guarda corpo de laje após desforma de pontalete de madeira, travessões e tela</v>
      </c>
      <c r="D22" s="302" t="s">
        <v>601</v>
      </c>
      <c r="E22" s="311" t="s">
        <v>591</v>
      </c>
      <c r="F22" s="314">
        <v>1.41</v>
      </c>
      <c r="G22" s="315">
        <v>21.23</v>
      </c>
      <c r="H22" s="315">
        <f>IF(B22="Serviço",SUMIFS($H23:H$259,$C23:C$259,$C22),IF(B22="Insumo",F22*G22,""))</f>
        <v>29.9343</v>
      </c>
      <c r="I22" s="315"/>
    </row>
    <row r="23" spans="1:9" ht="15.75" hidden="1" customHeight="1" outlineLevel="2" x14ac:dyDescent="0.2">
      <c r="A23" s="307">
        <f>COUNTIFS($D$2:$D$488,D23,$B$2:$B$488,B23)</f>
        <v>1</v>
      </c>
      <c r="B23" s="302" t="s">
        <v>587</v>
      </c>
      <c r="C23" s="302" t="str">
        <f t="shared" si="0"/>
        <v>Guarda corpo de laje após desforma de pontalete de madeira, travessões e tela</v>
      </c>
      <c r="D23" s="302" t="s">
        <v>603</v>
      </c>
      <c r="E23" s="311" t="s">
        <v>17</v>
      </c>
      <c r="F23" s="314">
        <v>0.1</v>
      </c>
      <c r="G23" s="315">
        <v>24.85</v>
      </c>
      <c r="H23" s="315">
        <f>IF(B23="Serviço",SUMIFS($H24:H$259,$C24:C$259,$C23),IF(B23="Insumo",F23*G23,""))</f>
        <v>2.4850000000000003</v>
      </c>
      <c r="I23" s="315"/>
    </row>
    <row r="24" spans="1:9" ht="15.75" hidden="1" customHeight="1" outlineLevel="2" x14ac:dyDescent="0.2">
      <c r="A24" s="307">
        <f>COUNTIFS($D$2:$D$488,D24,$B$2:$B$488,B24)</f>
        <v>2</v>
      </c>
      <c r="B24" s="302" t="s">
        <v>587</v>
      </c>
      <c r="C24" s="302" t="str">
        <f t="shared" si="0"/>
        <v>Guarda corpo de laje após desforma de pontalete de madeira, travessões e tela</v>
      </c>
      <c r="D24" s="302" t="s">
        <v>602</v>
      </c>
      <c r="E24" s="311" t="s">
        <v>591</v>
      </c>
      <c r="F24" s="314">
        <v>0.55000000000000004</v>
      </c>
      <c r="G24" s="315">
        <v>2.73</v>
      </c>
      <c r="H24" s="315">
        <f>IF(B24="Serviço",SUMIFS($H25:H$259,$C25:C$259,$C24),IF(B24="Insumo",F24*G24,""))</f>
        <v>1.5015000000000001</v>
      </c>
      <c r="I24" s="315"/>
    </row>
    <row r="25" spans="1:9" ht="15.75" hidden="1" customHeight="1" outlineLevel="2" x14ac:dyDescent="0.2">
      <c r="A25" s="307">
        <f>COUNTIFS($D$2:$D$488,D25,$B$2:$B$488,B25)</f>
        <v>7</v>
      </c>
      <c r="B25" s="302" t="s">
        <v>587</v>
      </c>
      <c r="C25" s="302" t="str">
        <f t="shared" si="0"/>
        <v>Guarda corpo de laje após desforma de pontalete de madeira, travessões e tela</v>
      </c>
      <c r="D25" s="302" t="s">
        <v>600</v>
      </c>
      <c r="E25" s="311" t="s">
        <v>588</v>
      </c>
      <c r="F25" s="314">
        <v>5.7999999999999996E-3</v>
      </c>
      <c r="G25" s="315">
        <v>1100</v>
      </c>
      <c r="H25" s="315">
        <f>IF(B25="Serviço",SUMIFS($H26:H$259,$C26:C$259,$C25),IF(B25="Insumo",F25*G25,""))</f>
        <v>6.38</v>
      </c>
      <c r="I25" s="315"/>
    </row>
    <row r="26" spans="1:9" ht="15.75" hidden="1" customHeight="1" outlineLevel="1" x14ac:dyDescent="0.2">
      <c r="A26" s="307">
        <f>COUNTIFS($D$2:$D$488,D26,$B$2:$B$488,B26)</f>
        <v>1</v>
      </c>
      <c r="B26" s="302" t="s">
        <v>232</v>
      </c>
      <c r="C26" s="302" t="str">
        <f t="shared" si="0"/>
        <v>Tela fachadeira mosqueteiro reforçada simples</v>
      </c>
      <c r="D26" s="302" t="s">
        <v>308</v>
      </c>
      <c r="E26" s="311" t="s">
        <v>586</v>
      </c>
      <c r="F26" s="312"/>
      <c r="G26" s="313"/>
      <c r="H26" s="313">
        <f>IF(B26="Serviço",SUMIFS($H27:H$259,$C27:C$259,$C26),IF(B26="Insumo",F26*G26,""))</f>
        <v>7.9493</v>
      </c>
      <c r="I26" s="313" t="s">
        <v>141</v>
      </c>
    </row>
    <row r="27" spans="1:9" ht="15.75" hidden="1" customHeight="1" outlineLevel="2" x14ac:dyDescent="0.2">
      <c r="A27" s="307">
        <f>COUNTIFS($D$2:$D$488,D27,$B$2:$B$488,B27)</f>
        <v>14</v>
      </c>
      <c r="B27" s="302" t="s">
        <v>587</v>
      </c>
      <c r="C27" s="302" t="str">
        <f t="shared" si="0"/>
        <v>Tela fachadeira mosqueteiro reforçada simples</v>
      </c>
      <c r="D27" s="302" t="s">
        <v>592</v>
      </c>
      <c r="E27" s="311" t="s">
        <v>589</v>
      </c>
      <c r="F27" s="314">
        <v>0.01</v>
      </c>
      <c r="G27" s="315">
        <v>18.93</v>
      </c>
      <c r="H27" s="315">
        <f>IF(B27="Serviço",SUMIFS($H28:H$259,$C28:C$259,$C27),IF(B27="Insumo",F27*G27,""))</f>
        <v>0.1893</v>
      </c>
      <c r="I27" s="315"/>
    </row>
    <row r="28" spans="1:9" ht="15.75" hidden="1" customHeight="1" outlineLevel="2" x14ac:dyDescent="0.2">
      <c r="A28" s="307">
        <f>COUNTIFS($D$2:$D$488,D28,$B$2:$B$488,B28)</f>
        <v>1</v>
      </c>
      <c r="B28" s="302" t="s">
        <v>587</v>
      </c>
      <c r="C28" s="302" t="str">
        <f t="shared" si="0"/>
        <v>Tela fachadeira mosqueteiro reforçada simples</v>
      </c>
      <c r="D28" s="302" t="s">
        <v>604</v>
      </c>
      <c r="E28" s="311" t="s">
        <v>586</v>
      </c>
      <c r="F28" s="314">
        <v>1.05</v>
      </c>
      <c r="G28" s="315">
        <v>3.5</v>
      </c>
      <c r="H28" s="315">
        <f>IF(B28="Serviço",SUMIFS($H29:H$259,$C29:C$259,$C28),IF(B28="Insumo",F28*G28,""))</f>
        <v>3.6750000000000003</v>
      </c>
      <c r="I28" s="315"/>
    </row>
    <row r="29" spans="1:9" ht="15.75" hidden="1" customHeight="1" outlineLevel="2" x14ac:dyDescent="0.2">
      <c r="A29" s="307">
        <f>COUNTIFS($D$2:$D$488,D29,$B$2:$B$488,B29)</f>
        <v>7</v>
      </c>
      <c r="B29" s="302" t="s">
        <v>587</v>
      </c>
      <c r="C29" s="302" t="str">
        <f t="shared" si="0"/>
        <v>Tela fachadeira mosqueteiro reforçada simples</v>
      </c>
      <c r="D29" s="302" t="s">
        <v>600</v>
      </c>
      <c r="E29" s="311" t="s">
        <v>588</v>
      </c>
      <c r="F29" s="314">
        <v>1.9E-3</v>
      </c>
      <c r="G29" s="315">
        <v>1100</v>
      </c>
      <c r="H29" s="315">
        <f>IF(B29="Serviço",SUMIFS($H30:H$259,$C30:C$259,$C29),IF(B29="Insumo",F29*G29,""))</f>
        <v>2.09</v>
      </c>
      <c r="I29" s="315"/>
    </row>
    <row r="30" spans="1:9" ht="15.75" hidden="1" customHeight="1" outlineLevel="2" x14ac:dyDescent="0.2">
      <c r="A30" s="307">
        <f>COUNTIFS($D$2:$D$488,D30,$B$2:$B$488,B30)</f>
        <v>8</v>
      </c>
      <c r="B30" s="302" t="s">
        <v>587</v>
      </c>
      <c r="C30" s="302" t="str">
        <f t="shared" si="0"/>
        <v>Tela fachadeira mosqueteiro reforçada simples</v>
      </c>
      <c r="D30" s="302" t="s">
        <v>605</v>
      </c>
      <c r="E30" s="311" t="s">
        <v>588</v>
      </c>
      <c r="F30" s="314">
        <v>1.9E-3</v>
      </c>
      <c r="G30" s="315">
        <v>1050</v>
      </c>
      <c r="H30" s="315">
        <f>IF(B30="Serviço",SUMIFS($H31:H$259,$C31:C$259,$C30),IF(B30="Insumo",F30*G30,""))</f>
        <v>1.9950000000000001</v>
      </c>
      <c r="I30" s="315"/>
    </row>
    <row r="31" spans="1:9" ht="15.75" hidden="1" customHeight="1" outlineLevel="1" x14ac:dyDescent="0.2">
      <c r="A31" s="307">
        <f>COUNTIFS($D$2:$D$488,D31,$B$2:$B$488,B31)</f>
        <v>1</v>
      </c>
      <c r="B31" s="302" t="s">
        <v>232</v>
      </c>
      <c r="C31" s="302" t="str">
        <f t="shared" si="0"/>
        <v>Fechamento removível de vãos de porta de elevador em madeira</v>
      </c>
      <c r="D31" s="302" t="s">
        <v>305</v>
      </c>
      <c r="E31" s="311" t="s">
        <v>586</v>
      </c>
      <c r="F31" s="312"/>
      <c r="G31" s="313"/>
      <c r="H31" s="313">
        <f>IF(B31="Serviço",SUMIFS($H32:H$259,$C32:C$259,$C31),IF(B31="Insumo",F31*G31,""))</f>
        <v>47.353011000000002</v>
      </c>
      <c r="I31" s="313" t="s">
        <v>141</v>
      </c>
    </row>
    <row r="32" spans="1:9" ht="15.75" hidden="1" customHeight="1" outlineLevel="2" x14ac:dyDescent="0.2">
      <c r="A32" s="307">
        <f>COUNTIFS($D$2:$D$488,D32,$B$2:$B$488,B32)</f>
        <v>14</v>
      </c>
      <c r="B32" s="302" t="s">
        <v>587</v>
      </c>
      <c r="C32" s="302" t="str">
        <f t="shared" si="0"/>
        <v>Fechamento removível de vãos de porta de elevador em madeira</v>
      </c>
      <c r="D32" s="302" t="s">
        <v>592</v>
      </c>
      <c r="E32" s="311" t="s">
        <v>589</v>
      </c>
      <c r="F32" s="314">
        <v>6.6699999999999995E-2</v>
      </c>
      <c r="G32" s="315">
        <v>18.93</v>
      </c>
      <c r="H32" s="315">
        <f>IF(B32="Serviço",SUMIFS($H33:H$259,$C33:C$259,$C32),IF(B32="Insumo",F32*G32,""))</f>
        <v>1.2626309999999998</v>
      </c>
      <c r="I32" s="315"/>
    </row>
    <row r="33" spans="1:9" ht="15.75" hidden="1" customHeight="1" outlineLevel="2" x14ac:dyDescent="0.2">
      <c r="A33" s="307">
        <f>COUNTIFS($D$2:$D$488,D33,$B$2:$B$488,B33)</f>
        <v>2</v>
      </c>
      <c r="B33" s="302" t="s">
        <v>587</v>
      </c>
      <c r="C33" s="302" t="str">
        <f t="shared" si="0"/>
        <v>Fechamento removível de vãos de porta de elevador em madeira</v>
      </c>
      <c r="D33" s="302" t="s">
        <v>606</v>
      </c>
      <c r="E33" s="311" t="s">
        <v>586</v>
      </c>
      <c r="F33" s="314">
        <v>1.071</v>
      </c>
      <c r="G33" s="315">
        <v>35.78</v>
      </c>
      <c r="H33" s="315">
        <f>IF(B33="Serviço",SUMIFS($H34:H$259,$C34:C$259,$C33),IF(B33="Insumo",F33*G33,""))</f>
        <v>38.32038</v>
      </c>
      <c r="I33" s="315"/>
    </row>
    <row r="34" spans="1:9" ht="15.75" hidden="1" customHeight="1" outlineLevel="2" x14ac:dyDescent="0.2">
      <c r="A34" s="307">
        <f>COUNTIFS($D$2:$D$488,D34,$B$2:$B$488,B34)</f>
        <v>8</v>
      </c>
      <c r="B34" s="302" t="s">
        <v>587</v>
      </c>
      <c r="C34" s="302" t="str">
        <f t="shared" si="0"/>
        <v>Fechamento removível de vãos de porta de elevador em madeira</v>
      </c>
      <c r="D34" s="302" t="s">
        <v>605</v>
      </c>
      <c r="E34" s="311" t="s">
        <v>588</v>
      </c>
      <c r="F34" s="314">
        <v>7.4000000000000003E-3</v>
      </c>
      <c r="G34" s="315">
        <v>1050</v>
      </c>
      <c r="H34" s="315">
        <f>IF(B34="Serviço",SUMIFS($H35:H$259,$C35:C$259,$C34),IF(B34="Insumo",F34*G34,""))</f>
        <v>7.7700000000000005</v>
      </c>
      <c r="I34" s="315"/>
    </row>
    <row r="35" spans="1:9" ht="15.75" hidden="1" customHeight="1" outlineLevel="1" x14ac:dyDescent="0.2">
      <c r="A35" s="307">
        <f>COUNTIFS($D$2:$D$488,D35,$B$2:$B$488,B35)</f>
        <v>1</v>
      </c>
      <c r="B35" s="302" t="s">
        <v>232</v>
      </c>
      <c r="C35" s="302" t="str">
        <f t="shared" si="0"/>
        <v>Fechamento removível de vãos de porta de entrada dos aptos. em madeira</v>
      </c>
      <c r="D35" s="302" t="s">
        <v>306</v>
      </c>
      <c r="E35" s="311" t="s">
        <v>586</v>
      </c>
      <c r="F35" s="312"/>
      <c r="G35" s="313"/>
      <c r="H35" s="313">
        <f>IF(B35="Serviço",SUMIFS($H36:H$259,$C36:C$259,$C35),IF(B35="Insumo",F35*G35,""))</f>
        <v>47.353011000000002</v>
      </c>
      <c r="I35" s="313" t="s">
        <v>141</v>
      </c>
    </row>
    <row r="36" spans="1:9" ht="15.75" hidden="1" customHeight="1" outlineLevel="2" x14ac:dyDescent="0.2">
      <c r="A36" s="307">
        <f>COUNTIFS($D$2:$D$488,D36,$B$2:$B$488,B36)</f>
        <v>14</v>
      </c>
      <c r="B36" s="302" t="s">
        <v>587</v>
      </c>
      <c r="C36" s="302" t="str">
        <f t="shared" si="0"/>
        <v>Fechamento removível de vãos de porta de entrada dos aptos. em madeira</v>
      </c>
      <c r="D36" s="302" t="s">
        <v>592</v>
      </c>
      <c r="E36" s="311" t="s">
        <v>589</v>
      </c>
      <c r="F36" s="314">
        <v>6.6699999999999995E-2</v>
      </c>
      <c r="G36" s="315">
        <v>18.93</v>
      </c>
      <c r="H36" s="315">
        <f>IF(B36="Serviço",SUMIFS($H37:H$259,$C37:C$259,$C36),IF(B36="Insumo",F36*G36,""))</f>
        <v>1.2626309999999998</v>
      </c>
      <c r="I36" s="315"/>
    </row>
    <row r="37" spans="1:9" ht="15.75" hidden="1" customHeight="1" outlineLevel="2" x14ac:dyDescent="0.2">
      <c r="A37" s="307">
        <f>COUNTIFS($D$2:$D$488,D37,$B$2:$B$488,B37)</f>
        <v>2</v>
      </c>
      <c r="B37" s="302" t="s">
        <v>587</v>
      </c>
      <c r="C37" s="302" t="str">
        <f t="shared" si="0"/>
        <v>Fechamento removível de vãos de porta de entrada dos aptos. em madeira</v>
      </c>
      <c r="D37" s="302" t="s">
        <v>606</v>
      </c>
      <c r="E37" s="311" t="s">
        <v>586</v>
      </c>
      <c r="F37" s="314">
        <v>1.071</v>
      </c>
      <c r="G37" s="315">
        <v>35.78</v>
      </c>
      <c r="H37" s="315">
        <f>IF(B37="Serviço",SUMIFS($H38:H$259,$C38:C$259,$C37),IF(B37="Insumo",F37*G37,""))</f>
        <v>38.32038</v>
      </c>
      <c r="I37" s="315"/>
    </row>
    <row r="38" spans="1:9" ht="15.75" hidden="1" customHeight="1" outlineLevel="2" x14ac:dyDescent="0.2">
      <c r="A38" s="307">
        <f>COUNTIFS($D$2:$D$488,D38,$B$2:$B$488,B38)</f>
        <v>8</v>
      </c>
      <c r="B38" s="302" t="s">
        <v>587</v>
      </c>
      <c r="C38" s="302" t="str">
        <f t="shared" si="0"/>
        <v>Fechamento removível de vãos de porta de entrada dos aptos. em madeira</v>
      </c>
      <c r="D38" s="302" t="s">
        <v>605</v>
      </c>
      <c r="E38" s="311" t="s">
        <v>588</v>
      </c>
      <c r="F38" s="314">
        <v>7.4000000000000003E-3</v>
      </c>
      <c r="G38" s="315">
        <v>1050</v>
      </c>
      <c r="H38" s="315">
        <f>IF(B38="Serviço",SUMIFS($H39:H$259,$C39:C$259,$C38),IF(B38="Insumo",F38*G38,""))</f>
        <v>7.7700000000000005</v>
      </c>
      <c r="I38" s="315"/>
    </row>
    <row r="39" spans="1:9" ht="15.75" hidden="1" customHeight="1" outlineLevel="1" x14ac:dyDescent="0.2">
      <c r="A39" s="307">
        <f>COUNTIFS($D$2:$D$488,D39,$B$2:$B$488,B39)</f>
        <v>1</v>
      </c>
      <c r="B39" s="302" t="s">
        <v>232</v>
      </c>
      <c r="C39" s="302" t="str">
        <f t="shared" si="0"/>
        <v>Cobertura para Proteção de Pedestres</v>
      </c>
      <c r="D39" s="302" t="s">
        <v>106</v>
      </c>
      <c r="E39" s="311" t="s">
        <v>586</v>
      </c>
      <c r="F39" s="312"/>
      <c r="G39" s="313"/>
      <c r="H39" s="313">
        <f>IF(B39="Serviço",SUMIFS($H40:H$259,$C40:C$259,$C39),IF(B39="Insumo",F39*G39,""))</f>
        <v>880</v>
      </c>
      <c r="I39" s="313" t="s">
        <v>146</v>
      </c>
    </row>
    <row r="40" spans="1:9" ht="15.75" hidden="1" customHeight="1" outlineLevel="2" x14ac:dyDescent="0.2">
      <c r="A40" s="307">
        <f>COUNTIFS($D$2:$D$488,D40,$B$2:$B$488,B40)</f>
        <v>1</v>
      </c>
      <c r="B40" s="302" t="s">
        <v>587</v>
      </c>
      <c r="C40" s="302" t="str">
        <f t="shared" si="0"/>
        <v>Cobertura para Proteção de Pedestres</v>
      </c>
      <c r="D40" s="302" t="s">
        <v>607</v>
      </c>
      <c r="E40" s="311" t="s">
        <v>92</v>
      </c>
      <c r="F40" s="314">
        <v>1</v>
      </c>
      <c r="G40" s="315">
        <v>880</v>
      </c>
      <c r="H40" s="315">
        <f>IF(B40="Serviço",SUMIFS($H41:H$259,$C41:C$259,$C40),IF(B40="Insumo",F40*G40,""))</f>
        <v>880</v>
      </c>
      <c r="I40" s="315"/>
    </row>
    <row r="41" spans="1:9" ht="15.75" hidden="1" customHeight="1" outlineLevel="1" x14ac:dyDescent="0.2">
      <c r="A41" s="307">
        <f>COUNTIFS($D$2:$D$488,D41,$B$2:$B$488,B41)</f>
        <v>1</v>
      </c>
      <c r="B41" s="310" t="s">
        <v>232</v>
      </c>
      <c r="C41" s="310" t="str">
        <f t="shared" si="0"/>
        <v>Tapume de telha metálica trapezoidal</v>
      </c>
      <c r="D41" s="310" t="s">
        <v>338</v>
      </c>
      <c r="E41" s="316" t="s">
        <v>586</v>
      </c>
      <c r="F41" s="317"/>
      <c r="G41" s="318"/>
      <c r="H41" s="318">
        <f>IF(B41="Serviço",SUMIFS($H42:H$259,$C42:C$259,$C41),IF(B41="Insumo",F41*G41,""))</f>
        <v>164.07660000000001</v>
      </c>
      <c r="I41" s="318" t="s">
        <v>141</v>
      </c>
    </row>
    <row r="42" spans="1:9" ht="15.75" hidden="1" customHeight="1" outlineLevel="2" x14ac:dyDescent="0.2">
      <c r="A42" s="307">
        <f>COUNTIFS($D$2:$D$488,D42,$B$2:$B$488,B42)</f>
        <v>1</v>
      </c>
      <c r="B42" s="302" t="s">
        <v>587</v>
      </c>
      <c r="C42" s="302" t="str">
        <f t="shared" si="0"/>
        <v>Tapume de telha metálica trapezoidal</v>
      </c>
      <c r="D42" s="302" t="s">
        <v>608</v>
      </c>
      <c r="E42" s="311" t="s">
        <v>589</v>
      </c>
      <c r="F42" s="314">
        <v>6.8000000000000005E-2</v>
      </c>
      <c r="G42" s="315">
        <v>15.65</v>
      </c>
      <c r="H42" s="315">
        <f>IF(B42="Serviço",SUMIFS($H43:H$259,$C43:C$259,$C42),IF(B42="Insumo",F42*G42,""))</f>
        <v>1.0642</v>
      </c>
      <c r="I42" s="315"/>
    </row>
    <row r="43" spans="1:9" ht="15.75" hidden="1" customHeight="1" outlineLevel="2" x14ac:dyDescent="0.2">
      <c r="A43" s="307">
        <f>COUNTIFS($D$2:$D$488,D43,$B$2:$B$488,B43)</f>
        <v>7</v>
      </c>
      <c r="B43" s="302" t="s">
        <v>587</v>
      </c>
      <c r="C43" s="302" t="str">
        <f t="shared" si="0"/>
        <v>Tapume de telha metálica trapezoidal</v>
      </c>
      <c r="D43" s="302" t="s">
        <v>600</v>
      </c>
      <c r="E43" s="311" t="s">
        <v>588</v>
      </c>
      <c r="F43" s="314">
        <v>7.7999999999999996E-3</v>
      </c>
      <c r="G43" s="315">
        <v>1100</v>
      </c>
      <c r="H43" s="315">
        <f>IF(B43="Serviço",SUMIFS($H44:H$259,$C44:C$259,$C43),IF(B43="Insumo",F43*G43,""))</f>
        <v>8.58</v>
      </c>
      <c r="I43" s="315"/>
    </row>
    <row r="44" spans="1:9" ht="15.75" hidden="1" customHeight="1" outlineLevel="2" x14ac:dyDescent="0.2">
      <c r="A44" s="307">
        <f>COUNTIFS($D$2:$D$488,D44,$B$2:$B$488,B44)</f>
        <v>3</v>
      </c>
      <c r="B44" s="302" t="s">
        <v>587</v>
      </c>
      <c r="C44" s="302" t="str">
        <f t="shared" si="0"/>
        <v>Tapume de telha metálica trapezoidal</v>
      </c>
      <c r="D44" s="302" t="s">
        <v>601</v>
      </c>
      <c r="E44" s="311" t="s">
        <v>591</v>
      </c>
      <c r="F44" s="314">
        <v>2</v>
      </c>
      <c r="G44" s="315">
        <v>21.23</v>
      </c>
      <c r="H44" s="315">
        <f>IF(B44="Serviço",SUMIFS($H45:H$259,$C45:C$259,$C44),IF(B44="Insumo",F44*G44,""))</f>
        <v>42.46</v>
      </c>
      <c r="I44" s="315"/>
    </row>
    <row r="45" spans="1:9" ht="15.75" hidden="1" customHeight="1" outlineLevel="2" x14ac:dyDescent="0.2">
      <c r="A45" s="307">
        <f>COUNTIFS($D$2:$D$488,D45,$B$2:$B$488,B45)</f>
        <v>1</v>
      </c>
      <c r="B45" s="302" t="s">
        <v>587</v>
      </c>
      <c r="C45" s="302" t="str">
        <f t="shared" si="0"/>
        <v>Tapume de telha metálica trapezoidal</v>
      </c>
      <c r="D45" s="302" t="s">
        <v>609</v>
      </c>
      <c r="E45" s="311" t="s">
        <v>586</v>
      </c>
      <c r="F45" s="314">
        <v>1.1499999999999999</v>
      </c>
      <c r="G45" s="315">
        <v>97</v>
      </c>
      <c r="H45" s="315">
        <f>IF(B45="Serviço",SUMIFS($H46:H$259,$C46:C$259,$C45),IF(B45="Insumo",F45*G45,""))</f>
        <v>111.55</v>
      </c>
      <c r="I45" s="315"/>
    </row>
    <row r="46" spans="1:9" ht="15.75" hidden="1" customHeight="1" outlineLevel="2" x14ac:dyDescent="0.2">
      <c r="A46" s="307">
        <f>COUNTIFS($D$2:$D$488,D46,$B$2:$B$488,B46)</f>
        <v>2</v>
      </c>
      <c r="B46" s="302" t="s">
        <v>587</v>
      </c>
      <c r="C46" s="302" t="str">
        <f t="shared" si="0"/>
        <v>Tapume de telha metálica trapezoidal</v>
      </c>
      <c r="D46" s="302" t="s">
        <v>610</v>
      </c>
      <c r="E46" s="311" t="s">
        <v>588</v>
      </c>
      <c r="F46" s="314">
        <v>1.1999999999999999E-3</v>
      </c>
      <c r="G46" s="315">
        <v>352</v>
      </c>
      <c r="H46" s="315">
        <f>IF(B46="Serviço",SUMIFS($H47:H$259,$C47:C$259,$C46),IF(B46="Insumo",F46*G46,""))</f>
        <v>0.42239999999999994</v>
      </c>
      <c r="I46" s="315"/>
    </row>
    <row r="47" spans="1:9" ht="15.75" hidden="1" customHeight="1" outlineLevel="1" x14ac:dyDescent="0.2">
      <c r="A47" s="307">
        <f>COUNTIFS($D$2:$D$488,D47,$B$2:$B$488,B47)</f>
        <v>1</v>
      </c>
      <c r="B47" s="310" t="s">
        <v>232</v>
      </c>
      <c r="C47" s="310" t="str">
        <f t="shared" si="0"/>
        <v>Linha de vida</v>
      </c>
      <c r="D47" s="310" t="s">
        <v>310</v>
      </c>
      <c r="E47" s="316" t="s">
        <v>591</v>
      </c>
      <c r="F47" s="317"/>
      <c r="G47" s="318"/>
      <c r="H47" s="318">
        <f>IF(B47="Serviço",SUMIFS($H48:H$259,$C48:C$259,$C47),IF(B47="Insumo",F47*G47,""))</f>
        <v>87.213999999999999</v>
      </c>
      <c r="I47" s="318" t="s">
        <v>141</v>
      </c>
    </row>
    <row r="48" spans="1:9" ht="15.75" hidden="1" customHeight="1" outlineLevel="2" x14ac:dyDescent="0.2">
      <c r="A48" s="307">
        <f>COUNTIFS($D$2:$D$488,D48,$B$2:$B$488,B48)</f>
        <v>1</v>
      </c>
      <c r="B48" s="302" t="s">
        <v>587</v>
      </c>
      <c r="C48" s="302" t="str">
        <f t="shared" si="0"/>
        <v>Linha de vida</v>
      </c>
      <c r="D48" s="302" t="s">
        <v>611</v>
      </c>
      <c r="E48" s="311" t="s">
        <v>591</v>
      </c>
      <c r="F48" s="314">
        <v>1</v>
      </c>
      <c r="G48" s="315">
        <v>5.2</v>
      </c>
      <c r="H48" s="315">
        <f>IF(B48="Serviço",SUMIFS($H49:H$259,$C49:C$259,$C48),IF(B48="Insumo",F48*G48,""))</f>
        <v>5.2</v>
      </c>
      <c r="I48" s="315"/>
    </row>
    <row r="49" spans="1:9" ht="15.75" hidden="1" customHeight="1" outlineLevel="2" x14ac:dyDescent="0.2">
      <c r="A49" s="307">
        <f>COUNTIFS($D$2:$D$488,D49,$B$2:$B$488,B49)</f>
        <v>1</v>
      </c>
      <c r="B49" s="302" t="s">
        <v>587</v>
      </c>
      <c r="C49" s="302" t="str">
        <f t="shared" si="0"/>
        <v>Linha de vida</v>
      </c>
      <c r="D49" s="302" t="s">
        <v>612</v>
      </c>
      <c r="E49" s="311" t="s">
        <v>17</v>
      </c>
      <c r="F49" s="314">
        <v>0.92</v>
      </c>
      <c r="G49" s="315">
        <v>1.7</v>
      </c>
      <c r="H49" s="315">
        <f>IF(B49="Serviço",SUMIFS($H50:H$259,$C50:C$259,$C49),IF(B49="Insumo",F49*G49,""))</f>
        <v>1.5640000000000001</v>
      </c>
      <c r="I49" s="315"/>
    </row>
    <row r="50" spans="1:9" ht="15.75" hidden="1" customHeight="1" outlineLevel="2" x14ac:dyDescent="0.2">
      <c r="A50" s="307">
        <f>COUNTIFS($D$2:$D$488,D50,$B$2:$B$488,B50)</f>
        <v>1</v>
      </c>
      <c r="B50" s="302" t="s">
        <v>587</v>
      </c>
      <c r="C50" s="302" t="str">
        <f t="shared" si="0"/>
        <v>Linha de vida</v>
      </c>
      <c r="D50" s="302" t="s">
        <v>613</v>
      </c>
      <c r="E50" s="311" t="s">
        <v>17</v>
      </c>
      <c r="F50" s="314">
        <v>1.609</v>
      </c>
      <c r="G50" s="315">
        <v>50</v>
      </c>
      <c r="H50" s="315">
        <f>IF(B50="Serviço",SUMIFS($H51:H$259,$C51:C$259,$C50),IF(B50="Insumo",F50*G50,""))</f>
        <v>80.45</v>
      </c>
      <c r="I50" s="315"/>
    </row>
    <row r="51" spans="1:9" ht="15.75" hidden="1" customHeight="1" outlineLevel="1" x14ac:dyDescent="0.2">
      <c r="A51" s="307">
        <f>COUNTIFS($D$2:$D$488,D51,$B$2:$B$488,B51)</f>
        <v>1</v>
      </c>
      <c r="B51" s="310" t="s">
        <v>232</v>
      </c>
      <c r="C51" s="310" t="str">
        <f t="shared" si="0"/>
        <v>Rede de proteção, SLQA, leve</v>
      </c>
      <c r="D51" s="310" t="s">
        <v>307</v>
      </c>
      <c r="E51" s="316" t="s">
        <v>591</v>
      </c>
      <c r="F51" s="317"/>
      <c r="G51" s="318"/>
      <c r="H51" s="318">
        <f>IF(B51="Serviço",SUMIFS($H52:H$259,$C52:C$259,$C51),IF(B51="Insumo",F51*G51,""))</f>
        <v>417.43900000000002</v>
      </c>
      <c r="I51" s="318" t="s">
        <v>146</v>
      </c>
    </row>
    <row r="52" spans="1:9" ht="15.75" hidden="1" customHeight="1" outlineLevel="2" x14ac:dyDescent="0.2">
      <c r="A52" s="307">
        <f>COUNTIFS($D$2:$D$488,D52,$B$2:$B$488,B52)</f>
        <v>1</v>
      </c>
      <c r="B52" s="302" t="s">
        <v>587</v>
      </c>
      <c r="C52" s="302" t="str">
        <f t="shared" si="0"/>
        <v>Rede de proteção, SLQA, leve</v>
      </c>
      <c r="D52" s="302" t="s">
        <v>614</v>
      </c>
      <c r="E52" s="311" t="s">
        <v>79</v>
      </c>
      <c r="F52" s="314">
        <v>1</v>
      </c>
      <c r="G52" s="315">
        <v>417.43900000000002</v>
      </c>
      <c r="H52" s="315">
        <f>IF(B52="Serviço",SUMIFS($H53:H$259,$C53:C$259,$C52),IF(B52="Insumo",F52*G52,""))</f>
        <v>417.43900000000002</v>
      </c>
      <c r="I52" s="315"/>
    </row>
    <row r="53" spans="1:9" ht="15.75" customHeight="1" collapsed="1" x14ac:dyDescent="0.2">
      <c r="A53" s="307">
        <f>COUNTIFS($D$2:$D$488,D53,$B$2:$B$488,B53)</f>
        <v>1</v>
      </c>
      <c r="B53" s="307" t="s">
        <v>230</v>
      </c>
      <c r="C53" s="307" t="str">
        <f t="shared" si="0"/>
        <v>Rede de proteção, SLQA, leve</v>
      </c>
      <c r="D53" s="307" t="s">
        <v>42</v>
      </c>
      <c r="E53" s="308"/>
      <c r="F53" s="319"/>
      <c r="G53" s="309"/>
      <c r="H53" s="309" t="str">
        <f>IF(B53="Serviço",SUMIFS(H54:H259,C54:C259,$C53),IF(B53="Insumo",F53*G53,""))</f>
        <v/>
      </c>
      <c r="I53" s="309"/>
    </row>
    <row r="54" spans="1:9" ht="15.75" hidden="1" customHeight="1" outlineLevel="1" x14ac:dyDescent="0.2">
      <c r="A54" s="307">
        <f>COUNTIFS($D$2:$D$488,D54,$B$2:$B$488,B54)</f>
        <v>1</v>
      </c>
      <c r="B54" s="310" t="s">
        <v>232</v>
      </c>
      <c r="C54" s="310" t="str">
        <f t="shared" si="0"/>
        <v>Escavação mecanizada para blocos de fundação, vigas de fundação, dutos e cisternas, com retroescavadeira</v>
      </c>
      <c r="D54" s="310" t="s">
        <v>364</v>
      </c>
      <c r="E54" s="316" t="s">
        <v>588</v>
      </c>
      <c r="F54" s="317"/>
      <c r="G54" s="318"/>
      <c r="H54" s="318">
        <f>IF(B54="Serviço",SUMIFS(H55:H259,C55:C259,$C54),IF(B54="Insumo",F54*G54,""))</f>
        <v>36.36</v>
      </c>
      <c r="I54" s="318" t="s">
        <v>141</v>
      </c>
    </row>
    <row r="55" spans="1:9" ht="15.75" hidden="1" customHeight="1" outlineLevel="2" x14ac:dyDescent="0.2">
      <c r="A55" s="307">
        <f>COUNTIFS($D$2:$D$488,D55,$B$2:$B$488,B55)</f>
        <v>1</v>
      </c>
      <c r="B55" s="302" t="s">
        <v>587</v>
      </c>
      <c r="C55" s="302" t="str">
        <f t="shared" si="0"/>
        <v>Escavação mecanizada para blocos de fundação, vigas de fundação, dutos e cisternas, com retroescavadeira</v>
      </c>
      <c r="D55" s="302" t="s">
        <v>615</v>
      </c>
      <c r="E55" s="311" t="s">
        <v>588</v>
      </c>
      <c r="F55" s="314">
        <v>1</v>
      </c>
      <c r="G55" s="315">
        <v>36.36</v>
      </c>
      <c r="H55" s="315">
        <f>IF(B55="Serviço",SUMIFS(H56:H259,C56:C259,$C55),IF(B55="Insumo",F55*G55,""))</f>
        <v>36.36</v>
      </c>
      <c r="I55" s="315"/>
    </row>
    <row r="56" spans="1:9" ht="15.75" hidden="1" customHeight="1" outlineLevel="1" x14ac:dyDescent="0.2">
      <c r="A56" s="307">
        <f>COUNTIFS($D$2:$D$488,D56,$B$2:$B$488,B56)</f>
        <v>1</v>
      </c>
      <c r="B56" s="310" t="s">
        <v>232</v>
      </c>
      <c r="C56" s="310" t="str">
        <f>IF(B56="Serviço",D56,#REF!)</f>
        <v>Reaterro mecanizado de valas para blocos e vigas de fundação, com retroescavadeira</v>
      </c>
      <c r="D56" s="310" t="s">
        <v>367</v>
      </c>
      <c r="E56" s="316" t="s">
        <v>588</v>
      </c>
      <c r="F56" s="317"/>
      <c r="G56" s="318"/>
      <c r="H56" s="318">
        <f>IF(B56="Serviço",SUMIFS(H57:H261,C57:C261,$C56),IF(B56="Insumo",F56*G56,""))</f>
        <v>14.55</v>
      </c>
      <c r="I56" s="318" t="s">
        <v>141</v>
      </c>
    </row>
    <row r="57" spans="1:9" ht="15.75" hidden="1" customHeight="1" outlineLevel="2" x14ac:dyDescent="0.2">
      <c r="A57" s="307">
        <f>COUNTIFS($D$2:$D$488,D57,$B$2:$B$488,B57)</f>
        <v>1</v>
      </c>
      <c r="B57" s="302" t="s">
        <v>587</v>
      </c>
      <c r="C57" s="302" t="str">
        <f t="shared" si="0"/>
        <v>Reaterro mecanizado de valas para blocos e vigas de fundação, com retroescavadeira</v>
      </c>
      <c r="D57" s="302" t="s">
        <v>616</v>
      </c>
      <c r="E57" s="311" t="s">
        <v>588</v>
      </c>
      <c r="F57" s="314">
        <v>1</v>
      </c>
      <c r="G57" s="315">
        <v>14.55</v>
      </c>
      <c r="H57" s="315">
        <f>IF(B57="Serviço",SUMIFS(H58:H262,C58:C262,$C57),IF(B57="Insumo",F57*G57,""))</f>
        <v>14.55</v>
      </c>
      <c r="I57" s="315"/>
    </row>
    <row r="58" spans="1:9" ht="15.75" hidden="1" customHeight="1" outlineLevel="1" x14ac:dyDescent="0.2">
      <c r="A58" s="307">
        <f>COUNTIFS($D$2:$D$488,D58,$B$2:$B$488,B58)</f>
        <v>1</v>
      </c>
      <c r="B58" s="310" t="s">
        <v>232</v>
      </c>
      <c r="C58" s="310" t="str">
        <f t="shared" si="0"/>
        <v>Lastro de Concreto Magro, Aplicado em Blocos de Fundação, e=10cm</v>
      </c>
      <c r="D58" s="310" t="s">
        <v>369</v>
      </c>
      <c r="E58" s="316" t="s">
        <v>588</v>
      </c>
      <c r="F58" s="317"/>
      <c r="G58" s="318"/>
      <c r="H58" s="318">
        <f>IF(B58="Serviço",SUMIFS(H59:H263,C59:C263,$C58),IF(B58="Insumo",F58*G58,""))</f>
        <v>412.36</v>
      </c>
      <c r="I58" s="318" t="s">
        <v>141</v>
      </c>
    </row>
    <row r="59" spans="1:9" ht="15.75" hidden="1" customHeight="1" outlineLevel="2" x14ac:dyDescent="0.2">
      <c r="A59" s="307">
        <f>COUNTIFS($D$2:$D$488,D59,$B$2:$B$488,B59)</f>
        <v>2</v>
      </c>
      <c r="B59" s="302" t="s">
        <v>587</v>
      </c>
      <c r="C59" s="302" t="str">
        <f t="shared" si="0"/>
        <v>Lastro de Concreto Magro, Aplicado em Blocos de Fundação, e=10cm</v>
      </c>
      <c r="D59" s="302" t="s">
        <v>610</v>
      </c>
      <c r="E59" s="311" t="s">
        <v>588</v>
      </c>
      <c r="F59" s="314">
        <v>1.05</v>
      </c>
      <c r="G59" s="315">
        <v>352</v>
      </c>
      <c r="H59" s="315">
        <f>IF(B59="Serviço",SUMIFS(H60:H264,C60:C264,$C59),IF(B59="Insumo",F59*G59,""))</f>
        <v>369.6</v>
      </c>
      <c r="I59" s="315"/>
    </row>
    <row r="60" spans="1:9" ht="15.75" hidden="1" customHeight="1" outlineLevel="2" x14ac:dyDescent="0.2">
      <c r="A60" s="307">
        <f>COUNTIFS($D$2:$D$488,D60,$B$2:$B$488,B60)</f>
        <v>4</v>
      </c>
      <c r="B60" s="302" t="s">
        <v>587</v>
      </c>
      <c r="C60" s="302" t="str">
        <f t="shared" si="0"/>
        <v>Lastro de Concreto Magro, Aplicado em Blocos de Fundação, e=10cm</v>
      </c>
      <c r="D60" s="302" t="s">
        <v>617</v>
      </c>
      <c r="E60" s="311" t="s">
        <v>588</v>
      </c>
      <c r="F60" s="314">
        <v>1.05</v>
      </c>
      <c r="G60" s="315">
        <v>40</v>
      </c>
      <c r="H60" s="315">
        <f>IF(B60="Serviço",SUMIFS(H61:H265,C61:C265,$C60),IF(B60="Insumo",F60*G60,""))</f>
        <v>42</v>
      </c>
      <c r="I60" s="315"/>
    </row>
    <row r="61" spans="1:9" ht="15.75" hidden="1" customHeight="1" outlineLevel="2" x14ac:dyDescent="0.2">
      <c r="A61" s="307">
        <f>COUNTIFS($D$2:$D$488,D61,$B$2:$B$488,B61)</f>
        <v>11</v>
      </c>
      <c r="B61" s="302" t="s">
        <v>587</v>
      </c>
      <c r="C61" s="302" t="str">
        <f t="shared" si="0"/>
        <v>Lastro de Concreto Magro, Aplicado em Blocos de Fundação, e=10cm</v>
      </c>
      <c r="D61" s="302" t="s">
        <v>618</v>
      </c>
      <c r="E61" s="311" t="s">
        <v>589</v>
      </c>
      <c r="F61" s="314">
        <v>1</v>
      </c>
      <c r="G61" s="315">
        <v>0.76</v>
      </c>
      <c r="H61" s="315">
        <f>IF(B61="Serviço",SUMIFS(H62:H266,C62:C266,$C61),IF(B61="Insumo",F61*G61,""))</f>
        <v>0.76</v>
      </c>
      <c r="I61" s="315"/>
    </row>
    <row r="62" spans="1:9" ht="15.75" hidden="1" customHeight="1" outlineLevel="1" x14ac:dyDescent="0.2">
      <c r="A62" s="307">
        <f>COUNTIFS($D$2:$D$488,D62,$B$2:$B$488,B62)</f>
        <v>1</v>
      </c>
      <c r="B62" s="310" t="s">
        <v>232</v>
      </c>
      <c r="C62" s="310" t="str">
        <f>IF(B62="Serviço",D62,#REF!)</f>
        <v>Movimentação de terra para bota-fora - valas de fundação</v>
      </c>
      <c r="D62" s="310" t="s">
        <v>371</v>
      </c>
      <c r="E62" s="316" t="s">
        <v>588</v>
      </c>
      <c r="F62" s="317"/>
      <c r="G62" s="318"/>
      <c r="H62" s="318">
        <f>IF(B62="Serviço",SUMIFS(H63:H269,C63:C269,$C62),IF(B62="Insumo",F62*G62,""))</f>
        <v>45.45</v>
      </c>
      <c r="I62" s="318" t="s">
        <v>141</v>
      </c>
    </row>
    <row r="63" spans="1:9" ht="15.75" hidden="1" customHeight="1" outlineLevel="2" x14ac:dyDescent="0.2">
      <c r="A63" s="307">
        <f>COUNTIFS($D$2:$D$488,D63,$B$2:$B$488,B63)</f>
        <v>1</v>
      </c>
      <c r="B63" s="302" t="s">
        <v>587</v>
      </c>
      <c r="C63" s="302" t="str">
        <f t="shared" si="0"/>
        <v>Movimentação de terra para bota-fora - valas de fundação</v>
      </c>
      <c r="D63" s="302" t="s">
        <v>619</v>
      </c>
      <c r="E63" s="311" t="s">
        <v>588</v>
      </c>
      <c r="F63" s="314">
        <v>1</v>
      </c>
      <c r="G63" s="315">
        <v>45.45</v>
      </c>
      <c r="H63" s="315">
        <f>IF(B63="Serviço",SUMIFS(H64:H270,C64:C270,$C63),IF(B63="Insumo",F63*G63,""))</f>
        <v>45.45</v>
      </c>
      <c r="I63" s="315"/>
    </row>
    <row r="64" spans="1:9" ht="15.75" hidden="1" customHeight="1" outlineLevel="1" x14ac:dyDescent="0.2">
      <c r="A64" s="307">
        <f>COUNTIFS($D$2:$D$488,D64,$B$2:$B$488,B64)</f>
        <v>1</v>
      </c>
      <c r="B64" s="310" t="s">
        <v>232</v>
      </c>
      <c r="C64" s="310" t="str">
        <f>IF(B64="Serviço",D64,#REF!)</f>
        <v>Movimentação de terra para bota-fora - Estacas</v>
      </c>
      <c r="D64" s="310" t="s">
        <v>373</v>
      </c>
      <c r="E64" s="316" t="s">
        <v>588</v>
      </c>
      <c r="F64" s="317"/>
      <c r="G64" s="318"/>
      <c r="H64" s="318">
        <f>IF(B64="Serviço",SUMIFS(H65:H273,C65:C273,$C64),IF(B64="Insumo",F64*G64,""))</f>
        <v>68.180000000000007</v>
      </c>
      <c r="I64" s="318" t="s">
        <v>141</v>
      </c>
    </row>
    <row r="65" spans="1:9" ht="15.75" hidden="1" customHeight="1" outlineLevel="2" x14ac:dyDescent="0.2">
      <c r="A65" s="307">
        <f>COUNTIFS($D$2:$D$488,D65,$B$2:$B$488,B65)</f>
        <v>1</v>
      </c>
      <c r="B65" s="302" t="s">
        <v>587</v>
      </c>
      <c r="C65" s="302" t="str">
        <f t="shared" si="0"/>
        <v>Movimentação de terra para bota-fora - Estacas</v>
      </c>
      <c r="D65" s="302" t="s">
        <v>373</v>
      </c>
      <c r="E65" s="311" t="s">
        <v>588</v>
      </c>
      <c r="F65" s="314">
        <v>1</v>
      </c>
      <c r="G65" s="315">
        <v>68.180000000000007</v>
      </c>
      <c r="H65" s="315">
        <f>IF(B65="Serviço",SUMIFS(H66:H274,C66:C274,$C65),IF(B65="Insumo",F65*G65,""))</f>
        <v>68.180000000000007</v>
      </c>
      <c r="I65" s="315"/>
    </row>
    <row r="66" spans="1:9" ht="15.75" customHeight="1" collapsed="1" x14ac:dyDescent="0.2">
      <c r="A66" s="307">
        <f>COUNTIFS($D$2:$D$488,D66,$B$2:$B$488,B66)</f>
        <v>1</v>
      </c>
      <c r="B66" s="307" t="s">
        <v>230</v>
      </c>
      <c r="C66" s="307" t="str">
        <f t="shared" si="0"/>
        <v>Movimentação de terra para bota-fora - Estacas</v>
      </c>
      <c r="D66" s="307" t="s">
        <v>374</v>
      </c>
      <c r="E66" s="308"/>
      <c r="F66" s="319"/>
      <c r="G66" s="309"/>
      <c r="H66" s="309" t="str">
        <f>IF(B66="Serviço",SUMIFS(H67:H275,C67:C275,$C66),IF(B66="Insumo",F66*G66,""))</f>
        <v/>
      </c>
      <c r="I66" s="309"/>
    </row>
    <row r="67" spans="1:9" ht="15.75" hidden="1" customHeight="1" outlineLevel="1" x14ac:dyDescent="0.2">
      <c r="A67" s="307">
        <f>COUNTIFS($D$2:$D$488,D67,$B$2:$B$488,B67)</f>
        <v>1</v>
      </c>
      <c r="B67" s="310" t="s">
        <v>232</v>
      </c>
      <c r="C67" s="310" t="str">
        <f>IF(B67="Serviço",D67,#REF!)</f>
        <v>Execucao Estaca Raiz 20Cm</v>
      </c>
      <c r="D67" s="310" t="s">
        <v>376</v>
      </c>
      <c r="E67" s="316" t="s">
        <v>591</v>
      </c>
      <c r="F67" s="317"/>
      <c r="G67" s="318"/>
      <c r="H67" s="318">
        <f>IF(B67="Serviço",SUMIFS(H68:H291,C68:C291,$C67),IF(B67="Insumo",F67*G67,""))</f>
        <v>145</v>
      </c>
      <c r="I67" s="318" t="s">
        <v>141</v>
      </c>
    </row>
    <row r="68" spans="1:9" ht="15.75" hidden="1" customHeight="1" outlineLevel="2" x14ac:dyDescent="0.2">
      <c r="A68" s="307">
        <f>COUNTIFS($D$2:$D$488,D68,$B$2:$B$488,B68)</f>
        <v>1</v>
      </c>
      <c r="B68" s="302" t="s">
        <v>587</v>
      </c>
      <c r="C68" s="302" t="str">
        <f t="shared" si="0"/>
        <v>Execucao Estaca Raiz 20Cm</v>
      </c>
      <c r="D68" s="302" t="s">
        <v>376</v>
      </c>
      <c r="E68" s="311" t="s">
        <v>591</v>
      </c>
      <c r="F68" s="314">
        <v>1</v>
      </c>
      <c r="G68" s="315">
        <v>145</v>
      </c>
      <c r="H68" s="315">
        <f>IF(B68="Serviço",SUMIFS(H69:H294,C69:C294,$C68),IF(B68="Insumo",F68*G68,""))</f>
        <v>145</v>
      </c>
      <c r="I68" s="315"/>
    </row>
    <row r="69" spans="1:9" ht="15.75" hidden="1" customHeight="1" outlineLevel="1" x14ac:dyDescent="0.2">
      <c r="A69" s="307">
        <f>COUNTIFS($D$2:$D$488,D69,$B$2:$B$488,B69)</f>
        <v>1</v>
      </c>
      <c r="B69" s="310" t="s">
        <v>232</v>
      </c>
      <c r="C69" s="310" t="str">
        <f t="shared" si="0"/>
        <v>Execucao Estaca Raiz 25Cm</v>
      </c>
      <c r="D69" s="310" t="s">
        <v>378</v>
      </c>
      <c r="E69" s="316" t="s">
        <v>591</v>
      </c>
      <c r="F69" s="317"/>
      <c r="G69" s="318"/>
      <c r="H69" s="318">
        <f>IF(B69="Serviço",SUMIFS(H70:H295,C70:C295,$C69),IF(B69="Insumo",F69*G69,""))</f>
        <v>180</v>
      </c>
      <c r="I69" s="318" t="s">
        <v>141</v>
      </c>
    </row>
    <row r="70" spans="1:9" ht="15.75" hidden="1" customHeight="1" outlineLevel="2" x14ac:dyDescent="0.2">
      <c r="A70" s="307">
        <f>COUNTIFS($D$2:$D$488,D70,$B$2:$B$488,B70)</f>
        <v>1</v>
      </c>
      <c r="B70" s="302" t="s">
        <v>587</v>
      </c>
      <c r="C70" s="302" t="str">
        <f t="shared" si="0"/>
        <v>Execucao Estaca Raiz 25Cm</v>
      </c>
      <c r="D70" s="302" t="s">
        <v>378</v>
      </c>
      <c r="E70" s="311" t="s">
        <v>591</v>
      </c>
      <c r="F70" s="314">
        <v>1</v>
      </c>
      <c r="G70" s="315">
        <v>180</v>
      </c>
      <c r="H70" s="315">
        <f>IF(B70="Serviço",SUMIFS(H71:H300,C71:C300,$C70),IF(B70="Insumo",F70*G70,""))</f>
        <v>180</v>
      </c>
      <c r="I70" s="315"/>
    </row>
    <row r="71" spans="1:9" ht="15.75" hidden="1" customHeight="1" outlineLevel="1" x14ac:dyDescent="0.2">
      <c r="A71" s="307">
        <f>COUNTIFS($D$2:$D$488,D71,$B$2:$B$488,B71)</f>
        <v>1</v>
      </c>
      <c r="B71" s="310" t="s">
        <v>232</v>
      </c>
      <c r="C71" s="310" t="str">
        <f t="shared" si="0"/>
        <v>Execucao Estaca Raiz 31Cm</v>
      </c>
      <c r="D71" s="310" t="s">
        <v>379</v>
      </c>
      <c r="E71" s="316" t="s">
        <v>591</v>
      </c>
      <c r="F71" s="317"/>
      <c r="G71" s="318"/>
      <c r="H71" s="318">
        <f>IF(B71="Serviço",SUMIFS(H72:H301,C72:C301,$C71),IF(B71="Insumo",F71*G71,""))</f>
        <v>220</v>
      </c>
      <c r="I71" s="318" t="s">
        <v>141</v>
      </c>
    </row>
    <row r="72" spans="1:9" ht="15.75" hidden="1" customHeight="1" outlineLevel="2" x14ac:dyDescent="0.2">
      <c r="A72" s="307">
        <f>COUNTIFS($D$2:$D$488,D72,$B$2:$B$488,B72)</f>
        <v>1</v>
      </c>
      <c r="B72" s="302" t="s">
        <v>587</v>
      </c>
      <c r="C72" s="302" t="str">
        <f t="shared" si="0"/>
        <v>Execucao Estaca Raiz 31Cm</v>
      </c>
      <c r="D72" s="302" t="s">
        <v>379</v>
      </c>
      <c r="E72" s="311" t="s">
        <v>591</v>
      </c>
      <c r="F72" s="314">
        <v>1</v>
      </c>
      <c r="G72" s="315">
        <v>220</v>
      </c>
      <c r="H72" s="315">
        <f>IF(B72="Serviço",SUMIFS(H73:H302,C73:C302,$C72),IF(B72="Insumo",F72*G72,""))</f>
        <v>220</v>
      </c>
      <c r="I72" s="315"/>
    </row>
    <row r="73" spans="1:9" ht="15.75" hidden="1" customHeight="1" outlineLevel="1" x14ac:dyDescent="0.2">
      <c r="A73" s="307">
        <f>COUNTIFS($D$2:$D$488,D73,$B$2:$B$488,B73)</f>
        <v>1</v>
      </c>
      <c r="B73" s="310" t="s">
        <v>232</v>
      </c>
      <c r="C73" s="310" t="str">
        <f t="shared" si="0"/>
        <v>Execucao Estaca Raiz 41Cm</v>
      </c>
      <c r="D73" s="310" t="s">
        <v>380</v>
      </c>
      <c r="E73" s="316" t="s">
        <v>591</v>
      </c>
      <c r="F73" s="317"/>
      <c r="G73" s="318"/>
      <c r="H73" s="318">
        <f>IF(B73="Serviço",SUMIFS(H74:H303,C74:C303,$C73),IF(B73="Insumo",F73*G73,""))</f>
        <v>356</v>
      </c>
      <c r="I73" s="318" t="s">
        <v>141</v>
      </c>
    </row>
    <row r="74" spans="1:9" ht="15.75" hidden="1" customHeight="1" outlineLevel="2" x14ac:dyDescent="0.2">
      <c r="A74" s="307">
        <f>COUNTIFS($D$2:$D$488,D74,$B$2:$B$488,B74)</f>
        <v>1</v>
      </c>
      <c r="B74" s="302" t="s">
        <v>587</v>
      </c>
      <c r="C74" s="302" t="str">
        <f t="shared" si="0"/>
        <v>Execucao Estaca Raiz 41Cm</v>
      </c>
      <c r="D74" s="302" t="s">
        <v>380</v>
      </c>
      <c r="E74" s="311" t="s">
        <v>591</v>
      </c>
      <c r="F74" s="314">
        <v>1</v>
      </c>
      <c r="G74" s="315">
        <v>356</v>
      </c>
      <c r="H74" s="315">
        <f>IF(B74="Serviço",SUMIFS(H75:H304,C75:C304,$C74),IF(B74="Insumo",F74*G74,""))</f>
        <v>356</v>
      </c>
      <c r="I74" s="315"/>
    </row>
    <row r="75" spans="1:9" ht="15.75" hidden="1" customHeight="1" outlineLevel="1" x14ac:dyDescent="0.2">
      <c r="A75" s="307">
        <f>COUNTIFS($D$2:$D$488,D75,$B$2:$B$488,B75)</f>
        <v>1</v>
      </c>
      <c r="B75" s="310" t="s">
        <v>232</v>
      </c>
      <c r="C75" s="310" t="str">
        <f t="shared" si="0"/>
        <v>Armação aço CA-50 ø 6,3mm para estaca (corte e dobra em obra)</v>
      </c>
      <c r="D75" s="310" t="s">
        <v>384</v>
      </c>
      <c r="E75" s="316" t="s">
        <v>589</v>
      </c>
      <c r="F75" s="317"/>
      <c r="G75" s="318"/>
      <c r="H75" s="318">
        <f>IF(B75="Serviço",SUMIFS(H76:H304,C76:C304,$C75),IF(B75="Insumo",F75*G75,""))</f>
        <v>7.3284518711000004</v>
      </c>
      <c r="I75" s="318" t="s">
        <v>141</v>
      </c>
    </row>
    <row r="76" spans="1:9" ht="15.75" hidden="1" customHeight="1" outlineLevel="2" x14ac:dyDescent="0.2">
      <c r="A76" s="307">
        <f>COUNTIFS($D$2:$D$488,D76,$B$2:$B$488,B76)</f>
        <v>3</v>
      </c>
      <c r="B76" s="302" t="s">
        <v>587</v>
      </c>
      <c r="C76" s="302" t="str">
        <f t="shared" si="0"/>
        <v>Armação aço CA-50 ø 6,3mm para estaca (corte e dobra em obra)</v>
      </c>
      <c r="D76" s="302" t="s">
        <v>620</v>
      </c>
      <c r="E76" s="311" t="s">
        <v>589</v>
      </c>
      <c r="F76" s="314">
        <v>1.1000000000000001</v>
      </c>
      <c r="G76" s="315">
        <v>6.1292517010000003</v>
      </c>
      <c r="H76" s="315">
        <f>IF(B76="Serviço",SUMIFS(H77:H304,C77:C304,$C76),IF(B76="Insumo",F76*G76,""))</f>
        <v>6.7421768711000007</v>
      </c>
      <c r="I76" s="315"/>
    </row>
    <row r="77" spans="1:9" ht="15.75" hidden="1" customHeight="1" outlineLevel="2" x14ac:dyDescent="0.2">
      <c r="A77" s="307">
        <f>COUNTIFS($D$2:$D$488,D77,$B$2:$B$488,B77)</f>
        <v>19</v>
      </c>
      <c r="B77" s="302" t="s">
        <v>587</v>
      </c>
      <c r="C77" s="302" t="str">
        <f t="shared" si="0"/>
        <v>Armação aço CA-50 ø 6,3mm para estaca (corte e dobra em obra)</v>
      </c>
      <c r="D77" s="302" t="s">
        <v>621</v>
      </c>
      <c r="E77" s="311" t="s">
        <v>589</v>
      </c>
      <c r="F77" s="314">
        <v>2.0500000000000001E-2</v>
      </c>
      <c r="G77" s="315">
        <v>27.55</v>
      </c>
      <c r="H77" s="315">
        <f>IF(B77="Serviço",SUMIFS(H78:H304,C78:C304,$C77),IF(B77="Insumo",F77*G77,""))</f>
        <v>0.56477500000000003</v>
      </c>
      <c r="I77" s="315"/>
    </row>
    <row r="78" spans="1:9" ht="15.75" hidden="1" customHeight="1" outlineLevel="2" x14ac:dyDescent="0.2">
      <c r="A78" s="307">
        <f>COUNTIFS($D$2:$D$488,D78,$B$2:$B$488,B78)</f>
        <v>20</v>
      </c>
      <c r="B78" s="302" t="s">
        <v>587</v>
      </c>
      <c r="C78" s="302" t="str">
        <f t="shared" si="0"/>
        <v>Armação aço CA-50 ø 6,3mm para estaca (corte e dobra em obra)</v>
      </c>
      <c r="D78" s="302" t="s">
        <v>622</v>
      </c>
      <c r="E78" s="311" t="s">
        <v>17</v>
      </c>
      <c r="F78" s="314">
        <v>0.05</v>
      </c>
      <c r="G78" s="315">
        <v>0.43</v>
      </c>
      <c r="H78" s="315">
        <f>IF(B78="Serviço",SUMIFS(H79:H304,C79:C304,$C78),IF(B78="Insumo",F78*G78,""))</f>
        <v>2.1500000000000002E-2</v>
      </c>
      <c r="I78" s="315"/>
    </row>
    <row r="79" spans="1:9" ht="15.75" hidden="1" customHeight="1" outlineLevel="1" x14ac:dyDescent="0.2">
      <c r="A79" s="307">
        <f>COUNTIFS($D$2:$D$488,D79,$B$2:$B$488,B79)</f>
        <v>1</v>
      </c>
      <c r="B79" s="310" t="s">
        <v>232</v>
      </c>
      <c r="C79" s="310" t="str">
        <f t="shared" si="0"/>
        <v>Armação aço CA-50 ø 8,0mm para estaca (corte e dobra em obra)</v>
      </c>
      <c r="D79" s="310" t="s">
        <v>387</v>
      </c>
      <c r="E79" s="316" t="s">
        <v>589</v>
      </c>
      <c r="F79" s="317"/>
      <c r="G79" s="318"/>
      <c r="H79" s="318">
        <f>IF(B79="Serviço",SUMIFS(H80:H305,C80:C305,$C79),IF(B79="Insumo",F79*G79,""))</f>
        <v>7.0652749999999997</v>
      </c>
      <c r="I79" s="318" t="s">
        <v>141</v>
      </c>
    </row>
    <row r="80" spans="1:9" ht="15.75" hidden="1" customHeight="1" outlineLevel="2" x14ac:dyDescent="0.2">
      <c r="A80" s="307">
        <f>COUNTIFS($D$2:$D$488,D80,$B$2:$B$488,B80)</f>
        <v>4</v>
      </c>
      <c r="B80" s="302" t="s">
        <v>587</v>
      </c>
      <c r="C80" s="302" t="str">
        <f t="shared" si="0"/>
        <v>Armação aço CA-50 ø 8,0mm para estaca (corte e dobra em obra)</v>
      </c>
      <c r="D80" s="302" t="s">
        <v>623</v>
      </c>
      <c r="E80" s="311" t="s">
        <v>589</v>
      </c>
      <c r="F80" s="314">
        <v>1.1000000000000001</v>
      </c>
      <c r="G80" s="315">
        <v>5.89</v>
      </c>
      <c r="H80" s="315">
        <f>IF(B80="Serviço",SUMIFS(H81:H306,C81:C306,$C80),IF(B80="Insumo",F80*G80,""))</f>
        <v>6.4790000000000001</v>
      </c>
      <c r="I80" s="315"/>
    </row>
    <row r="81" spans="1:9" ht="15.75" hidden="1" customHeight="1" outlineLevel="2" x14ac:dyDescent="0.2">
      <c r="A81" s="307">
        <f>COUNTIFS($D$2:$D$488,D81,$B$2:$B$488,B81)</f>
        <v>19</v>
      </c>
      <c r="B81" s="302" t="s">
        <v>587</v>
      </c>
      <c r="C81" s="302" t="str">
        <f t="shared" si="0"/>
        <v>Armação aço CA-50 ø 8,0mm para estaca (corte e dobra em obra)</v>
      </c>
      <c r="D81" s="302" t="s">
        <v>621</v>
      </c>
      <c r="E81" s="311" t="s">
        <v>589</v>
      </c>
      <c r="F81" s="314">
        <v>2.0500000000000001E-2</v>
      </c>
      <c r="G81" s="315">
        <v>27.55</v>
      </c>
      <c r="H81" s="315">
        <f>IF(B81="Serviço",SUMIFS(H82:H307,C82:C307,$C81),IF(B81="Insumo",F81*G81,""))</f>
        <v>0.56477500000000003</v>
      </c>
      <c r="I81" s="315"/>
    </row>
    <row r="82" spans="1:9" ht="15.75" hidden="1" customHeight="1" outlineLevel="2" x14ac:dyDescent="0.2">
      <c r="A82" s="307">
        <f>COUNTIFS($D$2:$D$488,D82,$B$2:$B$488,B82)</f>
        <v>20</v>
      </c>
      <c r="B82" s="302" t="s">
        <v>587</v>
      </c>
      <c r="C82" s="302" t="str">
        <f t="shared" si="0"/>
        <v>Armação aço CA-50 ø 8,0mm para estaca (corte e dobra em obra)</v>
      </c>
      <c r="D82" s="302" t="s">
        <v>622</v>
      </c>
      <c r="E82" s="311" t="s">
        <v>17</v>
      </c>
      <c r="F82" s="314">
        <v>0.05</v>
      </c>
      <c r="G82" s="315">
        <v>0.43</v>
      </c>
      <c r="H82" s="315">
        <f>IF(B82="Serviço",SUMIFS(H83:H308,C83:C308,$C82),IF(B82="Insumo",F82*G82,""))</f>
        <v>2.1500000000000002E-2</v>
      </c>
      <c r="I82" s="315"/>
    </row>
    <row r="83" spans="1:9" ht="15.75" hidden="1" customHeight="1" outlineLevel="1" x14ac:dyDescent="0.2">
      <c r="A83" s="307">
        <f>COUNTIFS($D$2:$D$488,D83,$B$2:$B$488,B83)</f>
        <v>1</v>
      </c>
      <c r="B83" s="310" t="s">
        <v>232</v>
      </c>
      <c r="C83" s="310" t="str">
        <f t="shared" si="0"/>
        <v>Armação aço CA-50 ø 10,0mm para estaca (corte e dobra em obra)</v>
      </c>
      <c r="D83" s="310" t="s">
        <v>624</v>
      </c>
      <c r="E83" s="316" t="s">
        <v>589</v>
      </c>
      <c r="F83" s="317"/>
      <c r="G83" s="318"/>
      <c r="H83" s="318">
        <f>IF(B83="Serviço",SUMIFS(H84:H309,C84:C309,$C83),IF(B83="Insumo",F83*G83,""))</f>
        <v>7.0652749999999997</v>
      </c>
      <c r="I83" s="318" t="s">
        <v>141</v>
      </c>
    </row>
    <row r="84" spans="1:9" ht="15.75" hidden="1" customHeight="1" outlineLevel="2" x14ac:dyDescent="0.2">
      <c r="A84" s="307">
        <f>COUNTIFS($D$2:$D$488,D84,$B$2:$B$488,B84)</f>
        <v>3</v>
      </c>
      <c r="B84" s="302" t="s">
        <v>587</v>
      </c>
      <c r="C84" s="302" t="str">
        <f t="shared" si="0"/>
        <v>Armação aço CA-50 ø 10,0mm para estaca (corte e dobra em obra)</v>
      </c>
      <c r="D84" s="302" t="s">
        <v>625</v>
      </c>
      <c r="E84" s="311" t="s">
        <v>589</v>
      </c>
      <c r="F84" s="314">
        <v>1.1000000000000001</v>
      </c>
      <c r="G84" s="315">
        <v>5.89</v>
      </c>
      <c r="H84" s="315">
        <f>IF(B84="Serviço",SUMIFS(H85:H310,C85:C310,$C84),IF(B84="Insumo",F84*G84,""))</f>
        <v>6.4790000000000001</v>
      </c>
      <c r="I84" s="315"/>
    </row>
    <row r="85" spans="1:9" ht="15.75" hidden="1" customHeight="1" outlineLevel="2" x14ac:dyDescent="0.2">
      <c r="A85" s="307">
        <f>COUNTIFS($D$2:$D$488,D85,$B$2:$B$488,B85)</f>
        <v>19</v>
      </c>
      <c r="B85" s="302" t="s">
        <v>587</v>
      </c>
      <c r="C85" s="302" t="str">
        <f t="shared" ref="C85:C222" si="1">IF(B85="Serviço",D85,C84)</f>
        <v>Armação aço CA-50 ø 10,0mm para estaca (corte e dobra em obra)</v>
      </c>
      <c r="D85" s="302" t="s">
        <v>621</v>
      </c>
      <c r="E85" s="311" t="s">
        <v>589</v>
      </c>
      <c r="F85" s="314">
        <v>2.0500000000000001E-2</v>
      </c>
      <c r="G85" s="315">
        <v>27.55</v>
      </c>
      <c r="H85" s="315">
        <f>IF(B85="Serviço",SUMIFS(H86:H311,C86:C311,$C85),IF(B85="Insumo",F85*G85,""))</f>
        <v>0.56477500000000003</v>
      </c>
      <c r="I85" s="315"/>
    </row>
    <row r="86" spans="1:9" ht="15.75" hidden="1" customHeight="1" outlineLevel="2" x14ac:dyDescent="0.2">
      <c r="A86" s="307">
        <f>COUNTIFS($D$2:$D$488,D86,$B$2:$B$488,B86)</f>
        <v>20</v>
      </c>
      <c r="B86" s="302" t="s">
        <v>587</v>
      </c>
      <c r="C86" s="302" t="str">
        <f t="shared" si="1"/>
        <v>Armação aço CA-50 ø 10,0mm para estaca (corte e dobra em obra)</v>
      </c>
      <c r="D86" s="302" t="s">
        <v>622</v>
      </c>
      <c r="E86" s="311" t="s">
        <v>17</v>
      </c>
      <c r="F86" s="314">
        <v>0.05</v>
      </c>
      <c r="G86" s="315">
        <v>0.43</v>
      </c>
      <c r="H86" s="315">
        <f>IF(B86="Serviço",SUMIFS(H87:H312,C87:C312,$C86),IF(B86="Insumo",F86*G86,""))</f>
        <v>2.1500000000000002E-2</v>
      </c>
      <c r="I86" s="315"/>
    </row>
    <row r="87" spans="1:9" ht="15.75" hidden="1" customHeight="1" outlineLevel="1" x14ac:dyDescent="0.2">
      <c r="A87" s="307">
        <f>COUNTIFS($D$2:$D$488,D87,$B$2:$B$488,B87)</f>
        <v>1</v>
      </c>
      <c r="B87" s="310" t="s">
        <v>232</v>
      </c>
      <c r="C87" s="310" t="str">
        <f t="shared" si="1"/>
        <v>Armação aço CA-50 ø 16,0mm para estaca (corte e dobra em obra)</v>
      </c>
      <c r="D87" s="310" t="s">
        <v>388</v>
      </c>
      <c r="E87" s="316" t="s">
        <v>589</v>
      </c>
      <c r="F87" s="317"/>
      <c r="G87" s="318"/>
      <c r="H87" s="318">
        <f>IF(B87="Serviço",SUMIFS(H88:H313,C88:C313,$C87),IF(B87="Insumo",F87*G87,""))</f>
        <v>6.6893451753999997</v>
      </c>
      <c r="I87" s="318" t="s">
        <v>141</v>
      </c>
    </row>
    <row r="88" spans="1:9" ht="15.75" hidden="1" customHeight="1" outlineLevel="2" x14ac:dyDescent="0.2">
      <c r="A88" s="307">
        <f>COUNTIFS($D$2:$D$488,D88,$B$2:$B$488,B88)</f>
        <v>3</v>
      </c>
      <c r="B88" s="302" t="s">
        <v>587</v>
      </c>
      <c r="C88" s="302" t="str">
        <f t="shared" si="1"/>
        <v>Armação aço CA-50 ø 16,0mm para estaca (corte e dobra em obra)</v>
      </c>
      <c r="D88" s="302" t="s">
        <v>626</v>
      </c>
      <c r="E88" s="311" t="s">
        <v>589</v>
      </c>
      <c r="F88" s="314">
        <v>1.1000000000000001</v>
      </c>
      <c r="G88" s="315">
        <v>5.5482456139999998</v>
      </c>
      <c r="H88" s="315">
        <f>IF(B88="Serviço",SUMIFS(H89:H314,C89:C314,$C88),IF(B88="Insumo",F88*G88,""))</f>
        <v>6.1030701754000001</v>
      </c>
      <c r="I88" s="315"/>
    </row>
    <row r="89" spans="1:9" ht="15.75" hidden="1" customHeight="1" outlineLevel="2" x14ac:dyDescent="0.2">
      <c r="A89" s="307">
        <f>COUNTIFS($D$2:$D$488,D89,$B$2:$B$488,B89)</f>
        <v>19</v>
      </c>
      <c r="B89" s="302" t="s">
        <v>587</v>
      </c>
      <c r="C89" s="302" t="str">
        <f t="shared" si="1"/>
        <v>Armação aço CA-50 ø 16,0mm para estaca (corte e dobra em obra)</v>
      </c>
      <c r="D89" s="302" t="s">
        <v>621</v>
      </c>
      <c r="E89" s="311" t="s">
        <v>589</v>
      </c>
      <c r="F89" s="314">
        <v>2.0500000000000001E-2</v>
      </c>
      <c r="G89" s="315">
        <v>27.55</v>
      </c>
      <c r="H89" s="315">
        <f>IF(B89="Serviço",SUMIFS(H90:H315,C90:C315,$C89),IF(B89="Insumo",F89*G89,""))</f>
        <v>0.56477500000000003</v>
      </c>
      <c r="I89" s="315"/>
    </row>
    <row r="90" spans="1:9" ht="15.75" hidden="1" customHeight="1" outlineLevel="2" x14ac:dyDescent="0.2">
      <c r="A90" s="307">
        <f>COUNTIFS($D$2:$D$488,D90,$B$2:$B$488,B90)</f>
        <v>20</v>
      </c>
      <c r="B90" s="302" t="s">
        <v>587</v>
      </c>
      <c r="C90" s="302" t="str">
        <f t="shared" si="1"/>
        <v>Armação aço CA-50 ø 16,0mm para estaca (corte e dobra em obra)</v>
      </c>
      <c r="D90" s="302" t="s">
        <v>622</v>
      </c>
      <c r="E90" s="311" t="s">
        <v>17</v>
      </c>
      <c r="F90" s="314">
        <v>0.05</v>
      </c>
      <c r="G90" s="315">
        <v>0.43</v>
      </c>
      <c r="H90" s="315">
        <f>IF(B90="Serviço",SUMIFS(H91:H316,C91:C316,$C90),IF(B90="Insumo",F90*G90,""))</f>
        <v>2.1500000000000002E-2</v>
      </c>
      <c r="I90" s="315"/>
    </row>
    <row r="91" spans="1:9" ht="15.75" hidden="1" customHeight="1" outlineLevel="1" x14ac:dyDescent="0.2">
      <c r="A91" s="307">
        <f>COUNTIFS($D$2:$D$488,D91,$B$2:$B$488,B91)</f>
        <v>1</v>
      </c>
      <c r="B91" s="310" t="s">
        <v>232</v>
      </c>
      <c r="C91" s="310" t="str">
        <f t="shared" si="1"/>
        <v>Armação aço CA-50 ø 20,0mm para estaca (corte e dobra em obra)</v>
      </c>
      <c r="D91" s="310" t="s">
        <v>389</v>
      </c>
      <c r="E91" s="316" t="s">
        <v>589</v>
      </c>
      <c r="F91" s="317"/>
      <c r="G91" s="318"/>
      <c r="H91" s="318">
        <f>IF(B91="Serviço",SUMIFS(H92:H317,C92:C317,$C91),IF(B91="Insumo",F91*G91,""))</f>
        <v>6.6893451753999997</v>
      </c>
      <c r="I91" s="318" t="s">
        <v>141</v>
      </c>
    </row>
    <row r="92" spans="1:9" ht="15.75" hidden="1" customHeight="1" outlineLevel="2" x14ac:dyDescent="0.2">
      <c r="A92" s="307">
        <f>COUNTIFS($D$2:$D$488,D92,$B$2:$B$488,B92)</f>
        <v>3</v>
      </c>
      <c r="B92" s="302" t="s">
        <v>587</v>
      </c>
      <c r="C92" s="302" t="str">
        <f t="shared" si="1"/>
        <v>Armação aço CA-50 ø 20,0mm para estaca (corte e dobra em obra)</v>
      </c>
      <c r="D92" s="302" t="s">
        <v>627</v>
      </c>
      <c r="E92" s="311" t="s">
        <v>589</v>
      </c>
      <c r="F92" s="314">
        <v>1.1000000000000001</v>
      </c>
      <c r="G92" s="315">
        <v>5.5482456139999998</v>
      </c>
      <c r="H92" s="315">
        <f>IF(B92="Serviço",SUMIFS(H93:H318,C93:C318,$C92),IF(B92="Insumo",F92*G92,""))</f>
        <v>6.1030701754000001</v>
      </c>
      <c r="I92" s="315"/>
    </row>
    <row r="93" spans="1:9" ht="15.75" hidden="1" customHeight="1" outlineLevel="2" x14ac:dyDescent="0.2">
      <c r="A93" s="307">
        <f>COUNTIFS($D$2:$D$488,D93,$B$2:$B$488,B93)</f>
        <v>19</v>
      </c>
      <c r="B93" s="302" t="s">
        <v>587</v>
      </c>
      <c r="C93" s="302" t="str">
        <f t="shared" si="1"/>
        <v>Armação aço CA-50 ø 20,0mm para estaca (corte e dobra em obra)</v>
      </c>
      <c r="D93" s="302" t="s">
        <v>621</v>
      </c>
      <c r="E93" s="311" t="s">
        <v>589</v>
      </c>
      <c r="F93" s="314">
        <v>2.0500000000000001E-2</v>
      </c>
      <c r="G93" s="315">
        <v>27.55</v>
      </c>
      <c r="H93" s="315">
        <f>IF(B93="Serviço",SUMIFS(H94:H319,C94:C319,$C93),IF(B93="Insumo",F93*G93,""))</f>
        <v>0.56477500000000003</v>
      </c>
      <c r="I93" s="315"/>
    </row>
    <row r="94" spans="1:9" ht="15.75" hidden="1" customHeight="1" outlineLevel="2" x14ac:dyDescent="0.2">
      <c r="A94" s="307">
        <f>COUNTIFS($D$2:$D$488,D94,$B$2:$B$488,B94)</f>
        <v>20</v>
      </c>
      <c r="B94" s="302" t="s">
        <v>587</v>
      </c>
      <c r="C94" s="302" t="str">
        <f t="shared" si="1"/>
        <v>Armação aço CA-50 ø 20,0mm para estaca (corte e dobra em obra)</v>
      </c>
      <c r="D94" s="302" t="s">
        <v>622</v>
      </c>
      <c r="E94" s="311" t="s">
        <v>17</v>
      </c>
      <c r="F94" s="314">
        <v>0.05</v>
      </c>
      <c r="G94" s="315">
        <v>0.43</v>
      </c>
      <c r="H94" s="315">
        <f>IF(B94="Serviço",SUMIFS(H95:H320,C95:C320,$C94),IF(B94="Insumo",F94*G94,""))</f>
        <v>2.1500000000000002E-2</v>
      </c>
      <c r="I94" s="315"/>
    </row>
    <row r="95" spans="1:9" ht="15.75" hidden="1" customHeight="1" outlineLevel="1" x14ac:dyDescent="0.2">
      <c r="A95" s="307">
        <f>COUNTIFS($D$2:$D$488,D95,$B$2:$B$488,B95)</f>
        <v>1</v>
      </c>
      <c r="B95" s="310" t="s">
        <v>232</v>
      </c>
      <c r="C95" s="310" t="str">
        <f>IF(B95="Serviço",D95,#REF!)</f>
        <v>Argamassa bombeável 25MPa para estaca raiz</v>
      </c>
      <c r="D95" s="310" t="s">
        <v>391</v>
      </c>
      <c r="E95" s="316" t="s">
        <v>588</v>
      </c>
      <c r="F95" s="317"/>
      <c r="G95" s="318"/>
      <c r="H95" s="318">
        <f>IF(B95="Serviço",SUMIFS(H96:H325,C96:C325,$C95),IF(B95="Insumo",F95*G95,""))</f>
        <v>1041.2692</v>
      </c>
      <c r="I95" s="318" t="s">
        <v>141</v>
      </c>
    </row>
    <row r="96" spans="1:9" ht="15.75" hidden="1" customHeight="1" outlineLevel="2" x14ac:dyDescent="0.2">
      <c r="A96" s="307">
        <f>COUNTIFS($D$2:$D$488,D96,$B$2:$B$488,B96)</f>
        <v>1</v>
      </c>
      <c r="B96" s="302" t="s">
        <v>587</v>
      </c>
      <c r="C96" s="302" t="str">
        <f t="shared" si="1"/>
        <v>Argamassa bombeável 25MPa para estaca raiz</v>
      </c>
      <c r="D96" s="302" t="s">
        <v>629</v>
      </c>
      <c r="E96" s="311" t="s">
        <v>588</v>
      </c>
      <c r="F96" s="314">
        <v>1.3</v>
      </c>
      <c r="G96" s="315">
        <v>760</v>
      </c>
      <c r="H96" s="315">
        <f>IF(B96="Serviço",SUMIFS(H97:H326,C97:C326,$C96),IF(B96="Insumo",F96*G96,""))</f>
        <v>988</v>
      </c>
      <c r="I96" s="315"/>
    </row>
    <row r="97" spans="1:9" ht="15.75" hidden="1" customHeight="1" outlineLevel="2" x14ac:dyDescent="0.2">
      <c r="A97" s="307">
        <f>COUNTIFS($D$2:$D$488,D97,$B$2:$B$488,B97)</f>
        <v>4</v>
      </c>
      <c r="B97" s="302" t="s">
        <v>587</v>
      </c>
      <c r="C97" s="302" t="str">
        <f t="shared" si="1"/>
        <v>Argamassa bombeável 25MPa para estaca raiz</v>
      </c>
      <c r="D97" s="302" t="s">
        <v>617</v>
      </c>
      <c r="E97" s="311" t="s">
        <v>588</v>
      </c>
      <c r="F97" s="314">
        <v>1.3</v>
      </c>
      <c r="G97" s="315">
        <v>40</v>
      </c>
      <c r="H97" s="315">
        <f>IF(B97="Serviço",SUMIFS(H98:H327,C98:C327,$C97),IF(B97="Insumo",F97*G97,""))</f>
        <v>52</v>
      </c>
      <c r="I97" s="315"/>
    </row>
    <row r="98" spans="1:9" ht="15.75" hidden="1" customHeight="1" outlineLevel="2" x14ac:dyDescent="0.2">
      <c r="A98" s="307">
        <f>COUNTIFS($D$2:$D$488,D98,$B$2:$B$488,B98)</f>
        <v>11</v>
      </c>
      <c r="B98" s="302" t="s">
        <v>587</v>
      </c>
      <c r="C98" s="302" t="str">
        <f t="shared" si="1"/>
        <v>Argamassa bombeável 25MPa para estaca raiz</v>
      </c>
      <c r="D98" s="302" t="s">
        <v>618</v>
      </c>
      <c r="E98" s="311" t="s">
        <v>589</v>
      </c>
      <c r="F98" s="314">
        <v>1.67</v>
      </c>
      <c r="G98" s="315">
        <v>0.76</v>
      </c>
      <c r="H98" s="315">
        <f>IF(B98="Serviço",SUMIFS(H99:H327,C99:C327,$C98),IF(B98="Insumo",F98*G98,""))</f>
        <v>1.2691999999999999</v>
      </c>
      <c r="I98" s="315"/>
    </row>
    <row r="99" spans="1:9" ht="15.75" customHeight="1" collapsed="1" x14ac:dyDescent="0.2">
      <c r="A99" s="307">
        <f>COUNTIFS($D$2:$D$488,D99,$B$2:$B$488,B99)</f>
        <v>1</v>
      </c>
      <c r="B99" s="307" t="s">
        <v>230</v>
      </c>
      <c r="C99" s="307" t="str">
        <f>IF(B99="Serviço",D99,C98)</f>
        <v>Argamassa bombeável 25MPa para estaca raiz</v>
      </c>
      <c r="D99" s="307" t="s">
        <v>393</v>
      </c>
      <c r="E99" s="308"/>
      <c r="F99" s="319"/>
      <c r="G99" s="309"/>
      <c r="H99" s="309" t="str">
        <f>IF(B99="Serviço",SUMIFS(H100:H343,C100:C343,$C99),IF(B99="Insumo",F99*G99,""))</f>
        <v/>
      </c>
      <c r="I99" s="309"/>
    </row>
    <row r="100" spans="1:9" ht="15.75" hidden="1" customHeight="1" outlineLevel="1" x14ac:dyDescent="0.2">
      <c r="A100" s="307">
        <f>COUNTIFS($D$2:$D$488,D100,$B$2:$B$488,B100)</f>
        <v>1</v>
      </c>
      <c r="B100" s="310" t="s">
        <v>232</v>
      </c>
      <c r="C100" s="310" t="str">
        <f>IF(B100="Serviço",D100,#REF!)</f>
        <v>Forma para infraestrutura em Tábuas de Madeira Serrada sem reaproveitamento</v>
      </c>
      <c r="D100" s="310" t="s">
        <v>396</v>
      </c>
      <c r="E100" s="316" t="s">
        <v>586</v>
      </c>
      <c r="F100" s="317"/>
      <c r="G100" s="318"/>
      <c r="H100" s="318">
        <f>IF(B100="Serviço",SUMIFS(H101:H345,C101:C345,$C100),IF(B100="Insumo",F100*G100,""))</f>
        <v>73.103104999999999</v>
      </c>
      <c r="I100" s="318" t="s">
        <v>141</v>
      </c>
    </row>
    <row r="101" spans="1:9" ht="15.75" hidden="1" customHeight="1" outlineLevel="2" x14ac:dyDescent="0.2">
      <c r="A101" s="307">
        <f>COUNTIFS($D$2:$D$488,D101,$B$2:$B$488,B101)</f>
        <v>2</v>
      </c>
      <c r="B101" s="302" t="s">
        <v>587</v>
      </c>
      <c r="C101" s="302" t="str">
        <f t="shared" si="1"/>
        <v>Forma para infraestrutura em Tábuas de Madeira Serrada sem reaproveitamento</v>
      </c>
      <c r="D101" s="302" t="s">
        <v>630</v>
      </c>
      <c r="E101" s="311" t="s">
        <v>589</v>
      </c>
      <c r="F101" s="314">
        <v>4.2000000000000003E-2</v>
      </c>
      <c r="G101" s="315">
        <v>18.8</v>
      </c>
      <c r="H101" s="315">
        <f>IF(B101="Serviço",SUMIFS(H102:H345,C102:C345,$C101),IF(B101="Insumo",F101*G101,""))</f>
        <v>0.78960000000000008</v>
      </c>
      <c r="I101" s="315"/>
    </row>
    <row r="102" spans="1:9" ht="15.75" hidden="1" customHeight="1" outlineLevel="2" x14ac:dyDescent="0.2">
      <c r="A102" s="307">
        <f>COUNTIFS($D$2:$D$488,D102,$B$2:$B$488,B102)</f>
        <v>14</v>
      </c>
      <c r="B102" s="302" t="s">
        <v>587</v>
      </c>
      <c r="C102" s="302" t="str">
        <f t="shared" si="1"/>
        <v>Forma para infraestrutura em Tábuas de Madeira Serrada sem reaproveitamento</v>
      </c>
      <c r="D102" s="302" t="s">
        <v>592</v>
      </c>
      <c r="E102" s="311" t="s">
        <v>589</v>
      </c>
      <c r="F102" s="314">
        <v>2.9000000000000001E-2</v>
      </c>
      <c r="G102" s="315">
        <v>18.93</v>
      </c>
      <c r="H102" s="315">
        <f>IF(B102="Serviço",SUMIFS(H103:H345,C103:C345,$C102),IF(B102="Insumo",F102*G102,""))</f>
        <v>0.54897000000000007</v>
      </c>
      <c r="I102" s="315"/>
    </row>
    <row r="103" spans="1:9" ht="15.75" hidden="1" customHeight="1" outlineLevel="2" x14ac:dyDescent="0.2">
      <c r="A103" s="307">
        <f>COUNTIFS($D$2:$D$488,D103,$B$2:$B$488,B103)</f>
        <v>6</v>
      </c>
      <c r="B103" s="302" t="s">
        <v>587</v>
      </c>
      <c r="C103" s="302" t="str">
        <f t="shared" si="1"/>
        <v>Forma para infraestrutura em Tábuas de Madeira Serrada sem reaproveitamento</v>
      </c>
      <c r="D103" s="302" t="s">
        <v>631</v>
      </c>
      <c r="E103" s="311" t="s">
        <v>593</v>
      </c>
      <c r="F103" s="314">
        <v>1.67E-2</v>
      </c>
      <c r="G103" s="315">
        <v>15.55</v>
      </c>
      <c r="H103" s="315">
        <f>IF(B103="Serviço",SUMIFS(H104:H345,C104:C345,$C103),IF(B103="Insumo",F103*G103,""))</f>
        <v>0.259685</v>
      </c>
      <c r="I103" s="315"/>
    </row>
    <row r="104" spans="1:9" ht="15.75" hidden="1" customHeight="1" outlineLevel="2" x14ac:dyDescent="0.2">
      <c r="A104" s="307">
        <f>COUNTIFS($D$2:$D$488,D104,$B$2:$B$488,B104)</f>
        <v>5</v>
      </c>
      <c r="B104" s="302" t="s">
        <v>587</v>
      </c>
      <c r="C104" s="302" t="str">
        <f t="shared" si="1"/>
        <v>Forma para infraestrutura em Tábuas de Madeira Serrada sem reaproveitamento</v>
      </c>
      <c r="D104" s="302" t="s">
        <v>590</v>
      </c>
      <c r="E104" s="311" t="s">
        <v>591</v>
      </c>
      <c r="F104" s="314">
        <f>0.013/(0.075*0.075)</f>
        <v>2.3111111111111109</v>
      </c>
      <c r="G104" s="315">
        <f>1100*0.075*0.075</f>
        <v>6.1875</v>
      </c>
      <c r="H104" s="315">
        <f>IF(B104="Serviço",SUMIFS(H105:H345,C105:C345,$C104),IF(B104="Insumo",F104*G104,""))</f>
        <v>14.299999999999999</v>
      </c>
      <c r="I104" s="315"/>
    </row>
    <row r="105" spans="1:9" ht="15.75" hidden="1" customHeight="1" outlineLevel="2" x14ac:dyDescent="0.2">
      <c r="A105" s="307">
        <f>COUNTIFS($D$2:$D$488,D105,$B$2:$B$488,B105)</f>
        <v>8</v>
      </c>
      <c r="B105" s="302" t="s">
        <v>587</v>
      </c>
      <c r="C105" s="302" t="str">
        <f t="shared" si="1"/>
        <v>Forma para infraestrutura em Tábuas de Madeira Serrada sem reaproveitamento</v>
      </c>
      <c r="D105" s="302" t="s">
        <v>605</v>
      </c>
      <c r="E105" s="311" t="s">
        <v>588</v>
      </c>
      <c r="F105" s="314">
        <v>6.1570000000000001E-3</v>
      </c>
      <c r="G105" s="315">
        <v>1050</v>
      </c>
      <c r="H105" s="315">
        <f>IF(B105="Serviço",SUMIFS(H106:H345,C106:C345,$C105),IF(B105="Insumo",F105*G105,""))</f>
        <v>6.4648500000000002</v>
      </c>
      <c r="I105" s="315"/>
    </row>
    <row r="106" spans="1:9" ht="15.75" hidden="1" customHeight="1" outlineLevel="2" x14ac:dyDescent="0.2">
      <c r="A106" s="307">
        <f>COUNTIFS($D$2:$D$488,D106,$B$2:$B$488,B106)</f>
        <v>4</v>
      </c>
      <c r="B106" s="302" t="s">
        <v>587</v>
      </c>
      <c r="C106" s="302" t="str">
        <f t="shared" si="1"/>
        <v>Forma para infraestrutura em Tábuas de Madeira Serrada sem reaproveitamento</v>
      </c>
      <c r="D106" s="302" t="s">
        <v>632</v>
      </c>
      <c r="E106" s="311" t="s">
        <v>591</v>
      </c>
      <c r="F106" s="314">
        <f>0.0295/(0.025*0.3)</f>
        <v>3.9333333333333331</v>
      </c>
      <c r="G106" s="315">
        <f>1720*0.025*0.3</f>
        <v>12.9</v>
      </c>
      <c r="H106" s="315">
        <f>IF(B106="Serviço",SUMIFS(H114:H345,C114:C345,$C106),IF(B106="Insumo",F106*G106,""))</f>
        <v>50.74</v>
      </c>
      <c r="I106" s="315"/>
    </row>
    <row r="107" spans="1:9" ht="15.75" hidden="1" customHeight="1" outlineLevel="1" x14ac:dyDescent="0.2">
      <c r="A107" s="307">
        <f>COUNTIFS($D$2:$D$488,D107,$B$2:$B$488,B107)</f>
        <v>1</v>
      </c>
      <c r="B107" s="310" t="s">
        <v>232</v>
      </c>
      <c r="C107" s="310" t="str">
        <f>IF(B107="Serviço",D107,C106)</f>
        <v>Forma para infraestrutura em Tábuas de Madeira Serrada, reaproveitamento 2X</v>
      </c>
      <c r="D107" s="310" t="s">
        <v>5046</v>
      </c>
      <c r="E107" s="316" t="s">
        <v>586</v>
      </c>
      <c r="F107" s="317"/>
      <c r="G107" s="318"/>
      <c r="H107" s="318">
        <f>IF(B107="Serviço",SUMIFS(H108:H345,C108:C345,$C107),IF(B107="Insumo",F107*G107,""))</f>
        <v>37.350679999999997</v>
      </c>
      <c r="I107" s="318" t="s">
        <v>141</v>
      </c>
    </row>
    <row r="108" spans="1:9" ht="15.75" hidden="1" customHeight="1" outlineLevel="2" x14ac:dyDescent="0.2">
      <c r="A108" s="307">
        <f>COUNTIFS($D$2:$D$488,D108,$B$2:$B$488,B108)</f>
        <v>2</v>
      </c>
      <c r="B108" s="302" t="s">
        <v>587</v>
      </c>
      <c r="C108" s="302" t="str">
        <f t="shared" ref="C108:C113" si="2">IF(B108="Serviço",D108,C107)</f>
        <v>Forma para infraestrutura em Tábuas de Madeira Serrada, reaproveitamento 2X</v>
      </c>
      <c r="D108" s="302" t="s">
        <v>630</v>
      </c>
      <c r="E108" s="311" t="s">
        <v>589</v>
      </c>
      <c r="F108" s="314">
        <f>F101</f>
        <v>4.2000000000000003E-2</v>
      </c>
      <c r="G108" s="315">
        <v>18.8</v>
      </c>
      <c r="H108" s="315">
        <f>IF(B108="Serviço",SUMIFS(H109:H345,C109:C345,$C108),IF(B108="Insumo",F108*G108,""))</f>
        <v>0.78960000000000008</v>
      </c>
      <c r="I108" s="315"/>
    </row>
    <row r="109" spans="1:9" ht="15.75" hidden="1" customHeight="1" outlineLevel="2" x14ac:dyDescent="0.2">
      <c r="A109" s="307">
        <f>COUNTIFS($D$2:$D$488,D109,$B$2:$B$488,B109)</f>
        <v>14</v>
      </c>
      <c r="B109" s="302" t="s">
        <v>587</v>
      </c>
      <c r="C109" s="302" t="str">
        <f t="shared" si="2"/>
        <v>Forma para infraestrutura em Tábuas de Madeira Serrada, reaproveitamento 2X</v>
      </c>
      <c r="D109" s="302" t="s">
        <v>592</v>
      </c>
      <c r="E109" s="311" t="s">
        <v>589</v>
      </c>
      <c r="F109" s="314">
        <f>F102</f>
        <v>2.9000000000000001E-2</v>
      </c>
      <c r="G109" s="315">
        <v>18.93</v>
      </c>
      <c r="H109" s="315">
        <f>IF(B109="Serviço",SUMIFS(H110:H345,C110:C345,$C109),IF(B109="Insumo",F109*G109,""))</f>
        <v>0.54897000000000007</v>
      </c>
      <c r="I109" s="315"/>
    </row>
    <row r="110" spans="1:9" ht="15.75" hidden="1" customHeight="1" outlineLevel="2" x14ac:dyDescent="0.2">
      <c r="A110" s="307">
        <f>COUNTIFS($D$2:$D$488,D110,$B$2:$B$488,B110)</f>
        <v>6</v>
      </c>
      <c r="B110" s="302" t="s">
        <v>587</v>
      </c>
      <c r="C110" s="302" t="str">
        <f t="shared" si="2"/>
        <v>Forma para infraestrutura em Tábuas de Madeira Serrada, reaproveitamento 2X</v>
      </c>
      <c r="D110" s="302" t="s">
        <v>631</v>
      </c>
      <c r="E110" s="311" t="s">
        <v>593</v>
      </c>
      <c r="F110" s="314">
        <f>F103</f>
        <v>1.67E-2</v>
      </c>
      <c r="G110" s="315">
        <v>15.55</v>
      </c>
      <c r="H110" s="315">
        <f>IF(B110="Serviço",SUMIFS(H111:H345,C111:C345,$C110),IF(B110="Insumo",F110*G110,""))</f>
        <v>0.259685</v>
      </c>
      <c r="I110" s="315"/>
    </row>
    <row r="111" spans="1:9" ht="15.75" hidden="1" customHeight="1" outlineLevel="2" x14ac:dyDescent="0.2">
      <c r="A111" s="307">
        <f>COUNTIFS($D$2:$D$488,D111,$B$2:$B$488,B111)</f>
        <v>5</v>
      </c>
      <c r="B111" s="302" t="s">
        <v>587</v>
      </c>
      <c r="C111" s="302" t="str">
        <f t="shared" si="2"/>
        <v>Forma para infraestrutura em Tábuas de Madeira Serrada, reaproveitamento 2X</v>
      </c>
      <c r="D111" s="302" t="s">
        <v>590</v>
      </c>
      <c r="E111" s="311" t="s">
        <v>591</v>
      </c>
      <c r="F111" s="314">
        <f>F104/2</f>
        <v>1.1555555555555554</v>
      </c>
      <c r="G111" s="315">
        <f>1100*0.075*0.075</f>
        <v>6.1875</v>
      </c>
      <c r="H111" s="315">
        <f>IF(B111="Serviço",SUMIFS(H112:H345,C112:C345,$C111),IF(B111="Insumo",F111*G111,""))</f>
        <v>7.1499999999999995</v>
      </c>
      <c r="I111" s="315"/>
    </row>
    <row r="112" spans="1:9" ht="15.75" hidden="1" customHeight="1" outlineLevel="2" x14ac:dyDescent="0.2">
      <c r="A112" s="307">
        <f>COUNTIFS($D$2:$D$488,D112,$B$2:$B$488,B112)</f>
        <v>8</v>
      </c>
      <c r="B112" s="302" t="s">
        <v>587</v>
      </c>
      <c r="C112" s="302" t="str">
        <f t="shared" si="2"/>
        <v>Forma para infraestrutura em Tábuas de Madeira Serrada, reaproveitamento 2X</v>
      </c>
      <c r="D112" s="302" t="s">
        <v>605</v>
      </c>
      <c r="E112" s="311" t="s">
        <v>588</v>
      </c>
      <c r="F112" s="314">
        <f>F105/2</f>
        <v>3.0785000000000001E-3</v>
      </c>
      <c r="G112" s="315">
        <v>1050</v>
      </c>
      <c r="H112" s="315">
        <f>IF(B112="Serviço",SUMIFS(H113:H345,C113:C345,$C112),IF(B112="Insumo",F112*G112,""))</f>
        <v>3.2324250000000001</v>
      </c>
      <c r="I112" s="315"/>
    </row>
    <row r="113" spans="1:9" ht="15.75" hidden="1" customHeight="1" outlineLevel="2" x14ac:dyDescent="0.2">
      <c r="A113" s="307">
        <f>COUNTIFS($D$2:$D$488,D113,$B$2:$B$488,B113)</f>
        <v>4</v>
      </c>
      <c r="B113" s="302" t="s">
        <v>587</v>
      </c>
      <c r="C113" s="302" t="str">
        <f t="shared" si="2"/>
        <v>Forma para infraestrutura em Tábuas de Madeira Serrada, reaproveitamento 2X</v>
      </c>
      <c r="D113" s="302" t="s">
        <v>632</v>
      </c>
      <c r="E113" s="311" t="s">
        <v>591</v>
      </c>
      <c r="F113" s="314">
        <f>F106/2</f>
        <v>1.9666666666666666</v>
      </c>
      <c r="G113" s="315">
        <f>1720*0.025*0.3</f>
        <v>12.9</v>
      </c>
      <c r="H113" s="315">
        <f>IF(B113="Serviço",SUMIFS(H114:H345,C114:C345,$C113),IF(B113="Insumo",F113*G113,""))</f>
        <v>25.37</v>
      </c>
      <c r="I113" s="315"/>
    </row>
    <row r="114" spans="1:9" ht="15.75" hidden="1" customHeight="1" outlineLevel="1" x14ac:dyDescent="0.2">
      <c r="A114" s="307">
        <f>COUNTIFS($D$2:$D$488,D114,$B$2:$B$488,B114)</f>
        <v>1</v>
      </c>
      <c r="B114" s="310" t="s">
        <v>232</v>
      </c>
      <c r="C114" s="310" t="str">
        <f>IF(B114="Serviço",D114,#REF!)</f>
        <v>Armação aço CA-50 ø 6,3mm para infraestrutura (corte e dobra em industria)</v>
      </c>
      <c r="D114" s="310" t="s">
        <v>5047</v>
      </c>
      <c r="E114" s="316" t="s">
        <v>589</v>
      </c>
      <c r="F114" s="317"/>
      <c r="G114" s="318"/>
      <c r="H114" s="318">
        <f>IF(B114="Serviço",SUMIFS(H115:H357,C115:C357,$C114),IF(B114="Insumo",F114*G114,""))</f>
        <v>7.4562749999999998</v>
      </c>
      <c r="I114" s="318" t="s">
        <v>141</v>
      </c>
    </row>
    <row r="115" spans="1:9" ht="15.75" hidden="1" customHeight="1" outlineLevel="2" x14ac:dyDescent="0.2">
      <c r="A115" s="307">
        <f>COUNTIFS($D$2:$D$488,D115,$B$2:$B$488,B115)</f>
        <v>3</v>
      </c>
      <c r="B115" s="302" t="s">
        <v>587</v>
      </c>
      <c r="C115" s="302" t="str">
        <f t="shared" ref="C115:C151" si="3">IF(B115="Serviço",D115,C114)</f>
        <v>Armação aço CA-50 ø 6,3mm para infraestrutura (corte e dobra em industria)</v>
      </c>
      <c r="D115" s="302" t="s">
        <v>620</v>
      </c>
      <c r="E115" s="311" t="s">
        <v>589</v>
      </c>
      <c r="F115" s="314">
        <v>1</v>
      </c>
      <c r="G115" s="315">
        <v>6.17</v>
      </c>
      <c r="H115" s="315">
        <f>IF(B115="Serviço",SUMIFS(H116:H358,C116:C358,$C115),IF(B115="Insumo",F115*G115,""))</f>
        <v>6.17</v>
      </c>
      <c r="I115" s="315"/>
    </row>
    <row r="116" spans="1:9" ht="15.75" hidden="1" customHeight="1" outlineLevel="2" x14ac:dyDescent="0.2">
      <c r="A116" s="307">
        <f>COUNTIFS($D$2:$D$488,D116,$B$2:$B$488,B116)</f>
        <v>19</v>
      </c>
      <c r="B116" s="302" t="s">
        <v>587</v>
      </c>
      <c r="C116" s="302" t="str">
        <f t="shared" si="3"/>
        <v>Armação aço CA-50 ø 6,3mm para infraestrutura (corte e dobra em industria)</v>
      </c>
      <c r="D116" s="302" t="s">
        <v>621</v>
      </c>
      <c r="E116" s="311" t="s">
        <v>589</v>
      </c>
      <c r="F116" s="314">
        <v>2.0500000000000001E-2</v>
      </c>
      <c r="G116" s="315">
        <v>27.55</v>
      </c>
      <c r="H116" s="315">
        <f>IF(B116="Serviço",SUMIFS(H117:H358,C117:C358,$C116),IF(B116="Insumo",F116*G116,""))</f>
        <v>0.56477500000000003</v>
      </c>
      <c r="I116" s="315"/>
    </row>
    <row r="117" spans="1:9" ht="15.75" hidden="1" customHeight="1" outlineLevel="2" x14ac:dyDescent="0.2">
      <c r="A117" s="307">
        <f>COUNTIFS($D$2:$D$488,D117,$B$2:$B$488,B117)</f>
        <v>20</v>
      </c>
      <c r="B117" s="302" t="s">
        <v>587</v>
      </c>
      <c r="C117" s="302" t="str">
        <f t="shared" si="3"/>
        <v>Armação aço CA-50 ø 6,3mm para infraestrutura (corte e dobra em industria)</v>
      </c>
      <c r="D117" s="302" t="s">
        <v>622</v>
      </c>
      <c r="E117" s="311" t="s">
        <v>17</v>
      </c>
      <c r="F117" s="314">
        <v>0.05</v>
      </c>
      <c r="G117" s="315">
        <v>0.43</v>
      </c>
      <c r="H117" s="315">
        <f>IF(B117="Serviço",SUMIFS(H119:H358,C119:C358,$C117),IF(B117="Insumo",F117*G117,""))</f>
        <v>2.1500000000000002E-2</v>
      </c>
      <c r="I117" s="315"/>
    </row>
    <row r="118" spans="1:9" ht="15.75" hidden="1" customHeight="1" outlineLevel="2" x14ac:dyDescent="0.2">
      <c r="A118" s="307">
        <f>COUNTIFS($D$2:$D$488,D118,$B$2:$B$488,B118)</f>
        <v>15</v>
      </c>
      <c r="B118" s="302" t="s">
        <v>587</v>
      </c>
      <c r="C118" s="302" t="str">
        <f>IF(B118="Serviço",D118,C116)</f>
        <v>Armação aço CA-50 ø 6,3mm para infraestrutura (corte e dobra em industria)</v>
      </c>
      <c r="D118" s="302" t="s">
        <v>5055</v>
      </c>
      <c r="E118" s="311" t="s">
        <v>17</v>
      </c>
      <c r="F118" s="314">
        <f>F115</f>
        <v>1</v>
      </c>
      <c r="G118" s="315">
        <v>0.7</v>
      </c>
      <c r="H118" s="315">
        <f>IF(B118="Serviço",SUMIFS(H119:H357,C119:C357,$C118),IF(B118="Insumo",F118*G118,""))</f>
        <v>0.7</v>
      </c>
      <c r="I118" s="315"/>
    </row>
    <row r="119" spans="1:9" ht="15.75" hidden="1" customHeight="1" outlineLevel="1" x14ac:dyDescent="0.2">
      <c r="A119" s="307">
        <f>COUNTIFS($D$2:$D$488,D119,$B$2:$B$488,B119)</f>
        <v>1</v>
      </c>
      <c r="B119" s="310" t="s">
        <v>232</v>
      </c>
      <c r="C119" s="310" t="str">
        <f>IF(B119="Serviço",D119,C117)</f>
        <v>Armação aço CA-50 ø 8,0mm para infraestrutura (corte e dobra em industria)</v>
      </c>
      <c r="D119" s="310" t="s">
        <v>5048</v>
      </c>
      <c r="E119" s="316" t="s">
        <v>589</v>
      </c>
      <c r="F119" s="317"/>
      <c r="G119" s="318"/>
      <c r="H119" s="318">
        <f>IF(B119="Serviço",SUMIFS(H120:H358,C120:C358,$C119),IF(B119="Insumo",F119*G119,""))</f>
        <v>7.4562749999999998</v>
      </c>
      <c r="I119" s="318" t="s">
        <v>141</v>
      </c>
    </row>
    <row r="120" spans="1:9" ht="15.75" hidden="1" customHeight="1" outlineLevel="2" x14ac:dyDescent="0.2">
      <c r="A120" s="307">
        <f>COUNTIFS($D$2:$D$488,D120,$B$2:$B$488,B120)</f>
        <v>4</v>
      </c>
      <c r="B120" s="302" t="s">
        <v>587</v>
      </c>
      <c r="C120" s="302" t="str">
        <f t="shared" si="3"/>
        <v>Armação aço CA-50 ø 8,0mm para infraestrutura (corte e dobra em industria)</v>
      </c>
      <c r="D120" s="302" t="s">
        <v>623</v>
      </c>
      <c r="E120" s="311" t="s">
        <v>589</v>
      </c>
      <c r="F120" s="314">
        <v>1</v>
      </c>
      <c r="G120" s="315">
        <v>6.17</v>
      </c>
      <c r="H120" s="315">
        <f>IF(B120="Serviço",SUMIFS(H121:H358,C121:C358,$C120),IF(B120="Insumo",F120*G120,""))</f>
        <v>6.17</v>
      </c>
      <c r="I120" s="315"/>
    </row>
    <row r="121" spans="1:9" ht="15.75" hidden="1" customHeight="1" outlineLevel="2" x14ac:dyDescent="0.2">
      <c r="A121" s="307">
        <f>COUNTIFS($D$2:$D$488,D121,$B$2:$B$488,B121)</f>
        <v>19</v>
      </c>
      <c r="B121" s="302" t="s">
        <v>587</v>
      </c>
      <c r="C121" s="302" t="str">
        <f t="shared" si="3"/>
        <v>Armação aço CA-50 ø 8,0mm para infraestrutura (corte e dobra em industria)</v>
      </c>
      <c r="D121" s="302" t="s">
        <v>621</v>
      </c>
      <c r="E121" s="311" t="s">
        <v>589</v>
      </c>
      <c r="F121" s="314">
        <v>2.0500000000000001E-2</v>
      </c>
      <c r="G121" s="315">
        <v>27.55</v>
      </c>
      <c r="H121" s="315">
        <f>IF(B121="Serviço",SUMIFS(H122:H358,C122:C358,$C121),IF(B121="Insumo",F121*G121,""))</f>
        <v>0.56477500000000003</v>
      </c>
      <c r="I121" s="315"/>
    </row>
    <row r="122" spans="1:9" ht="15.75" hidden="1" customHeight="1" outlineLevel="2" x14ac:dyDescent="0.2">
      <c r="A122" s="307">
        <f>COUNTIFS($D$2:$D$488,D122,$B$2:$B$488,B122)</f>
        <v>20</v>
      </c>
      <c r="B122" s="302" t="s">
        <v>587</v>
      </c>
      <c r="C122" s="302" t="str">
        <f t="shared" si="3"/>
        <v>Armação aço CA-50 ø 8,0mm para infraestrutura (corte e dobra em industria)</v>
      </c>
      <c r="D122" s="302" t="s">
        <v>622</v>
      </c>
      <c r="E122" s="311" t="s">
        <v>17</v>
      </c>
      <c r="F122" s="314">
        <v>0.05</v>
      </c>
      <c r="G122" s="315">
        <v>0.43</v>
      </c>
      <c r="H122" s="315">
        <f>IF(B122="Serviço",SUMIFS(H124:H358,C124:C358,$C122),IF(B122="Insumo",F122*G122,""))</f>
        <v>2.1500000000000002E-2</v>
      </c>
      <c r="I122" s="315"/>
    </row>
    <row r="123" spans="1:9" ht="15.75" hidden="1" customHeight="1" outlineLevel="2" x14ac:dyDescent="0.2">
      <c r="A123" s="307">
        <f>COUNTIFS($D$2:$D$488,D123,$B$2:$B$488,B123)</f>
        <v>15</v>
      </c>
      <c r="B123" s="302" t="s">
        <v>587</v>
      </c>
      <c r="C123" s="302" t="str">
        <f>IF(B123="Serviço",D123,C121)</f>
        <v>Armação aço CA-50 ø 8,0mm para infraestrutura (corte e dobra em industria)</v>
      </c>
      <c r="D123" s="302" t="s">
        <v>5055</v>
      </c>
      <c r="E123" s="311" t="s">
        <v>17</v>
      </c>
      <c r="F123" s="314">
        <f>F120</f>
        <v>1</v>
      </c>
      <c r="G123" s="315">
        <v>0.7</v>
      </c>
      <c r="H123" s="315">
        <f>IF(B123="Serviço",SUMIFS(H124:H358,C124:C358,$C123),IF(B123="Insumo",F123*G123,""))</f>
        <v>0.7</v>
      </c>
      <c r="I123" s="315"/>
    </row>
    <row r="124" spans="1:9" ht="15.75" hidden="1" customHeight="1" outlineLevel="1" x14ac:dyDescent="0.2">
      <c r="A124" s="307">
        <f>COUNTIFS($D$2:$D$488,D124,$B$2:$B$488,B124)</f>
        <v>1</v>
      </c>
      <c r="B124" s="310" t="s">
        <v>232</v>
      </c>
      <c r="C124" s="310" t="str">
        <f>IF(B124="Serviço",D124,C122)</f>
        <v>Armação aço CA-50 ø 10,0mm para infraestrutura (corte e dobra em industria)</v>
      </c>
      <c r="D124" s="310" t="s">
        <v>5049</v>
      </c>
      <c r="E124" s="316" t="s">
        <v>589</v>
      </c>
      <c r="F124" s="317"/>
      <c r="G124" s="318"/>
      <c r="H124" s="318">
        <f>IF(B124="Serviço",SUMIFS(H125:H358,C125:C358,$C124),IF(B124="Insumo",F124*G124,""))</f>
        <v>7.1662749999999997</v>
      </c>
      <c r="I124" s="318" t="s">
        <v>141</v>
      </c>
    </row>
    <row r="125" spans="1:9" ht="15.75" hidden="1" customHeight="1" outlineLevel="2" x14ac:dyDescent="0.2">
      <c r="A125" s="307">
        <f>COUNTIFS($D$2:$D$488,D125,$B$2:$B$488,B125)</f>
        <v>3</v>
      </c>
      <c r="B125" s="302" t="s">
        <v>587</v>
      </c>
      <c r="C125" s="302" t="str">
        <f t="shared" si="3"/>
        <v>Armação aço CA-50 ø 10,0mm para infraestrutura (corte e dobra em industria)</v>
      </c>
      <c r="D125" s="302" t="s">
        <v>625</v>
      </c>
      <c r="E125" s="311" t="s">
        <v>589</v>
      </c>
      <c r="F125" s="314">
        <v>1</v>
      </c>
      <c r="G125" s="315">
        <v>5.88</v>
      </c>
      <c r="H125" s="315">
        <f>IF(B125="Serviço",SUMIFS(H126:H358,C126:C358,$C125),IF(B125="Insumo",F125*G125,""))</f>
        <v>5.88</v>
      </c>
      <c r="I125" s="315"/>
    </row>
    <row r="126" spans="1:9" ht="15.75" hidden="1" customHeight="1" outlineLevel="2" x14ac:dyDescent="0.2">
      <c r="A126" s="307">
        <f>COUNTIFS($D$2:$D$488,D126,$B$2:$B$488,B126)</f>
        <v>19</v>
      </c>
      <c r="B126" s="302" t="s">
        <v>587</v>
      </c>
      <c r="C126" s="302" t="str">
        <f t="shared" si="3"/>
        <v>Armação aço CA-50 ø 10,0mm para infraestrutura (corte e dobra em industria)</v>
      </c>
      <c r="D126" s="302" t="s">
        <v>621</v>
      </c>
      <c r="E126" s="311" t="s">
        <v>589</v>
      </c>
      <c r="F126" s="314">
        <v>2.0500000000000001E-2</v>
      </c>
      <c r="G126" s="315">
        <v>27.55</v>
      </c>
      <c r="H126" s="315">
        <f>IF(B126="Serviço",SUMIFS(H127:H358,C127:C358,$C126),IF(B126="Insumo",F126*G126,""))</f>
        <v>0.56477500000000003</v>
      </c>
      <c r="I126" s="315"/>
    </row>
    <row r="127" spans="1:9" ht="15.75" hidden="1" customHeight="1" outlineLevel="2" x14ac:dyDescent="0.2">
      <c r="A127" s="307">
        <f>COUNTIFS($D$2:$D$488,D127,$B$2:$B$488,B127)</f>
        <v>20</v>
      </c>
      <c r="B127" s="302" t="s">
        <v>587</v>
      </c>
      <c r="C127" s="302" t="str">
        <f t="shared" si="3"/>
        <v>Armação aço CA-50 ø 10,0mm para infraestrutura (corte e dobra em industria)</v>
      </c>
      <c r="D127" s="302" t="s">
        <v>622</v>
      </c>
      <c r="E127" s="311" t="s">
        <v>17</v>
      </c>
      <c r="F127" s="314">
        <v>0.05</v>
      </c>
      <c r="G127" s="315">
        <v>0.43</v>
      </c>
      <c r="H127" s="315">
        <f>IF(B127="Serviço",SUMIFS(H129:H358,C129:C358,$C127),IF(B127="Insumo",F127*G127,""))</f>
        <v>2.1500000000000002E-2</v>
      </c>
      <c r="I127" s="315"/>
    </row>
    <row r="128" spans="1:9" ht="15.75" hidden="1" customHeight="1" outlineLevel="2" x14ac:dyDescent="0.2">
      <c r="A128" s="307">
        <f>COUNTIFS($D$2:$D$488,D128,$B$2:$B$488,B128)</f>
        <v>15</v>
      </c>
      <c r="B128" s="302" t="s">
        <v>587</v>
      </c>
      <c r="C128" s="302" t="str">
        <f>IF(B128="Serviço",D128,C126)</f>
        <v>Armação aço CA-50 ø 10,0mm para infraestrutura (corte e dobra em industria)</v>
      </c>
      <c r="D128" s="302" t="s">
        <v>5055</v>
      </c>
      <c r="E128" s="311" t="s">
        <v>17</v>
      </c>
      <c r="F128" s="314">
        <f>F125</f>
        <v>1</v>
      </c>
      <c r="G128" s="315">
        <v>0.7</v>
      </c>
      <c r="H128" s="315">
        <f>IF(B128="Serviço",SUMIFS(H129:H358,C129:C358,$C128),IF(B128="Insumo",F128*G128,""))</f>
        <v>0.7</v>
      </c>
      <c r="I128" s="315"/>
    </row>
    <row r="129" spans="1:9" ht="15.75" hidden="1" customHeight="1" outlineLevel="1" x14ac:dyDescent="0.2">
      <c r="A129" s="307">
        <f>COUNTIFS($D$2:$D$488,D129,$B$2:$B$488,B129)</f>
        <v>1</v>
      </c>
      <c r="B129" s="310" t="s">
        <v>232</v>
      </c>
      <c r="C129" s="310" t="str">
        <f>IF(B129="Serviço",D129,C127)</f>
        <v>Armação aço CA-50 ø 12,5mm para infraestrutura (corte e dobra em industria)</v>
      </c>
      <c r="D129" s="310" t="s">
        <v>5050</v>
      </c>
      <c r="E129" s="316" t="s">
        <v>589</v>
      </c>
      <c r="F129" s="317"/>
      <c r="G129" s="318"/>
      <c r="H129" s="318">
        <f>IF(B129="Serviço",SUMIFS(H130:H358,C130:C358,$C129),IF(B129="Insumo",F129*G129,""))</f>
        <v>6.9962749999999998</v>
      </c>
      <c r="I129" s="318" t="s">
        <v>141</v>
      </c>
    </row>
    <row r="130" spans="1:9" ht="15.75" hidden="1" customHeight="1" outlineLevel="2" x14ac:dyDescent="0.2">
      <c r="A130" s="307">
        <f>COUNTIFS($D$2:$D$488,D130,$B$2:$B$488,B130)</f>
        <v>2</v>
      </c>
      <c r="B130" s="302" t="s">
        <v>587</v>
      </c>
      <c r="C130" s="302" t="str">
        <f t="shared" si="3"/>
        <v>Armação aço CA-50 ø 12,5mm para infraestrutura (corte e dobra em industria)</v>
      </c>
      <c r="D130" s="302" t="s">
        <v>633</v>
      </c>
      <c r="E130" s="311" t="s">
        <v>589</v>
      </c>
      <c r="F130" s="314">
        <v>1</v>
      </c>
      <c r="G130" s="315">
        <v>5.71</v>
      </c>
      <c r="H130" s="315">
        <f>IF(B130="Serviço",SUMIFS(H131:H358,C131:C358,$C130),IF(B130="Insumo",F130*G130,""))</f>
        <v>5.71</v>
      </c>
      <c r="I130" s="315"/>
    </row>
    <row r="131" spans="1:9" ht="15.75" hidden="1" customHeight="1" outlineLevel="2" x14ac:dyDescent="0.2">
      <c r="A131" s="307">
        <f>COUNTIFS($D$2:$D$488,D131,$B$2:$B$488,B131)</f>
        <v>19</v>
      </c>
      <c r="B131" s="302" t="s">
        <v>587</v>
      </c>
      <c r="C131" s="302" t="str">
        <f t="shared" si="3"/>
        <v>Armação aço CA-50 ø 12,5mm para infraestrutura (corte e dobra em industria)</v>
      </c>
      <c r="D131" s="302" t="s">
        <v>621</v>
      </c>
      <c r="E131" s="311" t="s">
        <v>589</v>
      </c>
      <c r="F131" s="314">
        <v>2.0500000000000001E-2</v>
      </c>
      <c r="G131" s="315">
        <v>27.55</v>
      </c>
      <c r="H131" s="315">
        <f>IF(B131="Serviço",SUMIFS(H132:H358,C132:C358,$C131),IF(B131="Insumo",F131*G131,""))</f>
        <v>0.56477500000000003</v>
      </c>
      <c r="I131" s="315"/>
    </row>
    <row r="132" spans="1:9" ht="15.75" hidden="1" customHeight="1" outlineLevel="2" x14ac:dyDescent="0.2">
      <c r="A132" s="307">
        <f>COUNTIFS($D$2:$D$488,D132,$B$2:$B$488,B132)</f>
        <v>20</v>
      </c>
      <c r="B132" s="302" t="s">
        <v>587</v>
      </c>
      <c r="C132" s="302" t="str">
        <f t="shared" si="3"/>
        <v>Armação aço CA-50 ø 12,5mm para infraestrutura (corte e dobra em industria)</v>
      </c>
      <c r="D132" s="302" t="s">
        <v>622</v>
      </c>
      <c r="E132" s="311" t="s">
        <v>17</v>
      </c>
      <c r="F132" s="314">
        <v>0.05</v>
      </c>
      <c r="G132" s="315">
        <v>0.43</v>
      </c>
      <c r="H132" s="315">
        <f>IF(B132="Serviço",SUMIFS(H134:H358,C134:C358,$C132),IF(B132="Insumo",F132*G132,""))</f>
        <v>2.1500000000000002E-2</v>
      </c>
      <c r="I132" s="315"/>
    </row>
    <row r="133" spans="1:9" ht="15.75" hidden="1" customHeight="1" outlineLevel="2" x14ac:dyDescent="0.2">
      <c r="A133" s="307">
        <f>COUNTIFS($D$2:$D$488,D133,$B$2:$B$488,B133)</f>
        <v>15</v>
      </c>
      <c r="B133" s="302" t="s">
        <v>587</v>
      </c>
      <c r="C133" s="302" t="str">
        <f>IF(B133="Serviço",D133,C131)</f>
        <v>Armação aço CA-50 ø 12,5mm para infraestrutura (corte e dobra em industria)</v>
      </c>
      <c r="D133" s="302" t="s">
        <v>5055</v>
      </c>
      <c r="E133" s="311" t="s">
        <v>17</v>
      </c>
      <c r="F133" s="314">
        <f>F130</f>
        <v>1</v>
      </c>
      <c r="G133" s="315">
        <v>0.7</v>
      </c>
      <c r="H133" s="315">
        <f>IF(B133="Serviço",SUMIFS(H134:H358,C134:C358,$C133),IF(B133="Insumo",F133*G133,""))</f>
        <v>0.7</v>
      </c>
      <c r="I133" s="315"/>
    </row>
    <row r="134" spans="1:9" ht="15.75" hidden="1" customHeight="1" outlineLevel="1" x14ac:dyDescent="0.2">
      <c r="A134" s="307">
        <f>COUNTIFS($D$2:$D$488,D134,$B$2:$B$488,B134)</f>
        <v>1</v>
      </c>
      <c r="B134" s="310" t="s">
        <v>232</v>
      </c>
      <c r="C134" s="310" t="str">
        <f>IF(B134="Serviço",D134,C132)</f>
        <v>Armação aço CA-50 ø 16,0mm para infraestrutura (corte e dobra em industria)</v>
      </c>
      <c r="D134" s="310" t="s">
        <v>5051</v>
      </c>
      <c r="E134" s="316" t="s">
        <v>589</v>
      </c>
      <c r="F134" s="317"/>
      <c r="G134" s="318"/>
      <c r="H134" s="318">
        <f>IF(B134="Serviço",SUMIFS(H135:H358,C135:C358,$C134),IF(B134="Insumo",F134*G134,""))</f>
        <v>7.3167749999999998</v>
      </c>
      <c r="I134" s="318" t="s">
        <v>141</v>
      </c>
    </row>
    <row r="135" spans="1:9" ht="15.75" hidden="1" customHeight="1" outlineLevel="2" x14ac:dyDescent="0.2">
      <c r="A135" s="307">
        <f>COUNTIFS($D$2:$D$488,D135,$B$2:$B$488,B135)</f>
        <v>3</v>
      </c>
      <c r="B135" s="302" t="s">
        <v>587</v>
      </c>
      <c r="C135" s="302" t="str">
        <f t="shared" si="3"/>
        <v>Armação aço CA-50 ø 16,0mm para infraestrutura (corte e dobra em industria)</v>
      </c>
      <c r="D135" s="302" t="s">
        <v>626</v>
      </c>
      <c r="E135" s="311" t="s">
        <v>589</v>
      </c>
      <c r="F135" s="314">
        <v>1.05</v>
      </c>
      <c r="G135" s="315">
        <v>5.71</v>
      </c>
      <c r="H135" s="315">
        <f>IF(B135="Serviço",SUMIFS(H136:H358,C136:C358,$C135),IF(B135="Insumo",F135*G135,""))</f>
        <v>5.9954999999999998</v>
      </c>
      <c r="I135" s="315"/>
    </row>
    <row r="136" spans="1:9" ht="15.75" hidden="1" customHeight="1" outlineLevel="2" x14ac:dyDescent="0.2">
      <c r="A136" s="307">
        <f>COUNTIFS($D$2:$D$488,D136,$B$2:$B$488,B136)</f>
        <v>19</v>
      </c>
      <c r="B136" s="302" t="s">
        <v>587</v>
      </c>
      <c r="C136" s="302" t="str">
        <f t="shared" si="3"/>
        <v>Armação aço CA-50 ø 16,0mm para infraestrutura (corte e dobra em industria)</v>
      </c>
      <c r="D136" s="302" t="s">
        <v>621</v>
      </c>
      <c r="E136" s="311" t="s">
        <v>589</v>
      </c>
      <c r="F136" s="314">
        <v>2.0500000000000001E-2</v>
      </c>
      <c r="G136" s="315">
        <v>27.55</v>
      </c>
      <c r="H136" s="315">
        <f>IF(B136="Serviço",SUMIFS(H137:H358,C137:C358,$C136),IF(B136="Insumo",F136*G136,""))</f>
        <v>0.56477500000000003</v>
      </c>
      <c r="I136" s="315"/>
    </row>
    <row r="137" spans="1:9" ht="15.75" hidden="1" customHeight="1" outlineLevel="2" x14ac:dyDescent="0.2">
      <c r="A137" s="307">
        <f>COUNTIFS($D$2:$D$488,D137,$B$2:$B$488,B137)</f>
        <v>20</v>
      </c>
      <c r="B137" s="302" t="s">
        <v>587</v>
      </c>
      <c r="C137" s="302" t="str">
        <f t="shared" si="3"/>
        <v>Armação aço CA-50 ø 16,0mm para infraestrutura (corte e dobra em industria)</v>
      </c>
      <c r="D137" s="302" t="s">
        <v>622</v>
      </c>
      <c r="E137" s="311" t="s">
        <v>17</v>
      </c>
      <c r="F137" s="314">
        <v>0.05</v>
      </c>
      <c r="G137" s="315">
        <v>0.43</v>
      </c>
      <c r="H137" s="315">
        <f>IF(B137="Serviço",SUMIFS(H139:H358,C139:C358,$C137),IF(B137="Insumo",F137*G137,""))</f>
        <v>2.1500000000000002E-2</v>
      </c>
      <c r="I137" s="315"/>
    </row>
    <row r="138" spans="1:9" ht="15.75" hidden="1" customHeight="1" outlineLevel="2" x14ac:dyDescent="0.2">
      <c r="A138" s="307">
        <f>COUNTIFS($D$2:$D$488,D138,$B$2:$B$488,B138)</f>
        <v>15</v>
      </c>
      <c r="B138" s="302" t="s">
        <v>587</v>
      </c>
      <c r="C138" s="302" t="str">
        <f>IF(B138="Serviço",D138,C136)</f>
        <v>Armação aço CA-50 ø 16,0mm para infraestrutura (corte e dobra em industria)</v>
      </c>
      <c r="D138" s="302" t="s">
        <v>5055</v>
      </c>
      <c r="E138" s="311" t="s">
        <v>17</v>
      </c>
      <c r="F138" s="314">
        <f>F135</f>
        <v>1.05</v>
      </c>
      <c r="G138" s="315">
        <v>0.7</v>
      </c>
      <c r="H138" s="315">
        <f>IF(B138="Serviço",SUMIFS(H139:H358,C139:C358,$C138),IF(B138="Insumo",F138*G138,""))</f>
        <v>0.73499999999999999</v>
      </c>
      <c r="I138" s="315"/>
    </row>
    <row r="139" spans="1:9" ht="15.75" hidden="1" customHeight="1" outlineLevel="1" x14ac:dyDescent="0.2">
      <c r="A139" s="307">
        <f>COUNTIFS($D$2:$D$488,D139,$B$2:$B$488,B139)</f>
        <v>1</v>
      </c>
      <c r="B139" s="310" t="s">
        <v>232</v>
      </c>
      <c r="C139" s="310" t="str">
        <f>IF(B139="Serviço",D139,C137)</f>
        <v>Armação aço CA-50 ø 20,0mm para infraestrutura (corte e dobra em industria)</v>
      </c>
      <c r="D139" s="310" t="s">
        <v>5052</v>
      </c>
      <c r="E139" s="316" t="s">
        <v>589</v>
      </c>
      <c r="F139" s="317"/>
      <c r="G139" s="318"/>
      <c r="H139" s="318">
        <f>IF(B139="Serviço",SUMIFS(H140:H358,C140:C358,$C139),IF(B139="Insumo",F139*G139,""))</f>
        <v>7.3167749999999998</v>
      </c>
      <c r="I139" s="318" t="s">
        <v>141</v>
      </c>
    </row>
    <row r="140" spans="1:9" ht="15.75" hidden="1" customHeight="1" outlineLevel="2" x14ac:dyDescent="0.2">
      <c r="A140" s="307">
        <f>COUNTIFS($D$2:$D$488,D140,$B$2:$B$488,B140)</f>
        <v>3</v>
      </c>
      <c r="B140" s="302" t="s">
        <v>587</v>
      </c>
      <c r="C140" s="302" t="str">
        <f t="shared" si="3"/>
        <v>Armação aço CA-50 ø 20,0mm para infraestrutura (corte e dobra em industria)</v>
      </c>
      <c r="D140" s="302" t="s">
        <v>627</v>
      </c>
      <c r="E140" s="311" t="s">
        <v>589</v>
      </c>
      <c r="F140" s="314">
        <v>1.05</v>
      </c>
      <c r="G140" s="315">
        <v>5.71</v>
      </c>
      <c r="H140" s="315">
        <f>IF(B140="Serviço",SUMIFS(H141:H358,C141:C358,$C140),IF(B140="Insumo",F140*G140,""))</f>
        <v>5.9954999999999998</v>
      </c>
      <c r="I140" s="315"/>
    </row>
    <row r="141" spans="1:9" ht="15.75" hidden="1" customHeight="1" outlineLevel="2" x14ac:dyDescent="0.2">
      <c r="A141" s="307">
        <f>COUNTIFS($D$2:$D$488,D141,$B$2:$B$488,B141)</f>
        <v>19</v>
      </c>
      <c r="B141" s="302" t="s">
        <v>587</v>
      </c>
      <c r="C141" s="302" t="str">
        <f t="shared" si="3"/>
        <v>Armação aço CA-50 ø 20,0mm para infraestrutura (corte e dobra em industria)</v>
      </c>
      <c r="D141" s="302" t="s">
        <v>621</v>
      </c>
      <c r="E141" s="311" t="s">
        <v>589</v>
      </c>
      <c r="F141" s="314">
        <v>2.0500000000000001E-2</v>
      </c>
      <c r="G141" s="315">
        <v>27.55</v>
      </c>
      <c r="H141" s="315">
        <f>IF(B141="Serviço",SUMIFS(H142:H358,C142:C358,$C141),IF(B141="Insumo",F141*G141,""))</f>
        <v>0.56477500000000003</v>
      </c>
      <c r="I141" s="315"/>
    </row>
    <row r="142" spans="1:9" ht="15.75" hidden="1" customHeight="1" outlineLevel="2" x14ac:dyDescent="0.2">
      <c r="A142" s="307">
        <f>COUNTIFS($D$2:$D$488,D142,$B$2:$B$488,B142)</f>
        <v>20</v>
      </c>
      <c r="B142" s="302" t="s">
        <v>587</v>
      </c>
      <c r="C142" s="302" t="str">
        <f t="shared" si="3"/>
        <v>Armação aço CA-50 ø 20,0mm para infraestrutura (corte e dobra em industria)</v>
      </c>
      <c r="D142" s="302" t="s">
        <v>622</v>
      </c>
      <c r="E142" s="311" t="s">
        <v>17</v>
      </c>
      <c r="F142" s="314">
        <v>0.05</v>
      </c>
      <c r="G142" s="315">
        <v>0.43</v>
      </c>
      <c r="H142" s="315">
        <f>IF(B142="Serviço",SUMIFS(H144:H358,C144:C358,$C142),IF(B142="Insumo",F142*G142,""))</f>
        <v>2.1500000000000002E-2</v>
      </c>
      <c r="I142" s="315"/>
    </row>
    <row r="143" spans="1:9" ht="15.75" hidden="1" customHeight="1" outlineLevel="2" x14ac:dyDescent="0.2">
      <c r="A143" s="307">
        <f>COUNTIFS($D$2:$D$488,D143,$B$2:$B$488,B143)</f>
        <v>15</v>
      </c>
      <c r="B143" s="302" t="s">
        <v>587</v>
      </c>
      <c r="C143" s="302" t="str">
        <f>IF(B143="Serviço",D143,C141)</f>
        <v>Armação aço CA-50 ø 20,0mm para infraestrutura (corte e dobra em industria)</v>
      </c>
      <c r="D143" s="302" t="s">
        <v>5055</v>
      </c>
      <c r="E143" s="311" t="s">
        <v>17</v>
      </c>
      <c r="F143" s="314">
        <f>F140</f>
        <v>1.05</v>
      </c>
      <c r="G143" s="315">
        <v>0.7</v>
      </c>
      <c r="H143" s="315">
        <f>IF(B143="Serviço",SUMIFS(H144:H358,C144:C358,$C143),IF(B143="Insumo",F143*G143,""))</f>
        <v>0.73499999999999999</v>
      </c>
      <c r="I143" s="315"/>
    </row>
    <row r="144" spans="1:9" ht="15.75" hidden="1" customHeight="1" outlineLevel="1" x14ac:dyDescent="0.2">
      <c r="A144" s="307">
        <f>COUNTIFS($D$2:$D$488,D144,$B$2:$B$488,B144)</f>
        <v>1</v>
      </c>
      <c r="B144" s="310" t="s">
        <v>232</v>
      </c>
      <c r="C144" s="310" t="str">
        <f>IF(B144="Serviço",D144,C142)</f>
        <v>Armação aço CA-50 ø 25,0mm para infraestrutura (corte e dobra em industria)</v>
      </c>
      <c r="D144" s="310" t="s">
        <v>5053</v>
      </c>
      <c r="E144" s="316" t="s">
        <v>589</v>
      </c>
      <c r="F144" s="317"/>
      <c r="G144" s="318"/>
      <c r="H144" s="318">
        <f>IF(B144="Serviço",SUMIFS(H145:H358,C145:C358,$C144),IF(B144="Insumo",F144*G144,""))</f>
        <v>7.3167749999999998</v>
      </c>
      <c r="I144" s="318" t="s">
        <v>141</v>
      </c>
    </row>
    <row r="145" spans="1:9" ht="15.75" hidden="1" customHeight="1" outlineLevel="2" x14ac:dyDescent="0.2">
      <c r="A145" s="307">
        <f>COUNTIFS($D$2:$D$488,D145,$B$2:$B$488,B145)</f>
        <v>2</v>
      </c>
      <c r="B145" s="302" t="s">
        <v>587</v>
      </c>
      <c r="C145" s="302" t="str">
        <f t="shared" si="3"/>
        <v>Armação aço CA-50 ø 25,0mm para infraestrutura (corte e dobra em industria)</v>
      </c>
      <c r="D145" s="302" t="s">
        <v>634</v>
      </c>
      <c r="E145" s="311" t="s">
        <v>589</v>
      </c>
      <c r="F145" s="314">
        <v>1.05</v>
      </c>
      <c r="G145" s="315">
        <v>5.71</v>
      </c>
      <c r="H145" s="315">
        <f>IF(B145="Serviço",SUMIFS(H146:H358,C146:C358,$C145),IF(B145="Insumo",F145*G145,""))</f>
        <v>5.9954999999999998</v>
      </c>
      <c r="I145" s="315"/>
    </row>
    <row r="146" spans="1:9" ht="15.75" hidden="1" customHeight="1" outlineLevel="2" x14ac:dyDescent="0.2">
      <c r="A146" s="307">
        <f>COUNTIFS($D$2:$D$488,D146,$B$2:$B$488,B146)</f>
        <v>19</v>
      </c>
      <c r="B146" s="302" t="s">
        <v>587</v>
      </c>
      <c r="C146" s="302" t="str">
        <f t="shared" si="3"/>
        <v>Armação aço CA-50 ø 25,0mm para infraestrutura (corte e dobra em industria)</v>
      </c>
      <c r="D146" s="302" t="s">
        <v>621</v>
      </c>
      <c r="E146" s="311" t="s">
        <v>589</v>
      </c>
      <c r="F146" s="314">
        <v>2.0500000000000001E-2</v>
      </c>
      <c r="G146" s="315">
        <v>27.55</v>
      </c>
      <c r="H146" s="315">
        <f>IF(B146="Serviço",SUMIFS(H147:H358,C147:C358,$C146),IF(B146="Insumo",F146*G146,""))</f>
        <v>0.56477500000000003</v>
      </c>
      <c r="I146" s="315"/>
    </row>
    <row r="147" spans="1:9" ht="15.75" hidden="1" customHeight="1" outlineLevel="2" x14ac:dyDescent="0.2">
      <c r="A147" s="307">
        <f>COUNTIFS($D$2:$D$488,D147,$B$2:$B$488,B147)</f>
        <v>20</v>
      </c>
      <c r="B147" s="302" t="s">
        <v>587</v>
      </c>
      <c r="C147" s="302" t="str">
        <f t="shared" si="3"/>
        <v>Armação aço CA-50 ø 25,0mm para infraestrutura (corte e dobra em industria)</v>
      </c>
      <c r="D147" s="302" t="s">
        <v>622</v>
      </c>
      <c r="E147" s="311" t="s">
        <v>17</v>
      </c>
      <c r="F147" s="314">
        <v>0.05</v>
      </c>
      <c r="G147" s="315">
        <v>0.43</v>
      </c>
      <c r="H147" s="315">
        <f>IF(B147="Serviço",SUMIFS(H149:H358,C149:C358,$C147),IF(B147="Insumo",F147*G147,""))</f>
        <v>2.1500000000000002E-2</v>
      </c>
      <c r="I147" s="315"/>
    </row>
    <row r="148" spans="1:9" ht="15.75" hidden="1" customHeight="1" outlineLevel="2" x14ac:dyDescent="0.2">
      <c r="A148" s="307">
        <f>COUNTIFS($D$2:$D$488,D148,$B$2:$B$488,B148)</f>
        <v>15</v>
      </c>
      <c r="B148" s="302" t="s">
        <v>587</v>
      </c>
      <c r="C148" s="302" t="str">
        <f>IF(B148="Serviço",D148,C146)</f>
        <v>Armação aço CA-50 ø 25,0mm para infraestrutura (corte e dobra em industria)</v>
      </c>
      <c r="D148" s="302" t="s">
        <v>5055</v>
      </c>
      <c r="E148" s="311" t="s">
        <v>17</v>
      </c>
      <c r="F148" s="314">
        <f>F145</f>
        <v>1.05</v>
      </c>
      <c r="G148" s="315">
        <v>0.7</v>
      </c>
      <c r="H148" s="315">
        <f>IF(B148="Serviço",SUMIFS(H149:H358,C149:C358,$C148),IF(B148="Insumo",F148*G148,""))</f>
        <v>0.73499999999999999</v>
      </c>
      <c r="I148" s="315"/>
    </row>
    <row r="149" spans="1:9" ht="15.75" hidden="1" customHeight="1" outlineLevel="1" x14ac:dyDescent="0.2">
      <c r="A149" s="307">
        <f>COUNTIFS($D$2:$D$488,D149,$B$2:$B$488,B149)</f>
        <v>1</v>
      </c>
      <c r="B149" s="310" t="s">
        <v>232</v>
      </c>
      <c r="C149" s="310" t="str">
        <f>IF(B149="Serviço",D149,C147)</f>
        <v>Armação aço CA-60 ø 5,00mm para infraestrutura (corte e dobra em industria)</v>
      </c>
      <c r="D149" s="310" t="s">
        <v>5054</v>
      </c>
      <c r="E149" s="316" t="s">
        <v>589</v>
      </c>
      <c r="F149" s="317"/>
      <c r="G149" s="318"/>
      <c r="H149" s="318">
        <f>IF(B149="Serviço",SUMIFS(H150:H358,C150:C358,$C149),IF(B149="Insumo",F149*G149,""))</f>
        <v>7.7962749999999996</v>
      </c>
      <c r="I149" s="318" t="s">
        <v>141</v>
      </c>
    </row>
    <row r="150" spans="1:9" ht="15.75" hidden="1" customHeight="1" outlineLevel="2" x14ac:dyDescent="0.2">
      <c r="A150" s="307">
        <f>COUNTIFS($D$2:$D$488,D150,$B$2:$B$488,B150)</f>
        <v>1</v>
      </c>
      <c r="B150" s="302" t="s">
        <v>587</v>
      </c>
      <c r="C150" s="302" t="str">
        <f t="shared" si="3"/>
        <v>Armação aço CA-60 ø 5,00mm para infraestrutura (corte e dobra em industria)</v>
      </c>
      <c r="D150" s="302" t="s">
        <v>628</v>
      </c>
      <c r="E150" s="311" t="s">
        <v>589</v>
      </c>
      <c r="F150" s="314">
        <v>1</v>
      </c>
      <c r="G150" s="315">
        <v>6.51</v>
      </c>
      <c r="H150" s="315">
        <f>IF(B150="Serviço",SUMIFS(H151:H358,C151:C358,$C150),IF(B150="Insumo",F150*G150,""))</f>
        <v>6.51</v>
      </c>
      <c r="I150" s="315"/>
    </row>
    <row r="151" spans="1:9" ht="15.75" hidden="1" customHeight="1" outlineLevel="2" x14ac:dyDescent="0.2">
      <c r="A151" s="307">
        <f>COUNTIFS($D$2:$D$488,D151,$B$2:$B$488,B151)</f>
        <v>19</v>
      </c>
      <c r="B151" s="302" t="s">
        <v>587</v>
      </c>
      <c r="C151" s="302" t="str">
        <f t="shared" si="3"/>
        <v>Armação aço CA-60 ø 5,00mm para infraestrutura (corte e dobra em industria)</v>
      </c>
      <c r="D151" s="302" t="s">
        <v>621</v>
      </c>
      <c r="E151" s="311" t="s">
        <v>589</v>
      </c>
      <c r="F151" s="314">
        <v>2.0500000000000001E-2</v>
      </c>
      <c r="G151" s="315">
        <v>27.55</v>
      </c>
      <c r="H151" s="315">
        <f>IF(B151="Serviço",SUMIFS(H153:H358,C153:C358,$C151),IF(B151="Insumo",F151*G151,""))</f>
        <v>0.56477500000000003</v>
      </c>
      <c r="I151" s="315"/>
    </row>
    <row r="152" spans="1:9" ht="15.75" hidden="1" customHeight="1" outlineLevel="2" x14ac:dyDescent="0.2">
      <c r="A152" s="307">
        <f>COUNTIFS($D$2:$D$488,D152,$B$2:$B$488,B152)</f>
        <v>20</v>
      </c>
      <c r="B152" s="302" t="s">
        <v>587</v>
      </c>
      <c r="C152" s="302" t="str">
        <f>IF(B152="Serviço",D152,C150)</f>
        <v>Armação aço CA-60 ø 5,00mm para infraestrutura (corte e dobra em industria)</v>
      </c>
      <c r="D152" s="302" t="s">
        <v>622</v>
      </c>
      <c r="E152" s="311" t="s">
        <v>17</v>
      </c>
      <c r="F152" s="314">
        <v>0.05</v>
      </c>
      <c r="G152" s="315">
        <v>0.43</v>
      </c>
      <c r="H152" s="315">
        <f>IF(B152="Serviço",SUMIFS(H153:H358,C153:C358,$C152),IF(B152="Insumo",F152*G152,""))</f>
        <v>2.1500000000000002E-2</v>
      </c>
      <c r="I152" s="315"/>
    </row>
    <row r="153" spans="1:9" ht="15.75" hidden="1" customHeight="1" outlineLevel="2" x14ac:dyDescent="0.2">
      <c r="A153" s="307">
        <f>COUNTIFS($D$2:$D$488,D153,$B$2:$B$488,B153)</f>
        <v>15</v>
      </c>
      <c r="B153" s="302" t="s">
        <v>587</v>
      </c>
      <c r="C153" s="302" t="str">
        <f>IF(B153="Serviço",D153,C151)</f>
        <v>Armação aço CA-60 ø 5,00mm para infraestrutura (corte e dobra em industria)</v>
      </c>
      <c r="D153" s="302" t="s">
        <v>5055</v>
      </c>
      <c r="E153" s="311" t="s">
        <v>17</v>
      </c>
      <c r="F153" s="314">
        <f>F150</f>
        <v>1</v>
      </c>
      <c r="G153" s="315">
        <v>0.7</v>
      </c>
      <c r="H153" s="315">
        <f>IF(B153="Serviço",SUMIFS(H154:H358,C154:C358,$C153),IF(B153="Insumo",F153*G153,""))</f>
        <v>0.7</v>
      </c>
      <c r="I153" s="315"/>
    </row>
    <row r="154" spans="1:9" ht="15.75" hidden="1" customHeight="1" outlineLevel="1" x14ac:dyDescent="0.2">
      <c r="A154" s="307">
        <f>COUNTIFS($D$2:$D$488,D154,$B$2:$B$488,B154)</f>
        <v>1</v>
      </c>
      <c r="B154" s="310" t="s">
        <v>232</v>
      </c>
      <c r="C154" s="310" t="str">
        <f>IF(B154="Serviço",D154,#REF!)</f>
        <v>Concreto Usinado bombeável 40MPa para infraestrutura- incluindo serviço de bombeamento</v>
      </c>
      <c r="D154" s="310" t="s">
        <v>398</v>
      </c>
      <c r="E154" s="316" t="s">
        <v>588</v>
      </c>
      <c r="F154" s="317"/>
      <c r="G154" s="318"/>
      <c r="H154" s="318">
        <f>IF(B154="Serviço",SUMIFS(H155:H358,C155:C358,$C154),IF(B154="Insumo",F154*G154,""))</f>
        <v>610.26919999999996</v>
      </c>
      <c r="I154" s="318" t="s">
        <v>141</v>
      </c>
    </row>
    <row r="155" spans="1:9" ht="15.75" hidden="1" customHeight="1" outlineLevel="2" x14ac:dyDescent="0.2">
      <c r="A155" s="307">
        <f>COUNTIFS($D$2:$D$488,D155,$B$2:$B$488,B155)</f>
        <v>2</v>
      </c>
      <c r="B155" s="302" t="s">
        <v>587</v>
      </c>
      <c r="C155" s="302" t="str">
        <f t="shared" si="1"/>
        <v>Concreto Usinado bombeável 40MPa para infraestrutura- incluindo serviço de bombeamento</v>
      </c>
      <c r="D155" s="302" t="s">
        <v>636</v>
      </c>
      <c r="E155" s="311" t="s">
        <v>588</v>
      </c>
      <c r="F155" s="314">
        <v>1.05</v>
      </c>
      <c r="G155" s="315">
        <v>540</v>
      </c>
      <c r="H155" s="315">
        <f>IF(B155="Serviço",SUMIFS(H156:H358,C156:C358,$C155),IF(B155="Insumo",F155*G155,""))</f>
        <v>567</v>
      </c>
      <c r="I155" s="315"/>
    </row>
    <row r="156" spans="1:9" ht="15.75" hidden="1" customHeight="1" outlineLevel="2" x14ac:dyDescent="0.2">
      <c r="A156" s="307">
        <f>COUNTIFS($D$2:$D$488,D156,$B$2:$B$488,B156)</f>
        <v>4</v>
      </c>
      <c r="B156" s="302" t="s">
        <v>587</v>
      </c>
      <c r="C156" s="302" t="str">
        <f t="shared" si="1"/>
        <v>Concreto Usinado bombeável 40MPa para infraestrutura- incluindo serviço de bombeamento</v>
      </c>
      <c r="D156" s="302" t="s">
        <v>617</v>
      </c>
      <c r="E156" s="311" t="s">
        <v>588</v>
      </c>
      <c r="F156" s="314">
        <v>1.05</v>
      </c>
      <c r="G156" s="315">
        <v>40</v>
      </c>
      <c r="H156" s="315">
        <f>IF(B156="Serviço",SUMIFS(H157:H358,C157:C358,$C156),IF(B156="Insumo",F156*G156,""))</f>
        <v>42</v>
      </c>
      <c r="I156" s="315"/>
    </row>
    <row r="157" spans="1:9" ht="15.75" hidden="1" customHeight="1" outlineLevel="2" x14ac:dyDescent="0.2">
      <c r="A157" s="307">
        <f>COUNTIFS($D$2:$D$488,D157,$B$2:$B$488,B157)</f>
        <v>11</v>
      </c>
      <c r="B157" s="302" t="s">
        <v>587</v>
      </c>
      <c r="C157" s="302" t="str">
        <f t="shared" si="1"/>
        <v>Concreto Usinado bombeável 40MPa para infraestrutura- incluindo serviço de bombeamento</v>
      </c>
      <c r="D157" s="302" t="s">
        <v>618</v>
      </c>
      <c r="E157" s="311" t="s">
        <v>589</v>
      </c>
      <c r="F157" s="314">
        <v>1.67</v>
      </c>
      <c r="G157" s="315">
        <v>0.76</v>
      </c>
      <c r="H157" s="315">
        <f>IF(B157="Serviço",SUMIFS(H158:H358,C158:C358,$C157),IF(B157="Insumo",F157*G157,""))</f>
        <v>1.2691999999999999</v>
      </c>
      <c r="I157" s="315"/>
    </row>
    <row r="158" spans="1:9" ht="15.75" customHeight="1" x14ac:dyDescent="0.2">
      <c r="A158" s="307">
        <f>COUNTIFS($D$2:$D$488,D158,$B$2:$B$488,B158)</f>
        <v>1</v>
      </c>
      <c r="B158" s="307" t="s">
        <v>230</v>
      </c>
      <c r="C158" s="307" t="str">
        <f t="shared" si="1"/>
        <v>Concreto Usinado bombeável 40MPa para infraestrutura- incluindo serviço de bombeamento</v>
      </c>
      <c r="D158" s="307" t="s">
        <v>637</v>
      </c>
      <c r="E158" s="308"/>
      <c r="F158" s="319"/>
      <c r="G158" s="309"/>
      <c r="H158" s="309" t="str">
        <f>IF(B158="Serviço",SUMIFS(H159:H358,C159:C358,$C158),IF(B158="Insumo",F158*G158,""))</f>
        <v/>
      </c>
      <c r="I158" s="309"/>
    </row>
    <row r="159" spans="1:9" ht="15.75" customHeight="1" collapsed="1" x14ac:dyDescent="0.2">
      <c r="A159" s="307">
        <f>COUNTIFS($D$2:$D$488,D159,$B$2:$B$488,B159)</f>
        <v>1</v>
      </c>
      <c r="B159" s="307" t="s">
        <v>230</v>
      </c>
      <c r="C159" s="307" t="str">
        <f>IF(B159="Serviço",D159,C158)</f>
        <v>Concreto Usinado bombeável 40MPa para infraestrutura- incluindo serviço de bombeamento</v>
      </c>
      <c r="D159" s="307" t="s">
        <v>44</v>
      </c>
      <c r="E159" s="308"/>
      <c r="F159" s="319"/>
      <c r="G159" s="309"/>
      <c r="H159" s="309" t="str">
        <f>IF(B159="Serviço",SUMIFS(H160:H366,C160:C366,$C159),IF(B159="Insumo",F159*G159,""))</f>
        <v/>
      </c>
      <c r="I159" s="309"/>
    </row>
    <row r="160" spans="1:9" ht="15.75" hidden="1" customHeight="1" outlineLevel="1" x14ac:dyDescent="0.2">
      <c r="A160" s="307">
        <f>COUNTIFS($D$2:$D$488,D160,$B$2:$B$488,B160)</f>
        <v>1</v>
      </c>
      <c r="B160" s="310" t="s">
        <v>232</v>
      </c>
      <c r="C160" s="310" t="str">
        <f>IF(B160="Serviço",D160,C159)</f>
        <v>Fabricação de Fôrma para Pilares, em Chapa de Madeira Compensada Plastificada, E=17mm</v>
      </c>
      <c r="D160" s="310" t="s">
        <v>5057</v>
      </c>
      <c r="E160" s="316" t="s">
        <v>586</v>
      </c>
      <c r="F160" s="317"/>
      <c r="G160" s="318"/>
      <c r="H160" s="318">
        <f>IF(B160="Serviço",SUMIFS(H161:H371,C161:C371,$C160),IF(B160="Insumo",F160*G160,""))</f>
        <v>110.04637403033144</v>
      </c>
      <c r="I160" s="318" t="s">
        <v>141</v>
      </c>
    </row>
    <row r="161" spans="1:9" ht="15.75" hidden="1" customHeight="1" outlineLevel="2" x14ac:dyDescent="0.2">
      <c r="A161" s="307">
        <f>COUNTIFS($D$2:$D$488,D161,$B$2:$B$488,B161)</f>
        <v>14</v>
      </c>
      <c r="B161" s="302" t="s">
        <v>587</v>
      </c>
      <c r="C161" s="302" t="str">
        <f t="shared" si="1"/>
        <v>Fabricação de Fôrma para Pilares, em Chapa de Madeira Compensada Plastificada, E=17mm</v>
      </c>
      <c r="D161" s="302" t="s">
        <v>592</v>
      </c>
      <c r="E161" s="311" t="s">
        <v>589</v>
      </c>
      <c r="F161" s="314">
        <v>0.20799999999999999</v>
      </c>
      <c r="G161" s="315">
        <v>18.93</v>
      </c>
      <c r="H161" s="315">
        <f>IF(B161="Serviço",SUMIFS(H162:H371,C162:C371,$C161),IF(B161="Insumo",F161*G161,""))</f>
        <v>3.9374399999999996</v>
      </c>
      <c r="I161" s="315"/>
    </row>
    <row r="162" spans="1:9" ht="15.75" hidden="1" customHeight="1" outlineLevel="2" x14ac:dyDescent="0.2">
      <c r="A162" s="307">
        <f>COUNTIFS($D$2:$D$488,D162,$B$2:$B$488,B162)</f>
        <v>3</v>
      </c>
      <c r="B162" s="302" t="s">
        <v>587</v>
      </c>
      <c r="C162" s="302" t="str">
        <f t="shared" si="1"/>
        <v>Fabricação de Fôrma para Pilares, em Chapa de Madeira Compensada Plastificada, E=17mm</v>
      </c>
      <c r="D162" s="302" t="s">
        <v>5058</v>
      </c>
      <c r="E162" s="311" t="s">
        <v>586</v>
      </c>
      <c r="F162" s="314">
        <v>1.3360000000000001</v>
      </c>
      <c r="G162" s="315">
        <v>59.297520660000004</v>
      </c>
      <c r="H162" s="315">
        <f>IF(B162="Serviço",SUMIFS(H163:H371,C163:C371,$C162),IF(B162="Insumo",F162*G162,""))</f>
        <v>79.221487601760003</v>
      </c>
      <c r="I162" s="315"/>
    </row>
    <row r="163" spans="1:9" ht="15.75" hidden="1" customHeight="1" outlineLevel="2" x14ac:dyDescent="0.2">
      <c r="A163" s="307">
        <f>COUNTIFS($D$2:$D$488,D163,$B$2:$B$488,B163)</f>
        <v>5</v>
      </c>
      <c r="B163" s="302" t="s">
        <v>587</v>
      </c>
      <c r="C163" s="302" t="str">
        <f t="shared" si="1"/>
        <v>Fabricação de Fôrma para Pilares, em Chapa de Madeira Compensada Plastificada, E=17mm</v>
      </c>
      <c r="D163" s="302" t="s">
        <v>590</v>
      </c>
      <c r="E163" s="311" t="s">
        <v>591</v>
      </c>
      <c r="F163" s="314">
        <v>0.42714285714285716</v>
      </c>
      <c r="G163" s="315">
        <v>6.1875</v>
      </c>
      <c r="H163" s="315">
        <f>IF(B163="Serviço",SUMIFS(H164:H371,C164:C371,$C163),IF(B163="Insumo",F163*G163,""))</f>
        <v>2.6429464285714288</v>
      </c>
      <c r="I163" s="315"/>
    </row>
    <row r="164" spans="1:9" ht="15.75" hidden="1" customHeight="1" outlineLevel="2" x14ac:dyDescent="0.2">
      <c r="A164" s="307">
        <f>COUNTIFS($D$2:$D$488,D164,$B$2:$B$488,B164)</f>
        <v>8</v>
      </c>
      <c r="B164" s="302" t="s">
        <v>587</v>
      </c>
      <c r="C164" s="302" t="str">
        <f t="shared" si="1"/>
        <v>Fabricação de Fôrma para Pilares, em Chapa de Madeira Compensada Plastificada, E=17mm</v>
      </c>
      <c r="D164" s="302" t="s">
        <v>605</v>
      </c>
      <c r="E164" s="311" t="s">
        <v>588</v>
      </c>
      <c r="F164" s="314">
        <v>2.3089999999999999E-2</v>
      </c>
      <c r="G164" s="315">
        <v>1050</v>
      </c>
      <c r="H164" s="315">
        <f>IF(B164="Serviço",SUMIFS(H165:H371,C165:C371,$C164),IF(B164="Insumo",F164*G164,""))</f>
        <v>24.244499999999999</v>
      </c>
      <c r="I164" s="315"/>
    </row>
    <row r="165" spans="1:9" ht="15.75" hidden="1" customHeight="1" outlineLevel="1" x14ac:dyDescent="0.2">
      <c r="A165" s="307">
        <f>COUNTIFS($D$2:$D$488,D165,$B$2:$B$488,B165)</f>
        <v>1</v>
      </c>
      <c r="B165" s="310" t="s">
        <v>232</v>
      </c>
      <c r="C165" s="310" t="str">
        <f t="shared" si="1"/>
        <v>Fabricação de Fôrma para Vigas, em Chapa de Madeira Compensada Plastificada, E=17mm</v>
      </c>
      <c r="D165" s="310" t="s">
        <v>5059</v>
      </c>
      <c r="E165" s="316" t="s">
        <v>586</v>
      </c>
      <c r="F165" s="317"/>
      <c r="G165" s="318"/>
      <c r="H165" s="318">
        <f>IF(B165="Serviço",SUMIFS(H166:H371,C166:C371,$C165),IF(B165="Insumo",F165*G165,""))</f>
        <v>91.288727485883811</v>
      </c>
      <c r="I165" s="318" t="s">
        <v>141</v>
      </c>
    </row>
    <row r="166" spans="1:9" ht="15.75" hidden="1" customHeight="1" outlineLevel="2" x14ac:dyDescent="0.2">
      <c r="A166" s="307">
        <f>COUNTIFS($D$2:$D$488,D166,$B$2:$B$488,B166)</f>
        <v>14</v>
      </c>
      <c r="B166" s="302" t="s">
        <v>587</v>
      </c>
      <c r="C166" s="302" t="str">
        <f t="shared" si="1"/>
        <v>Fabricação de Fôrma para Vigas, em Chapa de Madeira Compensada Plastificada, E=17mm</v>
      </c>
      <c r="D166" s="302" t="s">
        <v>592</v>
      </c>
      <c r="E166" s="311" t="s">
        <v>589</v>
      </c>
      <c r="F166" s="314">
        <v>0.159</v>
      </c>
      <c r="G166" s="315">
        <v>18.93</v>
      </c>
      <c r="H166" s="315">
        <f>IF(B166="Serviço",SUMIFS(H167:H371,C167:C371,$C166),IF(B166="Insumo",F166*G166,""))</f>
        <v>3.0098699999999998</v>
      </c>
      <c r="I166" s="315"/>
    </row>
    <row r="167" spans="1:9" ht="15.75" hidden="1" customHeight="1" outlineLevel="2" x14ac:dyDescent="0.2">
      <c r="A167" s="307">
        <f>COUNTIFS($D$2:$D$488,D167,$B$2:$B$488,B167)</f>
        <v>3</v>
      </c>
      <c r="B167" s="302" t="s">
        <v>587</v>
      </c>
      <c r="C167" s="302" t="str">
        <f t="shared" si="1"/>
        <v>Fabricação de Fôrma para Vigas, em Chapa de Madeira Compensada Plastificada, E=17mm</v>
      </c>
      <c r="D167" s="302" t="s">
        <v>5058</v>
      </c>
      <c r="E167" s="311" t="s">
        <v>586</v>
      </c>
      <c r="F167" s="314">
        <v>1.1459999999999999</v>
      </c>
      <c r="G167" s="315">
        <v>59.297520660000004</v>
      </c>
      <c r="H167" s="315">
        <f>IF(B167="Serviço",SUMIFS(H168:H371,C168:C371,$C167),IF(B167="Insumo",F167*G167,""))</f>
        <v>67.954958676359993</v>
      </c>
      <c r="I167" s="315"/>
    </row>
    <row r="168" spans="1:9" ht="15.75" hidden="1" customHeight="1" outlineLevel="2" x14ac:dyDescent="0.2">
      <c r="A168" s="307">
        <f>COUNTIFS($D$2:$D$488,D168,$B$2:$B$488,B168)</f>
        <v>5</v>
      </c>
      <c r="B168" s="302" t="s">
        <v>587</v>
      </c>
      <c r="C168" s="302" t="str">
        <f t="shared" si="1"/>
        <v>Fabricação de Fôrma para Vigas, em Chapa de Madeira Compensada Plastificada, E=17mm</v>
      </c>
      <c r="D168" s="302" t="s">
        <v>590</v>
      </c>
      <c r="E168" s="311" t="s">
        <v>591</v>
      </c>
      <c r="F168" s="314">
        <v>0.33571428571428574</v>
      </c>
      <c r="G168" s="315">
        <v>6.1875</v>
      </c>
      <c r="H168" s="315">
        <f>IF(B168="Serviço",SUMIFS(H169:H371,C169:C371,$C168),IF(B168="Insumo",F168*G168,""))</f>
        <v>2.077232142857143</v>
      </c>
      <c r="I168" s="315"/>
    </row>
    <row r="169" spans="1:9" ht="15.75" hidden="1" customHeight="1" outlineLevel="2" x14ac:dyDescent="0.2">
      <c r="A169" s="307">
        <f>COUNTIFS($D$2:$D$488,D169,$B$2:$B$488,B169)</f>
        <v>8</v>
      </c>
      <c r="B169" s="302" t="s">
        <v>587</v>
      </c>
      <c r="C169" s="302" t="str">
        <f t="shared" si="1"/>
        <v>Fabricação de Fôrma para Vigas, em Chapa de Madeira Compensada Plastificada, E=17mm</v>
      </c>
      <c r="D169" s="302" t="s">
        <v>605</v>
      </c>
      <c r="E169" s="311" t="s">
        <v>588</v>
      </c>
      <c r="F169" s="314">
        <v>1.737777777777778E-2</v>
      </c>
      <c r="G169" s="315">
        <v>1050</v>
      </c>
      <c r="H169" s="315">
        <f>IF(B169="Serviço",SUMIFS(H170:H372,C170:C372,$C169),IF(B169="Insumo",F169*G169,""))</f>
        <v>18.24666666666667</v>
      </c>
      <c r="I169" s="315"/>
    </row>
    <row r="170" spans="1:9" ht="15.75" hidden="1" customHeight="1" outlineLevel="1" x14ac:dyDescent="0.2">
      <c r="A170" s="307">
        <f>COUNTIFS($D$2:$D$488,D170,$B$2:$B$488,B170)</f>
        <v>1</v>
      </c>
      <c r="B170" s="310" t="s">
        <v>232</v>
      </c>
      <c r="C170" s="310" t="str">
        <f t="shared" si="1"/>
        <v>Fabricação de Fôrma para Lajes, em Chapa de Madeira Compensada Plastificada, E=17mm</v>
      </c>
      <c r="D170" s="310" t="s">
        <v>5060</v>
      </c>
      <c r="E170" s="316" t="s">
        <v>586</v>
      </c>
      <c r="F170" s="317"/>
      <c r="G170" s="318"/>
      <c r="H170" s="318">
        <f>IF(B170="Serviço",SUMIFS(H171:H373,C171:C373,$C170),IF(B170="Insumo",F170*G170,""))</f>
        <v>70.96482867636</v>
      </c>
      <c r="I170" s="318" t="s">
        <v>141</v>
      </c>
    </row>
    <row r="171" spans="1:9" ht="15.75" hidden="1" customHeight="1" outlineLevel="2" x14ac:dyDescent="0.2">
      <c r="A171" s="307">
        <f>COUNTIFS($D$2:$D$488,D171,$B$2:$B$488,B171)</f>
        <v>14</v>
      </c>
      <c r="B171" s="302" t="s">
        <v>587</v>
      </c>
      <c r="C171" s="302" t="str">
        <f t="shared" si="1"/>
        <v>Fabricação de Fôrma para Lajes, em Chapa de Madeira Compensada Plastificada, E=17mm</v>
      </c>
      <c r="D171" s="302" t="s">
        <v>592</v>
      </c>
      <c r="E171" s="311" t="s">
        <v>589</v>
      </c>
      <c r="F171" s="314">
        <v>0.159</v>
      </c>
      <c r="G171" s="315">
        <v>18.93</v>
      </c>
      <c r="H171" s="315">
        <f>IF(B171="Serviço",SUMIFS(H172:H374,C172:C374,$C171),IF(B171="Insumo",F171*G171,""))</f>
        <v>3.0098699999999998</v>
      </c>
      <c r="I171" s="315"/>
    </row>
    <row r="172" spans="1:9" ht="15.75" hidden="1" customHeight="1" outlineLevel="2" x14ac:dyDescent="0.2">
      <c r="A172" s="307">
        <f>COUNTIFS($D$2:$D$488,D172,$B$2:$B$488,B172)</f>
        <v>3</v>
      </c>
      <c r="B172" s="302" t="s">
        <v>587</v>
      </c>
      <c r="C172" s="302" t="str">
        <f t="shared" si="1"/>
        <v>Fabricação de Fôrma para Lajes, em Chapa de Madeira Compensada Plastificada, E=17mm</v>
      </c>
      <c r="D172" s="302" t="s">
        <v>5058</v>
      </c>
      <c r="E172" s="311" t="s">
        <v>586</v>
      </c>
      <c r="F172" s="314">
        <v>1.1459999999999999</v>
      </c>
      <c r="G172" s="315">
        <v>59.297520660000004</v>
      </c>
      <c r="H172" s="315">
        <f>IF(B172="Serviço",SUMIFS(H173:H375,C173:C375,$C172),IF(B172="Insumo",F172*G172,""))</f>
        <v>67.954958676359993</v>
      </c>
      <c r="I172" s="315"/>
    </row>
    <row r="173" spans="1:9" ht="15.75" hidden="1" customHeight="1" outlineLevel="1" x14ac:dyDescent="0.2">
      <c r="A173" s="307">
        <f>COUNTIFS($D$2:$D$488,D173,$B$2:$B$488,B173)</f>
        <v>1</v>
      </c>
      <c r="B173" s="310" t="s">
        <v>232</v>
      </c>
      <c r="C173" s="310" t="str">
        <f t="shared" si="1"/>
        <v>Montagem e Desmontagem de Fôrma de Pilares, em Chapa de Madeira Compensada Plastificada</v>
      </c>
      <c r="D173" s="310" t="s">
        <v>5061</v>
      </c>
      <c r="E173" s="316" t="s">
        <v>586</v>
      </c>
      <c r="F173" s="317"/>
      <c r="G173" s="318"/>
      <c r="H173" s="318">
        <v>4.51</v>
      </c>
      <c r="I173" s="318" t="s">
        <v>141</v>
      </c>
    </row>
    <row r="174" spans="1:9" ht="15.75" hidden="1" customHeight="1" outlineLevel="2" x14ac:dyDescent="0.2">
      <c r="A174" s="307">
        <f>COUNTIFS($D$2:$D$488,D174,$B$2:$B$488,B174)</f>
        <v>14</v>
      </c>
      <c r="B174" s="302" t="s">
        <v>587</v>
      </c>
      <c r="C174" s="302" t="str">
        <f t="shared" si="1"/>
        <v>Montagem e Desmontagem de Fôrma de Pilares, em Chapa de Madeira Compensada Plastificada</v>
      </c>
      <c r="D174" s="302" t="s">
        <v>592</v>
      </c>
      <c r="E174" s="311" t="s">
        <v>589</v>
      </c>
      <c r="F174" s="314">
        <v>2.7E-2</v>
      </c>
      <c r="G174" s="315">
        <v>18.93</v>
      </c>
      <c r="H174" s="315">
        <f>IF(B174="Serviço",SUMIFS(H175:H382,C175:C382,$C174),IF(B174="Insumo",F174*G174,""))</f>
        <v>0.51110999999999995</v>
      </c>
      <c r="I174" s="315"/>
    </row>
    <row r="175" spans="1:9" ht="15.75" hidden="1" customHeight="1" outlineLevel="2" x14ac:dyDescent="0.2">
      <c r="A175" s="307">
        <f>COUNTIFS($D$2:$D$488,D175,$B$2:$B$488,B175)</f>
        <v>6</v>
      </c>
      <c r="B175" s="302" t="s">
        <v>587</v>
      </c>
      <c r="C175" s="302" t="str">
        <f t="shared" si="1"/>
        <v>Montagem e Desmontagem de Fôrma de Pilares, em Chapa de Madeira Compensada Plastificada</v>
      </c>
      <c r="D175" s="302" t="s">
        <v>631</v>
      </c>
      <c r="E175" s="311" t="s">
        <v>593</v>
      </c>
      <c r="F175" s="314">
        <v>1.2999999999999999E-2</v>
      </c>
      <c r="G175" s="315">
        <v>15.55</v>
      </c>
      <c r="H175" s="315">
        <f>IF(B175="Serviço",SUMIFS(H176:H383,C176:C383,$C175),IF(B175="Insumo",F175*G175,""))</f>
        <v>0.20215</v>
      </c>
      <c r="I175" s="315"/>
    </row>
    <row r="176" spans="1:9" ht="15.75" hidden="1" customHeight="1" outlineLevel="1" x14ac:dyDescent="0.2">
      <c r="A176" s="307">
        <f>COUNTIFS($D$2:$D$488,D176,$B$2:$B$488,B176)</f>
        <v>1</v>
      </c>
      <c r="B176" s="310" t="s">
        <v>232</v>
      </c>
      <c r="C176" s="310" t="str">
        <f t="shared" si="1"/>
        <v>Montagem e Desmontagem de Fôrma de Vigas, em Chapa de Madeira Compensada Plastificada</v>
      </c>
      <c r="D176" s="310" t="s">
        <v>5062</v>
      </c>
      <c r="E176" s="316" t="s">
        <v>586</v>
      </c>
      <c r="F176" s="317"/>
      <c r="G176" s="318"/>
      <c r="H176" s="318">
        <f>IF(B176="Serviço",SUMIFS(H177:H384,C177:C384,$C176),IF(B176="Insumo",F176*G176,""))</f>
        <v>4.5050759428571432</v>
      </c>
      <c r="I176" s="318" t="s">
        <v>141</v>
      </c>
    </row>
    <row r="177" spans="1:9" ht="15.75" hidden="1" customHeight="1" outlineLevel="2" x14ac:dyDescent="0.2">
      <c r="A177" s="307">
        <f>COUNTIFS($D$2:$D$488,D177,$B$2:$B$488,B177)</f>
        <v>14</v>
      </c>
      <c r="B177" s="302" t="s">
        <v>587</v>
      </c>
      <c r="C177" s="302" t="str">
        <f t="shared" si="1"/>
        <v>Montagem e Desmontagem de Fôrma de Vigas, em Chapa de Madeira Compensada Plastificada</v>
      </c>
      <c r="D177" s="302" t="s">
        <v>592</v>
      </c>
      <c r="E177" s="311" t="s">
        <v>589</v>
      </c>
      <c r="F177" s="314">
        <v>6.6000000000000003E-2</v>
      </c>
      <c r="G177" s="315">
        <v>18.93</v>
      </c>
      <c r="H177" s="315">
        <f>IF(B177="Serviço",SUMIFS(H178:H385,C178:C385,$C177),IF(B177="Insumo",F177*G177,""))</f>
        <v>1.2493799999999999</v>
      </c>
      <c r="I177" s="315"/>
    </row>
    <row r="178" spans="1:9" ht="15.75" hidden="1" customHeight="1" outlineLevel="2" x14ac:dyDescent="0.2">
      <c r="A178" s="307">
        <f>COUNTIFS($D$2:$D$488,D178,$B$2:$B$488,B178)</f>
        <v>6</v>
      </c>
      <c r="B178" s="302" t="s">
        <v>587</v>
      </c>
      <c r="C178" s="302" t="str">
        <f t="shared" si="1"/>
        <v>Montagem e Desmontagem de Fôrma de Vigas, em Chapa de Madeira Compensada Plastificada</v>
      </c>
      <c r="D178" s="302" t="s">
        <v>631</v>
      </c>
      <c r="E178" s="311" t="s">
        <v>593</v>
      </c>
      <c r="F178" s="314">
        <v>1.2999999999999999E-2</v>
      </c>
      <c r="G178" s="315">
        <v>15.55</v>
      </c>
      <c r="H178" s="315">
        <f>IF(B178="Serviço",SUMIFS(H179:H386,C179:C386,$C178),IF(B178="Insumo",F178*G178,""))</f>
        <v>0.20215</v>
      </c>
      <c r="I178" s="315"/>
    </row>
    <row r="179" spans="1:9" ht="15.75" hidden="1" customHeight="1" outlineLevel="2" x14ac:dyDescent="0.2">
      <c r="A179" s="307">
        <f>COUNTIFS($D$2:$D$488,D179,$B$2:$B$488,B179)</f>
        <v>5</v>
      </c>
      <c r="B179" s="302" t="s">
        <v>587</v>
      </c>
      <c r="C179" s="302" t="str">
        <f t="shared" si="1"/>
        <v>Montagem e Desmontagem de Fôrma de Vigas, em Chapa de Madeira Compensada Plastificada</v>
      </c>
      <c r="D179" s="302" t="s">
        <v>590</v>
      </c>
      <c r="E179" s="311" t="s">
        <v>591</v>
      </c>
      <c r="F179" s="314">
        <v>0.2857142857142857</v>
      </c>
      <c r="G179" s="315">
        <v>6.1875</v>
      </c>
      <c r="H179" s="315">
        <f>IF(B179="Serviço",SUMIFS(H180:H387,C180:C387,$C179),IF(B179="Insumo",F179*G179,""))</f>
        <v>1.7678571428571428</v>
      </c>
      <c r="I179" s="315"/>
    </row>
    <row r="180" spans="1:9" ht="15.75" hidden="1" customHeight="1" outlineLevel="2" x14ac:dyDescent="0.2">
      <c r="A180" s="307">
        <f>COUNTIFS($D$2:$D$488,D180,$B$2:$B$488,B180)</f>
        <v>4</v>
      </c>
      <c r="B180" s="302" t="s">
        <v>587</v>
      </c>
      <c r="C180" s="302" t="str">
        <f t="shared" si="1"/>
        <v>Montagem e Desmontagem de Fôrma de Vigas, em Chapa de Madeira Compensada Plastificada</v>
      </c>
      <c r="D180" s="302" t="s">
        <v>632</v>
      </c>
      <c r="E180" s="311" t="s">
        <v>591</v>
      </c>
      <c r="F180" s="314">
        <v>3.0280000000000001E-2</v>
      </c>
      <c r="G180" s="315">
        <v>42.46</v>
      </c>
      <c r="H180" s="315">
        <f>IF(B180="Serviço",SUMIFS(H181:H388,C181:C388,$C180),IF(B180="Insumo",F180*G180,""))</f>
        <v>1.2856888000000002</v>
      </c>
      <c r="I180" s="315"/>
    </row>
    <row r="181" spans="1:9" ht="15.75" hidden="1" customHeight="1" outlineLevel="1" x14ac:dyDescent="0.2">
      <c r="A181" s="307">
        <f>COUNTIFS($D$2:$D$488,D181,$B$2:$B$488,B181)</f>
        <v>1</v>
      </c>
      <c r="B181" s="310" t="s">
        <v>232</v>
      </c>
      <c r="C181" s="310" t="str">
        <f t="shared" si="1"/>
        <v>Montagem e Desmontagem de Fôrma de Lajes, em Chapa de Madeira Compensada Plastificada</v>
      </c>
      <c r="D181" s="310" t="s">
        <v>5063</v>
      </c>
      <c r="E181" s="316" t="s">
        <v>586</v>
      </c>
      <c r="F181" s="317"/>
      <c r="G181" s="318"/>
      <c r="H181" s="318">
        <v>4.51</v>
      </c>
      <c r="I181" s="318" t="s">
        <v>141</v>
      </c>
    </row>
    <row r="182" spans="1:9" ht="15.75" hidden="1" customHeight="1" outlineLevel="2" x14ac:dyDescent="0.2">
      <c r="A182" s="307">
        <f>COUNTIFS($D$2:$D$488,D182,$B$2:$B$488,B182)</f>
        <v>14</v>
      </c>
      <c r="B182" s="302" t="s">
        <v>587</v>
      </c>
      <c r="C182" s="302" t="str">
        <f t="shared" si="1"/>
        <v>Montagem e Desmontagem de Fôrma de Lajes, em Chapa de Madeira Compensada Plastificada</v>
      </c>
      <c r="D182" s="302" t="s">
        <v>592</v>
      </c>
      <c r="E182" s="311" t="s">
        <v>589</v>
      </c>
      <c r="F182" s="314">
        <v>2.7E-2</v>
      </c>
      <c r="G182" s="315">
        <v>18.93</v>
      </c>
      <c r="H182" s="315">
        <f>IF(B182="Serviço",SUMIFS(H183:H389,C183:C389,$C182),IF(B182="Insumo",F182*G182,""))</f>
        <v>0.51110999999999995</v>
      </c>
      <c r="I182" s="315"/>
    </row>
    <row r="183" spans="1:9" ht="15.75" hidden="1" customHeight="1" outlineLevel="2" x14ac:dyDescent="0.2">
      <c r="A183" s="307">
        <f>COUNTIFS($D$2:$D$488,D183,$B$2:$B$488,B183)</f>
        <v>6</v>
      </c>
      <c r="B183" s="302" t="s">
        <v>587</v>
      </c>
      <c r="C183" s="302" t="str">
        <f t="shared" si="1"/>
        <v>Montagem e Desmontagem de Fôrma de Lajes, em Chapa de Madeira Compensada Plastificada</v>
      </c>
      <c r="D183" s="302" t="s">
        <v>631</v>
      </c>
      <c r="E183" s="311" t="s">
        <v>593</v>
      </c>
      <c r="F183" s="314">
        <v>1.2999999999999999E-2</v>
      </c>
      <c r="G183" s="315">
        <v>15.55</v>
      </c>
      <c r="H183" s="315">
        <f>IF(B183="Serviço",SUMIFS(H184:H389,C184:C389,$C183),IF(B183="Insumo",F183*G183,""))</f>
        <v>0.20215</v>
      </c>
      <c r="I183" s="315"/>
    </row>
    <row r="184" spans="1:9" ht="15.75" hidden="1" customHeight="1" outlineLevel="1" x14ac:dyDescent="0.2">
      <c r="A184" s="307">
        <f>COUNTIFS($D$2:$D$488,D184,$B$2:$B$488,B184)</f>
        <v>1</v>
      </c>
      <c r="B184" s="310" t="s">
        <v>232</v>
      </c>
      <c r="C184" s="310" t="str">
        <f>IF(B184="Serviço",D184,#REF!)</f>
        <v>Armação Aço CA-50, Diâmetro de 6,3mm para Supraestrutura, Corte e Dobra em Industria</v>
      </c>
      <c r="D184" s="310" t="s">
        <v>5504</v>
      </c>
      <c r="E184" s="316" t="s">
        <v>589</v>
      </c>
      <c r="F184" s="317"/>
      <c r="G184" s="318"/>
      <c r="H184" s="318">
        <f>IF(B184="Serviço",SUMIFS(H185:H389,C185:C389,$C184),IF(B184="Insumo",F184*G184,""))</f>
        <v>7.4562749999999998</v>
      </c>
      <c r="I184" s="318" t="s">
        <v>141</v>
      </c>
    </row>
    <row r="185" spans="1:9" ht="15.75" hidden="1" customHeight="1" outlineLevel="2" x14ac:dyDescent="0.2">
      <c r="A185" s="307">
        <f>COUNTIFS($D$2:$D$488,D185,$B$2:$B$488,B185)</f>
        <v>3</v>
      </c>
      <c r="B185" s="302" t="s">
        <v>587</v>
      </c>
      <c r="C185" s="302" t="str">
        <f t="shared" si="1"/>
        <v>Armação Aço CA-50, Diâmetro de 6,3mm para Supraestrutura, Corte e Dobra em Industria</v>
      </c>
      <c r="D185" s="302" t="s">
        <v>620</v>
      </c>
      <c r="E185" s="311" t="s">
        <v>589</v>
      </c>
      <c r="F185" s="314">
        <v>1</v>
      </c>
      <c r="G185" s="315">
        <v>6.17</v>
      </c>
      <c r="H185" s="315">
        <f>IF(B185="Serviço",SUMIFS(H186:H389,C186:C389,$C185),IF(B185="Insumo",F185*G185,""))</f>
        <v>6.17</v>
      </c>
      <c r="I185" s="315"/>
    </row>
    <row r="186" spans="1:9" ht="15.75" hidden="1" customHeight="1" outlineLevel="2" x14ac:dyDescent="0.2">
      <c r="A186" s="307">
        <f>COUNTIFS($D$2:$D$488,D186,$B$2:$B$488,B186)</f>
        <v>19</v>
      </c>
      <c r="B186" s="302" t="s">
        <v>587</v>
      </c>
      <c r="C186" s="302" t="str">
        <f t="shared" si="1"/>
        <v>Armação Aço CA-50, Diâmetro de 6,3mm para Supraestrutura, Corte e Dobra em Industria</v>
      </c>
      <c r="D186" s="302" t="s">
        <v>621</v>
      </c>
      <c r="E186" s="311" t="s">
        <v>589</v>
      </c>
      <c r="F186" s="314">
        <v>2.0500000000000001E-2</v>
      </c>
      <c r="G186" s="315">
        <v>27.55</v>
      </c>
      <c r="H186" s="315">
        <f>IF(B186="Serviço",SUMIFS(H187:H389,C187:C389,$C186),IF(B186="Insumo",F186*G186,""))</f>
        <v>0.56477500000000003</v>
      </c>
      <c r="I186" s="315"/>
    </row>
    <row r="187" spans="1:9" ht="15.75" hidden="1" customHeight="1" outlineLevel="2" x14ac:dyDescent="0.2">
      <c r="A187" s="307">
        <f>COUNTIFS($D$2:$D$488,D187,$B$2:$B$488,B187)</f>
        <v>20</v>
      </c>
      <c r="B187" s="302" t="s">
        <v>587</v>
      </c>
      <c r="C187" s="302" t="str">
        <f t="shared" si="1"/>
        <v>Armação Aço CA-50, Diâmetro de 6,3mm para Supraestrutura, Corte e Dobra em Industria</v>
      </c>
      <c r="D187" s="302" t="s">
        <v>622</v>
      </c>
      <c r="E187" s="311" t="s">
        <v>17</v>
      </c>
      <c r="F187" s="314">
        <v>0.05</v>
      </c>
      <c r="G187" s="315">
        <v>0.43</v>
      </c>
      <c r="H187" s="315">
        <f>IF(B187="Serviço",SUMIFS(H189:H389,C189:C389,$C187),IF(B187="Insumo",F187*G187,""))</f>
        <v>2.1500000000000002E-2</v>
      </c>
      <c r="I187" s="315"/>
    </row>
    <row r="188" spans="1:9" ht="15.75" hidden="1" customHeight="1" outlineLevel="2" x14ac:dyDescent="0.2">
      <c r="A188" s="307">
        <f>COUNTIFS($D$2:$D$488,D188,$B$2:$B$488,B188)</f>
        <v>15</v>
      </c>
      <c r="B188" s="302" t="s">
        <v>587</v>
      </c>
      <c r="C188" s="302" t="str">
        <f>IF(B188="Serviço",D188,C186)</f>
        <v>Armação Aço CA-50, Diâmetro de 6,3mm para Supraestrutura, Corte e Dobra em Industria</v>
      </c>
      <c r="D188" s="302" t="s">
        <v>5055</v>
      </c>
      <c r="E188" s="311" t="s">
        <v>17</v>
      </c>
      <c r="F188" s="314">
        <f>F185</f>
        <v>1</v>
      </c>
      <c r="G188" s="315">
        <v>0.7</v>
      </c>
      <c r="H188" s="315">
        <f>IF(B188="Serviço",SUMIFS(H189:H393,C189:C393,$C188),IF(B188="Insumo",F188*G188,""))</f>
        <v>0.7</v>
      </c>
      <c r="I188" s="315"/>
    </row>
    <row r="189" spans="1:9" ht="15.75" hidden="1" customHeight="1" outlineLevel="1" x14ac:dyDescent="0.2">
      <c r="A189" s="307">
        <f>COUNTIFS($D$2:$D$488,D189,$B$2:$B$488,B189)</f>
        <v>1</v>
      </c>
      <c r="B189" s="310" t="s">
        <v>232</v>
      </c>
      <c r="C189" s="310" t="str">
        <f>IF(B189="Serviço",D189,C187)</f>
        <v>Armação Aço CA-50, Diâmetro de 8,0mm para Supraestrutura, Corte e Dobra em Industria</v>
      </c>
      <c r="D189" s="310" t="s">
        <v>5505</v>
      </c>
      <c r="E189" s="316" t="s">
        <v>589</v>
      </c>
      <c r="F189" s="317"/>
      <c r="G189" s="318"/>
      <c r="H189" s="318">
        <f>IF(B189="Serviço",SUMIFS(H190:H389,C190:C389,$C189),IF(B189="Insumo",F189*G189,""))</f>
        <v>7.4562749999999998</v>
      </c>
      <c r="I189" s="318" t="s">
        <v>141</v>
      </c>
    </row>
    <row r="190" spans="1:9" ht="15.75" hidden="1" customHeight="1" outlineLevel="2" x14ac:dyDescent="0.2">
      <c r="A190" s="307">
        <f>COUNTIFS($D$2:$D$488,D190,$B$2:$B$488,B190)</f>
        <v>4</v>
      </c>
      <c r="B190" s="302" t="s">
        <v>587</v>
      </c>
      <c r="C190" s="302" t="str">
        <f t="shared" si="1"/>
        <v>Armação Aço CA-50, Diâmetro de 8,0mm para Supraestrutura, Corte e Dobra em Industria</v>
      </c>
      <c r="D190" s="302" t="s">
        <v>623</v>
      </c>
      <c r="E190" s="311" t="s">
        <v>589</v>
      </c>
      <c r="F190" s="314">
        <v>1</v>
      </c>
      <c r="G190" s="315">
        <v>6.17</v>
      </c>
      <c r="H190" s="315">
        <f>IF(B190="Serviço",SUMIFS(H191:H389,C191:C389,$C190),IF(B190="Insumo",F190*G190,""))</f>
        <v>6.17</v>
      </c>
      <c r="I190" s="315"/>
    </row>
    <row r="191" spans="1:9" ht="15.75" hidden="1" customHeight="1" outlineLevel="2" x14ac:dyDescent="0.2">
      <c r="A191" s="307">
        <f>COUNTIFS($D$2:$D$488,D191,$B$2:$B$488,B191)</f>
        <v>19</v>
      </c>
      <c r="B191" s="302" t="s">
        <v>587</v>
      </c>
      <c r="C191" s="302" t="str">
        <f t="shared" si="1"/>
        <v>Armação Aço CA-50, Diâmetro de 8,0mm para Supraestrutura, Corte e Dobra em Industria</v>
      </c>
      <c r="D191" s="302" t="s">
        <v>621</v>
      </c>
      <c r="E191" s="311" t="s">
        <v>589</v>
      </c>
      <c r="F191" s="314">
        <v>2.0500000000000001E-2</v>
      </c>
      <c r="G191" s="315">
        <v>27.55</v>
      </c>
      <c r="H191" s="315">
        <f>IF(B191="Serviço",SUMIFS(H192:H389,C192:C389,$C191),IF(B191="Insumo",F191*G191,""))</f>
        <v>0.56477500000000003</v>
      </c>
      <c r="I191" s="315"/>
    </row>
    <row r="192" spans="1:9" ht="15.75" hidden="1" customHeight="1" outlineLevel="2" x14ac:dyDescent="0.2">
      <c r="A192" s="307">
        <f>COUNTIFS($D$2:$D$488,D192,$B$2:$B$488,B192)</f>
        <v>20</v>
      </c>
      <c r="B192" s="302" t="s">
        <v>587</v>
      </c>
      <c r="C192" s="302" t="str">
        <f t="shared" si="1"/>
        <v>Armação Aço CA-50, Diâmetro de 8,0mm para Supraestrutura, Corte e Dobra em Industria</v>
      </c>
      <c r="D192" s="302" t="s">
        <v>622</v>
      </c>
      <c r="E192" s="311" t="s">
        <v>17</v>
      </c>
      <c r="F192" s="314">
        <v>0.05</v>
      </c>
      <c r="G192" s="315">
        <v>0.43</v>
      </c>
      <c r="H192" s="315">
        <f>IF(B192="Serviço",SUMIFS(H194:H389,C194:C389,$C192),IF(B192="Insumo",F192*G192,""))</f>
        <v>2.1500000000000002E-2</v>
      </c>
      <c r="I192" s="315"/>
    </row>
    <row r="193" spans="1:9" ht="15.75" hidden="1" customHeight="1" outlineLevel="2" x14ac:dyDescent="0.2">
      <c r="A193" s="307">
        <f>COUNTIFS($D$2:$D$488,D193,$B$2:$B$488,B193)</f>
        <v>15</v>
      </c>
      <c r="B193" s="302" t="s">
        <v>587</v>
      </c>
      <c r="C193" s="302" t="str">
        <f>IF(B193="Serviço",D193,C191)</f>
        <v>Armação Aço CA-50, Diâmetro de 8,0mm para Supraestrutura, Corte e Dobra em Industria</v>
      </c>
      <c r="D193" s="302" t="s">
        <v>5055</v>
      </c>
      <c r="E193" s="311" t="s">
        <v>17</v>
      </c>
      <c r="F193" s="314">
        <f>F190</f>
        <v>1</v>
      </c>
      <c r="G193" s="315">
        <v>0.7</v>
      </c>
      <c r="H193" s="315">
        <f>IF(B193="Serviço",SUMIFS(H194:H398,C194:C398,$C193),IF(B193="Insumo",F193*G193,""))</f>
        <v>0.7</v>
      </c>
      <c r="I193" s="315"/>
    </row>
    <row r="194" spans="1:9" ht="15.75" hidden="1" customHeight="1" outlineLevel="1" x14ac:dyDescent="0.2">
      <c r="A194" s="307">
        <f>COUNTIFS($D$2:$D$488,D194,$B$2:$B$488,B194)</f>
        <v>1</v>
      </c>
      <c r="B194" s="310" t="s">
        <v>232</v>
      </c>
      <c r="C194" s="310" t="str">
        <f>IF(B194="Serviço",D194,C192)</f>
        <v>Armação Aço CA-50, Diâmetro de 10,0mm para Supraestrutura, Corte e Dobra em Industria</v>
      </c>
      <c r="D194" s="310" t="s">
        <v>5506</v>
      </c>
      <c r="E194" s="316" t="s">
        <v>589</v>
      </c>
      <c r="F194" s="317"/>
      <c r="G194" s="318"/>
      <c r="H194" s="318">
        <f>IF(B194="Serviço",SUMIFS(H195:H389,C195:C389,$C194),IF(B194="Insumo",F194*G194,""))</f>
        <v>7.1662749999999997</v>
      </c>
      <c r="I194" s="318" t="s">
        <v>141</v>
      </c>
    </row>
    <row r="195" spans="1:9" ht="15.75" hidden="1" customHeight="1" outlineLevel="2" x14ac:dyDescent="0.2">
      <c r="A195" s="307">
        <f>COUNTIFS($D$2:$D$488,D195,$B$2:$B$488,B195)</f>
        <v>3</v>
      </c>
      <c r="B195" s="302" t="s">
        <v>587</v>
      </c>
      <c r="C195" s="302" t="str">
        <f t="shared" si="1"/>
        <v>Armação Aço CA-50, Diâmetro de 10,0mm para Supraestrutura, Corte e Dobra em Industria</v>
      </c>
      <c r="D195" s="302" t="s">
        <v>625</v>
      </c>
      <c r="E195" s="311" t="s">
        <v>589</v>
      </c>
      <c r="F195" s="314">
        <v>1</v>
      </c>
      <c r="G195" s="315">
        <v>5.88</v>
      </c>
      <c r="H195" s="315">
        <f>IF(B195="Serviço",SUMIFS(H196:H390,C196:C390,$C195),IF(B195="Insumo",F195*G195,""))</f>
        <v>5.88</v>
      </c>
      <c r="I195" s="315"/>
    </row>
    <row r="196" spans="1:9" ht="15.75" hidden="1" customHeight="1" outlineLevel="2" x14ac:dyDescent="0.2">
      <c r="A196" s="307">
        <f>COUNTIFS($D$2:$D$488,D196,$B$2:$B$488,B196)</f>
        <v>19</v>
      </c>
      <c r="B196" s="302" t="s">
        <v>587</v>
      </c>
      <c r="C196" s="302" t="str">
        <f t="shared" si="1"/>
        <v>Armação Aço CA-50, Diâmetro de 10,0mm para Supraestrutura, Corte e Dobra em Industria</v>
      </c>
      <c r="D196" s="302" t="s">
        <v>621</v>
      </c>
      <c r="E196" s="311" t="s">
        <v>589</v>
      </c>
      <c r="F196" s="314">
        <v>2.0500000000000001E-2</v>
      </c>
      <c r="G196" s="315">
        <v>27.55</v>
      </c>
      <c r="H196" s="315">
        <f>IF(B196="Serviço",SUMIFS(H197:H391,C197:C391,$C196),IF(B196="Insumo",F196*G196,""))</f>
        <v>0.56477500000000003</v>
      </c>
      <c r="I196" s="315"/>
    </row>
    <row r="197" spans="1:9" ht="15.75" hidden="1" customHeight="1" outlineLevel="2" x14ac:dyDescent="0.2">
      <c r="A197" s="307">
        <f>COUNTIFS($D$2:$D$488,D197,$B$2:$B$488,B197)</f>
        <v>20</v>
      </c>
      <c r="B197" s="302" t="s">
        <v>587</v>
      </c>
      <c r="C197" s="302" t="str">
        <f t="shared" si="1"/>
        <v>Armação Aço CA-50, Diâmetro de 10,0mm para Supraestrutura, Corte e Dobra em Industria</v>
      </c>
      <c r="D197" s="302" t="s">
        <v>622</v>
      </c>
      <c r="E197" s="311" t="s">
        <v>17</v>
      </c>
      <c r="F197" s="314">
        <v>0.05</v>
      </c>
      <c r="G197" s="315">
        <v>0.43</v>
      </c>
      <c r="H197" s="315">
        <f>IF(B197="Serviço",SUMIFS(H199:H392,C199:C392,$C197),IF(B197="Insumo",F197*G197,""))</f>
        <v>2.1500000000000002E-2</v>
      </c>
      <c r="I197" s="315"/>
    </row>
    <row r="198" spans="1:9" ht="15.75" hidden="1" customHeight="1" outlineLevel="2" x14ac:dyDescent="0.2">
      <c r="A198" s="307">
        <f>COUNTIFS($D$2:$D$488,D198,$B$2:$B$488,B198)</f>
        <v>15</v>
      </c>
      <c r="B198" s="302" t="s">
        <v>587</v>
      </c>
      <c r="C198" s="302" t="str">
        <f>IF(B198="Serviço",D198,C196)</f>
        <v>Armação Aço CA-50, Diâmetro de 10,0mm para Supraestrutura, Corte e Dobra em Industria</v>
      </c>
      <c r="D198" s="302" t="s">
        <v>5055</v>
      </c>
      <c r="E198" s="311" t="s">
        <v>17</v>
      </c>
      <c r="F198" s="314">
        <f>F195</f>
        <v>1</v>
      </c>
      <c r="G198" s="315">
        <v>0.7</v>
      </c>
      <c r="H198" s="315">
        <f>IF(B198="Serviço",SUMIFS(H199:H403,C199:C403,$C198),IF(B198="Insumo",F198*G198,""))</f>
        <v>0.7</v>
      </c>
      <c r="I198" s="315"/>
    </row>
    <row r="199" spans="1:9" ht="15.75" hidden="1" customHeight="1" outlineLevel="1" x14ac:dyDescent="0.2">
      <c r="A199" s="307">
        <f>COUNTIFS($D$2:$D$488,D199,$B$2:$B$488,B199)</f>
        <v>1</v>
      </c>
      <c r="B199" s="310" t="s">
        <v>232</v>
      </c>
      <c r="C199" s="310" t="str">
        <f>IF(B199="Serviço",D199,C197)</f>
        <v>Armação Aço CA-50, Diâmetro de 12,5mm para Supraestrutura, Corte e Dobra em Industria</v>
      </c>
      <c r="D199" s="310" t="s">
        <v>5507</v>
      </c>
      <c r="E199" s="316" t="s">
        <v>589</v>
      </c>
      <c r="F199" s="317"/>
      <c r="G199" s="318"/>
      <c r="H199" s="318">
        <f>IF(B199="Serviço",SUMIFS(H200:H392,C200:C392,$C199),IF(B199="Insumo",F199*G199,""))</f>
        <v>6.9962749999999998</v>
      </c>
      <c r="I199" s="318" t="s">
        <v>141</v>
      </c>
    </row>
    <row r="200" spans="1:9" ht="15.75" hidden="1" customHeight="1" outlineLevel="2" x14ac:dyDescent="0.2">
      <c r="A200" s="307">
        <f>COUNTIFS($D$2:$D$488,D200,$B$2:$B$488,B200)</f>
        <v>2</v>
      </c>
      <c r="B200" s="302" t="s">
        <v>587</v>
      </c>
      <c r="C200" s="302" t="str">
        <f t="shared" si="1"/>
        <v>Armação Aço CA-50, Diâmetro de 12,5mm para Supraestrutura, Corte e Dobra em Industria</v>
      </c>
      <c r="D200" s="302" t="s">
        <v>633</v>
      </c>
      <c r="E200" s="311" t="s">
        <v>589</v>
      </c>
      <c r="F200" s="314">
        <v>1</v>
      </c>
      <c r="G200" s="315">
        <v>5.71</v>
      </c>
      <c r="H200" s="315">
        <f>IF(B200="Serviço",SUMIFS(H201:H392,C201:C392,$C200),IF(B200="Insumo",F200*G200,""))</f>
        <v>5.71</v>
      </c>
      <c r="I200" s="315"/>
    </row>
    <row r="201" spans="1:9" ht="15.75" hidden="1" customHeight="1" outlineLevel="2" x14ac:dyDescent="0.2">
      <c r="A201" s="307">
        <f>COUNTIFS($D$2:$D$488,D201,$B$2:$B$488,B201)</f>
        <v>19</v>
      </c>
      <c r="B201" s="302" t="s">
        <v>587</v>
      </c>
      <c r="C201" s="302" t="str">
        <f t="shared" si="1"/>
        <v>Armação Aço CA-50, Diâmetro de 12,5mm para Supraestrutura, Corte e Dobra em Industria</v>
      </c>
      <c r="D201" s="302" t="s">
        <v>621</v>
      </c>
      <c r="E201" s="311" t="s">
        <v>589</v>
      </c>
      <c r="F201" s="314">
        <v>2.0500000000000001E-2</v>
      </c>
      <c r="G201" s="315">
        <v>27.55</v>
      </c>
      <c r="H201" s="315">
        <f>IF(B201="Serviço",SUMIFS(H202:H392,C202:C392,$C201),IF(B201="Insumo",F201*G201,""))</f>
        <v>0.56477500000000003</v>
      </c>
      <c r="I201" s="315"/>
    </row>
    <row r="202" spans="1:9" ht="15.75" hidden="1" customHeight="1" outlineLevel="2" x14ac:dyDescent="0.2">
      <c r="A202" s="307">
        <f>COUNTIFS($D$2:$D$488,D202,$B$2:$B$488,B202)</f>
        <v>20</v>
      </c>
      <c r="B202" s="302" t="s">
        <v>587</v>
      </c>
      <c r="C202" s="302" t="str">
        <f t="shared" si="1"/>
        <v>Armação Aço CA-50, Diâmetro de 12,5mm para Supraestrutura, Corte e Dobra em Industria</v>
      </c>
      <c r="D202" s="302" t="s">
        <v>622</v>
      </c>
      <c r="E202" s="311" t="s">
        <v>17</v>
      </c>
      <c r="F202" s="314">
        <v>0.05</v>
      </c>
      <c r="G202" s="315">
        <v>0.43</v>
      </c>
      <c r="H202" s="315">
        <f>IF(B202="Serviço",SUMIFS(H204:H393,C204:C393,$C202),IF(B202="Insumo",F202*G202,""))</f>
        <v>2.1500000000000002E-2</v>
      </c>
      <c r="I202" s="315"/>
    </row>
    <row r="203" spans="1:9" ht="15.75" hidden="1" customHeight="1" outlineLevel="2" x14ac:dyDescent="0.2">
      <c r="A203" s="307">
        <f>COUNTIFS($D$2:$D$488,D203,$B$2:$B$488,B203)</f>
        <v>15</v>
      </c>
      <c r="B203" s="302" t="s">
        <v>587</v>
      </c>
      <c r="C203" s="302" t="str">
        <f>IF(B203="Serviço",D203,C201)</f>
        <v>Armação Aço CA-50, Diâmetro de 12,5mm para Supraestrutura, Corte e Dobra em Industria</v>
      </c>
      <c r="D203" s="302" t="s">
        <v>5055</v>
      </c>
      <c r="E203" s="311" t="s">
        <v>17</v>
      </c>
      <c r="F203" s="314">
        <f>F200</f>
        <v>1</v>
      </c>
      <c r="G203" s="315">
        <v>0.7</v>
      </c>
      <c r="H203" s="315">
        <f>IF(B203="Serviço",SUMIFS(H204:H408,C204:C408,$C203),IF(B203="Insumo",F203*G203,""))</f>
        <v>0.7</v>
      </c>
      <c r="I203" s="315"/>
    </row>
    <row r="204" spans="1:9" ht="15.75" hidden="1" customHeight="1" outlineLevel="1" x14ac:dyDescent="0.2">
      <c r="A204" s="307">
        <f>COUNTIFS($D$2:$D$488,D204,$B$2:$B$488,B204)</f>
        <v>1</v>
      </c>
      <c r="B204" s="310" t="s">
        <v>232</v>
      </c>
      <c r="C204" s="310" t="str">
        <f>IF(B204="Serviço",D204,C202)</f>
        <v>Armação Aço CA-50, Diâmetro de 16,0mm para Supraestrutura, Corte e Dobra em Industria</v>
      </c>
      <c r="D204" s="310" t="s">
        <v>5508</v>
      </c>
      <c r="E204" s="316" t="s">
        <v>589</v>
      </c>
      <c r="F204" s="317"/>
      <c r="G204" s="318"/>
      <c r="H204" s="318">
        <f>IF(B204="Serviço",SUMIFS(H205:H394,C205:C394,$C204),IF(B204="Insumo",F204*G204,""))</f>
        <v>7.3167749999999998</v>
      </c>
      <c r="I204" s="318" t="s">
        <v>141</v>
      </c>
    </row>
    <row r="205" spans="1:9" ht="15.75" hidden="1" customHeight="1" outlineLevel="2" x14ac:dyDescent="0.2">
      <c r="A205" s="307">
        <f>COUNTIFS($D$2:$D$488,D205,$B$2:$B$488,B205)</f>
        <v>3</v>
      </c>
      <c r="B205" s="302" t="s">
        <v>587</v>
      </c>
      <c r="C205" s="302" t="str">
        <f t="shared" si="1"/>
        <v>Armação Aço CA-50, Diâmetro de 16,0mm para Supraestrutura, Corte e Dobra em Industria</v>
      </c>
      <c r="D205" s="302" t="s">
        <v>626</v>
      </c>
      <c r="E205" s="311" t="s">
        <v>589</v>
      </c>
      <c r="F205" s="314">
        <v>1.05</v>
      </c>
      <c r="G205" s="315">
        <v>5.71</v>
      </c>
      <c r="H205" s="315">
        <f>IF(B205="Serviço",SUMIFS(H206:H395,C206:C395,$C205),IF(B205="Insumo",F205*G205,""))</f>
        <v>5.9954999999999998</v>
      </c>
      <c r="I205" s="315"/>
    </row>
    <row r="206" spans="1:9" ht="15.75" hidden="1" customHeight="1" outlineLevel="2" x14ac:dyDescent="0.2">
      <c r="A206" s="307">
        <f>COUNTIFS($D$2:$D$488,D206,$B$2:$B$488,B206)</f>
        <v>19</v>
      </c>
      <c r="B206" s="302" t="s">
        <v>587</v>
      </c>
      <c r="C206" s="302" t="str">
        <f t="shared" si="1"/>
        <v>Armação Aço CA-50, Diâmetro de 16,0mm para Supraestrutura, Corte e Dobra em Industria</v>
      </c>
      <c r="D206" s="302" t="s">
        <v>621</v>
      </c>
      <c r="E206" s="311" t="s">
        <v>589</v>
      </c>
      <c r="F206" s="314">
        <v>2.0500000000000001E-2</v>
      </c>
      <c r="G206" s="315">
        <v>27.55</v>
      </c>
      <c r="H206" s="315">
        <f>IF(B206="Serviço",SUMIFS(H207:H396,C207:C396,$C206),IF(B206="Insumo",F206*G206,""))</f>
        <v>0.56477500000000003</v>
      </c>
      <c r="I206" s="315"/>
    </row>
    <row r="207" spans="1:9" ht="15.75" hidden="1" customHeight="1" outlineLevel="2" x14ac:dyDescent="0.2">
      <c r="A207" s="307">
        <f>COUNTIFS($D$2:$D$488,D207,$B$2:$B$488,B207)</f>
        <v>20</v>
      </c>
      <c r="B207" s="302" t="s">
        <v>587</v>
      </c>
      <c r="C207" s="302" t="str">
        <f t="shared" si="1"/>
        <v>Armação Aço CA-50, Diâmetro de 16,0mm para Supraestrutura, Corte e Dobra em Industria</v>
      </c>
      <c r="D207" s="302" t="s">
        <v>622</v>
      </c>
      <c r="E207" s="311" t="s">
        <v>17</v>
      </c>
      <c r="F207" s="314">
        <v>0.05</v>
      </c>
      <c r="G207" s="315">
        <v>0.43</v>
      </c>
      <c r="H207" s="315">
        <f>IF(B207="Serviço",SUMIFS(H209:H397,C209:C397,$C207),IF(B207="Insumo",F207*G207,""))</f>
        <v>2.1500000000000002E-2</v>
      </c>
      <c r="I207" s="315"/>
    </row>
    <row r="208" spans="1:9" ht="15.75" hidden="1" customHeight="1" outlineLevel="2" x14ac:dyDescent="0.2">
      <c r="A208" s="307">
        <f>COUNTIFS($D$2:$D$488,D208,$B$2:$B$488,B208)</f>
        <v>15</v>
      </c>
      <c r="B208" s="302" t="s">
        <v>587</v>
      </c>
      <c r="C208" s="302" t="str">
        <f>IF(B208="Serviço",D208,C206)</f>
        <v>Armação Aço CA-50, Diâmetro de 16,0mm para Supraestrutura, Corte e Dobra em Industria</v>
      </c>
      <c r="D208" s="302" t="s">
        <v>5055</v>
      </c>
      <c r="E208" s="311" t="s">
        <v>17</v>
      </c>
      <c r="F208" s="314">
        <f>F205</f>
        <v>1.05</v>
      </c>
      <c r="G208" s="315">
        <v>0.7</v>
      </c>
      <c r="H208" s="315">
        <f>IF(B208="Serviço",SUMIFS(H209:H413,C209:C413,$C208),IF(B208="Insumo",F208*G208,""))</f>
        <v>0.73499999999999999</v>
      </c>
      <c r="I208" s="315"/>
    </row>
    <row r="209" spans="1:9" ht="15.75" hidden="1" customHeight="1" outlineLevel="1" x14ac:dyDescent="0.2">
      <c r="A209" s="307">
        <f>COUNTIFS($D$2:$D$488,D209,$B$2:$B$488,B209)</f>
        <v>1</v>
      </c>
      <c r="B209" s="310" t="s">
        <v>232</v>
      </c>
      <c r="C209" s="310" t="str">
        <f>IF(B209="Serviço",D209,C207)</f>
        <v>Armação Aço CA-50, Diâmetro de 20,0mm para Supraestrutura, Corte e Dobra em Industria</v>
      </c>
      <c r="D209" s="310" t="s">
        <v>5509</v>
      </c>
      <c r="E209" s="316" t="s">
        <v>589</v>
      </c>
      <c r="F209" s="317"/>
      <c r="G209" s="318"/>
      <c r="H209" s="318">
        <f>IF(B209="Serviço",SUMIFS(H210:H397,C210:C397,$C209),IF(B209="Insumo",F209*G209,""))</f>
        <v>7.3167749999999998</v>
      </c>
      <c r="I209" s="318" t="s">
        <v>141</v>
      </c>
    </row>
    <row r="210" spans="1:9" ht="15.75" hidden="1" customHeight="1" outlineLevel="2" x14ac:dyDescent="0.2">
      <c r="A210" s="307">
        <f>COUNTIFS($D$2:$D$488,D210,$B$2:$B$488,B210)</f>
        <v>3</v>
      </c>
      <c r="B210" s="302" t="s">
        <v>587</v>
      </c>
      <c r="C210" s="302" t="str">
        <f t="shared" si="1"/>
        <v>Armação Aço CA-50, Diâmetro de 20,0mm para Supraestrutura, Corte e Dobra em Industria</v>
      </c>
      <c r="D210" s="302" t="s">
        <v>627</v>
      </c>
      <c r="E210" s="311" t="s">
        <v>589</v>
      </c>
      <c r="F210" s="314">
        <v>1.05</v>
      </c>
      <c r="G210" s="315">
        <v>5.71</v>
      </c>
      <c r="H210" s="315">
        <f>IF(B210="Serviço",SUMIFS(H211:H397,C211:C397,$C210),IF(B210="Insumo",F210*G210,""))</f>
        <v>5.9954999999999998</v>
      </c>
      <c r="I210" s="315"/>
    </row>
    <row r="211" spans="1:9" ht="15.75" hidden="1" customHeight="1" outlineLevel="2" x14ac:dyDescent="0.2">
      <c r="A211" s="307">
        <f>COUNTIFS($D$2:$D$488,D211,$B$2:$B$488,B211)</f>
        <v>19</v>
      </c>
      <c r="B211" s="302" t="s">
        <v>587</v>
      </c>
      <c r="C211" s="302" t="str">
        <f t="shared" si="1"/>
        <v>Armação Aço CA-50, Diâmetro de 20,0mm para Supraestrutura, Corte e Dobra em Industria</v>
      </c>
      <c r="D211" s="302" t="s">
        <v>621</v>
      </c>
      <c r="E211" s="311" t="s">
        <v>589</v>
      </c>
      <c r="F211" s="314">
        <v>2.0500000000000001E-2</v>
      </c>
      <c r="G211" s="315">
        <v>27.55</v>
      </c>
      <c r="H211" s="315">
        <f>IF(B211="Serviço",SUMIFS(H212:H397,C212:C397,$C211),IF(B211="Insumo",F211*G211,""))</f>
        <v>0.56477500000000003</v>
      </c>
      <c r="I211" s="315"/>
    </row>
    <row r="212" spans="1:9" ht="15.75" hidden="1" customHeight="1" outlineLevel="2" x14ac:dyDescent="0.2">
      <c r="A212" s="307">
        <f>COUNTIFS($D$2:$D$488,D212,$B$2:$B$488,B212)</f>
        <v>20</v>
      </c>
      <c r="B212" s="302" t="s">
        <v>587</v>
      </c>
      <c r="C212" s="302" t="str">
        <f t="shared" si="1"/>
        <v>Armação Aço CA-50, Diâmetro de 20,0mm para Supraestrutura, Corte e Dobra em Industria</v>
      </c>
      <c r="D212" s="302" t="s">
        <v>622</v>
      </c>
      <c r="E212" s="311" t="s">
        <v>17</v>
      </c>
      <c r="F212" s="314">
        <v>0.05</v>
      </c>
      <c r="G212" s="315">
        <v>0.43</v>
      </c>
      <c r="H212" s="315">
        <f>IF(B212="Serviço",SUMIFS(H214:H397,C214:C397,$C212),IF(B212="Insumo",F212*G212,""))</f>
        <v>2.1500000000000002E-2</v>
      </c>
      <c r="I212" s="315"/>
    </row>
    <row r="213" spans="1:9" ht="15.75" hidden="1" customHeight="1" outlineLevel="2" x14ac:dyDescent="0.2">
      <c r="A213" s="307">
        <f>COUNTIFS($D$2:$D$488,D213,$B$2:$B$488,B213)</f>
        <v>15</v>
      </c>
      <c r="B213" s="302" t="s">
        <v>587</v>
      </c>
      <c r="C213" s="302" t="str">
        <f>IF(B213="Serviço",D213,C211)</f>
        <v>Armação Aço CA-50, Diâmetro de 20,0mm para Supraestrutura, Corte e Dobra em Industria</v>
      </c>
      <c r="D213" s="302" t="s">
        <v>5055</v>
      </c>
      <c r="E213" s="311" t="s">
        <v>17</v>
      </c>
      <c r="F213" s="314">
        <f>F210</f>
        <v>1.05</v>
      </c>
      <c r="G213" s="315">
        <v>0.7</v>
      </c>
      <c r="H213" s="315">
        <f>IF(B213="Serviço",SUMIFS(H214:H418,C214:C418,$C213),IF(B213="Insumo",F213*G213,""))</f>
        <v>0.73499999999999999</v>
      </c>
      <c r="I213" s="315"/>
    </row>
    <row r="214" spans="1:9" ht="15.75" hidden="1" customHeight="1" outlineLevel="1" x14ac:dyDescent="0.2">
      <c r="A214" s="307">
        <f>COUNTIFS($D$2:$D$488,D214,$B$2:$B$488,B214)</f>
        <v>1</v>
      </c>
      <c r="B214" s="310" t="s">
        <v>232</v>
      </c>
      <c r="C214" s="310" t="str">
        <f>IF(B214="Serviço",D214,C212)</f>
        <v>Armação Aço CA-50, Diâmetro de 25,0mm para Supraestrutura, Corte e Dobra em Industria</v>
      </c>
      <c r="D214" s="310" t="s">
        <v>5510</v>
      </c>
      <c r="E214" s="316" t="s">
        <v>589</v>
      </c>
      <c r="F214" s="317"/>
      <c r="G214" s="318"/>
      <c r="H214" s="318">
        <f>IF(B214="Serviço",SUMIFS(H215:H397,C215:C397,$C214),IF(B214="Insumo",F214*G214,""))</f>
        <v>7.3167749999999998</v>
      </c>
      <c r="I214" s="318" t="s">
        <v>141</v>
      </c>
    </row>
    <row r="215" spans="1:9" ht="15.75" hidden="1" customHeight="1" outlineLevel="2" x14ac:dyDescent="0.2">
      <c r="A215" s="307">
        <f>COUNTIFS($D$2:$D$488,D215,$B$2:$B$488,B215)</f>
        <v>2</v>
      </c>
      <c r="B215" s="302" t="s">
        <v>587</v>
      </c>
      <c r="C215" s="302" t="str">
        <f t="shared" si="1"/>
        <v>Armação Aço CA-50, Diâmetro de 25,0mm para Supraestrutura, Corte e Dobra em Industria</v>
      </c>
      <c r="D215" s="302" t="s">
        <v>634</v>
      </c>
      <c r="E215" s="311" t="s">
        <v>589</v>
      </c>
      <c r="F215" s="314">
        <v>1.05</v>
      </c>
      <c r="G215" s="315">
        <v>5.71</v>
      </c>
      <c r="H215" s="315">
        <f>IF(B215="Serviço",SUMIFS(H216:H397,C216:C397,$C215),IF(B215="Insumo",F215*G215,""))</f>
        <v>5.9954999999999998</v>
      </c>
      <c r="I215" s="315"/>
    </row>
    <row r="216" spans="1:9" ht="15.75" hidden="1" customHeight="1" outlineLevel="2" x14ac:dyDescent="0.2">
      <c r="A216" s="307">
        <f>COUNTIFS($D$2:$D$488,D216,$B$2:$B$488,B216)</f>
        <v>1</v>
      </c>
      <c r="B216" s="302" t="s">
        <v>587</v>
      </c>
      <c r="C216" s="302" t="str">
        <f t="shared" si="1"/>
        <v>Armação Aço CA-50, Diâmetro de 25,0mm para Supraestrutura, Corte e Dobra em Industria</v>
      </c>
      <c r="D216" s="302" t="s">
        <v>638</v>
      </c>
      <c r="E216" s="311" t="s">
        <v>589</v>
      </c>
      <c r="F216" s="314">
        <v>2.0500000000000001E-2</v>
      </c>
      <c r="G216" s="315">
        <v>27.55</v>
      </c>
      <c r="H216" s="315">
        <f>IF(B216="Serviço",SUMIFS(H217:H397,C217:C397,$C216),IF(B216="Insumo",F216*G216,""))</f>
        <v>0.56477500000000003</v>
      </c>
      <c r="I216" s="315"/>
    </row>
    <row r="217" spans="1:9" ht="15.75" hidden="1" customHeight="1" outlineLevel="2" x14ac:dyDescent="0.2">
      <c r="A217" s="307">
        <f>COUNTIFS($D$2:$D$488,D217,$B$2:$B$488,B217)</f>
        <v>20</v>
      </c>
      <c r="B217" s="302" t="s">
        <v>587</v>
      </c>
      <c r="C217" s="302" t="str">
        <f t="shared" si="1"/>
        <v>Armação Aço CA-50, Diâmetro de 25,0mm para Supraestrutura, Corte e Dobra em Industria</v>
      </c>
      <c r="D217" s="302" t="s">
        <v>622</v>
      </c>
      <c r="E217" s="311" t="s">
        <v>17</v>
      </c>
      <c r="F217" s="314">
        <v>0.05</v>
      </c>
      <c r="G217" s="315">
        <v>0.43</v>
      </c>
      <c r="H217" s="315">
        <f>IF(B217="Serviço",SUMIFS(H219:H397,C219:C397,$C217),IF(B217="Insumo",F217*G217,""))</f>
        <v>2.1500000000000002E-2</v>
      </c>
      <c r="I217" s="315"/>
    </row>
    <row r="218" spans="1:9" ht="15.75" hidden="1" customHeight="1" outlineLevel="2" x14ac:dyDescent="0.2">
      <c r="A218" s="307">
        <f>COUNTIFS($D$2:$D$488,D218,$B$2:$B$488,B218)</f>
        <v>15</v>
      </c>
      <c r="B218" s="302" t="s">
        <v>587</v>
      </c>
      <c r="C218" s="302" t="str">
        <f>IF(B218="Serviço",D218,C216)</f>
        <v>Armação Aço CA-50, Diâmetro de 25,0mm para Supraestrutura, Corte e Dobra em Industria</v>
      </c>
      <c r="D218" s="302" t="s">
        <v>5055</v>
      </c>
      <c r="E218" s="311" t="s">
        <v>17</v>
      </c>
      <c r="F218" s="314">
        <f>F215</f>
        <v>1.05</v>
      </c>
      <c r="G218" s="315">
        <v>0.7</v>
      </c>
      <c r="H218" s="315">
        <f>IF(B218="Serviço",SUMIFS(H219:H423,C219:C423,$C218),IF(B218="Insumo",F218*G218,""))</f>
        <v>0.73499999999999999</v>
      </c>
      <c r="I218" s="315"/>
    </row>
    <row r="219" spans="1:9" ht="15.75" hidden="1" customHeight="1" outlineLevel="1" x14ac:dyDescent="0.2">
      <c r="A219" s="307">
        <f>COUNTIFS($D$2:$D$488,D219,$B$2:$B$488,B219)</f>
        <v>1</v>
      </c>
      <c r="B219" s="310" t="s">
        <v>232</v>
      </c>
      <c r="C219" s="310" t="str">
        <f>IF(B219="Serviço",D219,#REF!)</f>
        <v>Concreto Usinado FCK = 40MPa Bombeavel Para Supraestrutura</v>
      </c>
      <c r="D219" s="310" t="s">
        <v>403</v>
      </c>
      <c r="E219" s="316" t="s">
        <v>588</v>
      </c>
      <c r="F219" s="317"/>
      <c r="G219" s="318"/>
      <c r="H219" s="318">
        <f>IF(B219="Serviço",SUMIFS(H220:H397,C220:C397,$C219),IF(B219="Insumo",F219*G219,""))</f>
        <v>609.76</v>
      </c>
      <c r="I219" s="318"/>
    </row>
    <row r="220" spans="1:9" ht="15.75" hidden="1" customHeight="1" outlineLevel="2" x14ac:dyDescent="0.2">
      <c r="A220" s="307">
        <f>COUNTIFS($D$2:$D$488,D220,$B$2:$B$488,B220)</f>
        <v>2</v>
      </c>
      <c r="B220" s="302" t="s">
        <v>587</v>
      </c>
      <c r="C220" s="302" t="str">
        <f t="shared" si="1"/>
        <v>Concreto Usinado FCK = 40MPa Bombeavel Para Supraestrutura</v>
      </c>
      <c r="D220" s="302" t="s">
        <v>636</v>
      </c>
      <c r="E220" s="311" t="s">
        <v>589</v>
      </c>
      <c r="F220" s="314">
        <v>1.05</v>
      </c>
      <c r="G220" s="315">
        <v>540</v>
      </c>
      <c r="H220" s="315">
        <f>IF(B220="Serviço",SUMIFS(H221:H403,C221:C403,$C220),IF(B220="Insumo",F220*G220,""))</f>
        <v>567</v>
      </c>
      <c r="I220" s="315"/>
    </row>
    <row r="221" spans="1:9" ht="15.75" hidden="1" customHeight="1" outlineLevel="2" x14ac:dyDescent="0.2">
      <c r="A221" s="307">
        <f>COUNTIFS($D$2:$D$488,D221,$B$2:$B$488,B221)</f>
        <v>4</v>
      </c>
      <c r="B221" s="302" t="s">
        <v>587</v>
      </c>
      <c r="C221" s="302" t="str">
        <f t="shared" si="1"/>
        <v>Concreto Usinado FCK = 40MPa Bombeavel Para Supraestrutura</v>
      </c>
      <c r="D221" s="302" t="s">
        <v>617</v>
      </c>
      <c r="E221" s="311" t="s">
        <v>589</v>
      </c>
      <c r="F221" s="314">
        <v>1.05</v>
      </c>
      <c r="G221" s="315">
        <v>40</v>
      </c>
      <c r="H221" s="315">
        <f>IF(B221="Serviço",SUMIFS(H222:H403,C222:C403,$C221),IF(B221="Insumo",F221*G221,""))</f>
        <v>42</v>
      </c>
      <c r="I221" s="315"/>
    </row>
    <row r="222" spans="1:9" ht="15.75" hidden="1" customHeight="1" outlineLevel="2" x14ac:dyDescent="0.2">
      <c r="A222" s="307">
        <f>COUNTIFS($D$2:$D$488,D222,$B$2:$B$488,B222)</f>
        <v>11</v>
      </c>
      <c r="B222" s="302" t="s">
        <v>587</v>
      </c>
      <c r="C222" s="302" t="str">
        <f t="shared" si="1"/>
        <v>Concreto Usinado FCK = 40MPa Bombeavel Para Supraestrutura</v>
      </c>
      <c r="D222" s="302" t="s">
        <v>618</v>
      </c>
      <c r="E222" s="311" t="s">
        <v>17</v>
      </c>
      <c r="F222" s="314">
        <v>1</v>
      </c>
      <c r="G222" s="315">
        <v>0.76</v>
      </c>
      <c r="H222" s="315">
        <f>IF(B222="Serviço",SUMIFS(H223:H403,C223:C403,$C222),IF(B222="Insumo",F222*G222,""))</f>
        <v>0.76</v>
      </c>
      <c r="I222" s="315"/>
    </row>
    <row r="223" spans="1:9" ht="15.75" customHeight="1" collapsed="1" x14ac:dyDescent="0.2">
      <c r="A223" s="307">
        <f>COUNTIFS($D$2:$D$488,D223,$B$2:$B$488,B223)</f>
        <v>1</v>
      </c>
      <c r="B223" s="307" t="s">
        <v>230</v>
      </c>
      <c r="C223" s="307" t="str">
        <f>IF(B223="Serviço",D223,C222)</f>
        <v>Concreto Usinado FCK = 40MPa Bombeavel Para Supraestrutura</v>
      </c>
      <c r="D223" s="307" t="s">
        <v>61</v>
      </c>
      <c r="E223" s="308"/>
      <c r="F223" s="319"/>
      <c r="G223" s="309"/>
      <c r="H223" s="309" t="str">
        <f>IF(B223="Serviço",SUMIFS(H224:H403,C224:C403,$C223),IF(B223="Insumo",F223*G223,""))</f>
        <v/>
      </c>
      <c r="I223" s="309"/>
    </row>
    <row r="224" spans="1:9" ht="15.75" hidden="1" customHeight="1" outlineLevel="1" x14ac:dyDescent="0.2">
      <c r="A224" s="307">
        <f>COUNTIFS($D$2:$D$488,D224,$B$2:$B$488,B224)</f>
        <v>1</v>
      </c>
      <c r="B224" s="310" t="s">
        <v>232</v>
      </c>
      <c r="C224" s="310" t="str">
        <f t="shared" ref="C224:C235" si="4">IF(B224="Serviço",D224,C223)</f>
        <v>Alvenaria de vedacao de blocos ceramicos furados na horizontal de 9x19x19cm (espessura 9cm) com argamassa industrializada de assentamento</v>
      </c>
      <c r="D224" s="310" t="s">
        <v>409</v>
      </c>
      <c r="E224" s="316" t="s">
        <v>586</v>
      </c>
      <c r="F224" s="317"/>
      <c r="G224" s="318"/>
      <c r="H224" s="318">
        <f>IF(B224="Serviço",SUMIFS(H225:H403,C225:C403,$C224),IF(B224="Insumo",F224*G224,""))</f>
        <v>37.92</v>
      </c>
      <c r="I224" s="318" t="s">
        <v>141</v>
      </c>
    </row>
    <row r="225" spans="1:9" ht="15.75" hidden="1" customHeight="1" outlineLevel="2" x14ac:dyDescent="0.2">
      <c r="A225" s="307">
        <f>COUNTIFS($D$2:$D$488,D225,$B$2:$B$488,B225)</f>
        <v>1</v>
      </c>
      <c r="B225" s="302" t="s">
        <v>587</v>
      </c>
      <c r="C225" s="302" t="str">
        <f t="shared" si="4"/>
        <v>Alvenaria de vedacao de blocos ceramicos furados na horizontal de 9x19x19cm (espessura 9cm) com argamassa industrializada de assentamento</v>
      </c>
      <c r="D225" s="966" t="s">
        <v>5072</v>
      </c>
      <c r="E225" s="311" t="s">
        <v>17</v>
      </c>
      <c r="F225" s="314">
        <v>28</v>
      </c>
      <c r="G225" s="315">
        <v>0.99</v>
      </c>
      <c r="H225" s="315">
        <f>IF(B225="Serviço",SUMIFS(H226:H403,C226:C403,$C225),IF(B225="Insumo",F225*G225,""))</f>
        <v>27.72</v>
      </c>
      <c r="I225" s="315"/>
    </row>
    <row r="226" spans="1:9" ht="15.75" hidden="1" customHeight="1" outlineLevel="2" x14ac:dyDescent="0.2">
      <c r="A226" s="307">
        <f>COUNTIFS($D$2:$D$488,D226,$B$2:$B$488,B226)</f>
        <v>4</v>
      </c>
      <c r="B226" s="302" t="s">
        <v>587</v>
      </c>
      <c r="C226" s="302" t="str">
        <f t="shared" si="4"/>
        <v>Alvenaria de vedacao de blocos ceramicos furados na horizontal de 9x19x19cm (espessura 9cm) com argamassa industrializada de assentamento</v>
      </c>
      <c r="D226" s="302" t="s">
        <v>639</v>
      </c>
      <c r="E226" s="311" t="s">
        <v>588</v>
      </c>
      <c r="F226" s="314">
        <f>0.02*1.2</f>
        <v>2.4E-2</v>
      </c>
      <c r="G226" s="315">
        <v>425</v>
      </c>
      <c r="H226" s="315">
        <f>IF(B226="Serviço",SUMIFS(H227:H403,C227:C403,$C226),IF(B226="Insumo",F226*G226,""))</f>
        <v>10.200000000000001</v>
      </c>
      <c r="I226" s="315"/>
    </row>
    <row r="227" spans="1:9" ht="15.75" hidden="1" customHeight="1" outlineLevel="1" x14ac:dyDescent="0.2">
      <c r="A227" s="307">
        <f>COUNTIFS($D$2:$D$488,D227,$B$2:$B$488,B227)</f>
        <v>1</v>
      </c>
      <c r="B227" s="310" t="s">
        <v>232</v>
      </c>
      <c r="C227" s="310" t="str">
        <f t="shared" si="4"/>
        <v>Alvenaria de vedacao de blocos ceramicos furados na horizontal de 14x19x19cm (espessura 14cm) com argamassa industrializada de assentamento</v>
      </c>
      <c r="D227" s="967" t="s">
        <v>5074</v>
      </c>
      <c r="E227" s="316" t="s">
        <v>586</v>
      </c>
      <c r="F227" s="317"/>
      <c r="G227" s="318"/>
      <c r="H227" s="318">
        <f>IF(B227="Serviço",SUMIFS(H228:H403,C228:C403,$C227),IF(B227="Insumo",F227*G227,""))</f>
        <v>83</v>
      </c>
      <c r="I227" s="318" t="s">
        <v>141</v>
      </c>
    </row>
    <row r="228" spans="1:9" ht="15.75" hidden="1" customHeight="1" outlineLevel="2" x14ac:dyDescent="0.2">
      <c r="A228" s="307">
        <f>COUNTIFS($D$2:$D$488,D228,$B$2:$B$488,B228)</f>
        <v>1</v>
      </c>
      <c r="B228" s="302" t="s">
        <v>587</v>
      </c>
      <c r="C228" s="302" t="str">
        <f t="shared" si="4"/>
        <v>Alvenaria de vedacao de blocos ceramicos furados na horizontal de 14x19x19cm (espessura 14cm) com argamassa industrializada de assentamento</v>
      </c>
      <c r="D228" s="966" t="s">
        <v>5073</v>
      </c>
      <c r="E228" s="311" t="s">
        <v>17</v>
      </c>
      <c r="F228" s="314">
        <v>28</v>
      </c>
      <c r="G228" s="315">
        <v>2.6</v>
      </c>
      <c r="H228" s="315">
        <f>IF(B228="Serviço",SUMIFS(H229:H403,C229:C403,$C228),IF(B228="Insumo",F228*G228,""))</f>
        <v>72.8</v>
      </c>
      <c r="I228" s="315"/>
    </row>
    <row r="229" spans="1:9" ht="15.75" hidden="1" customHeight="1" outlineLevel="2" x14ac:dyDescent="0.2">
      <c r="A229" s="307">
        <f>COUNTIFS($D$2:$D$488,D229,$B$2:$B$488,B229)</f>
        <v>4</v>
      </c>
      <c r="B229" s="302" t="s">
        <v>587</v>
      </c>
      <c r="C229" s="302" t="str">
        <f t="shared" si="4"/>
        <v>Alvenaria de vedacao de blocos ceramicos furados na horizontal de 14x19x19cm (espessura 14cm) com argamassa industrializada de assentamento</v>
      </c>
      <c r="D229" s="302" t="s">
        <v>639</v>
      </c>
      <c r="E229" s="311" t="s">
        <v>588</v>
      </c>
      <c r="F229" s="314">
        <f>0.02*1.2</f>
        <v>2.4E-2</v>
      </c>
      <c r="G229" s="315">
        <v>425</v>
      </c>
      <c r="H229" s="315">
        <f>IF(B229="Serviço",SUMIFS(H230:H403,C230:C403,$C229),IF(B229="Insumo",F229*G229,""))</f>
        <v>10.200000000000001</v>
      </c>
      <c r="I229" s="315"/>
    </row>
    <row r="230" spans="1:9" ht="15.75" hidden="1" customHeight="1" outlineLevel="1" x14ac:dyDescent="0.2">
      <c r="A230" s="307">
        <f>COUNTIFS($D$2:$D$488,D230,$B$2:$B$488,B230)</f>
        <v>1</v>
      </c>
      <c r="B230" s="310" t="s">
        <v>232</v>
      </c>
      <c r="C230" s="310" t="str">
        <f t="shared" si="4"/>
        <v>Alvenaria de vedacao de blocos ceramicos furados na horizontal de 11,5x19x19cm (espessura 11,5cm) com argamassa industrializada de assentamento</v>
      </c>
      <c r="D230" s="967" t="s">
        <v>5080</v>
      </c>
      <c r="E230" s="316" t="s">
        <v>586</v>
      </c>
      <c r="F230" s="317"/>
      <c r="G230" s="318" t="s">
        <v>640</v>
      </c>
      <c r="H230" s="318">
        <f>IF(B230="Serviço",SUMIFS(H231:H403,C231:C403,$C230),IF(B230="Insumo",F230*G230,""))</f>
        <v>44.92</v>
      </c>
      <c r="I230" s="318" t="s">
        <v>141</v>
      </c>
    </row>
    <row r="231" spans="1:9" ht="15.75" hidden="1" customHeight="1" outlineLevel="2" x14ac:dyDescent="0.2">
      <c r="A231" s="307">
        <f>COUNTIFS($D$2:$D$488,D231,$B$2:$B$488,B231)</f>
        <v>1</v>
      </c>
      <c r="B231" s="302" t="s">
        <v>587</v>
      </c>
      <c r="C231" s="302" t="str">
        <f t="shared" si="4"/>
        <v>Alvenaria de vedacao de blocos ceramicos furados na horizontal de 11,5x19x19cm (espessura 11,5cm) com argamassa industrializada de assentamento</v>
      </c>
      <c r="D231" s="966" t="s">
        <v>5075</v>
      </c>
      <c r="E231" s="311" t="s">
        <v>17</v>
      </c>
      <c r="F231" s="314">
        <v>28</v>
      </c>
      <c r="G231" s="315">
        <v>1.24</v>
      </c>
      <c r="H231" s="315">
        <f>IF(B231="Serviço",SUMIFS(H232:H403,C232:C403,$C231),IF(B231="Insumo",F231*G231,""))</f>
        <v>34.72</v>
      </c>
      <c r="I231" s="315"/>
    </row>
    <row r="232" spans="1:9" ht="15.75" hidden="1" customHeight="1" outlineLevel="2" x14ac:dyDescent="0.2">
      <c r="A232" s="307">
        <f>COUNTIFS($D$2:$D$488,D232,$B$2:$B$488,B232)</f>
        <v>4</v>
      </c>
      <c r="B232" s="302" t="s">
        <v>587</v>
      </c>
      <c r="C232" s="302" t="str">
        <f t="shared" si="4"/>
        <v>Alvenaria de vedacao de blocos ceramicos furados na horizontal de 11,5x19x19cm (espessura 11,5cm) com argamassa industrializada de assentamento</v>
      </c>
      <c r="D232" s="302" t="s">
        <v>639</v>
      </c>
      <c r="E232" s="311" t="s">
        <v>588</v>
      </c>
      <c r="F232" s="314">
        <f>0.02*1.2</f>
        <v>2.4E-2</v>
      </c>
      <c r="G232" s="315">
        <v>425</v>
      </c>
      <c r="H232" s="315">
        <f>IF(B232="Serviço",SUMIFS(H233:H403,C233:C403,$C232),IF(B232="Insumo",F232*G232,""))</f>
        <v>10.200000000000001</v>
      </c>
      <c r="I232" s="315"/>
    </row>
    <row r="233" spans="1:9" ht="15.75" hidden="1" customHeight="1" outlineLevel="1" x14ac:dyDescent="0.2">
      <c r="A233" s="307">
        <f>COUNTIFS($D$2:$D$488,D233,$B$2:$B$488,B233)</f>
        <v>1</v>
      </c>
      <c r="B233" s="310" t="s">
        <v>232</v>
      </c>
      <c r="C233" s="310" t="str">
        <f t="shared" si="4"/>
        <v>Alvenaria de vedacao de blocos ceramicos furados na horizontal de 17x19x19cm (espessura 17cm) com argamassa industrializada de assentamento</v>
      </c>
      <c r="D233" s="967" t="s">
        <v>5079</v>
      </c>
      <c r="E233" s="316" t="s">
        <v>586</v>
      </c>
      <c r="F233" s="317"/>
      <c r="G233" s="318" t="s">
        <v>640</v>
      </c>
      <c r="H233" s="318">
        <f>IF(B233="Serviço",SUMIFS(H234:H404,C234:C404,$C233),IF(B233="Insumo",F233*G233,""))</f>
        <v>105.68</v>
      </c>
      <c r="I233" s="318" t="s">
        <v>141</v>
      </c>
    </row>
    <row r="234" spans="1:9" ht="15.75" hidden="1" customHeight="1" outlineLevel="2" x14ac:dyDescent="0.2">
      <c r="A234" s="307">
        <f>COUNTIFS($D$2:$D$488,D234,$B$2:$B$488,B234)</f>
        <v>1</v>
      </c>
      <c r="B234" s="302" t="s">
        <v>587</v>
      </c>
      <c r="C234" s="302" t="str">
        <f t="shared" si="4"/>
        <v>Alvenaria de vedacao de blocos ceramicos furados na horizontal de 17x19x19cm (espessura 17cm) com argamassa industrializada de assentamento</v>
      </c>
      <c r="D234" s="968" t="s">
        <v>5076</v>
      </c>
      <c r="E234" s="311" t="s">
        <v>17</v>
      </c>
      <c r="F234" s="314">
        <v>28</v>
      </c>
      <c r="G234" s="315">
        <v>3.41</v>
      </c>
      <c r="H234" s="315">
        <f>IF(B234="Serviço",SUMIFS(H235:H405,C235:C405,$C234),IF(B234="Insumo",F234*G234,""))</f>
        <v>95.48</v>
      </c>
      <c r="I234" s="315"/>
    </row>
    <row r="235" spans="1:9" ht="15.75" hidden="1" customHeight="1" outlineLevel="2" x14ac:dyDescent="0.2">
      <c r="A235" s="307">
        <f>COUNTIFS($D$2:$D$488,D235,$B$2:$B$488,B235)</f>
        <v>4</v>
      </c>
      <c r="B235" s="302" t="s">
        <v>587</v>
      </c>
      <c r="C235" s="302" t="str">
        <f t="shared" si="4"/>
        <v>Alvenaria de vedacao de blocos ceramicos furados na horizontal de 17x19x19cm (espessura 17cm) com argamassa industrializada de assentamento</v>
      </c>
      <c r="D235" s="302" t="s">
        <v>639</v>
      </c>
      <c r="E235" s="311" t="s">
        <v>588</v>
      </c>
      <c r="F235" s="314">
        <f>0.02*1.2</f>
        <v>2.4E-2</v>
      </c>
      <c r="G235" s="315">
        <v>425</v>
      </c>
      <c r="H235" s="315">
        <f>IF(B235="Serviço",SUMIFS(H236:H406,C236:C406,$C235),IF(B235="Insumo",F235*G235,""))</f>
        <v>10.200000000000001</v>
      </c>
      <c r="I235" s="315"/>
    </row>
    <row r="236" spans="1:9" ht="15.75" hidden="1" customHeight="1" outlineLevel="1" x14ac:dyDescent="0.2">
      <c r="A236" s="307">
        <f>COUNTIFS($D$2:$D$488,D236,$B$2:$B$488,B236)</f>
        <v>1</v>
      </c>
      <c r="B236" s="310" t="s">
        <v>232</v>
      </c>
      <c r="C236" s="310" t="str">
        <f>IF(B236="Serviço",D236,#REF!)</f>
        <v>Alvenaria em Bloco De Concreto Celular 60x30x15cm Sical com argamassa industrializada de assentamento</v>
      </c>
      <c r="D236" s="310" t="s">
        <v>410</v>
      </c>
      <c r="E236" s="316" t="s">
        <v>586</v>
      </c>
      <c r="F236" s="317"/>
      <c r="G236" s="318" t="s">
        <v>640</v>
      </c>
      <c r="H236" s="318">
        <f>IF(B236="Serviço",SUMIFS(H237:H410,C237:C410,$C236),IF(B236="Insumo",F236*G236,""))</f>
        <v>117.66000000000001</v>
      </c>
      <c r="I236" s="318" t="s">
        <v>141</v>
      </c>
    </row>
    <row r="237" spans="1:9" ht="15.75" hidden="1" customHeight="1" outlineLevel="2" x14ac:dyDescent="0.2">
      <c r="A237" s="307">
        <f>COUNTIFS($D$2:$D$488,D237,$B$2:$B$488,B237)</f>
        <v>1</v>
      </c>
      <c r="B237" s="302" t="s">
        <v>587</v>
      </c>
      <c r="C237" s="302" t="str">
        <f t="shared" ref="C237:C241" si="5">IF(B237="Serviço",D237,C236)</f>
        <v>Alvenaria em Bloco De Concreto Celular 60x30x15cm Sical com argamassa industrializada de assentamento</v>
      </c>
      <c r="D237" s="302" t="s">
        <v>642</v>
      </c>
      <c r="E237" s="311" t="s">
        <v>588</v>
      </c>
      <c r="F237" s="314">
        <v>6</v>
      </c>
      <c r="G237" s="315">
        <v>17.91</v>
      </c>
      <c r="H237" s="315">
        <f>IF(B237="Serviço",SUMIFS(H238:H416,C238:C416,$C237),IF(B237="Insumo",F237*G237,""))</f>
        <v>107.46000000000001</v>
      </c>
      <c r="I237" s="315"/>
    </row>
    <row r="238" spans="1:9" ht="15.75" hidden="1" customHeight="1" outlineLevel="2" x14ac:dyDescent="0.2">
      <c r="A238" s="307">
        <f>COUNTIFS($D$2:$D$488,D238,$B$2:$B$488,B238)</f>
        <v>3</v>
      </c>
      <c r="B238" s="302" t="s">
        <v>587</v>
      </c>
      <c r="C238" s="302" t="str">
        <f t="shared" si="5"/>
        <v>Alvenaria em Bloco De Concreto Celular 60x30x15cm Sical com argamassa industrializada de assentamento</v>
      </c>
      <c r="D238" s="302" t="s">
        <v>641</v>
      </c>
      <c r="E238" s="311" t="s">
        <v>588</v>
      </c>
      <c r="F238" s="314">
        <f>0.02*1.2</f>
        <v>2.4E-2</v>
      </c>
      <c r="G238" s="315">
        <v>425</v>
      </c>
      <c r="H238" s="315">
        <f>IF(B238="Serviço",SUMIFS(H239:H416,C239:C416,$C238),IF(B238="Insumo",F238*G238,""))</f>
        <v>10.200000000000001</v>
      </c>
      <c r="I238" s="315"/>
    </row>
    <row r="239" spans="1:9" ht="15.75" hidden="1" customHeight="1" outlineLevel="1" x14ac:dyDescent="0.2">
      <c r="A239" s="307">
        <f>COUNTIFS($D$2:$D$488,D239,$B$2:$B$488,B239)</f>
        <v>1</v>
      </c>
      <c r="B239" s="310" t="s">
        <v>232</v>
      </c>
      <c r="C239" s="310" t="str">
        <f t="shared" si="5"/>
        <v>Alvenaria em Bloco De Concreto Celular 60x30x10cm Sical com argamassa industrializada de assentamento</v>
      </c>
      <c r="D239" s="967" t="s">
        <v>5077</v>
      </c>
      <c r="E239" s="316" t="s">
        <v>586</v>
      </c>
      <c r="F239" s="317"/>
      <c r="G239" s="318" t="s">
        <v>640</v>
      </c>
      <c r="H239" s="318">
        <f>IF(B239="Serviço",SUMIFS(H240:H416,C240:C416,$C239),IF(B239="Insumo",F239*G239,""))</f>
        <v>84.660000000000011</v>
      </c>
      <c r="I239" s="318" t="s">
        <v>141</v>
      </c>
    </row>
    <row r="240" spans="1:9" ht="15.75" hidden="1" customHeight="1" outlineLevel="2" x14ac:dyDescent="0.2">
      <c r="A240" s="307">
        <f>COUNTIFS($D$2:$D$488,D240,$B$2:$B$488,B240)</f>
        <v>1</v>
      </c>
      <c r="B240" s="302" t="s">
        <v>587</v>
      </c>
      <c r="C240" s="302" t="str">
        <f t="shared" si="5"/>
        <v>Alvenaria em Bloco De Concreto Celular 60x30x10cm Sical com argamassa industrializada de assentamento</v>
      </c>
      <c r="D240" s="968" t="s">
        <v>5078</v>
      </c>
      <c r="E240" s="311" t="s">
        <v>588</v>
      </c>
      <c r="F240" s="314">
        <v>6</v>
      </c>
      <c r="G240" s="315">
        <v>12.41</v>
      </c>
      <c r="H240" s="315">
        <f>IF(B240="Serviço",SUMIFS(H241:H416,C241:C416,$C240),IF(B240="Insumo",F240*G240,""))</f>
        <v>74.460000000000008</v>
      </c>
      <c r="I240" s="315"/>
    </row>
    <row r="241" spans="1:9" ht="15.75" hidden="1" customHeight="1" outlineLevel="2" x14ac:dyDescent="0.2">
      <c r="A241" s="307">
        <f>COUNTIFS($D$2:$D$488,D241,$B$2:$B$488,B241)</f>
        <v>3</v>
      </c>
      <c r="B241" s="302" t="s">
        <v>587</v>
      </c>
      <c r="C241" s="302" t="str">
        <f t="shared" si="5"/>
        <v>Alvenaria em Bloco De Concreto Celular 60x30x10cm Sical com argamassa industrializada de assentamento</v>
      </c>
      <c r="D241" s="302" t="s">
        <v>641</v>
      </c>
      <c r="E241" s="311" t="s">
        <v>588</v>
      </c>
      <c r="F241" s="314">
        <f>0.02*1.2</f>
        <v>2.4E-2</v>
      </c>
      <c r="G241" s="315">
        <v>425</v>
      </c>
      <c r="H241" s="315">
        <f>IF(B241="Serviço",SUMIFS(H242:H417,C242:C417,$C241),IF(B241="Insumo",F241*G241,""))</f>
        <v>10.200000000000001</v>
      </c>
      <c r="I241" s="315"/>
    </row>
    <row r="242" spans="1:9" ht="15.75" hidden="1" customHeight="1" outlineLevel="1" x14ac:dyDescent="0.2">
      <c r="A242" s="307">
        <f>COUNTIFS($D$2:$D$488,D242,$B$2:$B$488,B242)</f>
        <v>1</v>
      </c>
      <c r="B242" s="310" t="s">
        <v>232</v>
      </c>
      <c r="C242" s="310" t="str">
        <f>IF(B242="Serviço",D242,#REF!)</f>
        <v>Encunhamento De Alvenaria De Vedação Com Argamassa Expansiva</v>
      </c>
      <c r="D242" s="310" t="s">
        <v>643</v>
      </c>
      <c r="E242" s="316" t="s">
        <v>591</v>
      </c>
      <c r="F242" s="317"/>
      <c r="G242" s="318"/>
      <c r="H242" s="318">
        <f>IF(B242="Serviço",SUMIFS(H243:H428,C243:C428,$C242),IF(B242="Insumo",F242*G242,""))</f>
        <v>14.787500000000001</v>
      </c>
      <c r="I242" s="318" t="s">
        <v>141</v>
      </c>
    </row>
    <row r="243" spans="1:9" ht="15.75" hidden="1" customHeight="1" outlineLevel="2" x14ac:dyDescent="0.2">
      <c r="A243" s="307">
        <f>COUNTIFS($D$2:$D$488,D243,$B$2:$B$488,B243)</f>
        <v>3</v>
      </c>
      <c r="B243" s="302" t="s">
        <v>587</v>
      </c>
      <c r="C243" s="302" t="str">
        <f t="shared" ref="C243:C285" si="6">IF(B243="Serviço",D243,C242)</f>
        <v>Encunhamento De Alvenaria De Vedação Com Argamassa Expansiva</v>
      </c>
      <c r="D243" s="302" t="s">
        <v>641</v>
      </c>
      <c r="E243" s="311" t="s">
        <v>588</v>
      </c>
      <c r="F243" s="314">
        <v>3.5000000000000001E-3</v>
      </c>
      <c r="G243" s="315">
        <v>425</v>
      </c>
      <c r="H243" s="315">
        <f>IF(B243="Serviço",SUMIFS(H244:H428,C244:C428,$C243),IF(B243="Insumo",F243*G243,""))</f>
        <v>1.4875</v>
      </c>
      <c r="I243" s="315"/>
    </row>
    <row r="244" spans="1:9" ht="15.75" hidden="1" customHeight="1" outlineLevel="2" x14ac:dyDescent="0.2">
      <c r="A244" s="307">
        <f>COUNTIFS($D$2:$D$488,D244,$B$2:$B$488,B244)</f>
        <v>1</v>
      </c>
      <c r="B244" s="302" t="s">
        <v>587</v>
      </c>
      <c r="C244" s="302" t="str">
        <f t="shared" si="6"/>
        <v>Encunhamento De Alvenaria De Vedação Com Argamassa Expansiva</v>
      </c>
      <c r="D244" s="302" t="s">
        <v>644</v>
      </c>
      <c r="E244" s="311" t="s">
        <v>589</v>
      </c>
      <c r="F244" s="314">
        <v>7.0000000000000007E-2</v>
      </c>
      <c r="G244" s="315">
        <v>190</v>
      </c>
      <c r="H244" s="315">
        <f>IF(B244="Serviço",SUMIFS(H247:H428,C247:C428,$C244),IF(B244="Insumo",F244*G244,""))</f>
        <v>13.3</v>
      </c>
      <c r="I244" s="315"/>
    </row>
    <row r="245" spans="1:9" ht="15.75" hidden="1" customHeight="1" outlineLevel="1" x14ac:dyDescent="0.2">
      <c r="A245" s="307">
        <f>COUNTIFS($D$2:$D$488,D245,$B$2:$B$488,B245)</f>
        <v>1</v>
      </c>
      <c r="B245" s="310" t="s">
        <v>232</v>
      </c>
      <c r="C245" s="310" t="str">
        <f>IF(B245="Serviço",D245,#REF!)</f>
        <v>Encunhamento De Alvenaria De Vedação Com Espuma de Poliuretnano</v>
      </c>
      <c r="D245" s="967" t="s">
        <v>5089</v>
      </c>
      <c r="E245" s="316" t="s">
        <v>591</v>
      </c>
      <c r="F245" s="317"/>
      <c r="G245" s="318"/>
      <c r="H245" s="318">
        <f>IF(B245="Serviço",SUMIFS(H246:H428,C246:C428,$C245),IF(B245="Insumo",F245*G245,""))</f>
        <v>11.028999999999998</v>
      </c>
      <c r="I245" s="318" t="s">
        <v>141</v>
      </c>
    </row>
    <row r="246" spans="1:9" ht="15.75" hidden="1" customHeight="1" outlineLevel="2" x14ac:dyDescent="0.2">
      <c r="A246" s="307">
        <f>COUNTIFS($D$2:$D$488,D246,$B$2:$B$488,B246)</f>
        <v>1</v>
      </c>
      <c r="B246" s="302" t="s">
        <v>587</v>
      </c>
      <c r="C246" s="302" t="str">
        <f t="shared" ref="C246" si="7">IF(B246="Serviço",D246,C245)</f>
        <v>Encunhamento De Alvenaria De Vedação Com Espuma de Poliuretnano</v>
      </c>
      <c r="D246" s="968" t="s">
        <v>5090</v>
      </c>
      <c r="E246" s="972" t="s">
        <v>17</v>
      </c>
      <c r="F246" s="314">
        <v>0.41</v>
      </c>
      <c r="G246" s="315">
        <v>26.9</v>
      </c>
      <c r="H246" s="315">
        <f>IF(B246="Serviço",SUMIFS(H247:H428,C247:C428,$C246),IF(B246="Insumo",F246*G246,""))</f>
        <v>11.028999999999998</v>
      </c>
      <c r="I246" s="315"/>
    </row>
    <row r="247" spans="1:9" ht="15.75" hidden="1" customHeight="1" outlineLevel="1" x14ac:dyDescent="0.2">
      <c r="A247" s="307">
        <f>COUNTIFS($D$2:$D$488,D247,$B$2:$B$488,B247)</f>
        <v>1</v>
      </c>
      <c r="B247" s="310" t="s">
        <v>232</v>
      </c>
      <c r="C247" s="310" t="str">
        <f>IF(B247="Serviço",D247,C244)</f>
        <v>Tela soldada para ligacao alvenaria/estrutura</v>
      </c>
      <c r="D247" s="310" t="s">
        <v>412</v>
      </c>
      <c r="E247" s="316" t="s">
        <v>17</v>
      </c>
      <c r="F247" s="317"/>
      <c r="G247" s="318"/>
      <c r="H247" s="318">
        <f>IF(B247="Serviço",SUMIFS(H248:H428,C248:C428,$C247),IF(B247="Insumo",F247*G247,""))</f>
        <v>4.1071999999999997</v>
      </c>
      <c r="I247" s="318" t="s">
        <v>141</v>
      </c>
    </row>
    <row r="248" spans="1:9" ht="15.75" hidden="1" customHeight="1" outlineLevel="2" x14ac:dyDescent="0.2">
      <c r="A248" s="307">
        <f>COUNTIFS($D$2:$D$488,D248,$B$2:$B$488,B248)</f>
        <v>1</v>
      </c>
      <c r="B248" s="302" t="s">
        <v>587</v>
      </c>
      <c r="C248" s="302" t="str">
        <f t="shared" si="6"/>
        <v>Tela soldada para ligacao alvenaria/estrutura</v>
      </c>
      <c r="D248" s="302" t="s">
        <v>645</v>
      </c>
      <c r="E248" s="311" t="s">
        <v>17</v>
      </c>
      <c r="F248" s="314">
        <v>2</v>
      </c>
      <c r="G248" s="315">
        <v>0.43359999999999999</v>
      </c>
      <c r="H248" s="315">
        <f>IF(B248="Serviço",SUMIFS(H249:H428,C249:C428,$C248),IF(B248="Insumo",F248*G248,""))</f>
        <v>0.86719999999999997</v>
      </c>
      <c r="I248" s="315"/>
    </row>
    <row r="249" spans="1:9" ht="15.75" hidden="1" customHeight="1" outlineLevel="2" x14ac:dyDescent="0.2">
      <c r="A249" s="307">
        <f>COUNTIFS($D$2:$D$488,D249,$B$2:$B$488,B249)</f>
        <v>1</v>
      </c>
      <c r="B249" s="302" t="s">
        <v>587</v>
      </c>
      <c r="C249" s="302" t="str">
        <f t="shared" si="6"/>
        <v>Tela soldada para ligacao alvenaria/estrutura</v>
      </c>
      <c r="D249" s="302" t="s">
        <v>646</v>
      </c>
      <c r="E249" s="311" t="s">
        <v>17</v>
      </c>
      <c r="F249" s="314">
        <v>1</v>
      </c>
      <c r="G249" s="315">
        <v>2.5</v>
      </c>
      <c r="H249" s="315">
        <f>IF(B249="Serviço",SUMIFS(H250:H428,C250:C428,$C249),IF(B249="Insumo",F249*G249,""))</f>
        <v>2.5</v>
      </c>
      <c r="I249" s="315"/>
    </row>
    <row r="250" spans="1:9" ht="15.75" hidden="1" customHeight="1" outlineLevel="2" x14ac:dyDescent="0.2">
      <c r="A250" s="307">
        <f>COUNTIFS($D$2:$D$488,D250,$B$2:$B$488,B250)</f>
        <v>1</v>
      </c>
      <c r="B250" s="302" t="s">
        <v>587</v>
      </c>
      <c r="C250" s="302" t="str">
        <f t="shared" si="6"/>
        <v>Tela soldada para ligacao alvenaria/estrutura</v>
      </c>
      <c r="D250" s="302" t="s">
        <v>647</v>
      </c>
      <c r="E250" s="311" t="s">
        <v>17</v>
      </c>
      <c r="F250" s="314">
        <v>2</v>
      </c>
      <c r="G250" s="315">
        <v>0.37</v>
      </c>
      <c r="H250" s="315">
        <f>IF(B250="Serviço",SUMIFS(H251:H428,C251:C428,$C250),IF(B250="Insumo",F250*G250,""))</f>
        <v>0.74</v>
      </c>
      <c r="I250" s="315"/>
    </row>
    <row r="251" spans="1:9" ht="15.75" hidden="1" customHeight="1" outlineLevel="1" x14ac:dyDescent="0.2">
      <c r="A251" s="307">
        <f>COUNTIFS($D$2:$D$488,D251,$B$2:$B$488,B251)</f>
        <v>1</v>
      </c>
      <c r="B251" s="310" t="s">
        <v>232</v>
      </c>
      <c r="C251" s="310" t="str">
        <f t="shared" si="6"/>
        <v>Verga/contraverga de concreto, moldada in loco</v>
      </c>
      <c r="D251" s="310" t="s">
        <v>413</v>
      </c>
      <c r="E251" s="316" t="s">
        <v>17</v>
      </c>
      <c r="F251" s="317"/>
      <c r="G251" s="318"/>
      <c r="H251" s="318">
        <f>IF(B251="Serviço",SUMIFS(H252:H428,C252:C428,$C251),IF(B251="Insumo",F251*G251,""))</f>
        <v>79.637692040000005</v>
      </c>
      <c r="I251" s="318" t="s">
        <v>141</v>
      </c>
    </row>
    <row r="252" spans="1:9" ht="15.75" hidden="1" customHeight="1" outlineLevel="2" x14ac:dyDescent="0.2">
      <c r="A252" s="307">
        <f>COUNTIFS($D$2:$D$488,D252,$B$2:$B$488,B252)</f>
        <v>4</v>
      </c>
      <c r="B252" s="302" t="s">
        <v>587</v>
      </c>
      <c r="C252" s="302" t="str">
        <f t="shared" si="6"/>
        <v>Verga/contraverga de concreto, moldada in loco</v>
      </c>
      <c r="D252" s="302" t="s">
        <v>623</v>
      </c>
      <c r="E252" s="311" t="s">
        <v>589</v>
      </c>
      <c r="F252" s="314">
        <v>0.87690000000000001</v>
      </c>
      <c r="G252" s="315">
        <v>5.89</v>
      </c>
      <c r="H252" s="315">
        <f>IF(B252="Serviço",SUMIFS(H253:H428,C253:C428,$C252),IF(B252="Insumo",F252*G252,""))</f>
        <v>5.1649409999999998</v>
      </c>
      <c r="I252" s="315"/>
    </row>
    <row r="253" spans="1:9" ht="15.75" hidden="1" customHeight="1" outlineLevel="2" x14ac:dyDescent="0.2">
      <c r="A253" s="307">
        <f>COUNTIFS($D$2:$D$488,D253,$B$2:$B$488,B253)</f>
        <v>14</v>
      </c>
      <c r="B253" s="302" t="s">
        <v>587</v>
      </c>
      <c r="C253" s="302" t="str">
        <f t="shared" si="6"/>
        <v>Verga/contraverga de concreto, moldada in loco</v>
      </c>
      <c r="D253" s="302" t="s">
        <v>592</v>
      </c>
      <c r="E253" s="311" t="s">
        <v>589</v>
      </c>
      <c r="F253" s="314">
        <v>9.7280000000000005E-3</v>
      </c>
      <c r="G253" s="315">
        <v>18.93</v>
      </c>
      <c r="H253" s="315">
        <f>IF(B253="Serviço",SUMIFS(H254:H428,C254:C428,$C253),IF(B253="Insumo",F253*G253,""))</f>
        <v>0.18415104000000002</v>
      </c>
      <c r="I253" s="315"/>
    </row>
    <row r="254" spans="1:9" ht="15.75" hidden="1" customHeight="1" outlineLevel="2" x14ac:dyDescent="0.2">
      <c r="A254" s="307">
        <f>COUNTIFS($D$2:$D$488,D254,$B$2:$B$488,B254)</f>
        <v>1</v>
      </c>
      <c r="B254" s="302" t="s">
        <v>587</v>
      </c>
      <c r="C254" s="302" t="str">
        <f t="shared" si="6"/>
        <v>Verga/contraverga de concreto, moldada in loco</v>
      </c>
      <c r="D254" s="302" t="s">
        <v>648</v>
      </c>
      <c r="E254" s="311" t="s">
        <v>17</v>
      </c>
      <c r="F254" s="314">
        <v>6</v>
      </c>
      <c r="G254" s="315">
        <v>0.43</v>
      </c>
      <c r="H254" s="315">
        <f>IF(B254="Serviço",SUMIFS(H255:H428,C255:C428,$C254),IF(B254="Insumo",F254*G254,""))</f>
        <v>2.58</v>
      </c>
      <c r="I254" s="315"/>
    </row>
    <row r="255" spans="1:9" ht="15.75" hidden="1" customHeight="1" outlineLevel="2" x14ac:dyDescent="0.2">
      <c r="A255" s="307">
        <f>COUNTIFS($D$2:$D$488,D255,$B$2:$B$488,B255)</f>
        <v>1</v>
      </c>
      <c r="B255" s="302" t="s">
        <v>587</v>
      </c>
      <c r="C255" s="302" t="str">
        <f t="shared" si="6"/>
        <v>Verga/contraverga de concreto, moldada in loco</v>
      </c>
      <c r="D255" s="302" t="s">
        <v>635</v>
      </c>
      <c r="E255" s="311" t="s">
        <v>588</v>
      </c>
      <c r="F255" s="314">
        <v>3.2000000000000001E-2</v>
      </c>
      <c r="G255" s="315">
        <v>508.2</v>
      </c>
      <c r="H255" s="315">
        <f>IF(B255="Serviço",SUMIFS(H256:H428,C256:C428,$C255),IF(B255="Insumo",F255*G255,""))</f>
        <v>16.2624</v>
      </c>
      <c r="I255" s="315"/>
    </row>
    <row r="256" spans="1:9" ht="15.75" hidden="1" customHeight="1" outlineLevel="2" x14ac:dyDescent="0.2">
      <c r="A256" s="307">
        <f>COUNTIFS($D$2:$D$488,D256,$B$2:$B$488,B256)</f>
        <v>6</v>
      </c>
      <c r="B256" s="302" t="s">
        <v>587</v>
      </c>
      <c r="C256" s="302" t="str">
        <f t="shared" si="6"/>
        <v>Verga/contraverga de concreto, moldada in loco</v>
      </c>
      <c r="D256" s="302" t="s">
        <v>631</v>
      </c>
      <c r="E256" s="311" t="s">
        <v>593</v>
      </c>
      <c r="F256" s="314">
        <v>8.9999999999999993E-3</v>
      </c>
      <c r="G256" s="315">
        <v>15.55</v>
      </c>
      <c r="H256" s="315">
        <f>IF(B256="Serviço",SUMIFS(H257:H428,C257:C428,$C256),IF(B256="Insumo",F256*G256,""))</f>
        <v>0.13994999999999999</v>
      </c>
      <c r="I256" s="315"/>
    </row>
    <row r="257" spans="1:9" ht="15.75" hidden="1" customHeight="1" outlineLevel="2" x14ac:dyDescent="0.2">
      <c r="A257" s="307">
        <f>COUNTIFS($D$2:$D$488,D257,$B$2:$B$488,B257)</f>
        <v>7</v>
      </c>
      <c r="B257" s="302" t="s">
        <v>587</v>
      </c>
      <c r="C257" s="302" t="str">
        <f t="shared" si="6"/>
        <v>Verga/contraverga de concreto, moldada in loco</v>
      </c>
      <c r="D257" s="302" t="s">
        <v>600</v>
      </c>
      <c r="E257" s="311" t="s">
        <v>588</v>
      </c>
      <c r="F257" s="314">
        <v>1.5225000000000001E-2</v>
      </c>
      <c r="G257" s="315">
        <v>1100</v>
      </c>
      <c r="H257" s="315">
        <f>IF(B257="Serviço",SUMIFS(H258:H428,C258:C428,$C257),IF(B257="Insumo",F257*G257,""))</f>
        <v>16.747500000000002</v>
      </c>
      <c r="I257" s="315"/>
    </row>
    <row r="258" spans="1:9" ht="15.75" hidden="1" customHeight="1" outlineLevel="2" x14ac:dyDescent="0.2">
      <c r="A258" s="307">
        <f>COUNTIFS($D$2:$D$488,D258,$B$2:$B$488,B258)</f>
        <v>8</v>
      </c>
      <c r="B258" s="302" t="s">
        <v>587</v>
      </c>
      <c r="C258" s="302" t="str">
        <f t="shared" si="6"/>
        <v>Verga/contraverga de concreto, moldada in loco</v>
      </c>
      <c r="D258" s="302" t="s">
        <v>605</v>
      </c>
      <c r="E258" s="311" t="s">
        <v>588</v>
      </c>
      <c r="F258" s="314">
        <v>1.8749999999999999E-3</v>
      </c>
      <c r="G258" s="315">
        <v>1050</v>
      </c>
      <c r="H258" s="315">
        <f>IF(B258="Serviço",SUMIFS(H259:H428,C259:C428,$C258),IF(B258="Insumo",F258*G258,""))</f>
        <v>1.96875</v>
      </c>
      <c r="I258" s="315"/>
    </row>
    <row r="259" spans="1:9" ht="15.75" hidden="1" customHeight="1" outlineLevel="2" x14ac:dyDescent="0.2">
      <c r="A259" s="307">
        <f>COUNTIFS($D$2:$D$488,D259,$B$2:$B$488,B259)</f>
        <v>4</v>
      </c>
      <c r="B259" s="302" t="s">
        <v>587</v>
      </c>
      <c r="C259" s="302" t="str">
        <f t="shared" si="6"/>
        <v>Verga/contraverga de concreto, moldada in loco</v>
      </c>
      <c r="D259" s="302" t="s">
        <v>632</v>
      </c>
      <c r="E259" s="311" t="s">
        <v>591</v>
      </c>
      <c r="F259" s="314">
        <v>0.86175223739990581</v>
      </c>
      <c r="G259" s="315">
        <v>42.46</v>
      </c>
      <c r="H259" s="315">
        <f>IF(B259="Serviço",SUMIFS(H260:H428,C260:C428,$C259),IF(B259="Insumo",F259*G259,""))</f>
        <v>36.590000000000003</v>
      </c>
      <c r="I259" s="315"/>
    </row>
    <row r="260" spans="1:9" ht="15.75" customHeight="1" collapsed="1" x14ac:dyDescent="0.2">
      <c r="A260" s="307">
        <f>COUNTIFS($D$2:$D$488,D260,$B$2:$B$488,B260)</f>
        <v>1</v>
      </c>
      <c r="B260" s="307" t="s">
        <v>230</v>
      </c>
      <c r="C260" s="307" t="str">
        <f>IF(B260="Serviço",D260,C259)</f>
        <v>Verga/contraverga de concreto, moldada in loco</v>
      </c>
      <c r="D260" s="307" t="s">
        <v>46</v>
      </c>
      <c r="E260" s="308"/>
      <c r="F260" s="319"/>
      <c r="G260" s="309"/>
      <c r="H260" s="309" t="str">
        <f>IF(B260="Serviço",SUMIFS(H261:H444,C261:C444,$C260),IF(B260="Insumo",F260*G260,""))</f>
        <v/>
      </c>
      <c r="I260" s="309"/>
    </row>
    <row r="261" spans="1:9" ht="15.75" hidden="1" customHeight="1" outlineLevel="1" x14ac:dyDescent="0.2">
      <c r="A261" s="307">
        <f>COUNTIFS($D$2:$D$488,D261,$B$2:$B$488,B261)</f>
        <v>1</v>
      </c>
      <c r="B261" s="310" t="s">
        <v>232</v>
      </c>
      <c r="C261" s="310" t="str">
        <f t="shared" si="6"/>
        <v xml:space="preserve">Regularização de superfície para impermeabilização </v>
      </c>
      <c r="D261" s="310" t="s">
        <v>417</v>
      </c>
      <c r="E261" s="316" t="s">
        <v>586</v>
      </c>
      <c r="F261" s="317"/>
      <c r="G261" s="318"/>
      <c r="H261" s="318">
        <f>IF(B261="Serviço",SUMIFS(H262:H444,C262:C444,$C261),IF(B261="Insumo",F261*G261,""))</f>
        <v>7.8879999999999999</v>
      </c>
      <c r="I261" s="318" t="s">
        <v>141</v>
      </c>
    </row>
    <row r="262" spans="1:9" ht="15.75" hidden="1" customHeight="1" outlineLevel="2" x14ac:dyDescent="0.2">
      <c r="A262" s="307">
        <f>COUNTIFS($D$2:$D$488,D262,$B$2:$B$488,B262)</f>
        <v>3</v>
      </c>
      <c r="B262" s="302" t="s">
        <v>587</v>
      </c>
      <c r="C262" s="302" t="str">
        <f t="shared" si="6"/>
        <v xml:space="preserve">Regularização de superfície para impermeabilização </v>
      </c>
      <c r="D262" s="302" t="s">
        <v>649</v>
      </c>
      <c r="E262" s="311" t="s">
        <v>588</v>
      </c>
      <c r="F262" s="314">
        <v>1.55E-2</v>
      </c>
      <c r="G262" s="315">
        <v>200</v>
      </c>
      <c r="H262" s="315">
        <f>IF(B262="Serviço",SUMIFS(H263:H444,C263:C444,$C262),IF(B262="Insumo",F262*G262,""))</f>
        <v>3.1</v>
      </c>
      <c r="I262" s="315"/>
    </row>
    <row r="263" spans="1:9" ht="15.75" hidden="1" customHeight="1" outlineLevel="2" x14ac:dyDescent="0.2">
      <c r="A263" s="307">
        <f>COUNTIFS($D$2:$D$488,D263,$B$2:$B$488,B263)</f>
        <v>11</v>
      </c>
      <c r="B263" s="302" t="s">
        <v>587</v>
      </c>
      <c r="C263" s="302" t="str">
        <f t="shared" si="6"/>
        <v xml:space="preserve">Regularização de superfície para impermeabilização </v>
      </c>
      <c r="D263" s="302" t="s">
        <v>618</v>
      </c>
      <c r="E263" s="311" t="s">
        <v>589</v>
      </c>
      <c r="F263" s="314">
        <v>6.3</v>
      </c>
      <c r="G263" s="315">
        <v>0.76</v>
      </c>
      <c r="H263" s="315">
        <f>IF(B263="Serviço",SUMIFS(H264:H444,C264:C444,$C263),IF(B263="Insumo",F263*G263,""))</f>
        <v>4.7880000000000003</v>
      </c>
      <c r="I263" s="315"/>
    </row>
    <row r="264" spans="1:9" ht="15.75" hidden="1" customHeight="1" outlineLevel="1" x14ac:dyDescent="0.2">
      <c r="A264" s="307">
        <f>COUNTIFS($D$2:$D$488,D264,$B$2:$B$488,B264)</f>
        <v>1</v>
      </c>
      <c r="B264" s="310" t="s">
        <v>232</v>
      </c>
      <c r="C264" s="310" t="str">
        <f t="shared" si="6"/>
        <v>Proteção mecânica de superfície com argamassa de cimento e areia, traço 1:3 E=5cm</v>
      </c>
      <c r="D264" s="310" t="s">
        <v>418</v>
      </c>
      <c r="E264" s="316" t="s">
        <v>586</v>
      </c>
      <c r="F264" s="317"/>
      <c r="G264" s="318"/>
      <c r="H264" s="318">
        <f>IF(B264="Serviço",SUMIFS(H265:H444,C265:C444,$C264),IF(B264="Insumo",F264*G264,""))</f>
        <v>49.358499999999999</v>
      </c>
      <c r="I264" s="318" t="s">
        <v>141</v>
      </c>
    </row>
    <row r="265" spans="1:9" ht="15.75" hidden="1" customHeight="1" outlineLevel="2" x14ac:dyDescent="0.2">
      <c r="A265" s="307">
        <f>COUNTIFS($D$2:$D$488,D265,$B$2:$B$488,B265)</f>
        <v>2</v>
      </c>
      <c r="B265" s="302" t="s">
        <v>587</v>
      </c>
      <c r="C265" s="302" t="str">
        <f t="shared" si="6"/>
        <v>Proteção mecânica de superfície com argamassa de cimento e areia, traço 1:3 E=5cm</v>
      </c>
      <c r="D265" s="302" t="s">
        <v>650</v>
      </c>
      <c r="E265" s="311" t="s">
        <v>588</v>
      </c>
      <c r="F265" s="314">
        <v>6.25E-2</v>
      </c>
      <c r="G265" s="315">
        <v>550</v>
      </c>
      <c r="H265" s="315">
        <f>IF(B265="Serviço",SUMIFS(H266:H444,C266:C444,$C265),IF(B265="Insumo",F265*G265,""))</f>
        <v>34.375</v>
      </c>
      <c r="I265" s="315"/>
    </row>
    <row r="266" spans="1:9" ht="15.75" hidden="1" customHeight="1" outlineLevel="2" x14ac:dyDescent="0.2">
      <c r="A266" s="307">
        <f>COUNTIFS($D$2:$D$488,D266,$B$2:$B$488,B266)</f>
        <v>2</v>
      </c>
      <c r="B266" s="302" t="s">
        <v>587</v>
      </c>
      <c r="C266" s="302" t="str">
        <f t="shared" si="6"/>
        <v>Proteção mecânica de superfície com argamassa de cimento e areia, traço 1:3 E=5cm</v>
      </c>
      <c r="D266" s="302" t="s">
        <v>651</v>
      </c>
      <c r="E266" s="311" t="s">
        <v>586</v>
      </c>
      <c r="F266" s="314">
        <v>1.05</v>
      </c>
      <c r="G266" s="315">
        <v>14.27</v>
      </c>
      <c r="H266" s="315">
        <f>IF(B266="Serviço",SUMIFS(H267:H444,C267:C444,$C266),IF(B266="Insumo",F266*G266,""))</f>
        <v>14.983499999999999</v>
      </c>
      <c r="I266" s="315"/>
    </row>
    <row r="267" spans="1:9" ht="15.75" hidden="1" customHeight="1" outlineLevel="1" x14ac:dyDescent="0.2">
      <c r="A267" s="307">
        <f>COUNTIFS($D$2:$D$488,D267,$B$2:$B$488,B267)</f>
        <v>1</v>
      </c>
      <c r="B267" s="310" t="s">
        <v>232</v>
      </c>
      <c r="C267" s="310" t="str">
        <f t="shared" si="6"/>
        <v>Impermeabilização de Baldrames com Tinta Asfáltica (Neutrol)</v>
      </c>
      <c r="D267" s="310" t="s">
        <v>422</v>
      </c>
      <c r="E267" s="316" t="s">
        <v>586</v>
      </c>
      <c r="F267" s="317"/>
      <c r="G267" s="318"/>
      <c r="H267" s="318">
        <f>IF(B267="Serviço",SUMIFS(H268:H444,C268:C444,$C267),IF(B267="Insumo",F267*G267,""))</f>
        <v>24.900000000000002</v>
      </c>
      <c r="I267" s="318" t="s">
        <v>141</v>
      </c>
    </row>
    <row r="268" spans="1:9" ht="15.75" hidden="1" customHeight="1" outlineLevel="2" x14ac:dyDescent="0.2">
      <c r="A268" s="307">
        <f>COUNTIFS($D$2:$D$488,D268,$B$2:$B$488,B268)</f>
        <v>1</v>
      </c>
      <c r="B268" s="302" t="s">
        <v>587</v>
      </c>
      <c r="C268" s="302" t="str">
        <f t="shared" si="6"/>
        <v>Impermeabilização de Baldrames com Tinta Asfáltica (Neutrol)</v>
      </c>
      <c r="D268" s="302" t="s">
        <v>652</v>
      </c>
      <c r="E268" s="311" t="s">
        <v>593</v>
      </c>
      <c r="F268" s="314">
        <v>1.5</v>
      </c>
      <c r="G268" s="315">
        <v>16.600000000000001</v>
      </c>
      <c r="H268" s="315">
        <f>IF(B268="Serviço",SUMIFS(H269:H444,C269:C444,$C268),IF(B268="Insumo",F268*G268,""))</f>
        <v>24.900000000000002</v>
      </c>
      <c r="I268" s="315"/>
    </row>
    <row r="269" spans="1:9" ht="15.75" hidden="1" customHeight="1" outlineLevel="1" x14ac:dyDescent="0.2">
      <c r="A269" s="307">
        <f>COUNTIFS($D$2:$D$488,D269,$B$2:$B$488,B269)</f>
        <v>1</v>
      </c>
      <c r="B269" s="310" t="s">
        <v>232</v>
      </c>
      <c r="C269" s="310" t="str">
        <f t="shared" si="6"/>
        <v>Impermeabilização De Superfície Com Manta Asfáltica, Uma Camada, Inclusive Aplicação De Primer Asfáltico</v>
      </c>
      <c r="D269" s="310" t="s">
        <v>653</v>
      </c>
      <c r="E269" s="316" t="s">
        <v>586</v>
      </c>
      <c r="F269" s="317"/>
      <c r="G269" s="318"/>
      <c r="H269" s="318">
        <f>IF(B269="Serviço",SUMIFS(H270:H444,C270:C444,$C269),IF(B269="Insumo",F269*G269,""))</f>
        <v>90.162299999999988</v>
      </c>
      <c r="I269" s="318" t="s">
        <v>141</v>
      </c>
    </row>
    <row r="270" spans="1:9" ht="15.75" hidden="1" customHeight="1" outlineLevel="2" x14ac:dyDescent="0.2">
      <c r="A270" s="307">
        <f>COUNTIFS($D$2:$D$488,D270,$B$2:$B$488,B270)</f>
        <v>3</v>
      </c>
      <c r="B270" s="302" t="s">
        <v>587</v>
      </c>
      <c r="C270" s="302" t="str">
        <f t="shared" si="6"/>
        <v>Impermeabilização De Superfície Com Manta Asfáltica, Uma Camada, Inclusive Aplicação De Primer Asfáltico</v>
      </c>
      <c r="D270" s="302" t="s">
        <v>654</v>
      </c>
      <c r="E270" s="311" t="s">
        <v>593</v>
      </c>
      <c r="F270" s="314">
        <v>0.61499999999999999</v>
      </c>
      <c r="G270" s="315">
        <v>18.52</v>
      </c>
      <c r="H270" s="315">
        <f>IF(B270="Serviço",SUMIFS(H271:H444,C271:C444,$C270),IF(B270="Insumo",F270*G270,""))</f>
        <v>11.389799999999999</v>
      </c>
      <c r="I270" s="315"/>
    </row>
    <row r="271" spans="1:9" ht="15.75" hidden="1" customHeight="1" outlineLevel="2" x14ac:dyDescent="0.2">
      <c r="A271" s="307">
        <f>COUNTIFS($D$2:$D$488,D271,$B$2:$B$488,B271)</f>
        <v>2</v>
      </c>
      <c r="B271" s="302" t="s">
        <v>587</v>
      </c>
      <c r="C271" s="302" t="str">
        <f t="shared" si="6"/>
        <v>Impermeabilização De Superfície Com Manta Asfáltica, Uma Camada, Inclusive Aplicação De Primer Asfáltico</v>
      </c>
      <c r="D271" s="302" t="s">
        <v>655</v>
      </c>
      <c r="E271" s="311" t="s">
        <v>586</v>
      </c>
      <c r="F271" s="314">
        <v>1.125</v>
      </c>
      <c r="G271" s="315">
        <v>70.02</v>
      </c>
      <c r="H271" s="315">
        <f>IF(B271="Serviço",SUMIFS(H272:H444,C272:C444,$C271),IF(B271="Insumo",F271*G271,""))</f>
        <v>78.772499999999994</v>
      </c>
      <c r="I271" s="315"/>
    </row>
    <row r="272" spans="1:9" ht="15.75" hidden="1" customHeight="1" outlineLevel="1" x14ac:dyDescent="0.2">
      <c r="A272" s="307">
        <f>COUNTIFS($D$2:$D$488,D272,$B$2:$B$488,B272)</f>
        <v>1</v>
      </c>
      <c r="B272" s="310" t="s">
        <v>232</v>
      </c>
      <c r="C272" s="310" t="str">
        <f t="shared" si="6"/>
        <v>Impermeabilização De Superfície Com Manta Asfáltica, Duas Camada, Inclusive Aplicação De Primer Asfáltico</v>
      </c>
      <c r="D272" s="310" t="s">
        <v>419</v>
      </c>
      <c r="E272" s="316" t="s">
        <v>586</v>
      </c>
      <c r="F272" s="317"/>
      <c r="G272" s="318"/>
      <c r="H272" s="318">
        <f>IF(B272="Serviço",SUMIFS(H273:H444,C273:C444,$C272),IF(B272="Insumo",F272*G272,""))</f>
        <v>154.3098</v>
      </c>
      <c r="I272" s="318" t="s">
        <v>141</v>
      </c>
    </row>
    <row r="273" spans="1:9" ht="15.75" hidden="1" customHeight="1" outlineLevel="2" x14ac:dyDescent="0.2">
      <c r="A273" s="307">
        <f>COUNTIFS($D$2:$D$488,D273,$B$2:$B$488,B273)</f>
        <v>3</v>
      </c>
      <c r="B273" s="302" t="s">
        <v>587</v>
      </c>
      <c r="C273" s="302" t="str">
        <f t="shared" si="6"/>
        <v>Impermeabilização De Superfície Com Manta Asfáltica, Duas Camada, Inclusive Aplicação De Primer Asfáltico</v>
      </c>
      <c r="D273" s="302" t="s">
        <v>654</v>
      </c>
      <c r="E273" s="311" t="s">
        <v>593</v>
      </c>
      <c r="F273" s="314">
        <v>0.61499999999999999</v>
      </c>
      <c r="G273" s="315">
        <v>18.52</v>
      </c>
      <c r="H273" s="315">
        <f>IF(B273="Serviço",SUMIFS(H274:H444,C274:C444,$C273),IF(B273="Insumo",F273*G273,""))</f>
        <v>11.389799999999999</v>
      </c>
      <c r="I273" s="315"/>
    </row>
    <row r="274" spans="1:9" ht="15.75" hidden="1" customHeight="1" outlineLevel="2" x14ac:dyDescent="0.2">
      <c r="A274" s="307">
        <f>COUNTIFS($D$2:$D$488,D274,$B$2:$B$488,B274)</f>
        <v>1</v>
      </c>
      <c r="B274" s="302" t="s">
        <v>587</v>
      </c>
      <c r="C274" s="302" t="str">
        <f t="shared" si="6"/>
        <v>Impermeabilização De Superfície Com Manta Asfáltica, Duas Camada, Inclusive Aplicação De Primer Asfáltico</v>
      </c>
      <c r="D274" s="302" t="s">
        <v>656</v>
      </c>
      <c r="E274" s="311" t="s">
        <v>586</v>
      </c>
      <c r="F274" s="314">
        <v>1.125</v>
      </c>
      <c r="G274" s="315">
        <v>57.02</v>
      </c>
      <c r="H274" s="315">
        <f>IF(B274="Serviço",SUMIFS(H275:H444,C275:C444,$C274),IF(B274="Insumo",F274*G274,""))</f>
        <v>64.147500000000008</v>
      </c>
      <c r="I274" s="315"/>
    </row>
    <row r="275" spans="1:9" ht="15.75" hidden="1" customHeight="1" outlineLevel="2" x14ac:dyDescent="0.2">
      <c r="A275" s="307">
        <f>COUNTIFS($D$2:$D$488,D275,$B$2:$B$488,B275)</f>
        <v>2</v>
      </c>
      <c r="B275" s="302" t="s">
        <v>587</v>
      </c>
      <c r="C275" s="302" t="str">
        <f t="shared" si="6"/>
        <v>Impermeabilização De Superfície Com Manta Asfáltica, Duas Camada, Inclusive Aplicação De Primer Asfáltico</v>
      </c>
      <c r="D275" s="302" t="s">
        <v>655</v>
      </c>
      <c r="E275" s="311" t="s">
        <v>586</v>
      </c>
      <c r="F275" s="314">
        <v>1.125</v>
      </c>
      <c r="G275" s="315">
        <v>70.02</v>
      </c>
      <c r="H275" s="315">
        <f>IF(B275="Serviço",SUMIFS(H276:H444,C276:C444,$C275),IF(B275="Insumo",F275*G275,""))</f>
        <v>78.772499999999994</v>
      </c>
      <c r="I275" s="315"/>
    </row>
    <row r="276" spans="1:9" ht="15.75" hidden="1" customHeight="1" outlineLevel="1" x14ac:dyDescent="0.2">
      <c r="A276" s="307">
        <f>COUNTIFS($D$2:$D$488,D276,$B$2:$B$488,B276)</f>
        <v>1</v>
      </c>
      <c r="B276" s="310" t="s">
        <v>232</v>
      </c>
      <c r="C276" s="310" t="str">
        <f t="shared" si="6"/>
        <v>Impermeabilização com manta aluminio em telhados</v>
      </c>
      <c r="D276" s="310" t="s">
        <v>423</v>
      </c>
      <c r="E276" s="316" t="s">
        <v>586</v>
      </c>
      <c r="F276" s="317"/>
      <c r="G276" s="318"/>
      <c r="H276" s="318">
        <f>IF(B276="Serviço",SUMIFS(H277:H444,C277:C444,$C276),IF(B276="Insumo",F276*G276,""))</f>
        <v>54.128550000000004</v>
      </c>
      <c r="I276" s="318" t="s">
        <v>141</v>
      </c>
    </row>
    <row r="277" spans="1:9" ht="15.75" hidden="1" customHeight="1" outlineLevel="2" x14ac:dyDescent="0.2">
      <c r="A277" s="307">
        <f>COUNTIFS($D$2:$D$488,D277,$B$2:$B$488,B277)</f>
        <v>3</v>
      </c>
      <c r="B277" s="302" t="s">
        <v>587</v>
      </c>
      <c r="C277" s="302" t="str">
        <f t="shared" si="6"/>
        <v>Impermeabilização com manta aluminio em telhados</v>
      </c>
      <c r="D277" s="302" t="s">
        <v>654</v>
      </c>
      <c r="E277" s="311" t="s">
        <v>593</v>
      </c>
      <c r="F277" s="314">
        <v>0.61499999999999999</v>
      </c>
      <c r="G277" s="315">
        <v>18.52</v>
      </c>
      <c r="H277" s="315">
        <f t="shared" ref="H277:H282" si="8">IF(B277="Serviço",SUMIFS(H278:H444,C278:C444,$C277),IF(B277="Insumo",F277*G277,""))</f>
        <v>11.389799999999999</v>
      </c>
      <c r="I277" s="315"/>
    </row>
    <row r="278" spans="1:9" ht="15.75" hidden="1" customHeight="1" outlineLevel="2" x14ac:dyDescent="0.2">
      <c r="A278" s="307">
        <f>COUNTIFS($D$2:$D$488,D278,$B$2:$B$488,B278)</f>
        <v>1</v>
      </c>
      <c r="B278" s="302" t="s">
        <v>587</v>
      </c>
      <c r="C278" s="302" t="str">
        <f t="shared" si="6"/>
        <v>Impermeabilização com manta aluminio em telhados</v>
      </c>
      <c r="D278" s="302" t="s">
        <v>657</v>
      </c>
      <c r="E278" s="311" t="s">
        <v>586</v>
      </c>
      <c r="F278" s="314">
        <v>1.125</v>
      </c>
      <c r="G278" s="315">
        <v>37.99</v>
      </c>
      <c r="H278" s="315">
        <f t="shared" si="8"/>
        <v>42.738750000000003</v>
      </c>
      <c r="I278" s="315"/>
    </row>
    <row r="279" spans="1:9" ht="15.75" hidden="1" customHeight="1" outlineLevel="1" x14ac:dyDescent="0.2">
      <c r="A279" s="307">
        <f>COUNTIFS($D$2:$D$488,D279,$B$2:$B$488,B279)</f>
        <v>1</v>
      </c>
      <c r="B279" s="310" t="s">
        <v>232</v>
      </c>
      <c r="C279" s="310" t="str">
        <f t="shared" si="6"/>
        <v>Impermeabilização De Superfície Com Argamassa Polimérica / Membrana Acrílica, 3 Demãos</v>
      </c>
      <c r="D279" s="310" t="s">
        <v>420</v>
      </c>
      <c r="E279" s="316" t="s">
        <v>586</v>
      </c>
      <c r="F279" s="317"/>
      <c r="G279" s="318"/>
      <c r="H279" s="318">
        <f t="shared" si="8"/>
        <v>36.256</v>
      </c>
      <c r="I279" s="318" t="s">
        <v>141</v>
      </c>
    </row>
    <row r="280" spans="1:9" ht="15.75" hidden="1" customHeight="1" outlineLevel="2" x14ac:dyDescent="0.2">
      <c r="A280" s="307">
        <f>COUNTIFS($D$2:$D$488,D280,$B$2:$B$488,B280)</f>
        <v>2</v>
      </c>
      <c r="B280" s="302" t="s">
        <v>587</v>
      </c>
      <c r="C280" s="302" t="str">
        <f t="shared" si="6"/>
        <v>Impermeabilização De Superfície Com Argamassa Polimérica / Membrana Acrílica, 3 Demãos</v>
      </c>
      <c r="D280" s="302" t="s">
        <v>658</v>
      </c>
      <c r="E280" s="311" t="s">
        <v>589</v>
      </c>
      <c r="F280" s="314">
        <v>3.2</v>
      </c>
      <c r="G280" s="315">
        <v>11.33</v>
      </c>
      <c r="H280" s="315">
        <f t="shared" si="8"/>
        <v>36.256</v>
      </c>
      <c r="I280" s="315"/>
    </row>
    <row r="281" spans="1:9" ht="15.75" hidden="1" customHeight="1" outlineLevel="1" x14ac:dyDescent="0.2">
      <c r="A281" s="307">
        <f>COUNTIFS($D$2:$D$488,D281,$B$2:$B$488,B281)</f>
        <v>1</v>
      </c>
      <c r="B281" s="310" t="s">
        <v>232</v>
      </c>
      <c r="C281" s="310" t="str">
        <f t="shared" si="6"/>
        <v>Impermeabilização com manta liquida em peitoris</v>
      </c>
      <c r="D281" s="310" t="s">
        <v>659</v>
      </c>
      <c r="E281" s="316" t="s">
        <v>586</v>
      </c>
      <c r="F281" s="317"/>
      <c r="G281" s="318"/>
      <c r="H281" s="318">
        <f t="shared" si="8"/>
        <v>40.17</v>
      </c>
      <c r="I281" s="318" t="s">
        <v>141</v>
      </c>
    </row>
    <row r="282" spans="1:9" ht="15.75" hidden="1" customHeight="1" outlineLevel="2" x14ac:dyDescent="0.2">
      <c r="A282" s="307">
        <f>COUNTIFS($D$2:$D$488,D282,$B$2:$B$488,B282)</f>
        <v>1</v>
      </c>
      <c r="B282" s="302" t="s">
        <v>587</v>
      </c>
      <c r="C282" s="302" t="str">
        <f t="shared" si="6"/>
        <v>Impermeabilização com manta liquida em peitoris</v>
      </c>
      <c r="D282" s="302" t="s">
        <v>660</v>
      </c>
      <c r="E282" s="311" t="s">
        <v>589</v>
      </c>
      <c r="F282" s="314">
        <v>1.56</v>
      </c>
      <c r="G282" s="315">
        <v>25.75</v>
      </c>
      <c r="H282" s="315">
        <f t="shared" si="8"/>
        <v>40.17</v>
      </c>
      <c r="I282" s="315"/>
    </row>
    <row r="283" spans="1:9" ht="15.75" hidden="1" customHeight="1" outlineLevel="1" x14ac:dyDescent="0.2">
      <c r="A283" s="307">
        <f>COUNTIFS($D$2:$D$488,D283,$B$2:$B$488,B283)</f>
        <v>1</v>
      </c>
      <c r="B283" s="302" t="s">
        <v>232</v>
      </c>
      <c r="C283" s="302" t="str">
        <f t="shared" si="6"/>
        <v>Tratamento de ralo com manta de poliéster</v>
      </c>
      <c r="D283" s="302" t="s">
        <v>661</v>
      </c>
      <c r="E283" s="311" t="s">
        <v>17</v>
      </c>
      <c r="F283" s="312"/>
      <c r="G283" s="313"/>
      <c r="H283" s="313">
        <f>IF(B283="Serviço",SUMIFS(H284:H449,C284:C449,$C283),IF(B283="Insumo",F283*G283,""))</f>
        <v>8.760015000000001</v>
      </c>
      <c r="I283" s="313" t="s">
        <v>141</v>
      </c>
    </row>
    <row r="284" spans="1:9" ht="15.75" hidden="1" customHeight="1" outlineLevel="2" x14ac:dyDescent="0.2">
      <c r="A284" s="307">
        <f>COUNTIFS($D$2:$D$488,D284,$B$2:$B$488,B284)</f>
        <v>2</v>
      </c>
      <c r="B284" s="302" t="s">
        <v>587</v>
      </c>
      <c r="C284" s="302" t="str">
        <f t="shared" si="6"/>
        <v>Tratamento de ralo com manta de poliéster</v>
      </c>
      <c r="D284" s="302" t="s">
        <v>658</v>
      </c>
      <c r="E284" s="311" t="s">
        <v>589</v>
      </c>
      <c r="F284" s="314">
        <v>0.73850000000000005</v>
      </c>
      <c r="G284" s="315">
        <v>11.33</v>
      </c>
      <c r="H284" s="315">
        <f>IF(B284="Serviço",SUMIFS(H285:H449,C285:C449,$C284),IF(B284="Insumo",F284*G284,""))</f>
        <v>8.3672050000000002</v>
      </c>
      <c r="I284" s="315"/>
    </row>
    <row r="285" spans="1:9" ht="15.75" hidden="1" customHeight="1" outlineLevel="2" x14ac:dyDescent="0.2">
      <c r="A285" s="307">
        <f>COUNTIFS($D$2:$D$488,D285,$B$2:$B$488,B285)</f>
        <v>1</v>
      </c>
      <c r="B285" s="302" t="s">
        <v>587</v>
      </c>
      <c r="C285" s="302" t="str">
        <f t="shared" si="6"/>
        <v>Tratamento de ralo com manta de poliéster</v>
      </c>
      <c r="D285" s="302" t="s">
        <v>662</v>
      </c>
      <c r="E285" s="311" t="s">
        <v>586</v>
      </c>
      <c r="F285" s="314">
        <v>0.35709999999999997</v>
      </c>
      <c r="G285" s="315">
        <v>1.1000000000000001</v>
      </c>
      <c r="H285" s="315">
        <f>IF(B285="Serviço",SUMIFS(H286:H449,C286:C449,$C285),IF(B285="Insumo",F285*G285,""))</f>
        <v>0.39280999999999999</v>
      </c>
      <c r="I285" s="315"/>
    </row>
    <row r="286" spans="1:9" ht="15.75" customHeight="1" collapsed="1" x14ac:dyDescent="0.2">
      <c r="A286" s="307">
        <f>COUNTIFS($D$2:$D$488,D286,$B$2:$B$488,B286)</f>
        <v>1</v>
      </c>
      <c r="B286" s="307" t="s">
        <v>230</v>
      </c>
      <c r="C286" s="307" t="str">
        <f>IF(B286="Serviço",D286,C285)</f>
        <v>Tratamento de ralo com manta de poliéster</v>
      </c>
      <c r="D286" s="307" t="s">
        <v>50</v>
      </c>
      <c r="E286" s="308"/>
      <c r="F286" s="319"/>
      <c r="G286" s="309"/>
      <c r="H286" s="309" t="str">
        <f>IF(B286="Serviço",SUMIFS(H287:H449,C287:C449,$C286),IF(B286="Insumo",F286*G286,""))</f>
        <v/>
      </c>
      <c r="I286" s="309"/>
    </row>
    <row r="287" spans="1:9" ht="15.75" hidden="1" customHeight="1" outlineLevel="1" x14ac:dyDescent="0.2">
      <c r="A287" s="307">
        <f>COUNTIFS($D$2:$D$488,D287,$B$2:$B$488,B287)</f>
        <v>1</v>
      </c>
      <c r="B287" s="302" t="s">
        <v>232</v>
      </c>
      <c r="C287" s="302" t="str">
        <f t="shared" ref="C287:C291" si="9">IF(B287="Serviço",D287,C286)</f>
        <v>Chapisco aplicado em estruturas de concreto, de argamassa ACIII, com desempenadeira dentada</v>
      </c>
      <c r="D287" s="302" t="s">
        <v>476</v>
      </c>
      <c r="E287" s="311" t="s">
        <v>586</v>
      </c>
      <c r="F287" s="312"/>
      <c r="G287" s="313"/>
      <c r="H287" s="313">
        <f>IF(B287="Serviço",SUMIFS(H288:H449,C288:C449,$C287),IF(B287="Insumo",F287*G287,""))</f>
        <v>7.1999999999999993</v>
      </c>
      <c r="I287" s="313" t="s">
        <v>141</v>
      </c>
    </row>
    <row r="288" spans="1:9" ht="15.75" hidden="1" customHeight="1" outlineLevel="2" x14ac:dyDescent="0.2">
      <c r="A288" s="307">
        <f>COUNTIFS($D$2:$D$488,D288,$B$2:$B$488,B288)</f>
        <v>15</v>
      </c>
      <c r="B288" s="302" t="s">
        <v>587</v>
      </c>
      <c r="C288" s="302" t="str">
        <f t="shared" si="9"/>
        <v>Chapisco aplicado em estruturas de concreto, de argamassa ACIII, com desempenadeira dentada</v>
      </c>
      <c r="D288" s="302" t="s">
        <v>663</v>
      </c>
      <c r="E288" s="311" t="s">
        <v>589</v>
      </c>
      <c r="F288" s="314">
        <v>5</v>
      </c>
      <c r="G288" s="315">
        <v>1.44</v>
      </c>
      <c r="H288" s="315">
        <f>IF(B288="Serviço",SUMIFS(H289:H451,C289:C451,$C288),IF(B288="Insumo",F288*G288,""))</f>
        <v>7.1999999999999993</v>
      </c>
      <c r="I288" s="315"/>
    </row>
    <row r="289" spans="1:9" ht="15.75" hidden="1" customHeight="1" outlineLevel="1" x14ac:dyDescent="0.2">
      <c r="A289" s="307">
        <f>COUNTIFS($D$2:$D$488,D289,$B$2:$B$488,B289)</f>
        <v>1</v>
      </c>
      <c r="B289" s="302" t="s">
        <v>232</v>
      </c>
      <c r="C289" s="302" t="str">
        <f>IF(B289="Serviço",D289,#REF!)</f>
        <v>Chapisco convencional com adesivo sintético de alto desempenho aplicados em alvenaria, aplicação convencional.</v>
      </c>
      <c r="D289" s="302" t="s">
        <v>477</v>
      </c>
      <c r="E289" s="311" t="s">
        <v>586</v>
      </c>
      <c r="F289" s="312"/>
      <c r="G289" s="313"/>
      <c r="H289" s="313">
        <f>IF(B289="Serviço",SUMIFS(H290:H451,C290:C451,$C289),IF(B289="Insumo",F289*G289,""))</f>
        <v>7.4998500000000003</v>
      </c>
      <c r="I289" s="313" t="s">
        <v>141</v>
      </c>
    </row>
    <row r="290" spans="1:9" ht="15.75" hidden="1" customHeight="1" outlineLevel="2" x14ac:dyDescent="0.2">
      <c r="A290" s="307">
        <f>COUNTIFS($D$2:$D$488,D290,$B$2:$B$488,B290)</f>
        <v>2</v>
      </c>
      <c r="B290" s="302" t="s">
        <v>587</v>
      </c>
      <c r="C290" s="302" t="str">
        <f t="shared" si="9"/>
        <v>Chapisco convencional com adesivo sintético de alto desempenho aplicados em alvenaria, aplicação convencional.</v>
      </c>
      <c r="D290" s="302" t="s">
        <v>665</v>
      </c>
      <c r="E290" s="311" t="s">
        <v>589</v>
      </c>
      <c r="F290" s="314">
        <v>1.8</v>
      </c>
      <c r="G290" s="315">
        <v>2.2949999999999999</v>
      </c>
      <c r="H290" s="315">
        <f>IF(B290="Serviço",SUMIFS(H291:H451,C291:C451,$C290),IF(B290="Insumo",F290*G290,""))</f>
        <v>4.1310000000000002</v>
      </c>
      <c r="I290" s="315"/>
    </row>
    <row r="291" spans="1:9" ht="15.75" hidden="1" customHeight="1" outlineLevel="2" x14ac:dyDescent="0.2">
      <c r="A291" s="307">
        <f>COUNTIFS($D$2:$D$488,D291,$B$2:$B$488,B291)</f>
        <v>2</v>
      </c>
      <c r="B291" s="302" t="s">
        <v>587</v>
      </c>
      <c r="C291" s="302" t="str">
        <f t="shared" si="9"/>
        <v>Chapisco convencional com adesivo sintético de alto desempenho aplicados em alvenaria, aplicação convencional.</v>
      </c>
      <c r="D291" s="302" t="s">
        <v>664</v>
      </c>
      <c r="E291" s="311" t="s">
        <v>589</v>
      </c>
      <c r="F291" s="314">
        <v>0.3</v>
      </c>
      <c r="G291" s="315">
        <v>11.2295</v>
      </c>
      <c r="H291" s="315">
        <f>IF(B291="Serviço",SUMIFS(H292:H451,C292:C451,$C291),IF(B291="Insumo",F291*G291,""))</f>
        <v>3.3688499999999997</v>
      </c>
      <c r="I291" s="315"/>
    </row>
    <row r="292" spans="1:9" ht="15.75" hidden="1" customHeight="1" outlineLevel="1" x14ac:dyDescent="0.2">
      <c r="A292" s="307">
        <f>COUNTIFS($D$2:$D$488,D292,$B$2:$B$488,B292)</f>
        <v>1</v>
      </c>
      <c r="B292" s="302" t="s">
        <v>232</v>
      </c>
      <c r="C292" s="302" t="str">
        <f>IF(B292="Serviço",D292,C291)</f>
        <v>Emboço interno em argamassa estabilizada, espessura de 1,5 cm, com execução de taliscas</v>
      </c>
      <c r="D292" s="968" t="s">
        <v>5086</v>
      </c>
      <c r="E292" s="311" t="s">
        <v>586</v>
      </c>
      <c r="F292" s="312"/>
      <c r="G292" s="313"/>
      <c r="H292" s="313">
        <f>IF(B292="Serviço",SUMIFS(H293:H451,C293:C451,$C292),IF(B292="Insumo",F292*G292,""))</f>
        <v>8.0850000000000009</v>
      </c>
      <c r="I292" s="313" t="s">
        <v>141</v>
      </c>
    </row>
    <row r="293" spans="1:9" ht="15.75" hidden="1" customHeight="1" outlineLevel="2" x14ac:dyDescent="0.2">
      <c r="A293" s="307">
        <f>COUNTIFS($D$2:$D$488,D293,$B$2:$B$488,B293)</f>
        <v>5</v>
      </c>
      <c r="B293" s="302" t="s">
        <v>587</v>
      </c>
      <c r="C293" s="302" t="str">
        <f>IF(B293="Serviço",D293,C292)</f>
        <v>Emboço interno em argamassa estabilizada, espessura de 1,5 cm, com execução de taliscas</v>
      </c>
      <c r="D293" s="302" t="s">
        <v>666</v>
      </c>
      <c r="E293" s="311" t="s">
        <v>588</v>
      </c>
      <c r="F293" s="314">
        <f>0.015*1.1</f>
        <v>1.6500000000000001E-2</v>
      </c>
      <c r="G293" s="315">
        <v>490</v>
      </c>
      <c r="H293" s="315">
        <f>IF(B293="Serviço",SUMIFS(H294:H451,C294:C451,$C293),IF(B293="Insumo",F293*G293,""))</f>
        <v>8.0850000000000009</v>
      </c>
      <c r="I293" s="315"/>
    </row>
    <row r="294" spans="1:9" ht="15.75" hidden="1" customHeight="1" outlineLevel="1" x14ac:dyDescent="0.2">
      <c r="A294" s="307">
        <f>COUNTIFS($D$2:$D$488,D294,$B$2:$B$488,B294)</f>
        <v>1</v>
      </c>
      <c r="B294" s="302" t="s">
        <v>232</v>
      </c>
      <c r="C294" s="302" t="str">
        <f>IF(B294="Serviço",D294,#REF!)</f>
        <v>Reboco interno em argamassa estabilizada, espessura de 0,5cm, com execução de taliscas</v>
      </c>
      <c r="D294" s="968" t="s">
        <v>5088</v>
      </c>
      <c r="E294" s="311" t="s">
        <v>586</v>
      </c>
      <c r="F294" s="312"/>
      <c r="G294" s="313"/>
      <c r="H294" s="313">
        <f>IF(B294="Serviço",SUMIFS(H295:H451,C295:C451,$C294),IF(B294="Insumo",F294*G294,""))</f>
        <v>2.6950000000000003</v>
      </c>
      <c r="I294" s="313" t="s">
        <v>141</v>
      </c>
    </row>
    <row r="295" spans="1:9" ht="15.75" hidden="1" customHeight="1" outlineLevel="2" x14ac:dyDescent="0.2">
      <c r="A295" s="307">
        <f>COUNTIFS($D$2:$D$488,D295,$B$2:$B$488,B295)</f>
        <v>5</v>
      </c>
      <c r="B295" s="302" t="s">
        <v>587</v>
      </c>
      <c r="C295" s="302" t="str">
        <f t="shared" ref="C295:C333" si="10">IF(B295="Serviço",D295,C294)</f>
        <v>Reboco interno em argamassa estabilizada, espessura de 0,5cm, com execução de taliscas</v>
      </c>
      <c r="D295" s="302" t="s">
        <v>666</v>
      </c>
      <c r="E295" s="311" t="s">
        <v>588</v>
      </c>
      <c r="F295" s="314">
        <f>0.005*1.1</f>
        <v>5.5000000000000005E-3</v>
      </c>
      <c r="G295" s="315">
        <v>490</v>
      </c>
      <c r="H295" s="315">
        <f>IF(B295="Serviço",SUMIFS(H300:H451,C300:C451,$C295),IF(B295="Insumo",F295*G295,""))</f>
        <v>2.6950000000000003</v>
      </c>
      <c r="I295" s="315"/>
    </row>
    <row r="296" spans="1:9" ht="15.75" hidden="1" customHeight="1" outlineLevel="1" x14ac:dyDescent="0.2">
      <c r="A296" s="307">
        <f>COUNTIFS($D$2:$D$488,D296,$B$2:$B$488,B296)</f>
        <v>1</v>
      </c>
      <c r="B296" s="302" t="s">
        <v>232</v>
      </c>
      <c r="C296" s="302" t="str">
        <f>IF(B296="Serviço",D296,C293)</f>
        <v>Massa unica em argamassa estabilizada, espessura de 1,0 cm, com execução de taliscas</v>
      </c>
      <c r="D296" s="968" t="s">
        <v>5087</v>
      </c>
      <c r="E296" s="311" t="s">
        <v>586</v>
      </c>
      <c r="F296" s="312"/>
      <c r="G296" s="313"/>
      <c r="H296" s="313">
        <f>IF(B296="Serviço",SUMIFS(H297:H451,C297:C451,$C296),IF(B296="Insumo",F296*G296,""))</f>
        <v>5.3900000000000006</v>
      </c>
      <c r="I296" s="313" t="s">
        <v>141</v>
      </c>
    </row>
    <row r="297" spans="1:9" ht="15.75" hidden="1" customHeight="1" outlineLevel="2" x14ac:dyDescent="0.2">
      <c r="A297" s="307">
        <f>COUNTIFS($D$2:$D$488,D297,$B$2:$B$488,B297)</f>
        <v>5</v>
      </c>
      <c r="B297" s="302" t="s">
        <v>587</v>
      </c>
      <c r="C297" s="302" t="str">
        <f>IF(B297="Serviço",D297,C296)</f>
        <v>Massa unica em argamassa estabilizada, espessura de 1,0 cm, com execução de taliscas</v>
      </c>
      <c r="D297" s="302" t="s">
        <v>666</v>
      </c>
      <c r="E297" s="311" t="s">
        <v>588</v>
      </c>
      <c r="F297" s="314">
        <f>0.01*1.1</f>
        <v>1.1000000000000001E-2</v>
      </c>
      <c r="G297" s="315">
        <v>490</v>
      </c>
      <c r="H297" s="315">
        <f>IF(B297="Serviço",SUMIFS(H300:H451,C300:C451,$C297),IF(B297="Insumo",F297*G297,""))</f>
        <v>5.3900000000000006</v>
      </c>
      <c r="I297" s="315"/>
    </row>
    <row r="298" spans="1:9" ht="15.75" hidden="1" customHeight="1" outlineLevel="1" x14ac:dyDescent="0.2">
      <c r="A298" s="307">
        <f>COUNTIFS($D$2:$D$488,D298,$B$2:$B$488,B298)</f>
        <v>1</v>
      </c>
      <c r="B298" s="302" t="s">
        <v>232</v>
      </c>
      <c r="C298" s="302" t="str">
        <f>IF(B298="Serviço",D298,C295)</f>
        <v>Massa unica em argamassa estabilizada, espessura de 2,5 cm, com execução de taliscas</v>
      </c>
      <c r="D298" s="968" t="s">
        <v>5093</v>
      </c>
      <c r="E298" s="311" t="s">
        <v>586</v>
      </c>
      <c r="F298" s="312"/>
      <c r="G298" s="313"/>
      <c r="H298" s="313">
        <f>IF(B298="Serviço",SUMIFS(H299:H451,C299:C451,$C298),IF(B298="Insumo",F298*G298,""))</f>
        <v>13.475000000000001</v>
      </c>
      <c r="I298" s="313" t="s">
        <v>141</v>
      </c>
    </row>
    <row r="299" spans="1:9" ht="15.75" hidden="1" customHeight="1" outlineLevel="2" x14ac:dyDescent="0.2">
      <c r="A299" s="307">
        <f>COUNTIFS($D$2:$D$488,D299,$B$2:$B$488,B299)</f>
        <v>5</v>
      </c>
      <c r="B299" s="302" t="s">
        <v>587</v>
      </c>
      <c r="C299" s="302" t="str">
        <f>IF(B299="Serviço",D299,C298)</f>
        <v>Massa unica em argamassa estabilizada, espessura de 2,5 cm, com execução de taliscas</v>
      </c>
      <c r="D299" s="302" t="s">
        <v>666</v>
      </c>
      <c r="E299" s="311" t="s">
        <v>588</v>
      </c>
      <c r="F299" s="314">
        <f>0.025*1.1</f>
        <v>2.7500000000000004E-2</v>
      </c>
      <c r="G299" s="315">
        <v>490</v>
      </c>
      <c r="H299" s="315">
        <f>IF(B299="Serviço",SUMIFS(H302:H451,C302:C451,$C299),IF(B299="Insumo",F299*G299,""))</f>
        <v>13.475000000000001</v>
      </c>
      <c r="I299" s="315"/>
    </row>
    <row r="300" spans="1:9" ht="15.75" hidden="1" customHeight="1" outlineLevel="1" x14ac:dyDescent="0.2">
      <c r="A300" s="307">
        <f>COUNTIFS($D$2:$D$488,D300,$B$2:$B$488,B300)</f>
        <v>1</v>
      </c>
      <c r="B300" s="302" t="s">
        <v>232</v>
      </c>
      <c r="C300" s="302" t="str">
        <f>IF(B300="Serviço",D300,C295)</f>
        <v>Estucamento de estrutura de concreto em pilares e vigas</v>
      </c>
      <c r="D300" s="302" t="s">
        <v>478</v>
      </c>
      <c r="E300" s="311" t="s">
        <v>586</v>
      </c>
      <c r="F300" s="312"/>
      <c r="G300" s="313"/>
      <c r="H300" s="313">
        <f>IF(B300="Serviço",SUMIFS(H301:H451,C301:C451,$C300),IF(B300="Insumo",F300*G300,""))</f>
        <v>5.1029166664999996</v>
      </c>
      <c r="I300" s="313" t="s">
        <v>141</v>
      </c>
    </row>
    <row r="301" spans="1:9" ht="15.75" hidden="1" customHeight="1" outlineLevel="2" x14ac:dyDescent="0.2">
      <c r="A301" s="307">
        <f>COUNTIFS($D$2:$D$488,D301,$B$2:$B$488,B301)</f>
        <v>11</v>
      </c>
      <c r="B301" s="302" t="s">
        <v>587</v>
      </c>
      <c r="C301" s="302" t="str">
        <f t="shared" si="10"/>
        <v>Estucamento de estrutura de concreto em pilares e vigas</v>
      </c>
      <c r="D301" s="302" t="s">
        <v>618</v>
      </c>
      <c r="E301" s="311" t="s">
        <v>589</v>
      </c>
      <c r="F301" s="314">
        <v>0.6</v>
      </c>
      <c r="G301" s="315">
        <v>0.76</v>
      </c>
      <c r="H301" s="315">
        <f>IF(B301="Serviço",SUMIFS(H302:H451,C302:C451,$C301),IF(B301="Insumo",F301*G301,""))</f>
        <v>0.45599999999999996</v>
      </c>
      <c r="I301" s="315"/>
    </row>
    <row r="302" spans="1:9" ht="15.75" hidden="1" customHeight="1" outlineLevel="2" x14ac:dyDescent="0.2">
      <c r="A302" s="307">
        <f>COUNTIFS($D$2:$D$488,D302,$B$2:$B$488,B302)</f>
        <v>3</v>
      </c>
      <c r="B302" s="302" t="s">
        <v>587</v>
      </c>
      <c r="C302" s="302" t="str">
        <f t="shared" si="10"/>
        <v>Estucamento de estrutura de concreto em pilares e vigas</v>
      </c>
      <c r="D302" s="302" t="s">
        <v>667</v>
      </c>
      <c r="E302" s="311" t="s">
        <v>17</v>
      </c>
      <c r="F302" s="314">
        <v>0.05</v>
      </c>
      <c r="G302" s="315">
        <v>3.13</v>
      </c>
      <c r="H302" s="315">
        <f>IF(B302="Serviço",SUMIFS(H303:H451,C303:C451,$C302),IF(B302="Insumo",F302*G302,""))</f>
        <v>0.1565</v>
      </c>
      <c r="I302" s="315"/>
    </row>
    <row r="303" spans="1:9" ht="15.75" hidden="1" customHeight="1" outlineLevel="2" x14ac:dyDescent="0.2">
      <c r="A303" s="307">
        <f>COUNTIFS($D$2:$D$488,D303,$B$2:$B$488,B303)</f>
        <v>3</v>
      </c>
      <c r="B303" s="302" t="s">
        <v>587</v>
      </c>
      <c r="C303" s="302" t="str">
        <f t="shared" si="10"/>
        <v>Estucamento de estrutura de concreto em pilares e vigas</v>
      </c>
      <c r="D303" s="302" t="s">
        <v>668</v>
      </c>
      <c r="E303" s="311" t="s">
        <v>589</v>
      </c>
      <c r="F303" s="314">
        <v>0.3</v>
      </c>
      <c r="G303" s="315">
        <v>3.49</v>
      </c>
      <c r="H303" s="315">
        <f>IF(B303="Serviço",SUMIFS(H304:H451,C304:C451,$C303),IF(B303="Insumo",F303*G303,""))</f>
        <v>1.0469999999999999</v>
      </c>
      <c r="I303" s="315"/>
    </row>
    <row r="304" spans="1:9" ht="15.75" hidden="1" customHeight="1" outlineLevel="2" x14ac:dyDescent="0.2">
      <c r="A304" s="307">
        <f>COUNTIFS($D$2:$D$488,D304,$B$2:$B$488,B304)</f>
        <v>3</v>
      </c>
      <c r="B304" s="302" t="s">
        <v>587</v>
      </c>
      <c r="C304" s="302" t="str">
        <f t="shared" si="10"/>
        <v>Estucamento de estrutura de concreto em pilares e vigas</v>
      </c>
      <c r="D304" s="302" t="s">
        <v>669</v>
      </c>
      <c r="E304" s="311" t="s">
        <v>589</v>
      </c>
      <c r="F304" s="314">
        <v>0.15</v>
      </c>
      <c r="G304" s="315">
        <v>22.956111109999998</v>
      </c>
      <c r="H304" s="315">
        <f>IF(B304="Serviço",SUMIFS(H305:H451,C305:C451,$C304),IF(B304="Insumo",F304*G304,""))</f>
        <v>3.4434166664999997</v>
      </c>
      <c r="I304" s="315"/>
    </row>
    <row r="305" spans="1:9" ht="15.75" hidden="1" customHeight="1" outlineLevel="1" x14ac:dyDescent="0.2">
      <c r="A305" s="307">
        <f>COUNTIFS($D$2:$D$488,D305,$B$2:$B$488,B305)</f>
        <v>1</v>
      </c>
      <c r="B305" s="302" t="s">
        <v>232</v>
      </c>
      <c r="C305" s="302" t="str">
        <f>IF(B305="Serviço",D305,#REF!)</f>
        <v>Revestimento de cerâmico retificado em Paredes, Placa 60,5 x 60,5cm com Junta de 2mm</v>
      </c>
      <c r="D305" s="302" t="s">
        <v>481</v>
      </c>
      <c r="E305" s="311" t="s">
        <v>586</v>
      </c>
      <c r="F305" s="312"/>
      <c r="G305" s="313"/>
      <c r="H305" s="313">
        <f>IF(B305="Serviço",SUMIFS(H306:H451,C306:C451,$C305),IF(B305="Insumo",F305*G305,""))</f>
        <v>70.807999999999993</v>
      </c>
      <c r="I305" s="313" t="s">
        <v>141</v>
      </c>
    </row>
    <row r="306" spans="1:9" ht="15.75" hidden="1" customHeight="1" outlineLevel="2" x14ac:dyDescent="0.2">
      <c r="A306" s="307">
        <f>COUNTIFS($D$2:$D$488,D306,$B$2:$B$488,B306)</f>
        <v>1</v>
      </c>
      <c r="B306" s="302" t="s">
        <v>587</v>
      </c>
      <c r="C306" s="320" t="str">
        <f t="shared" si="10"/>
        <v>Revestimento de cerâmico retificado em Paredes, Placa 60,5 x 60,5cm com Junta de 2mm</v>
      </c>
      <c r="D306" s="320" t="s">
        <v>671</v>
      </c>
      <c r="E306" s="311" t="s">
        <v>586</v>
      </c>
      <c r="F306" s="314">
        <v>1.1000000000000001</v>
      </c>
      <c r="G306" s="315">
        <v>47.23</v>
      </c>
      <c r="H306" s="315">
        <f>IF(B306="Serviço",SUMIFS(H307:H451,C307:C451,$C306),IF(B306="Insumo",F306*G306,""))</f>
        <v>51.953000000000003</v>
      </c>
      <c r="I306" s="315"/>
    </row>
    <row r="307" spans="1:9" ht="15.75" hidden="1" customHeight="1" outlineLevel="1" x14ac:dyDescent="0.2">
      <c r="A307" s="307">
        <f>COUNTIFS($D$2:$D$488,D307,$B$2:$B$488,B307)</f>
        <v>15</v>
      </c>
      <c r="B307" s="302" t="s">
        <v>587</v>
      </c>
      <c r="C307" s="302" t="str">
        <f t="shared" si="10"/>
        <v>Revestimento de cerâmico retificado em Paredes, Placa 60,5 x 60,5cm com Junta de 2mm</v>
      </c>
      <c r="D307" s="302" t="s">
        <v>663</v>
      </c>
      <c r="E307" s="311" t="s">
        <v>589</v>
      </c>
      <c r="F307" s="314">
        <v>9</v>
      </c>
      <c r="G307" s="315">
        <v>1.44</v>
      </c>
      <c r="H307" s="315">
        <f>IF(B307="Serviço",SUMIFS(H308:H451,C308:C451,$C307),IF(B307="Insumo",F307*G307,""))</f>
        <v>12.959999999999999</v>
      </c>
      <c r="I307" s="315"/>
    </row>
    <row r="308" spans="1:9" ht="15.75" hidden="1" customHeight="1" outlineLevel="2" x14ac:dyDescent="0.2">
      <c r="A308" s="307">
        <f>COUNTIFS($D$2:$D$488,D308,$B$2:$B$488,B308)</f>
        <v>8</v>
      </c>
      <c r="B308" s="302" t="s">
        <v>587</v>
      </c>
      <c r="C308" s="302" t="str">
        <f t="shared" si="10"/>
        <v>Revestimento de cerâmico retificado em Paredes, Placa 60,5 x 60,5cm com Junta de 2mm</v>
      </c>
      <c r="D308" s="302" t="s">
        <v>672</v>
      </c>
      <c r="E308" s="311" t="s">
        <v>17</v>
      </c>
      <c r="F308" s="314">
        <v>4</v>
      </c>
      <c r="G308" s="315">
        <v>0.08</v>
      </c>
      <c r="H308" s="315">
        <f>IF(B308="Serviço",SUMIFS(H309:H451,C309:C451,$C308),IF(B308="Insumo",F308*G308,""))</f>
        <v>0.32</v>
      </c>
      <c r="I308" s="315"/>
    </row>
    <row r="309" spans="1:9" ht="15.75" hidden="1" customHeight="1" outlineLevel="1" x14ac:dyDescent="0.2">
      <c r="A309" s="307">
        <f>COUNTIFS($D$2:$D$488,D309,$B$2:$B$488,B309)</f>
        <v>10</v>
      </c>
      <c r="B309" s="302" t="s">
        <v>587</v>
      </c>
      <c r="C309" s="302" t="str">
        <f t="shared" si="10"/>
        <v>Revestimento de cerâmico retificado em Paredes, Placa 60,5 x 60,5cm com Junta de 2mm</v>
      </c>
      <c r="D309" s="302" t="s">
        <v>673</v>
      </c>
      <c r="E309" s="311" t="s">
        <v>589</v>
      </c>
      <c r="F309" s="314">
        <v>0.5</v>
      </c>
      <c r="G309" s="315">
        <v>11.15</v>
      </c>
      <c r="H309" s="315">
        <f>IF(B309="Serviço",SUMIFS(H310:H451,C310:C451,$C309),IF(B309="Insumo",F309*G309,""))</f>
        <v>5.5750000000000002</v>
      </c>
      <c r="I309" s="315"/>
    </row>
    <row r="310" spans="1:9" ht="15.75" hidden="1" customHeight="1" outlineLevel="2" x14ac:dyDescent="0.2">
      <c r="A310" s="307">
        <f>COUNTIFS($D$2:$D$488,D310,$B$2:$B$488,B310)</f>
        <v>1</v>
      </c>
      <c r="B310" s="310" t="s">
        <v>232</v>
      </c>
      <c r="C310" s="310" t="str">
        <f t="shared" si="10"/>
        <v>Revestimento de parede em porcelanato, placa 30x90cm</v>
      </c>
      <c r="D310" s="310" t="s">
        <v>480</v>
      </c>
      <c r="E310" s="316" t="s">
        <v>586</v>
      </c>
      <c r="F310" s="317"/>
      <c r="G310" s="318"/>
      <c r="H310" s="318">
        <f>IF(B310="Serviço",SUMIFS(H311:H451,C311:C451,$C310),IF(B310="Insumo",F310*G310,""))</f>
        <v>102.235</v>
      </c>
      <c r="I310" s="318" t="s">
        <v>141</v>
      </c>
    </row>
    <row r="311" spans="1:9" ht="15.75" hidden="1" customHeight="1" outlineLevel="1" x14ac:dyDescent="0.2">
      <c r="A311" s="307">
        <f>COUNTIFS($D$2:$D$488,D311,$B$2:$B$488,B311)</f>
        <v>1</v>
      </c>
      <c r="B311" s="302" t="s">
        <v>587</v>
      </c>
      <c r="C311" s="302" t="str">
        <f t="shared" si="10"/>
        <v>Revestimento de parede em porcelanato, placa 30x90cm</v>
      </c>
      <c r="D311" s="302" t="s">
        <v>674</v>
      </c>
      <c r="E311" s="311" t="s">
        <v>586</v>
      </c>
      <c r="F311" s="314">
        <v>1.1000000000000001</v>
      </c>
      <c r="G311" s="315">
        <v>75.8</v>
      </c>
      <c r="H311" s="315">
        <f>IF(B311="Serviço",SUMIFS(H312:H451,C312:C451,$C311),IF(B311="Insumo",F311*G311,""))</f>
        <v>83.38000000000001</v>
      </c>
      <c r="I311" s="315"/>
    </row>
    <row r="312" spans="1:9" ht="15.75" hidden="1" customHeight="1" outlineLevel="2" x14ac:dyDescent="0.2">
      <c r="A312" s="307">
        <f>COUNTIFS($D$2:$D$488,D312,$B$2:$B$488,B312)</f>
        <v>15</v>
      </c>
      <c r="B312" s="302" t="s">
        <v>587</v>
      </c>
      <c r="C312" s="302" t="str">
        <f t="shared" si="10"/>
        <v>Revestimento de parede em porcelanato, placa 30x90cm</v>
      </c>
      <c r="D312" s="302" t="s">
        <v>663</v>
      </c>
      <c r="E312" s="311" t="s">
        <v>589</v>
      </c>
      <c r="F312" s="314">
        <v>9</v>
      </c>
      <c r="G312" s="315">
        <v>1.44</v>
      </c>
      <c r="H312" s="315">
        <f>IF(B312="Serviço",SUMIFS(H313:H451,C313:C451,$C312),IF(B312="Insumo",F312*G312,""))</f>
        <v>12.959999999999999</v>
      </c>
      <c r="I312" s="315"/>
    </row>
    <row r="313" spans="1:9" ht="15.75" hidden="1" customHeight="1" outlineLevel="1" x14ac:dyDescent="0.2">
      <c r="A313" s="307">
        <f>COUNTIFS($D$2:$D$488,D313,$B$2:$B$488,B313)</f>
        <v>8</v>
      </c>
      <c r="B313" s="302" t="s">
        <v>587</v>
      </c>
      <c r="C313" s="302" t="str">
        <f t="shared" si="10"/>
        <v>Revestimento de parede em porcelanato, placa 30x90cm</v>
      </c>
      <c r="D313" s="302" t="s">
        <v>672</v>
      </c>
      <c r="E313" s="311" t="s">
        <v>17</v>
      </c>
      <c r="F313" s="314">
        <v>4</v>
      </c>
      <c r="G313" s="315">
        <v>0.08</v>
      </c>
      <c r="H313" s="315">
        <f>IF(B313="Serviço",SUMIFS(H314:H451,C314:C451,$C313),IF(B313="Insumo",F313*G313,""))</f>
        <v>0.32</v>
      </c>
      <c r="I313" s="315"/>
    </row>
    <row r="314" spans="1:9" ht="15.75" hidden="1" customHeight="1" outlineLevel="2" x14ac:dyDescent="0.2">
      <c r="A314" s="307">
        <f>COUNTIFS($D$2:$D$488,D314,$B$2:$B$488,B314)</f>
        <v>10</v>
      </c>
      <c r="B314" s="302" t="s">
        <v>587</v>
      </c>
      <c r="C314" s="302" t="str">
        <f t="shared" si="10"/>
        <v>Revestimento de parede em porcelanato, placa 30x90cm</v>
      </c>
      <c r="D314" s="302" t="s">
        <v>673</v>
      </c>
      <c r="E314" s="311" t="s">
        <v>589</v>
      </c>
      <c r="F314" s="314">
        <v>0.5</v>
      </c>
      <c r="G314" s="315">
        <v>11.15</v>
      </c>
      <c r="H314" s="315">
        <f>IF(B314="Serviço",SUMIFS(H315:H451,C315:C451,$C314),IF(B314="Insumo",F314*G314,""))</f>
        <v>5.5750000000000002</v>
      </c>
      <c r="I314" s="315"/>
    </row>
    <row r="315" spans="1:9" ht="15.75" hidden="1" customHeight="1" outlineLevel="1" x14ac:dyDescent="0.2">
      <c r="A315" s="307">
        <f>COUNTIFS($D$2:$D$488,D315,$B$2:$B$488,B315)</f>
        <v>1</v>
      </c>
      <c r="B315" s="310" t="s">
        <v>232</v>
      </c>
      <c r="C315" s="310" t="str">
        <f t="shared" si="10"/>
        <v>Revestimento em Pastilhas Cerâmicas Paredes Interna, 6 x 24cm com Junta de 3mm</v>
      </c>
      <c r="D315" s="310" t="s">
        <v>483</v>
      </c>
      <c r="E315" s="316" t="s">
        <v>586</v>
      </c>
      <c r="F315" s="317"/>
      <c r="G315" s="318"/>
      <c r="H315" s="318">
        <f>IF(B315="Serviço",SUMIFS(H316:H451,C316:C451,$C315),IF(B315="Insumo",F315*G315,""))</f>
        <v>111.08000000000001</v>
      </c>
      <c r="I315" s="318" t="s">
        <v>141</v>
      </c>
    </row>
    <row r="316" spans="1:9" ht="15.75" hidden="1" customHeight="1" outlineLevel="2" x14ac:dyDescent="0.2">
      <c r="A316" s="307">
        <f>COUNTIFS($D$2:$D$488,D316,$B$2:$B$488,B316)</f>
        <v>1</v>
      </c>
      <c r="B316" s="302" t="s">
        <v>587</v>
      </c>
      <c r="C316" s="302" t="str">
        <f t="shared" si="10"/>
        <v>Revestimento em Pastilhas Cerâmicas Paredes Interna, 6 x 24cm com Junta de 3mm</v>
      </c>
      <c r="D316" s="302" t="s">
        <v>675</v>
      </c>
      <c r="E316" s="311" t="s">
        <v>586</v>
      </c>
      <c r="F316" s="314">
        <v>1.1000000000000001</v>
      </c>
      <c r="G316" s="315">
        <v>83.95</v>
      </c>
      <c r="H316" s="315">
        <f>IF(B316="Serviço",SUMIFS(H317:H451,C317:C451,$C316),IF(B316="Insumo",F316*G316,""))</f>
        <v>92.345000000000013</v>
      </c>
      <c r="I316" s="315"/>
    </row>
    <row r="317" spans="1:9" ht="15.75" hidden="1" customHeight="1" outlineLevel="1" x14ac:dyDescent="0.2">
      <c r="A317" s="307">
        <f>COUNTIFS($D$2:$D$488,D317,$B$2:$B$488,B317)</f>
        <v>15</v>
      </c>
      <c r="B317" s="302" t="s">
        <v>587</v>
      </c>
      <c r="C317" s="302" t="str">
        <f t="shared" si="10"/>
        <v>Revestimento em Pastilhas Cerâmicas Paredes Interna, 6 x 24cm com Junta de 3mm</v>
      </c>
      <c r="D317" s="302" t="s">
        <v>663</v>
      </c>
      <c r="E317" s="311" t="s">
        <v>589</v>
      </c>
      <c r="F317" s="314">
        <v>9</v>
      </c>
      <c r="G317" s="315">
        <v>1.44</v>
      </c>
      <c r="H317" s="315">
        <f>IF(B317="Serviço",SUMIFS(H318:H451,C318:C451,$C317),IF(B317="Insumo",F317*G317,""))</f>
        <v>12.959999999999999</v>
      </c>
      <c r="I317" s="315"/>
    </row>
    <row r="318" spans="1:9" ht="15.75" hidden="1" customHeight="1" outlineLevel="2" x14ac:dyDescent="0.2">
      <c r="A318" s="307">
        <f>COUNTIFS($D$2:$D$488,D318,$B$2:$B$488,B318)</f>
        <v>2</v>
      </c>
      <c r="B318" s="302" t="s">
        <v>587</v>
      </c>
      <c r="C318" s="302" t="str">
        <f t="shared" si="10"/>
        <v>Revestimento em Pastilhas Cerâmicas Paredes Interna, 6 x 24cm com Junta de 3mm</v>
      </c>
      <c r="D318" s="302" t="s">
        <v>676</v>
      </c>
      <c r="E318" s="311" t="s">
        <v>17</v>
      </c>
      <c r="F318" s="314">
        <v>4</v>
      </c>
      <c r="G318" s="315">
        <v>0.05</v>
      </c>
      <c r="H318" s="315">
        <f>IF(B318="Serviço",SUMIFS(H319:H451,C319:C451,$C318),IF(B318="Insumo",F318*G318,""))</f>
        <v>0.2</v>
      </c>
      <c r="I318" s="315"/>
    </row>
    <row r="319" spans="1:9" ht="15.75" hidden="1" customHeight="1" outlineLevel="1" x14ac:dyDescent="0.2">
      <c r="A319" s="307">
        <f>COUNTIFS($D$2:$D$488,D319,$B$2:$B$488,B319)</f>
        <v>10</v>
      </c>
      <c r="B319" s="302" t="s">
        <v>587</v>
      </c>
      <c r="C319" s="302" t="str">
        <f t="shared" si="10"/>
        <v>Revestimento em Pastilhas Cerâmicas Paredes Interna, 6 x 24cm com Junta de 3mm</v>
      </c>
      <c r="D319" s="302" t="s">
        <v>673</v>
      </c>
      <c r="E319" s="311" t="s">
        <v>589</v>
      </c>
      <c r="F319" s="314">
        <v>0.5</v>
      </c>
      <c r="G319" s="315">
        <v>11.15</v>
      </c>
      <c r="H319" s="315">
        <f>IF(B319="Serviço",SUMIFS(H320:H451,C320:C451,$C319),IF(B319="Insumo",F319*G319,""))</f>
        <v>5.5750000000000002</v>
      </c>
      <c r="I319" s="315"/>
    </row>
    <row r="320" spans="1:9" ht="15.75" hidden="1" customHeight="1" outlineLevel="2" x14ac:dyDescent="0.2">
      <c r="A320" s="307">
        <f>COUNTIFS($D$2:$D$488,D320,$B$2:$B$488,B320)</f>
        <v>1</v>
      </c>
      <c r="B320" s="310" t="s">
        <v>232</v>
      </c>
      <c r="C320" s="310" t="str">
        <f t="shared" si="10"/>
        <v xml:space="preserve">Revestimento em Pastilhas Cerâmicas Para Piscinas , 14,5 x 14,5cm com Junta de 3mm </v>
      </c>
      <c r="D320" s="310" t="s">
        <v>499</v>
      </c>
      <c r="E320" s="316" t="s">
        <v>586</v>
      </c>
      <c r="F320" s="317"/>
      <c r="G320" s="318"/>
      <c r="H320" s="318">
        <f>IF(B320="Serviço",SUMIFS(H321:H451,C321:C451,$C320),IF(B320="Insumo",F320*G320,""))</f>
        <v>159.54500000000002</v>
      </c>
      <c r="I320" s="318" t="s">
        <v>141</v>
      </c>
    </row>
    <row r="321" spans="1:9" ht="15.75" hidden="1" customHeight="1" outlineLevel="1" x14ac:dyDescent="0.2">
      <c r="A321" s="307">
        <f>COUNTIFS($D$2:$D$488,D321,$B$2:$B$488,B321)</f>
        <v>2</v>
      </c>
      <c r="B321" s="302" t="s">
        <v>587</v>
      </c>
      <c r="C321" s="302" t="str">
        <f t="shared" si="10"/>
        <v xml:space="preserve">Revestimento em Pastilhas Cerâmicas Para Piscinas , 14,5 x 14,5cm com Junta de 3mm </v>
      </c>
      <c r="D321" s="302" t="s">
        <v>677</v>
      </c>
      <c r="E321" s="311" t="s">
        <v>586</v>
      </c>
      <c r="F321" s="314">
        <v>1.1000000000000001</v>
      </c>
      <c r="G321" s="315">
        <v>127.9</v>
      </c>
      <c r="H321" s="315">
        <f>IF(B321="Serviço",SUMIFS(H322:H451,C322:C451,$C321),IF(B321="Insumo",F321*G321,""))</f>
        <v>140.69000000000003</v>
      </c>
      <c r="I321" s="315"/>
    </row>
    <row r="322" spans="1:9" ht="15.75" hidden="1" customHeight="1" outlineLevel="2" x14ac:dyDescent="0.2">
      <c r="A322" s="307">
        <f>COUNTIFS($D$2:$D$488,D322,$B$2:$B$488,B322)</f>
        <v>15</v>
      </c>
      <c r="B322" s="302" t="s">
        <v>587</v>
      </c>
      <c r="C322" s="302" t="str">
        <f t="shared" si="10"/>
        <v xml:space="preserve">Revestimento em Pastilhas Cerâmicas Para Piscinas , 14,5 x 14,5cm com Junta de 3mm </v>
      </c>
      <c r="D322" s="302" t="s">
        <v>663</v>
      </c>
      <c r="E322" s="311" t="s">
        <v>589</v>
      </c>
      <c r="F322" s="314">
        <v>9</v>
      </c>
      <c r="G322" s="315">
        <v>1.44</v>
      </c>
      <c r="H322" s="315">
        <f>IF(B322="Serviço",SUMIFS(H323:H451,C323:C451,$C322),IF(B322="Insumo",F322*G322,""))</f>
        <v>12.959999999999999</v>
      </c>
      <c r="I322" s="315"/>
    </row>
    <row r="323" spans="1:9" ht="15.75" hidden="1" customHeight="1" outlineLevel="1" x14ac:dyDescent="0.2">
      <c r="A323" s="307">
        <f>COUNTIFS($D$2:$D$488,D323,$B$2:$B$488,B323)</f>
        <v>8</v>
      </c>
      <c r="B323" s="302" t="s">
        <v>587</v>
      </c>
      <c r="C323" s="302" t="str">
        <f t="shared" si="10"/>
        <v xml:space="preserve">Revestimento em Pastilhas Cerâmicas Para Piscinas , 14,5 x 14,5cm com Junta de 3mm </v>
      </c>
      <c r="D323" s="302" t="s">
        <v>672</v>
      </c>
      <c r="E323" s="311" t="s">
        <v>17</v>
      </c>
      <c r="F323" s="314">
        <v>4</v>
      </c>
      <c r="G323" s="315">
        <v>0.08</v>
      </c>
      <c r="H323" s="315">
        <f>IF(B323="Serviço",SUMIFS(H324:H451,C324:C451,$C323),IF(B323="Insumo",F323*G323,""))</f>
        <v>0.32</v>
      </c>
      <c r="I323" s="315"/>
    </row>
    <row r="324" spans="1:9" ht="15.75" hidden="1" customHeight="1" outlineLevel="2" x14ac:dyDescent="0.2">
      <c r="A324" s="307">
        <f>COUNTIFS($D$2:$D$488,D324,$B$2:$B$488,B324)</f>
        <v>10</v>
      </c>
      <c r="B324" s="302" t="s">
        <v>587</v>
      </c>
      <c r="C324" s="302" t="str">
        <f t="shared" si="10"/>
        <v xml:space="preserve">Revestimento em Pastilhas Cerâmicas Para Piscinas , 14,5 x 14,5cm com Junta de 3mm </v>
      </c>
      <c r="D324" s="302" t="s">
        <v>673</v>
      </c>
      <c r="E324" s="311" t="s">
        <v>589</v>
      </c>
      <c r="F324" s="314">
        <v>0.5</v>
      </c>
      <c r="G324" s="315">
        <v>11.15</v>
      </c>
      <c r="H324" s="315">
        <f>IF(B324="Serviço",SUMIFS(H325:H451,C325:C451,$C324),IF(B324="Insumo",F324*G324,""))</f>
        <v>5.5750000000000002</v>
      </c>
      <c r="I324" s="315"/>
    </row>
    <row r="325" spans="1:9" ht="15.75" hidden="1" customHeight="1" outlineLevel="1" x14ac:dyDescent="0.2">
      <c r="A325" s="307">
        <f>COUNTIFS($D$2:$D$488,D325,$B$2:$B$488,B325)</f>
        <v>1</v>
      </c>
      <c r="B325" s="310" t="s">
        <v>232</v>
      </c>
      <c r="C325" s="310" t="str">
        <f t="shared" si="10"/>
        <v>Peitoril em pedra natural,  esp. 2cm</v>
      </c>
      <c r="D325" s="310" t="s">
        <v>678</v>
      </c>
      <c r="E325" s="316" t="s">
        <v>586</v>
      </c>
      <c r="F325" s="317"/>
      <c r="G325" s="318"/>
      <c r="H325" s="318">
        <f>IF(B325="Serviço",SUMIFS(H326:H451,C326:C451,$C325),IF(B325="Insumo",F325*G325,""))</f>
        <v>799.88400000000001</v>
      </c>
      <c r="I325" s="318" t="s">
        <v>141</v>
      </c>
    </row>
    <row r="326" spans="1:9" ht="15.75" hidden="1" customHeight="1" outlineLevel="2" x14ac:dyDescent="0.2">
      <c r="A326" s="307">
        <f>COUNTIFS($D$2:$D$488,D326,$B$2:$B$488,B326)</f>
        <v>3</v>
      </c>
      <c r="B326" s="302" t="s">
        <v>587</v>
      </c>
      <c r="C326" s="302" t="str">
        <f t="shared" si="10"/>
        <v>Peitoril em pedra natural,  esp. 2cm</v>
      </c>
      <c r="D326" s="302" t="s">
        <v>679</v>
      </c>
      <c r="E326" s="311" t="s">
        <v>586</v>
      </c>
      <c r="F326" s="314">
        <v>1.05</v>
      </c>
      <c r="G326" s="315">
        <v>750</v>
      </c>
      <c r="H326" s="315">
        <f>IF(B326="Serviço",SUMIFS(H327:H451,C327:C451,$C326),IF(B326="Insumo",F326*G326,""))</f>
        <v>787.5</v>
      </c>
      <c r="I326" s="315"/>
    </row>
    <row r="327" spans="1:9" ht="15.75" hidden="1" customHeight="1" outlineLevel="2" x14ac:dyDescent="0.2">
      <c r="A327" s="307">
        <f>COUNTIFS($D$2:$D$488,D327,$B$2:$B$488,B327)</f>
        <v>15</v>
      </c>
      <c r="B327" s="302" t="s">
        <v>587</v>
      </c>
      <c r="C327" s="302" t="str">
        <f t="shared" si="10"/>
        <v>Peitoril em pedra natural,  esp. 2cm</v>
      </c>
      <c r="D327" s="302" t="s">
        <v>663</v>
      </c>
      <c r="E327" s="311" t="s">
        <v>589</v>
      </c>
      <c r="F327" s="314">
        <v>8.6</v>
      </c>
      <c r="G327" s="315">
        <v>1.44</v>
      </c>
      <c r="H327" s="315">
        <f>IF(B327="Serviço",SUMIFS(H331:H451,C331:C451,$C327),IF(B327="Insumo",F327*G327,""))</f>
        <v>12.383999999999999</v>
      </c>
      <c r="I327" s="315"/>
    </row>
    <row r="328" spans="1:9" ht="15.75" hidden="1" customHeight="1" outlineLevel="1" x14ac:dyDescent="0.2">
      <c r="A328" s="307">
        <f>COUNTIFS($D$2:$D$488,D328,$B$2:$B$488,B328)</f>
        <v>1</v>
      </c>
      <c r="B328" s="310" t="s">
        <v>232</v>
      </c>
      <c r="C328" s="310" t="str">
        <f t="shared" ref="C328:C330" si="11">IF(B328="Serviço",D328,C327)</f>
        <v>Peitoril em pedra basalto,  esp. 2cm</v>
      </c>
      <c r="D328" s="967" t="s">
        <v>5153</v>
      </c>
      <c r="E328" s="316" t="s">
        <v>586</v>
      </c>
      <c r="F328" s="317"/>
      <c r="G328" s="318"/>
      <c r="H328" s="318">
        <f>IF(B328="Serviço",SUMIFS(H329:H451,C329:C451,$C328),IF(B328="Insumo",F328*G328,""))</f>
        <v>1193.634</v>
      </c>
      <c r="I328" s="318" t="s">
        <v>141</v>
      </c>
    </row>
    <row r="329" spans="1:9" ht="15.75" hidden="1" customHeight="1" outlineLevel="2" x14ac:dyDescent="0.2">
      <c r="A329" s="307">
        <f>COUNTIFS($D$2:$D$488,D329,$B$2:$B$488,B329)</f>
        <v>1</v>
      </c>
      <c r="B329" s="302" t="s">
        <v>587</v>
      </c>
      <c r="C329" s="302" t="str">
        <f t="shared" si="11"/>
        <v>Peitoril em pedra basalto,  esp. 2cm</v>
      </c>
      <c r="D329" s="968" t="s">
        <v>5154</v>
      </c>
      <c r="E329" s="311" t="s">
        <v>586</v>
      </c>
      <c r="F329" s="314">
        <v>1.05</v>
      </c>
      <c r="G329" s="315">
        <f>G326*1.5</f>
        <v>1125</v>
      </c>
      <c r="H329" s="315">
        <f>IF(B329="Serviço",SUMIFS(H330:H451,C330:C451,$C329),IF(B329="Insumo",F329*G329,""))</f>
        <v>1181.25</v>
      </c>
      <c r="I329" s="315"/>
    </row>
    <row r="330" spans="1:9" ht="15.75" hidden="1" customHeight="1" outlineLevel="2" x14ac:dyDescent="0.2">
      <c r="A330" s="307">
        <f>COUNTIFS($D$2:$D$488,D330,$B$2:$B$488,B330)</f>
        <v>15</v>
      </c>
      <c r="B330" s="302" t="s">
        <v>587</v>
      </c>
      <c r="C330" s="302" t="str">
        <f t="shared" si="11"/>
        <v>Peitoril em pedra basalto,  esp. 2cm</v>
      </c>
      <c r="D330" s="302" t="s">
        <v>663</v>
      </c>
      <c r="E330" s="311" t="s">
        <v>589</v>
      </c>
      <c r="F330" s="314">
        <v>8.6</v>
      </c>
      <c r="G330" s="315">
        <v>1.44</v>
      </c>
      <c r="H330" s="315">
        <f>IF(B330="Serviço",SUMIFS(H334:H451,C334:C451,$C330),IF(B330="Insumo",F330*G330,""))</f>
        <v>12.383999999999999</v>
      </c>
      <c r="I330" s="315"/>
    </row>
    <row r="331" spans="1:9" ht="15.75" hidden="1" customHeight="1" outlineLevel="1" x14ac:dyDescent="0.2">
      <c r="A331" s="307">
        <f>COUNTIFS($D$2:$D$488,D331,$B$2:$B$488,B331)</f>
        <v>1</v>
      </c>
      <c r="B331" s="310" t="s">
        <v>232</v>
      </c>
      <c r="C331" s="310" t="str">
        <f>IF(B331="Serviço",D331,#REF!)</f>
        <v>Requadro de portas dos Elevadores Granito,Largura de 20cm</v>
      </c>
      <c r="D331" s="310" t="s">
        <v>484</v>
      </c>
      <c r="E331" s="993" t="s">
        <v>591</v>
      </c>
      <c r="F331" s="317"/>
      <c r="G331" s="318"/>
      <c r="H331" s="318">
        <f>IF(B331="Serviço",SUMIFS(H332:H451,C332:C451,$C331),IF(B331="Insumo",F331*G331,""))</f>
        <v>238.24799999999999</v>
      </c>
      <c r="I331" s="318"/>
    </row>
    <row r="332" spans="1:9" ht="15.75" hidden="1" customHeight="1" outlineLevel="2" x14ac:dyDescent="0.2">
      <c r="A332" s="307">
        <f>COUNTIFS($D$2:$D$488,D332,$B$2:$B$488,B332)</f>
        <v>3</v>
      </c>
      <c r="B332" s="302" t="s">
        <v>587</v>
      </c>
      <c r="C332" s="302" t="str">
        <f t="shared" si="10"/>
        <v>Requadro de portas dos Elevadores Granito,Largura de 20cm</v>
      </c>
      <c r="D332" s="302" t="s">
        <v>679</v>
      </c>
      <c r="E332" s="311" t="s">
        <v>586</v>
      </c>
      <c r="F332" s="314">
        <v>0.31247999999999998</v>
      </c>
      <c r="G332" s="315">
        <v>750</v>
      </c>
      <c r="H332" s="315">
        <f>IF(B332="Serviço",SUMIFS(H333:H451,C333:C451,$C332),IF(B332="Insumo",F332*G332,""))</f>
        <v>234.35999999999999</v>
      </c>
      <c r="I332" s="315"/>
    </row>
    <row r="333" spans="1:9" ht="15.75" hidden="1" customHeight="1" outlineLevel="2" x14ac:dyDescent="0.2">
      <c r="A333" s="307">
        <f>COUNTIFS($D$2:$D$488,D333,$B$2:$B$488,B333)</f>
        <v>15</v>
      </c>
      <c r="B333" s="302" t="s">
        <v>587</v>
      </c>
      <c r="C333" s="302" t="str">
        <f t="shared" si="10"/>
        <v>Requadro de portas dos Elevadores Granito,Largura de 20cm</v>
      </c>
      <c r="D333" s="302" t="s">
        <v>663</v>
      </c>
      <c r="E333" s="311" t="s">
        <v>589</v>
      </c>
      <c r="F333" s="314">
        <v>2.7</v>
      </c>
      <c r="G333" s="315">
        <v>1.44</v>
      </c>
      <c r="H333" s="315">
        <f>IF(B333="Serviço",SUMIFS(H334:H451,C334:C451,$C333),IF(B333="Insumo",F333*G333,""))</f>
        <v>3.8879999999999999</v>
      </c>
      <c r="I333" s="315"/>
    </row>
    <row r="334" spans="1:9" ht="15.75" customHeight="1" collapsed="1" x14ac:dyDescent="0.2">
      <c r="A334" s="307">
        <f>COUNTIFS($D$2:$D$488,D334,$B$2:$B$488,B334)</f>
        <v>1</v>
      </c>
      <c r="B334" s="307" t="s">
        <v>230</v>
      </c>
      <c r="C334" s="307" t="str">
        <f>IF(B334="Serviço",D334,C333)</f>
        <v>Requadro de portas dos Elevadores Granito,Largura de 20cm</v>
      </c>
      <c r="D334" s="307" t="s">
        <v>51</v>
      </c>
      <c r="E334" s="308"/>
      <c r="F334" s="319"/>
      <c r="G334" s="309"/>
      <c r="H334" s="309" t="str">
        <f>IF(B334="Serviço",SUMIFS(H335:H451,C335:C451,$C334),IF(B334="Insumo",F334*G334,""))</f>
        <v/>
      </c>
      <c r="I334" s="309"/>
    </row>
    <row r="335" spans="1:9" ht="15.75" hidden="1" customHeight="1" outlineLevel="2" x14ac:dyDescent="0.2">
      <c r="A335" s="307">
        <f>COUNTIFS($D$2:$D$488,D335,$B$2:$B$488,B335)</f>
        <v>1</v>
      </c>
      <c r="B335" s="310" t="s">
        <v>232</v>
      </c>
      <c r="C335" s="310" t="str">
        <f>IF(B335="Serviço",D335,#REF!)</f>
        <v>Estucamento de teto</v>
      </c>
      <c r="D335" s="310" t="s">
        <v>490</v>
      </c>
      <c r="E335" s="993" t="s">
        <v>586</v>
      </c>
      <c r="F335" s="317"/>
      <c r="G335" s="318"/>
      <c r="H335" s="318">
        <f>IF(B335="Serviço",SUMIFS(H336:H451,C336:C451,$C335),IF(B335="Insumo",F335*G335,""))</f>
        <v>5.1029166664999996</v>
      </c>
      <c r="I335" s="318" t="s">
        <v>141</v>
      </c>
    </row>
    <row r="336" spans="1:9" ht="15.75" hidden="1" customHeight="1" outlineLevel="3" x14ac:dyDescent="0.2">
      <c r="A336" s="307">
        <f>COUNTIFS($D$2:$D$488,D336,$B$2:$B$488,B336)</f>
        <v>11</v>
      </c>
      <c r="B336" s="302" t="s">
        <v>587</v>
      </c>
      <c r="C336" s="302" t="str">
        <f t="shared" ref="C336:C349" si="12">IF(B336="Serviço",D336,C335)</f>
        <v>Estucamento de teto</v>
      </c>
      <c r="D336" s="302" t="s">
        <v>618</v>
      </c>
      <c r="E336" s="311" t="s">
        <v>589</v>
      </c>
      <c r="F336" s="314">
        <v>0.6</v>
      </c>
      <c r="G336" s="315">
        <v>0.76</v>
      </c>
      <c r="H336" s="315">
        <f>IF(B336="Serviço",SUMIFS(H337:H451,C337:C451,$C336),IF(B336="Insumo",F336*G336,""))</f>
        <v>0.45599999999999996</v>
      </c>
      <c r="I336" s="315"/>
    </row>
    <row r="337" spans="1:9" ht="15.75" hidden="1" customHeight="1" outlineLevel="3" x14ac:dyDescent="0.2">
      <c r="A337" s="307">
        <f>COUNTIFS($D$2:$D$488,D337,$B$2:$B$488,B337)</f>
        <v>3</v>
      </c>
      <c r="B337" s="302" t="s">
        <v>587</v>
      </c>
      <c r="C337" s="302" t="str">
        <f t="shared" si="12"/>
        <v>Estucamento de teto</v>
      </c>
      <c r="D337" s="302" t="s">
        <v>667</v>
      </c>
      <c r="E337" s="311" t="s">
        <v>17</v>
      </c>
      <c r="F337" s="314">
        <v>0.05</v>
      </c>
      <c r="G337" s="315">
        <v>3.13</v>
      </c>
      <c r="H337" s="315">
        <f>IF(B337="Serviço",SUMIFS(H338:H451,C338:C451,$C337),IF(B337="Insumo",F337*G337,""))</f>
        <v>0.1565</v>
      </c>
      <c r="I337" s="315"/>
    </row>
    <row r="338" spans="1:9" ht="15.75" hidden="1" customHeight="1" outlineLevel="3" x14ac:dyDescent="0.2">
      <c r="A338" s="307">
        <f>COUNTIFS($D$2:$D$488,D338,$B$2:$B$488,B338)</f>
        <v>3</v>
      </c>
      <c r="B338" s="302" t="s">
        <v>587</v>
      </c>
      <c r="C338" s="302" t="str">
        <f t="shared" si="12"/>
        <v>Estucamento de teto</v>
      </c>
      <c r="D338" s="302" t="s">
        <v>668</v>
      </c>
      <c r="E338" s="311" t="s">
        <v>589</v>
      </c>
      <c r="F338" s="314">
        <v>0.3</v>
      </c>
      <c r="G338" s="315">
        <v>3.49</v>
      </c>
      <c r="H338" s="315">
        <f>IF(B338="Serviço",SUMIFS(H339:H451,C339:C451,$C338),IF(B338="Insumo",F338*G338,""))</f>
        <v>1.0469999999999999</v>
      </c>
      <c r="I338" s="315"/>
    </row>
    <row r="339" spans="1:9" ht="15.75" hidden="1" customHeight="1" outlineLevel="3" x14ac:dyDescent="0.2">
      <c r="A339" s="307">
        <f>COUNTIFS($D$2:$D$488,D339,$B$2:$B$488,B339)</f>
        <v>3</v>
      </c>
      <c r="B339" s="302" t="s">
        <v>587</v>
      </c>
      <c r="C339" s="302" t="str">
        <f t="shared" si="12"/>
        <v>Estucamento de teto</v>
      </c>
      <c r="D339" s="302" t="s">
        <v>669</v>
      </c>
      <c r="E339" s="311" t="s">
        <v>589</v>
      </c>
      <c r="F339" s="314">
        <v>0.15</v>
      </c>
      <c r="G339" s="315">
        <v>22.956111109999998</v>
      </c>
      <c r="H339" s="315">
        <f>IF(B339="Serviço",SUMIFS(H340:H451,C340:C451,$C339),IF(B339="Insumo",F339*G339,""))</f>
        <v>3.4434166664999997</v>
      </c>
      <c r="I339" s="315"/>
    </row>
    <row r="340" spans="1:9" ht="15.75" hidden="1" customHeight="1" outlineLevel="2" x14ac:dyDescent="0.2">
      <c r="A340" s="307">
        <f>COUNTIFS($D$2:$D$488,D340,$B$2:$B$488,B340)</f>
        <v>1</v>
      </c>
      <c r="B340" s="310" t="s">
        <v>232</v>
      </c>
      <c r="C340" s="310" t="str">
        <f>IF(B340="Serviço",D340,#REF!)</f>
        <v>Forro de gesso acartonado - áreas secas - Material e Mão de Obra</v>
      </c>
      <c r="D340" s="310" t="s">
        <v>492</v>
      </c>
      <c r="E340" s="993" t="s">
        <v>586</v>
      </c>
      <c r="F340" s="317"/>
      <c r="G340" s="318"/>
      <c r="H340" s="318">
        <f>IF(B340="Serviço",SUMIFS(H341:H451,C341:C451,$C340),IF(B340="Insumo",F340*G340,""))</f>
        <v>120</v>
      </c>
      <c r="I340" s="318" t="s">
        <v>141</v>
      </c>
    </row>
    <row r="341" spans="1:9" ht="15.75" hidden="1" customHeight="1" outlineLevel="3" x14ac:dyDescent="0.2">
      <c r="A341" s="307">
        <f>COUNTIFS($D$2:$D$488,D341,$B$2:$B$488,B341)</f>
        <v>1</v>
      </c>
      <c r="B341" s="302" t="s">
        <v>587</v>
      </c>
      <c r="C341" s="302" t="str">
        <f t="shared" si="12"/>
        <v>Forro de gesso acartonado - áreas secas - Material e Mão de Obra</v>
      </c>
      <c r="D341" s="302" t="s">
        <v>492</v>
      </c>
      <c r="E341" s="311" t="s">
        <v>586</v>
      </c>
      <c r="F341" s="314">
        <v>1</v>
      </c>
      <c r="G341" s="315">
        <v>120</v>
      </c>
      <c r="H341" s="315">
        <f>IF(B341="Serviço",SUMIFS(H342:H451,C342:C451,$C341),IF(B341="Insumo",F341*G341,""))</f>
        <v>120</v>
      </c>
      <c r="I341" s="315"/>
    </row>
    <row r="342" spans="1:9" ht="15.75" hidden="1" customHeight="1" outlineLevel="2" x14ac:dyDescent="0.2">
      <c r="A342" s="307">
        <f>COUNTIFS($D$2:$D$488,D342,$B$2:$B$488,B342)</f>
        <v>1</v>
      </c>
      <c r="B342" s="310" t="s">
        <v>232</v>
      </c>
      <c r="C342" s="310" t="str">
        <f t="shared" si="12"/>
        <v>Forro de madeira - Material e Mão de Obra</v>
      </c>
      <c r="D342" s="310" t="s">
        <v>493</v>
      </c>
      <c r="E342" s="993" t="s">
        <v>586</v>
      </c>
      <c r="F342" s="317"/>
      <c r="G342" s="318"/>
      <c r="H342" s="318">
        <f>IF(B342="Serviço",SUMIFS(H343:H451,C343:C451,$C342),IF(B342="Insumo",F342*G342,""))</f>
        <v>249</v>
      </c>
      <c r="I342" s="318" t="s">
        <v>141</v>
      </c>
    </row>
    <row r="343" spans="1:9" ht="15.75" hidden="1" customHeight="1" outlineLevel="3" x14ac:dyDescent="0.2">
      <c r="A343" s="307">
        <f>COUNTIFS($D$2:$D$488,D343,$B$2:$B$488,B343)</f>
        <v>1</v>
      </c>
      <c r="B343" s="302" t="s">
        <v>587</v>
      </c>
      <c r="C343" s="302" t="str">
        <f t="shared" si="12"/>
        <v>Forro de madeira - Material e Mão de Obra</v>
      </c>
      <c r="D343" s="302" t="s">
        <v>681</v>
      </c>
      <c r="E343" s="311" t="s">
        <v>586</v>
      </c>
      <c r="F343" s="314">
        <v>1.1000000000000001</v>
      </c>
      <c r="G343" s="315">
        <v>90</v>
      </c>
      <c r="H343" s="315">
        <f>IF(B343="Serviço",SUMIFS(H344:H451,C344:C451,$C343),IF(B343="Insumo",F343*G343,""))</f>
        <v>99.000000000000014</v>
      </c>
      <c r="I343" s="315"/>
    </row>
    <row r="344" spans="1:9" ht="15.75" hidden="1" customHeight="1" outlineLevel="3" x14ac:dyDescent="0.2">
      <c r="A344" s="307">
        <f>COUNTIFS($D$2:$D$488,D344,$B$2:$B$488,B344)</f>
        <v>1</v>
      </c>
      <c r="B344" s="302" t="s">
        <v>587</v>
      </c>
      <c r="C344" s="302" t="str">
        <f t="shared" si="12"/>
        <v>Forro de madeira - Material e Mão de Obra</v>
      </c>
      <c r="D344" s="302" t="s">
        <v>682</v>
      </c>
      <c r="E344" s="311" t="s">
        <v>586</v>
      </c>
      <c r="F344" s="314">
        <v>1</v>
      </c>
      <c r="G344" s="315">
        <v>150</v>
      </c>
      <c r="H344" s="315">
        <f>IF(B344="Serviço",SUMIFS(H345:H451,C345:C451,$C344),IF(B344="Insumo",F344*G344,""))</f>
        <v>150</v>
      </c>
      <c r="I344" s="315"/>
    </row>
    <row r="345" spans="1:9" ht="15.75" customHeight="1" collapsed="1" x14ac:dyDescent="0.2">
      <c r="A345" s="307">
        <f>COUNTIFS($D$2:$D$488,D345,$B$2:$B$488,B345)</f>
        <v>1</v>
      </c>
      <c r="B345" s="307" t="s">
        <v>230</v>
      </c>
      <c r="C345" s="307" t="str">
        <f>IF(B345="Serviço",D345,C344)</f>
        <v>Forro de madeira - Material e Mão de Obra</v>
      </c>
      <c r="D345" s="307" t="s">
        <v>52</v>
      </c>
      <c r="E345" s="308"/>
      <c r="F345" s="319"/>
      <c r="G345" s="309"/>
      <c r="H345" s="309" t="str">
        <f>IF(B345="Serviço",SUMIFS(H346:H451,C346:C451,$C345),IF(B345="Insumo",F345*G345,""))</f>
        <v/>
      </c>
      <c r="I345" s="309"/>
    </row>
    <row r="346" spans="1:9" ht="15.75" hidden="1" customHeight="1" outlineLevel="1" x14ac:dyDescent="0.2">
      <c r="A346" s="307">
        <f>COUNTIFS($D$2:$D$488,D346,$B$2:$B$488,B346)</f>
        <v>1</v>
      </c>
      <c r="B346" s="310" t="s">
        <v>232</v>
      </c>
      <c r="C346" s="310" t="str">
        <f>IF(B346="Serviço",D346,#REF!)</f>
        <v>Contrapiso comum em argamassa estabilizada, nao aderido, espessura 5cm</v>
      </c>
      <c r="D346" s="310" t="s">
        <v>497</v>
      </c>
      <c r="E346" s="993" t="s">
        <v>586</v>
      </c>
      <c r="F346" s="317"/>
      <c r="G346" s="318"/>
      <c r="H346" s="318">
        <f>IF(B346="Serviço",SUMIFS(H347:H451,C347:C451,$C346),IF(B346="Insumo",F346*G346,""))</f>
        <v>31.560233333333336</v>
      </c>
      <c r="I346" s="318" t="s">
        <v>141</v>
      </c>
    </row>
    <row r="347" spans="1:9" ht="15.75" hidden="1" customHeight="1" outlineLevel="2" x14ac:dyDescent="0.2">
      <c r="A347" s="307">
        <f>COUNTIFS($D$2:$D$488,D347,$B$2:$B$488,B347)</f>
        <v>2</v>
      </c>
      <c r="B347" s="302" t="s">
        <v>587</v>
      </c>
      <c r="C347" s="302" t="str">
        <f t="shared" si="12"/>
        <v>Contrapiso comum em argamassa estabilizada, nao aderido, espessura 5cm</v>
      </c>
      <c r="D347" s="302" t="s">
        <v>650</v>
      </c>
      <c r="E347" s="311" t="s">
        <v>588</v>
      </c>
      <c r="F347" s="314">
        <v>5.5000000000000007E-2</v>
      </c>
      <c r="G347" s="315">
        <v>550</v>
      </c>
      <c r="H347" s="315">
        <f>IF(B347="Serviço",SUMIFS(H348:H451,C348:C451,$C347),IF(B347="Insumo",F347*G347,""))</f>
        <v>30.250000000000004</v>
      </c>
      <c r="I347" s="315"/>
    </row>
    <row r="348" spans="1:9" ht="15.75" hidden="1" customHeight="1" outlineLevel="2" x14ac:dyDescent="0.2">
      <c r="A348" s="307">
        <f>COUNTIFS($D$2:$D$488,D348,$B$2:$B$488,B348)</f>
        <v>1</v>
      </c>
      <c r="B348" s="302" t="s">
        <v>587</v>
      </c>
      <c r="C348" s="302" t="str">
        <f t="shared" si="12"/>
        <v>Contrapiso comum em argamassa estabilizada, nao aderido, espessura 5cm</v>
      </c>
      <c r="D348" s="302" t="s">
        <v>670</v>
      </c>
      <c r="E348" s="311" t="s">
        <v>593</v>
      </c>
      <c r="F348" s="314">
        <v>3.5000000000000003E-2</v>
      </c>
      <c r="G348" s="315">
        <v>19.34</v>
      </c>
      <c r="H348" s="315">
        <f>IF(B348="Serviço",SUMIFS(H349:H451,C349:C451,$C348),IF(B348="Insumo",F348*G348,""))</f>
        <v>0.67690000000000006</v>
      </c>
      <c r="I348" s="315"/>
    </row>
    <row r="349" spans="1:9" ht="15.75" hidden="1" customHeight="1" outlineLevel="2" x14ac:dyDescent="0.2">
      <c r="A349" s="307">
        <f>COUNTIFS($D$2:$D$488,D349,$B$2:$B$488,B349)</f>
        <v>11</v>
      </c>
      <c r="B349" s="302" t="s">
        <v>587</v>
      </c>
      <c r="C349" s="302" t="str">
        <f t="shared" si="12"/>
        <v>Contrapiso comum em argamassa estabilizada, nao aderido, espessura 5cm</v>
      </c>
      <c r="D349" s="302" t="s">
        <v>618</v>
      </c>
      <c r="E349" s="311" t="s">
        <v>589</v>
      </c>
      <c r="F349" s="314">
        <v>0.83333333333333348</v>
      </c>
      <c r="G349" s="315">
        <v>0.76</v>
      </c>
      <c r="H349" s="315">
        <f>IF(B349="Serviço",SUMIFS(H353:H451,C353:C451,$C349),IF(B349="Insumo",F349*G349,""))</f>
        <v>0.63333333333333341</v>
      </c>
      <c r="I349" s="315"/>
    </row>
    <row r="350" spans="1:9" ht="15.75" hidden="1" customHeight="1" outlineLevel="1" x14ac:dyDescent="0.2">
      <c r="A350" s="307">
        <f>COUNTIFS($D$2:$D$488,D350,$B$2:$B$488,B350)</f>
        <v>1</v>
      </c>
      <c r="B350" s="310" t="s">
        <v>232</v>
      </c>
      <c r="C350" s="310" t="str">
        <f>IF(B350="Serviço",D350,#REF!)</f>
        <v>Contrapiso comum em argamassa ciemnto e areia, traço 1:4, nao aderido, espessura 5cm</v>
      </c>
      <c r="D350" s="967" t="s">
        <v>5156</v>
      </c>
      <c r="E350" s="993" t="s">
        <v>586</v>
      </c>
      <c r="F350" s="317"/>
      <c r="G350" s="318"/>
      <c r="H350" s="318">
        <f>IF(B350="Serviço",SUMIFS(H351:H451,C351:C451,$C350),IF(B350="Insumo",F350*G350,""))</f>
        <v>42.708544333333343</v>
      </c>
      <c r="I350" s="318" t="s">
        <v>141</v>
      </c>
    </row>
    <row r="351" spans="1:9" ht="15.75" hidden="1" customHeight="1" outlineLevel="2" x14ac:dyDescent="0.2">
      <c r="A351" s="307">
        <f>COUNTIFS($D$2:$D$488,D351,$B$2:$B$488,B351)</f>
        <v>3</v>
      </c>
      <c r="B351" s="302" t="s">
        <v>587</v>
      </c>
      <c r="C351" s="302" t="str">
        <f t="shared" ref="C351:C352" si="13">IF(B351="Serviço",D351,C350)</f>
        <v>Contrapiso comum em argamassa ciemnto e areia, traço 1:4, nao aderido, espessura 5cm</v>
      </c>
      <c r="D351" s="968" t="s">
        <v>649</v>
      </c>
      <c r="E351" s="311" t="s">
        <v>588</v>
      </c>
      <c r="F351" s="314">
        <f>(0.0431*1.36/0.03)*0.05</f>
        <v>9.7693333333333354E-2</v>
      </c>
      <c r="G351" s="315">
        <v>180</v>
      </c>
      <c r="H351" s="315">
        <f>IF(B351="Serviço",SUMIFS(H352:H451,C352:C451,$C351),IF(B351="Insumo",F351*G351,""))</f>
        <v>17.584800000000005</v>
      </c>
      <c r="I351" s="315"/>
    </row>
    <row r="352" spans="1:9" ht="15.75" hidden="1" customHeight="1" outlineLevel="2" x14ac:dyDescent="0.2">
      <c r="A352" s="307">
        <f>COUNTIFS($D$2:$D$488,D352,$B$2:$B$488,B352)</f>
        <v>11</v>
      </c>
      <c r="B352" s="302" t="s">
        <v>587</v>
      </c>
      <c r="C352" s="302" t="str">
        <f t="shared" si="13"/>
        <v>Contrapiso comum em argamassa ciemnto e areia, traço 1:4, nao aderido, espessura 5cm</v>
      </c>
      <c r="D352" s="302" t="s">
        <v>618</v>
      </c>
      <c r="E352" s="311" t="s">
        <v>589</v>
      </c>
      <c r="F352" s="314">
        <f>(0.5+0.0431*459.85/0.03)*0.05</f>
        <v>33.05755833333334</v>
      </c>
      <c r="G352" s="315">
        <v>0.76</v>
      </c>
      <c r="H352" s="315">
        <f>IF(B352="Serviço",SUMIFS(H356:H451,C356:C451,$C352),IF(B352="Insumo",F352*G352,""))</f>
        <v>25.123744333333338</v>
      </c>
      <c r="I352" s="315"/>
    </row>
    <row r="353" spans="1:9" ht="15.75" hidden="1" customHeight="1" outlineLevel="1" x14ac:dyDescent="0.2">
      <c r="A353" s="307">
        <f>COUNTIFS($D$2:$D$488,D353,$B$2:$B$488,B353)</f>
        <v>1</v>
      </c>
      <c r="B353" s="310" t="s">
        <v>232</v>
      </c>
      <c r="C353" s="310" t="str">
        <f>IF(B353="Serviço",D353,#REF!)</f>
        <v>Contrapiso comum em argamassa ciemnto e areia, traço 1:4, nao aderido, espessura 8cm</v>
      </c>
      <c r="D353" s="967" t="s">
        <v>5157</v>
      </c>
      <c r="E353" s="993" t="s">
        <v>586</v>
      </c>
      <c r="F353" s="317"/>
      <c r="G353" s="318"/>
      <c r="H353" s="318">
        <f>IF(B353="Serviço",SUMIFS(H354:H451,C354:C451,$C353),IF(B353="Insumo",F353*G353,""))</f>
        <v>68.333670933333352</v>
      </c>
      <c r="I353" s="318" t="s">
        <v>141</v>
      </c>
    </row>
    <row r="354" spans="1:9" ht="15.75" hidden="1" customHeight="1" outlineLevel="2" x14ac:dyDescent="0.2">
      <c r="A354" s="307">
        <f>COUNTIFS($D$2:$D$488,D354,$B$2:$B$488,B354)</f>
        <v>3</v>
      </c>
      <c r="B354" s="302" t="s">
        <v>587</v>
      </c>
      <c r="C354" s="302" t="str">
        <f t="shared" ref="C354:C355" si="14">IF(B354="Serviço",D354,C353)</f>
        <v>Contrapiso comum em argamassa ciemnto e areia, traço 1:4, nao aderido, espessura 8cm</v>
      </c>
      <c r="D354" s="968" t="s">
        <v>649</v>
      </c>
      <c r="E354" s="311" t="s">
        <v>588</v>
      </c>
      <c r="F354" s="314">
        <f>(0.0431*1.36/0.03)*0.08</f>
        <v>0.15630933333333336</v>
      </c>
      <c r="G354" s="315">
        <v>180</v>
      </c>
      <c r="H354" s="315">
        <f>IF(B354="Serviço",SUMIFS(H355:H451,C355:C451,$C354),IF(B354="Insumo",F354*G354,""))</f>
        <v>28.135680000000004</v>
      </c>
      <c r="I354" s="315"/>
    </row>
    <row r="355" spans="1:9" ht="15.75" hidden="1" customHeight="1" outlineLevel="2" x14ac:dyDescent="0.2">
      <c r="A355" s="307">
        <f>COUNTIFS($D$2:$D$488,D355,$B$2:$B$488,B355)</f>
        <v>11</v>
      </c>
      <c r="B355" s="302" t="s">
        <v>587</v>
      </c>
      <c r="C355" s="302" t="str">
        <f t="shared" si="14"/>
        <v>Contrapiso comum em argamassa ciemnto e areia, traço 1:4, nao aderido, espessura 8cm</v>
      </c>
      <c r="D355" s="302" t="s">
        <v>618</v>
      </c>
      <c r="E355" s="311" t="s">
        <v>589</v>
      </c>
      <c r="F355" s="314">
        <f>(0.5+0.0431*459.85/0.03)*0.08</f>
        <v>52.892093333333342</v>
      </c>
      <c r="G355" s="315">
        <v>0.76</v>
      </c>
      <c r="H355" s="315">
        <f>IF(B355="Serviço",SUMIFS(H359:H451,C359:C451,$C355),IF(B355="Insumo",F355*G355,""))</f>
        <v>40.197990933333344</v>
      </c>
      <c r="I355" s="315"/>
    </row>
    <row r="356" spans="1:9" ht="15.75" hidden="1" customHeight="1" outlineLevel="1" x14ac:dyDescent="0.2">
      <c r="A356" s="307">
        <f>COUNTIFS($D$2:$D$488,D356,$B$2:$B$488,B356)</f>
        <v>1</v>
      </c>
      <c r="B356" s="310" t="s">
        <v>232</v>
      </c>
      <c r="C356" s="310" t="str">
        <f>IF(B356="Serviço",D356,#REF!)</f>
        <v>Acústica para Contrapiso, lã de PET 8mm</v>
      </c>
      <c r="D356" s="967" t="s">
        <v>5159</v>
      </c>
      <c r="E356" s="993" t="s">
        <v>586</v>
      </c>
      <c r="F356" s="317"/>
      <c r="G356" s="318"/>
      <c r="H356" s="318">
        <f>IF(B356="Serviço",SUMIFS(H357:H451,C357:C451,$C356),IF(B356="Insumo",F356*G356,""))</f>
        <v>45.719943333333333</v>
      </c>
      <c r="I356" s="318" t="s">
        <v>141</v>
      </c>
    </row>
    <row r="357" spans="1:9" ht="15.75" hidden="1" customHeight="1" outlineLevel="2" x14ac:dyDescent="0.2">
      <c r="A357" s="307">
        <f>COUNTIFS($D$2:$D$488,D357,$B$2:$B$488,B357)</f>
        <v>1</v>
      </c>
      <c r="B357" s="302" t="s">
        <v>587</v>
      </c>
      <c r="C357" s="302" t="str">
        <f t="shared" ref="C357:C371" si="15">IF(B357="Serviço",D357,C356)</f>
        <v>Acústica para Contrapiso, lã de PET 8mm</v>
      </c>
      <c r="D357" s="968" t="s">
        <v>5158</v>
      </c>
      <c r="E357" s="311" t="s">
        <v>586</v>
      </c>
      <c r="F357" s="314">
        <v>1.1499999999999999</v>
      </c>
      <c r="G357" s="315">
        <f>959/(30*1.25)</f>
        <v>25.573333333333334</v>
      </c>
      <c r="H357" s="315">
        <f>IF(B357="Serviço",SUMIFS(H358:H451,C358:C451,$C357),IF(B357="Insumo",F357*G357,""))</f>
        <v>29.409333333333333</v>
      </c>
      <c r="I357" s="315"/>
    </row>
    <row r="358" spans="1:9" ht="15.75" hidden="1" customHeight="1" outlineLevel="2" x14ac:dyDescent="0.2">
      <c r="A358" s="307">
        <f>COUNTIFS($D$2:$D$488,D358,$B$2:$B$488,B358)</f>
        <v>2</v>
      </c>
      <c r="B358" s="302" t="s">
        <v>587</v>
      </c>
      <c r="C358" s="302" t="str">
        <f t="shared" si="15"/>
        <v>Acústica para Contrapiso, lã de PET 8mm</v>
      </c>
      <c r="D358" s="968" t="s">
        <v>651</v>
      </c>
      <c r="E358" s="311" t="s">
        <v>586</v>
      </c>
      <c r="F358" s="314">
        <v>1.143</v>
      </c>
      <c r="G358" s="315">
        <v>14.27</v>
      </c>
      <c r="H358" s="315">
        <f>IF(B358="Serviço",SUMIFS(H359:H451,C359:C451,$C358),IF(B358="Insumo",F358*G358,""))</f>
        <v>16.31061</v>
      </c>
      <c r="I358" s="315"/>
    </row>
    <row r="359" spans="1:9" ht="15.75" hidden="1" customHeight="1" outlineLevel="1" x14ac:dyDescent="0.2">
      <c r="A359" s="307">
        <f>COUNTIFS($D$2:$D$488,D359,$B$2:$B$488,B359)</f>
        <v>1</v>
      </c>
      <c r="B359" s="310" t="s">
        <v>232</v>
      </c>
      <c r="C359" s="310" t="str">
        <f>IF(B359="Serviço",D359,#REF!)</f>
        <v xml:space="preserve">Deck de madeira - material e mão de obra </v>
      </c>
      <c r="D359" s="967" t="s">
        <v>683</v>
      </c>
      <c r="E359" s="993" t="s">
        <v>586</v>
      </c>
      <c r="F359" s="317"/>
      <c r="G359" s="318"/>
      <c r="H359" s="318">
        <f>IF(B359="Serviço",SUMIFS(H360:H451,C360:C451,$C359),IF(B359="Insumo",F359*G359,""))</f>
        <v>822.7</v>
      </c>
      <c r="I359" s="318" t="s">
        <v>141</v>
      </c>
    </row>
    <row r="360" spans="1:9" ht="15.75" hidden="1" customHeight="1" outlineLevel="2" x14ac:dyDescent="0.2">
      <c r="A360" s="307">
        <f>COUNTIFS($D$2:$D$488,D360,$B$2:$B$488,B360)</f>
        <v>1</v>
      </c>
      <c r="B360" s="302" t="s">
        <v>587</v>
      </c>
      <c r="C360" s="302" t="str">
        <f t="shared" si="15"/>
        <v xml:space="preserve">Deck de madeira - material e mão de obra </v>
      </c>
      <c r="D360" s="968" t="s">
        <v>684</v>
      </c>
      <c r="E360" s="311" t="s">
        <v>586</v>
      </c>
      <c r="F360" s="314">
        <v>1.1000000000000001</v>
      </c>
      <c r="G360" s="315">
        <v>557</v>
      </c>
      <c r="H360" s="315">
        <f>IF(B360="Serviço",SUMIFS(H361:H451,C361:C451,$C360),IF(B360="Insumo",F360*G360,""))</f>
        <v>612.70000000000005</v>
      </c>
      <c r="I360" s="315"/>
    </row>
    <row r="361" spans="1:9" ht="15.75" hidden="1" customHeight="1" outlineLevel="2" x14ac:dyDescent="0.2">
      <c r="A361" s="307">
        <f>COUNTIFS($D$2:$D$488,D361,$B$2:$B$488,B361)</f>
        <v>1</v>
      </c>
      <c r="B361" s="302" t="s">
        <v>587</v>
      </c>
      <c r="C361" s="302" t="str">
        <f t="shared" si="15"/>
        <v xml:space="preserve">Deck de madeira - material e mão de obra </v>
      </c>
      <c r="D361" s="968" t="s">
        <v>685</v>
      </c>
      <c r="E361" s="311" t="s">
        <v>586</v>
      </c>
      <c r="F361" s="314">
        <v>1</v>
      </c>
      <c r="G361" s="315">
        <v>210</v>
      </c>
      <c r="H361" s="315">
        <f>IF(B361="Serviço",SUMIFS(H362:H451,C362:C451,$C361),IF(B361="Insumo",F361*G361,""))</f>
        <v>210</v>
      </c>
      <c r="I361" s="315"/>
    </row>
    <row r="362" spans="1:9" ht="15.75" hidden="1" customHeight="1" outlineLevel="1" x14ac:dyDescent="0.2">
      <c r="A362" s="307">
        <f>COUNTIFS($D$2:$D$488,D362,$B$2:$B$488,B362)</f>
        <v>1</v>
      </c>
      <c r="B362" s="310" t="s">
        <v>232</v>
      </c>
      <c r="C362" s="310" t="str">
        <f>IF(B362="Serviço",D362,#REF!)</f>
        <v>Revestimento de Piso Porcelanato Polido, Placa 90x90cm</v>
      </c>
      <c r="D362" s="967" t="s">
        <v>686</v>
      </c>
      <c r="E362" s="993" t="s">
        <v>586</v>
      </c>
      <c r="F362" s="317"/>
      <c r="G362" s="318"/>
      <c r="H362" s="318">
        <f>IF(B362="Serviço",SUMIFS(H363:H451,C363:C451,$C362),IF(B362="Insumo",F362*G362,""))</f>
        <v>93.49</v>
      </c>
      <c r="I362" s="318" t="s">
        <v>141</v>
      </c>
    </row>
    <row r="363" spans="1:9" ht="15.75" hidden="1" customHeight="1" outlineLevel="2" x14ac:dyDescent="0.2">
      <c r="A363" s="307">
        <f>COUNTIFS($D$2:$D$488,D363,$B$2:$B$488,B363)</f>
        <v>2</v>
      </c>
      <c r="B363" s="302" t="s">
        <v>587</v>
      </c>
      <c r="C363" s="302" t="str">
        <f t="shared" si="15"/>
        <v>Revestimento de Piso Porcelanato Polido, Placa 90x90cm</v>
      </c>
      <c r="D363" s="968" t="s">
        <v>687</v>
      </c>
      <c r="E363" s="311" t="s">
        <v>586</v>
      </c>
      <c r="F363" s="314">
        <v>1.1000000000000001</v>
      </c>
      <c r="G363" s="315">
        <v>67.849999999999994</v>
      </c>
      <c r="H363" s="315">
        <f>IF(B363="Serviço",SUMIFS(H364:H451,C364:C451,$C363),IF(B363="Insumo",F363*G363,""))</f>
        <v>74.635000000000005</v>
      </c>
      <c r="I363" s="315"/>
    </row>
    <row r="364" spans="1:9" ht="15.75" hidden="1" customHeight="1" outlineLevel="2" x14ac:dyDescent="0.2">
      <c r="A364" s="307">
        <f>COUNTIFS($D$2:$D$488,D364,$B$2:$B$488,B364)</f>
        <v>15</v>
      </c>
      <c r="B364" s="302" t="s">
        <v>587</v>
      </c>
      <c r="C364" s="302" t="str">
        <f t="shared" si="15"/>
        <v>Revestimento de Piso Porcelanato Polido, Placa 90x90cm</v>
      </c>
      <c r="D364" s="968" t="s">
        <v>663</v>
      </c>
      <c r="E364" s="311" t="s">
        <v>589</v>
      </c>
      <c r="F364" s="314">
        <v>9</v>
      </c>
      <c r="G364" s="315">
        <v>1.44</v>
      </c>
      <c r="H364" s="315">
        <f>IF(B364="Serviço",SUMIFS(H365:H451,C365:C451,$C364),IF(B364="Insumo",F364*G364,""))</f>
        <v>12.959999999999999</v>
      </c>
      <c r="I364" s="315"/>
    </row>
    <row r="365" spans="1:9" ht="15.75" hidden="1" customHeight="1" outlineLevel="2" x14ac:dyDescent="0.2">
      <c r="A365" s="307">
        <f>COUNTIFS($D$2:$D$488,D365,$B$2:$B$488,B365)</f>
        <v>8</v>
      </c>
      <c r="B365" s="302" t="s">
        <v>587</v>
      </c>
      <c r="C365" s="302" t="str">
        <f t="shared" si="15"/>
        <v>Revestimento de Piso Porcelanato Polido, Placa 90x90cm</v>
      </c>
      <c r="D365" s="968" t="s">
        <v>672</v>
      </c>
      <c r="E365" s="311" t="s">
        <v>17</v>
      </c>
      <c r="F365" s="314">
        <v>4</v>
      </c>
      <c r="G365" s="315">
        <v>0.08</v>
      </c>
      <c r="H365" s="315">
        <f>IF(B365="Serviço",SUMIFS(H366:H451,C366:C451,$C365),IF(B365="Insumo",F365*G365,""))</f>
        <v>0.32</v>
      </c>
      <c r="I365" s="315"/>
    </row>
    <row r="366" spans="1:9" ht="15.75" hidden="1" customHeight="1" outlineLevel="2" x14ac:dyDescent="0.2">
      <c r="A366" s="307">
        <f>COUNTIFS($D$2:$D$488,D366,$B$2:$B$488,B366)</f>
        <v>10</v>
      </c>
      <c r="B366" s="302" t="s">
        <v>587</v>
      </c>
      <c r="C366" s="302" t="str">
        <f t="shared" si="15"/>
        <v>Revestimento de Piso Porcelanato Polido, Placa 90x90cm</v>
      </c>
      <c r="D366" s="968" t="s">
        <v>673</v>
      </c>
      <c r="E366" s="311" t="s">
        <v>589</v>
      </c>
      <c r="F366" s="314">
        <v>0.5</v>
      </c>
      <c r="G366" s="315">
        <v>11.15</v>
      </c>
      <c r="H366" s="315">
        <f>IF(B366="Serviço",SUMIFS(H367:H451,C367:C451,$C366),IF(B366="Insumo",F366*G366,""))</f>
        <v>5.5750000000000002</v>
      </c>
      <c r="I366" s="315"/>
    </row>
    <row r="367" spans="1:9" ht="15.75" hidden="1" customHeight="1" outlineLevel="1" x14ac:dyDescent="0.2">
      <c r="A367" s="307">
        <f>COUNTIFS($D$2:$D$488,D367,$B$2:$B$488,B367)</f>
        <v>1</v>
      </c>
      <c r="B367" s="310" t="s">
        <v>232</v>
      </c>
      <c r="C367" s="310" t="str">
        <f>IF(B367="Serviço",D367,#REF!)</f>
        <v>Revestimento em Cerâmicas de Piso Interno, 60x 60cm com Junta de 3mm</v>
      </c>
      <c r="D367" s="967" t="s">
        <v>501</v>
      </c>
      <c r="E367" s="993" t="s">
        <v>586</v>
      </c>
      <c r="F367" s="317"/>
      <c r="G367" s="318"/>
      <c r="H367" s="318">
        <f>IF(B367="Serviço",SUMIFS(H368:H451,C368:C451,$C367),IF(B367="Insumo",F367*G367,""))</f>
        <v>58.176500000000011</v>
      </c>
      <c r="I367" s="318" t="s">
        <v>141</v>
      </c>
    </row>
    <row r="368" spans="1:9" ht="15.75" hidden="1" customHeight="1" outlineLevel="2" x14ac:dyDescent="0.2">
      <c r="A368" s="307">
        <f>COUNTIFS($D$2:$D$488,D368,$B$2:$B$488,B368)</f>
        <v>2</v>
      </c>
      <c r="B368" s="302" t="s">
        <v>587</v>
      </c>
      <c r="C368" s="302" t="str">
        <f t="shared" si="15"/>
        <v>Revestimento em Cerâmicas de Piso Interno, 60x 60cm com Junta de 3mm</v>
      </c>
      <c r="D368" s="968" t="s">
        <v>5318</v>
      </c>
      <c r="E368" s="311" t="s">
        <v>586</v>
      </c>
      <c r="F368" s="314">
        <v>1.1000000000000001</v>
      </c>
      <c r="G368" s="315">
        <v>39.64</v>
      </c>
      <c r="H368" s="315">
        <f>IF(B368="Serviço",SUMIFS(H369:H451,C369:C451,$C368),IF(B368="Insumo",F368*G368,""))</f>
        <v>43.604000000000006</v>
      </c>
      <c r="I368" s="315"/>
    </row>
    <row r="369" spans="1:9" ht="15.75" hidden="1" customHeight="1" outlineLevel="2" x14ac:dyDescent="0.2">
      <c r="A369" s="307">
        <f>COUNTIFS($D$2:$D$488,D369,$B$2:$B$488,B369)</f>
        <v>1</v>
      </c>
      <c r="B369" s="302" t="s">
        <v>587</v>
      </c>
      <c r="C369" s="302" t="str">
        <f t="shared" si="15"/>
        <v>Revestimento em Cerâmicas de Piso Interno, 60x 60cm com Junta de 3mm</v>
      </c>
      <c r="D369" s="968" t="s">
        <v>688</v>
      </c>
      <c r="E369" s="311" t="s">
        <v>589</v>
      </c>
      <c r="F369" s="314">
        <v>9</v>
      </c>
      <c r="G369" s="315">
        <v>0.97750000000000004</v>
      </c>
      <c r="H369" s="315">
        <f>IF(B369="Serviço",SUMIFS(H370:H451,C370:C451,$C369),IF(B369="Insumo",F369*G369,""))</f>
        <v>8.7974999999999994</v>
      </c>
      <c r="I369" s="315"/>
    </row>
    <row r="370" spans="1:9" ht="15.75" hidden="1" customHeight="1" outlineLevel="2" x14ac:dyDescent="0.2">
      <c r="A370" s="307">
        <f>COUNTIFS($D$2:$D$488,D370,$B$2:$B$488,B370)</f>
        <v>2</v>
      </c>
      <c r="B370" s="302" t="s">
        <v>587</v>
      </c>
      <c r="C370" s="302" t="str">
        <f t="shared" si="15"/>
        <v>Revestimento em Cerâmicas de Piso Interno, 60x 60cm com Junta de 3mm</v>
      </c>
      <c r="D370" s="968" t="s">
        <v>676</v>
      </c>
      <c r="E370" s="311" t="s">
        <v>17</v>
      </c>
      <c r="F370" s="314">
        <v>4</v>
      </c>
      <c r="G370" s="315">
        <v>0.05</v>
      </c>
      <c r="H370" s="315">
        <f>IF(B370="Serviço",SUMIFS(H371:H451,C371:C451,$C370),IF(B370="Insumo",F370*G370,""))</f>
        <v>0.2</v>
      </c>
      <c r="I370" s="315"/>
    </row>
    <row r="371" spans="1:9" ht="15.75" hidden="1" customHeight="1" outlineLevel="2" x14ac:dyDescent="0.2">
      <c r="A371" s="307">
        <f>COUNTIFS($D$2:$D$488,D371,$B$2:$B$488,B371)</f>
        <v>10</v>
      </c>
      <c r="B371" s="302" t="s">
        <v>587</v>
      </c>
      <c r="C371" s="302" t="str">
        <f t="shared" si="15"/>
        <v>Revestimento em Cerâmicas de Piso Interno, 60x 60cm com Junta de 3mm</v>
      </c>
      <c r="D371" s="968" t="s">
        <v>673</v>
      </c>
      <c r="E371" s="311" t="s">
        <v>589</v>
      </c>
      <c r="F371" s="314">
        <v>0.5</v>
      </c>
      <c r="G371" s="315">
        <v>11.15</v>
      </c>
      <c r="H371" s="315">
        <f>IF(B371="Serviço",SUMIFS(H372:H451,C372:C451,$C371),IF(B371="Insumo",F371*G371,""))</f>
        <v>5.5750000000000002</v>
      </c>
      <c r="I371" s="315"/>
    </row>
    <row r="372" spans="1:9" ht="15.75" hidden="1" customHeight="1" outlineLevel="1" x14ac:dyDescent="0.2">
      <c r="A372" s="307">
        <f>COUNTIFS($D$2:$D$488,D372,$B$2:$B$488,B372)</f>
        <v>1</v>
      </c>
      <c r="B372" s="310" t="s">
        <v>232</v>
      </c>
      <c r="C372" s="310" t="str">
        <f>IF(B372="Serviço",D372,#REF!)</f>
        <v xml:space="preserve">Revestimento em Pastilhas Cerâmicas Para Piscinas , 14,5 x 14,5cm com Junta de 2mm </v>
      </c>
      <c r="D372" s="967" t="s">
        <v>689</v>
      </c>
      <c r="E372" s="993" t="s">
        <v>586</v>
      </c>
      <c r="F372" s="317"/>
      <c r="G372" s="318"/>
      <c r="H372" s="318">
        <f>IF(B372="Serviço",SUMIFS(H373:H451,C373:C451,$C372),IF(B372="Insumo",F372*G372,""))</f>
        <v>159.54500000000002</v>
      </c>
      <c r="I372" s="318" t="s">
        <v>141</v>
      </c>
    </row>
    <row r="373" spans="1:9" ht="15.75" hidden="1" customHeight="1" outlineLevel="2" x14ac:dyDescent="0.2">
      <c r="A373" s="307">
        <f>COUNTIFS($D$2:$D$488,D373,$B$2:$B$488,B373)</f>
        <v>2</v>
      </c>
      <c r="B373" s="302" t="s">
        <v>587</v>
      </c>
      <c r="C373" s="302" t="str">
        <f t="shared" ref="C373:C397" si="16">IF(B373="Serviço",D373,C372)</f>
        <v xml:space="preserve">Revestimento em Pastilhas Cerâmicas Para Piscinas , 14,5 x 14,5cm com Junta de 2mm </v>
      </c>
      <c r="D373" s="968" t="s">
        <v>677</v>
      </c>
      <c r="E373" s="311" t="s">
        <v>586</v>
      </c>
      <c r="F373" s="314">
        <v>1.1000000000000001</v>
      </c>
      <c r="G373" s="315">
        <v>127.9</v>
      </c>
      <c r="H373" s="315">
        <f>IF(B373="Serviço",SUMIFS(H374:H451,C374:C451,$C373),IF(B373="Insumo",F373*G373,""))</f>
        <v>140.69000000000003</v>
      </c>
      <c r="I373" s="315"/>
    </row>
    <row r="374" spans="1:9" ht="15.75" hidden="1" customHeight="1" outlineLevel="2" x14ac:dyDescent="0.2">
      <c r="A374" s="307">
        <f>COUNTIFS($D$2:$D$488,D374,$B$2:$B$488,B374)</f>
        <v>15</v>
      </c>
      <c r="B374" s="302" t="s">
        <v>587</v>
      </c>
      <c r="C374" s="302" t="str">
        <f t="shared" si="16"/>
        <v xml:space="preserve">Revestimento em Pastilhas Cerâmicas Para Piscinas , 14,5 x 14,5cm com Junta de 2mm </v>
      </c>
      <c r="D374" s="968" t="s">
        <v>663</v>
      </c>
      <c r="E374" s="311" t="s">
        <v>589</v>
      </c>
      <c r="F374" s="314">
        <v>9</v>
      </c>
      <c r="G374" s="315">
        <v>1.44</v>
      </c>
      <c r="H374" s="315">
        <f>IF(B374="Serviço",SUMIFS(H375:H451,C375:C451,$C374),IF(B374="Insumo",F374*G374,""))</f>
        <v>12.959999999999999</v>
      </c>
      <c r="I374" s="315"/>
    </row>
    <row r="375" spans="1:9" ht="15.75" hidden="1" customHeight="1" outlineLevel="2" x14ac:dyDescent="0.2">
      <c r="A375" s="307">
        <f>COUNTIFS($D$2:$D$488,D375,$B$2:$B$488,B375)</f>
        <v>8</v>
      </c>
      <c r="B375" s="302" t="s">
        <v>587</v>
      </c>
      <c r="C375" s="302" t="str">
        <f t="shared" si="16"/>
        <v xml:space="preserve">Revestimento em Pastilhas Cerâmicas Para Piscinas , 14,5 x 14,5cm com Junta de 2mm </v>
      </c>
      <c r="D375" s="968" t="s">
        <v>672</v>
      </c>
      <c r="E375" s="311" t="s">
        <v>17</v>
      </c>
      <c r="F375" s="314">
        <v>4</v>
      </c>
      <c r="G375" s="315">
        <v>0.08</v>
      </c>
      <c r="H375" s="315">
        <f>IF(B375="Serviço",SUMIFS(H376:H451,C376:C451,$C375),IF(B375="Insumo",F375*G375,""))</f>
        <v>0.32</v>
      </c>
      <c r="I375" s="315"/>
    </row>
    <row r="376" spans="1:9" ht="15.75" hidden="1" customHeight="1" outlineLevel="2" x14ac:dyDescent="0.2">
      <c r="A376" s="307">
        <f>COUNTIFS($D$2:$D$488,D376,$B$2:$B$488,B376)</f>
        <v>10</v>
      </c>
      <c r="B376" s="302" t="s">
        <v>587</v>
      </c>
      <c r="C376" s="302" t="str">
        <f t="shared" si="16"/>
        <v xml:space="preserve">Revestimento em Pastilhas Cerâmicas Para Piscinas , 14,5 x 14,5cm com Junta de 2mm </v>
      </c>
      <c r="D376" s="968" t="s">
        <v>673</v>
      </c>
      <c r="E376" s="311" t="s">
        <v>589</v>
      </c>
      <c r="F376" s="314">
        <v>0.5</v>
      </c>
      <c r="G376" s="315">
        <v>11.15</v>
      </c>
      <c r="H376" s="315">
        <f>IF(B376="Serviço",SUMIFS(H382:H451,C382:C451,$C376),IF(B376="Insumo",F376*G376,""))</f>
        <v>5.5750000000000002</v>
      </c>
      <c r="I376" s="315"/>
    </row>
    <row r="377" spans="1:9" ht="15.75" hidden="1" customHeight="1" outlineLevel="1" x14ac:dyDescent="0.2">
      <c r="A377" s="307">
        <f>COUNTIFS($D$2:$D$488,D377,$B$2:$B$488,B377)</f>
        <v>1</v>
      </c>
      <c r="B377" s="310" t="s">
        <v>232</v>
      </c>
      <c r="C377" s="310" t="str">
        <f>IF(B377="Serviço",D377,#REF!)</f>
        <v xml:space="preserve">Revestimento em Pastilhas Cerâmicas Para Marcação de vagas , 7,5 x 7,5cm com Junta de 3mm </v>
      </c>
      <c r="D377" s="967" t="s">
        <v>5160</v>
      </c>
      <c r="E377" s="993" t="s">
        <v>586</v>
      </c>
      <c r="F377" s="317"/>
      <c r="G377" s="318"/>
      <c r="H377" s="318">
        <f>IF(B377="Serviço",SUMIFS(H378:H451,C378:C451,$C377),IF(B377="Insumo",F377*G377,""))</f>
        <v>88.044999999999987</v>
      </c>
      <c r="I377" s="318" t="s">
        <v>141</v>
      </c>
    </row>
    <row r="378" spans="1:9" ht="15.75" hidden="1" customHeight="1" outlineLevel="2" x14ac:dyDescent="0.2">
      <c r="A378" s="307">
        <f>COUNTIFS($D$2:$D$488,D378,$B$2:$B$488,B378)</f>
        <v>1</v>
      </c>
      <c r="B378" s="302" t="s">
        <v>587</v>
      </c>
      <c r="C378" s="302" t="str">
        <f t="shared" ref="C378:C381" si="17">IF(B378="Serviço",D378,C377)</f>
        <v xml:space="preserve">Revestimento em Pastilhas Cerâmicas Para Marcação de vagas , 7,5 x 7,5cm com Junta de 3mm </v>
      </c>
      <c r="D378" s="968" t="s">
        <v>5393</v>
      </c>
      <c r="E378" s="311" t="s">
        <v>586</v>
      </c>
      <c r="F378" s="314">
        <v>1.1000000000000001</v>
      </c>
      <c r="G378" s="315">
        <v>62.9</v>
      </c>
      <c r="H378" s="315">
        <f>IF(B378="Serviço",SUMIFS(H379:H451,C379:C451,$C378),IF(B378="Insumo",F378*G378,""))</f>
        <v>69.19</v>
      </c>
      <c r="I378" s="315"/>
    </row>
    <row r="379" spans="1:9" ht="15.75" hidden="1" customHeight="1" outlineLevel="2" x14ac:dyDescent="0.2">
      <c r="A379" s="307">
        <f>COUNTIFS($D$2:$D$488,D379,$B$2:$B$488,B379)</f>
        <v>15</v>
      </c>
      <c r="B379" s="302" t="s">
        <v>587</v>
      </c>
      <c r="C379" s="302" t="str">
        <f t="shared" si="17"/>
        <v xml:space="preserve">Revestimento em Pastilhas Cerâmicas Para Marcação de vagas , 7,5 x 7,5cm com Junta de 3mm </v>
      </c>
      <c r="D379" s="968" t="s">
        <v>663</v>
      </c>
      <c r="E379" s="311" t="s">
        <v>589</v>
      </c>
      <c r="F379" s="314">
        <v>9</v>
      </c>
      <c r="G379" s="315">
        <v>1.44</v>
      </c>
      <c r="H379" s="315">
        <f>IF(B379="Serviço",SUMIFS(H380:H451,C380:C451,$C379),IF(B379="Insumo",F379*G379,""))</f>
        <v>12.959999999999999</v>
      </c>
      <c r="I379" s="315"/>
    </row>
    <row r="380" spans="1:9" ht="15.75" hidden="1" customHeight="1" outlineLevel="2" x14ac:dyDescent="0.2">
      <c r="A380" s="307">
        <f>COUNTIFS($D$2:$D$488,D380,$B$2:$B$488,B380)</f>
        <v>8</v>
      </c>
      <c r="B380" s="302" t="s">
        <v>587</v>
      </c>
      <c r="C380" s="302" t="str">
        <f t="shared" si="17"/>
        <v xml:space="preserve">Revestimento em Pastilhas Cerâmicas Para Marcação de vagas , 7,5 x 7,5cm com Junta de 3mm </v>
      </c>
      <c r="D380" s="968" t="s">
        <v>672</v>
      </c>
      <c r="E380" s="311" t="s">
        <v>17</v>
      </c>
      <c r="F380" s="314">
        <v>4</v>
      </c>
      <c r="G380" s="315">
        <v>0.08</v>
      </c>
      <c r="H380" s="315">
        <f>IF(B380="Serviço",SUMIFS(H381:H452,C381:C452,$C380),IF(B380="Insumo",F380*G380,""))</f>
        <v>0.32</v>
      </c>
      <c r="I380" s="315"/>
    </row>
    <row r="381" spans="1:9" ht="15.75" hidden="1" customHeight="1" outlineLevel="2" x14ac:dyDescent="0.2">
      <c r="A381" s="307">
        <f>COUNTIFS($D$2:$D$488,D381,$B$2:$B$488,B381)</f>
        <v>10</v>
      </c>
      <c r="B381" s="302" t="s">
        <v>587</v>
      </c>
      <c r="C381" s="302" t="str">
        <f t="shared" si="17"/>
        <v xml:space="preserve">Revestimento em Pastilhas Cerâmicas Para Marcação de vagas , 7,5 x 7,5cm com Junta de 3mm </v>
      </c>
      <c r="D381" s="968" t="s">
        <v>673</v>
      </c>
      <c r="E381" s="311" t="s">
        <v>589</v>
      </c>
      <c r="F381" s="314">
        <v>0.5</v>
      </c>
      <c r="G381" s="315">
        <v>11.15</v>
      </c>
      <c r="H381" s="315">
        <f>IF(B381="Serviço",SUMIFS(H387:H453,C387:C453,$C381),IF(B381="Insumo",F381*G381,""))</f>
        <v>5.5750000000000002</v>
      </c>
      <c r="I381" s="315"/>
    </row>
    <row r="382" spans="1:9" ht="15.75" hidden="1" customHeight="1" outlineLevel="1" x14ac:dyDescent="0.2">
      <c r="A382" s="307">
        <f>COUNTIFS($D$2:$D$488,D382,$B$2:$B$488,B382)</f>
        <v>1</v>
      </c>
      <c r="B382" s="310" t="s">
        <v>232</v>
      </c>
      <c r="C382" s="310" t="str">
        <f>IF(B382="Serviço",D382,C376)</f>
        <v>Revestimento emborrachado piso interno (Academia)- Material e Mão de Obra</v>
      </c>
      <c r="D382" s="967" t="s">
        <v>500</v>
      </c>
      <c r="E382" s="993" t="s">
        <v>586</v>
      </c>
      <c r="F382" s="317"/>
      <c r="G382" s="318"/>
      <c r="H382" s="318">
        <f>IF(B382="Serviço",SUMIFS(H383:H451,C383:C451,$C382),IF(B382="Insumo",F382*G382,""))</f>
        <v>101.998107</v>
      </c>
      <c r="I382" s="318" t="s">
        <v>141</v>
      </c>
    </row>
    <row r="383" spans="1:9" ht="15.75" hidden="1" customHeight="1" outlineLevel="2" x14ac:dyDescent="0.2">
      <c r="A383" s="307">
        <f>COUNTIFS($D$2:$D$488,D383,$B$2:$B$488,B383)</f>
        <v>2</v>
      </c>
      <c r="B383" s="302" t="s">
        <v>587</v>
      </c>
      <c r="C383" s="302" t="str">
        <f t="shared" si="16"/>
        <v>Revestimento emborrachado piso interno (Academia)- Material e Mão de Obra</v>
      </c>
      <c r="D383" s="968" t="s">
        <v>690</v>
      </c>
      <c r="E383" s="311" t="s">
        <v>589</v>
      </c>
      <c r="F383" s="314">
        <v>0.56369999999999998</v>
      </c>
      <c r="G383" s="315">
        <v>25.11</v>
      </c>
      <c r="H383" s="315">
        <f>IF(B383="Serviço",SUMIFS(H384:H451,C384:C451,$C383),IF(B383="Insumo",F383*G383,""))</f>
        <v>14.154506999999999</v>
      </c>
      <c r="I383" s="315"/>
    </row>
    <row r="384" spans="1:9" ht="15.75" hidden="1" customHeight="1" outlineLevel="2" x14ac:dyDescent="0.2">
      <c r="A384" s="307">
        <f>COUNTIFS($D$2:$D$488,D384,$B$2:$B$488,B384)</f>
        <v>1</v>
      </c>
      <c r="B384" s="302" t="s">
        <v>587</v>
      </c>
      <c r="C384" s="302" t="str">
        <f t="shared" si="16"/>
        <v>Revestimento emborrachado piso interno (Academia)- Material e Mão de Obra</v>
      </c>
      <c r="D384" s="968" t="s">
        <v>691</v>
      </c>
      <c r="E384" s="311" t="s">
        <v>586</v>
      </c>
      <c r="F384" s="314">
        <v>1.1000000000000001</v>
      </c>
      <c r="G384" s="315">
        <v>56.676000000000002</v>
      </c>
      <c r="H384" s="315">
        <f>IF(B384="Serviço",SUMIFS(H385:H451,C385:C451,$C384),IF(B384="Insumo",F384*G384,""))</f>
        <v>62.343600000000009</v>
      </c>
      <c r="I384" s="315"/>
    </row>
    <row r="385" spans="1:9" ht="15.75" hidden="1" customHeight="1" outlineLevel="2" x14ac:dyDescent="0.2">
      <c r="A385" s="307">
        <f>COUNTIFS($D$2:$D$488,D385,$B$2:$B$488,B385)</f>
        <v>1</v>
      </c>
      <c r="B385" s="302" t="s">
        <v>587</v>
      </c>
      <c r="C385" s="302" t="str">
        <f t="shared" si="16"/>
        <v>Revestimento emborrachado piso interno (Academia)- Material e Mão de Obra</v>
      </c>
      <c r="D385" s="968" t="s">
        <v>692</v>
      </c>
      <c r="E385" s="311" t="s">
        <v>586</v>
      </c>
      <c r="F385" s="314">
        <v>1</v>
      </c>
      <c r="G385" s="315">
        <v>25.5</v>
      </c>
      <c r="H385" s="315">
        <f>IF(B385="Serviço",SUMIFS(H386:H452,C386:C452,$C385),IF(B385="Insumo",F385*G385,""))</f>
        <v>25.5</v>
      </c>
      <c r="I385" s="315"/>
    </row>
    <row r="386" spans="1:9" ht="15.75" hidden="1" customHeight="1" outlineLevel="1" x14ac:dyDescent="0.2">
      <c r="A386" s="307">
        <f>COUNTIFS($D$2:$D$488,D386,$B$2:$B$488,B386)</f>
        <v>1</v>
      </c>
      <c r="B386" s="310" t="s">
        <v>232</v>
      </c>
      <c r="C386" s="310" t="str">
        <f t="shared" si="16"/>
        <v>Revestimento de Pedras Naturais em Pisos</v>
      </c>
      <c r="D386" s="967" t="s">
        <v>503</v>
      </c>
      <c r="E386" s="993" t="s">
        <v>586</v>
      </c>
      <c r="F386" s="317"/>
      <c r="G386" s="318"/>
      <c r="H386" s="318">
        <f>IF(B386="Serviço",SUMIFS(H387:H453,C387:C453,$C386),IF(B386="Insumo",F386*G386,""))</f>
        <v>626.625</v>
      </c>
      <c r="I386" s="318" t="s">
        <v>141</v>
      </c>
    </row>
    <row r="387" spans="1:9" ht="15.75" hidden="1" customHeight="1" outlineLevel="2" x14ac:dyDescent="0.2">
      <c r="A387" s="307">
        <f>COUNTIFS($D$2:$D$488,D387,$B$2:$B$488,B387)</f>
        <v>3</v>
      </c>
      <c r="B387" s="302" t="s">
        <v>587</v>
      </c>
      <c r="C387" s="302" t="str">
        <f t="shared" si="16"/>
        <v>Revestimento de Pedras Naturais em Pisos</v>
      </c>
      <c r="D387" s="968" t="s">
        <v>679</v>
      </c>
      <c r="E387" s="311" t="s">
        <v>586</v>
      </c>
      <c r="F387" s="314">
        <v>1.1000000000000001</v>
      </c>
      <c r="G387" s="315">
        <v>550</v>
      </c>
      <c r="H387" s="315">
        <f>IF(B387="Serviço",SUMIFS(H388:H454,C388:C454,$C387),IF(B387="Insumo",F387*G387,""))</f>
        <v>605</v>
      </c>
      <c r="I387" s="315"/>
    </row>
    <row r="388" spans="1:9" ht="15.75" hidden="1" customHeight="1" outlineLevel="2" x14ac:dyDescent="0.2">
      <c r="A388" s="307">
        <f>COUNTIFS($D$2:$D$488,D388,$B$2:$B$488,B388)</f>
        <v>15</v>
      </c>
      <c r="B388" s="302" t="s">
        <v>587</v>
      </c>
      <c r="C388" s="302" t="str">
        <f t="shared" si="16"/>
        <v>Revestimento de Pedras Naturais em Pisos</v>
      </c>
      <c r="D388" s="968" t="s">
        <v>663</v>
      </c>
      <c r="E388" s="311" t="s">
        <v>589</v>
      </c>
      <c r="F388" s="314">
        <v>9</v>
      </c>
      <c r="G388" s="315">
        <v>1.44</v>
      </c>
      <c r="H388" s="315">
        <f>IF(B388="Serviço",SUMIFS(H389:H454,C389:C454,$C388),IF(B388="Insumo",F388*G388,""))</f>
        <v>12.959999999999999</v>
      </c>
      <c r="I388" s="315"/>
    </row>
    <row r="389" spans="1:9" ht="15.75" hidden="1" customHeight="1" outlineLevel="2" x14ac:dyDescent="0.2">
      <c r="A389" s="307">
        <f>COUNTIFS($D$2:$D$488,D389,$B$2:$B$488,B389)</f>
        <v>1</v>
      </c>
      <c r="B389" s="302" t="s">
        <v>587</v>
      </c>
      <c r="C389" s="302" t="str">
        <f t="shared" si="16"/>
        <v>Revestimento de Pedras Naturais em Pisos</v>
      </c>
      <c r="D389" s="968" t="s">
        <v>680</v>
      </c>
      <c r="E389" s="311" t="s">
        <v>17</v>
      </c>
      <c r="F389" s="314">
        <v>0.5</v>
      </c>
      <c r="G389" s="315">
        <v>17.329999999999998</v>
      </c>
      <c r="H389" s="315">
        <f>IF(B389="Serviço",SUMIFS(H390:H454,C390:C454,$C389),IF(B389="Insumo",F389*G389,""))</f>
        <v>8.6649999999999991</v>
      </c>
      <c r="I389" s="315"/>
    </row>
    <row r="390" spans="1:9" ht="15.75" hidden="1" customHeight="1" outlineLevel="1" x14ac:dyDescent="0.2">
      <c r="A390" s="307">
        <f>COUNTIFS($D$2:$D$488,D390,$B$2:$B$488,B390)</f>
        <v>1</v>
      </c>
      <c r="B390" s="310" t="s">
        <v>232</v>
      </c>
      <c r="C390" s="310" t="str">
        <f>IF(B390="Serviço",D390,#REF!)</f>
        <v>Rodapé de poliestireno h=10cm</v>
      </c>
      <c r="D390" s="967" t="s">
        <v>693</v>
      </c>
      <c r="E390" s="993" t="s">
        <v>591</v>
      </c>
      <c r="F390" s="317"/>
      <c r="G390" s="318"/>
      <c r="H390" s="318">
        <f>IF(B390="Serviço",SUMIFS(H391:H464,C391:C464,$C390),IF(B390="Insumo",F390*G390,""))</f>
        <v>33.872200000000007</v>
      </c>
      <c r="I390" s="318" t="s">
        <v>141</v>
      </c>
    </row>
    <row r="391" spans="1:9" ht="15.75" hidden="1" customHeight="1" outlineLevel="2" x14ac:dyDescent="0.2">
      <c r="A391" s="307">
        <f>COUNTIFS($D$2:$D$488,D391,$B$2:$B$488,B391)</f>
        <v>2</v>
      </c>
      <c r="B391" s="302" t="s">
        <v>587</v>
      </c>
      <c r="C391" s="302" t="str">
        <f t="shared" si="16"/>
        <v>Rodapé de poliestireno h=10cm</v>
      </c>
      <c r="D391" s="968" t="s">
        <v>690</v>
      </c>
      <c r="E391" s="311" t="s">
        <v>589</v>
      </c>
      <c r="F391" s="314">
        <v>0.2</v>
      </c>
      <c r="G391" s="315">
        <v>25.11</v>
      </c>
      <c r="H391" s="315">
        <f>IF(B391="Serviço",SUMIFS(H392:H464,C392:C464,$C391),IF(B391="Insumo",F391*G391,""))</f>
        <v>5.0220000000000002</v>
      </c>
      <c r="I391" s="315"/>
    </row>
    <row r="392" spans="1:9" ht="15.75" hidden="1" customHeight="1" outlineLevel="2" x14ac:dyDescent="0.2">
      <c r="A392" s="307">
        <f>COUNTIFS($D$2:$D$488,D392,$B$2:$B$488,B392)</f>
        <v>1</v>
      </c>
      <c r="B392" s="302" t="s">
        <v>587</v>
      </c>
      <c r="C392" s="302" t="str">
        <f t="shared" si="16"/>
        <v>Rodapé de poliestireno h=10cm</v>
      </c>
      <c r="D392" s="968" t="s">
        <v>694</v>
      </c>
      <c r="E392" s="311" t="s">
        <v>591</v>
      </c>
      <c r="F392" s="314">
        <v>1.34</v>
      </c>
      <c r="G392" s="315">
        <v>21.53</v>
      </c>
      <c r="H392" s="315">
        <f>IF(B392="Serviço",SUMIFS(H393:H464,C393:C464,$C392),IF(B392="Insumo",F392*G392,""))</f>
        <v>28.850200000000005</v>
      </c>
      <c r="I392" s="315"/>
    </row>
    <row r="393" spans="1:9" ht="15.75" hidden="1" customHeight="1" outlineLevel="1" x14ac:dyDescent="0.2">
      <c r="A393" s="307">
        <f>COUNTIFS($D$2:$D$488,D393,$B$2:$B$488,B393)</f>
        <v>1</v>
      </c>
      <c r="B393" s="310" t="s">
        <v>232</v>
      </c>
      <c r="C393" s="310" t="str">
        <f>IF(B393="Serviço",D393,#REF!)</f>
        <v>Rodapé de porcelanato h=10cm</v>
      </c>
      <c r="D393" s="967" t="s">
        <v>695</v>
      </c>
      <c r="E393" s="993" t="s">
        <v>591</v>
      </c>
      <c r="F393" s="317"/>
      <c r="G393" s="318"/>
      <c r="H393" s="318">
        <f>IF(B393="Serviço",SUMIFS(H394:H464,C394:C464,$C393),IF(B393="Insumo",F393*G393,""))</f>
        <v>9.3490000000000002</v>
      </c>
      <c r="I393" s="318" t="s">
        <v>141</v>
      </c>
    </row>
    <row r="394" spans="1:9" ht="15.75" hidden="1" customHeight="1" outlineLevel="2" x14ac:dyDescent="0.2">
      <c r="A394" s="307">
        <f>COUNTIFS($D$2:$D$488,D394,$B$2:$B$488,B394)</f>
        <v>2</v>
      </c>
      <c r="B394" s="302" t="s">
        <v>587</v>
      </c>
      <c r="C394" s="302" t="str">
        <f t="shared" si="16"/>
        <v>Rodapé de porcelanato h=10cm</v>
      </c>
      <c r="D394" s="968" t="s">
        <v>687</v>
      </c>
      <c r="E394" s="311" t="s">
        <v>586</v>
      </c>
      <c r="F394" s="314">
        <v>0.11000000000000001</v>
      </c>
      <c r="G394" s="315">
        <v>67.849999999999994</v>
      </c>
      <c r="H394" s="315">
        <f>IF(B394="Serviço",SUMIFS(H395:H465,C395:C465,$C394),IF(B394="Insumo",F394*G394,""))</f>
        <v>7.4635000000000007</v>
      </c>
      <c r="I394" s="315"/>
    </row>
    <row r="395" spans="1:9" ht="15.75" hidden="1" customHeight="1" outlineLevel="2" x14ac:dyDescent="0.2">
      <c r="A395" s="307">
        <f>COUNTIFS($D$2:$D$488,D395,$B$2:$B$488,B395)</f>
        <v>15</v>
      </c>
      <c r="B395" s="302" t="s">
        <v>587</v>
      </c>
      <c r="C395" s="302" t="str">
        <f t="shared" si="16"/>
        <v>Rodapé de porcelanato h=10cm</v>
      </c>
      <c r="D395" s="968" t="s">
        <v>663</v>
      </c>
      <c r="E395" s="311" t="s">
        <v>589</v>
      </c>
      <c r="F395" s="314">
        <v>0.9</v>
      </c>
      <c r="G395" s="315">
        <v>1.44</v>
      </c>
      <c r="H395" s="315">
        <f>IF(B395="Serviço",SUMIFS(H396:H466,C396:C466,$C395),IF(B395="Insumo",F395*G395,""))</f>
        <v>1.296</v>
      </c>
      <c r="I395" s="315"/>
    </row>
    <row r="396" spans="1:9" ht="15.75" hidden="1" customHeight="1" outlineLevel="2" x14ac:dyDescent="0.2">
      <c r="A396" s="307">
        <f>COUNTIFS($D$2:$D$488,D396,$B$2:$B$488,B396)</f>
        <v>8</v>
      </c>
      <c r="B396" s="302" t="s">
        <v>587</v>
      </c>
      <c r="C396" s="302" t="str">
        <f t="shared" si="16"/>
        <v>Rodapé de porcelanato h=10cm</v>
      </c>
      <c r="D396" s="968" t="s">
        <v>672</v>
      </c>
      <c r="E396" s="311" t="s">
        <v>17</v>
      </c>
      <c r="F396" s="314">
        <v>0.4</v>
      </c>
      <c r="G396" s="315">
        <v>0.08</v>
      </c>
      <c r="H396" s="315">
        <f>IF(B396="Serviço",SUMIFS(H397:H467,C397:C467,$C396),IF(B396="Insumo",F396*G396,""))</f>
        <v>3.2000000000000001E-2</v>
      </c>
      <c r="I396" s="315"/>
    </row>
    <row r="397" spans="1:9" ht="15.75" hidden="1" customHeight="1" outlineLevel="2" x14ac:dyDescent="0.2">
      <c r="A397" s="307">
        <f>COUNTIFS($D$2:$D$488,D397,$B$2:$B$488,B397)</f>
        <v>10</v>
      </c>
      <c r="B397" s="302" t="s">
        <v>587</v>
      </c>
      <c r="C397" s="302" t="str">
        <f t="shared" si="16"/>
        <v>Rodapé de porcelanato h=10cm</v>
      </c>
      <c r="D397" s="968" t="s">
        <v>673</v>
      </c>
      <c r="E397" s="311" t="s">
        <v>589</v>
      </c>
      <c r="F397" s="314">
        <v>0.05</v>
      </c>
      <c r="G397" s="315">
        <v>11.15</v>
      </c>
      <c r="H397" s="315">
        <f>IF(B397="Serviço",SUMIFS(H403:H468,C403:C468,$C397),IF(B397="Insumo",F397*G397,""))</f>
        <v>0.5575</v>
      </c>
      <c r="I397" s="315"/>
    </row>
    <row r="398" spans="1:9" ht="15.75" hidden="1" customHeight="1" outlineLevel="1" x14ac:dyDescent="0.2">
      <c r="A398" s="307">
        <f>COUNTIFS($D$2:$D$488,D398,$B$2:$B$488,B398)</f>
        <v>1</v>
      </c>
      <c r="B398" s="310" t="s">
        <v>232</v>
      </c>
      <c r="C398" s="310" t="str">
        <f>IF(B398="Serviço",D398,#REF!)</f>
        <v>Rodapé de cerâmico h=10cm</v>
      </c>
      <c r="D398" s="967" t="s">
        <v>5165</v>
      </c>
      <c r="E398" s="993" t="s">
        <v>591</v>
      </c>
      <c r="F398" s="317"/>
      <c r="G398" s="318"/>
      <c r="H398" s="318">
        <f>IF(B398="Serviço",SUMIFS(H399:H468,C399:C468,$C398),IF(B398="Insumo",F398*G398,""))</f>
        <v>6.2459000000000007</v>
      </c>
      <c r="I398" s="318" t="s">
        <v>141</v>
      </c>
    </row>
    <row r="399" spans="1:9" ht="15.75" hidden="1" customHeight="1" outlineLevel="2" x14ac:dyDescent="0.2">
      <c r="A399" s="307">
        <f>COUNTIFS($D$2:$D$488,D399,$B$2:$B$488,B399)</f>
        <v>2</v>
      </c>
      <c r="B399" s="302" t="s">
        <v>587</v>
      </c>
      <c r="C399" s="302" t="str">
        <f t="shared" ref="C399:C402" si="18">IF(B399="Serviço",D399,C398)</f>
        <v>Rodapé de cerâmico h=10cm</v>
      </c>
      <c r="D399" s="968" t="s">
        <v>5318</v>
      </c>
      <c r="E399" s="311" t="s">
        <v>586</v>
      </c>
      <c r="F399" s="314">
        <v>0.11000000000000001</v>
      </c>
      <c r="G399" s="315">
        <v>39.64</v>
      </c>
      <c r="H399" s="315">
        <f>IF(B399="Serviço",SUMIFS(H400:H468,C400:C468,$C399),IF(B399="Insumo",F399*G399,""))</f>
        <v>4.3604000000000003</v>
      </c>
      <c r="I399" s="315"/>
    </row>
    <row r="400" spans="1:9" ht="15.75" hidden="1" customHeight="1" outlineLevel="2" x14ac:dyDescent="0.2">
      <c r="A400" s="307">
        <f>COUNTIFS($D$2:$D$488,D400,$B$2:$B$488,B400)</f>
        <v>15</v>
      </c>
      <c r="B400" s="302" t="s">
        <v>587</v>
      </c>
      <c r="C400" s="302" t="str">
        <f t="shared" si="18"/>
        <v>Rodapé de cerâmico h=10cm</v>
      </c>
      <c r="D400" s="968" t="s">
        <v>663</v>
      </c>
      <c r="E400" s="311" t="s">
        <v>589</v>
      </c>
      <c r="F400" s="314">
        <v>0.9</v>
      </c>
      <c r="G400" s="315">
        <v>1.44</v>
      </c>
      <c r="H400" s="315">
        <f>IF(B400="Serviço",SUMIFS(H401:H468,C401:C468,$C400),IF(B400="Insumo",F400*G400,""))</f>
        <v>1.296</v>
      </c>
      <c r="I400" s="315"/>
    </row>
    <row r="401" spans="1:9" ht="15.75" hidden="1" customHeight="1" outlineLevel="2" x14ac:dyDescent="0.2">
      <c r="A401" s="307">
        <f>COUNTIFS($D$2:$D$488,D401,$B$2:$B$488,B401)</f>
        <v>8</v>
      </c>
      <c r="B401" s="302" t="s">
        <v>587</v>
      </c>
      <c r="C401" s="302" t="str">
        <f t="shared" si="18"/>
        <v>Rodapé de cerâmico h=10cm</v>
      </c>
      <c r="D401" s="968" t="s">
        <v>672</v>
      </c>
      <c r="E401" s="311" t="s">
        <v>17</v>
      </c>
      <c r="F401" s="314">
        <v>0.4</v>
      </c>
      <c r="G401" s="315">
        <v>0.08</v>
      </c>
      <c r="H401" s="315">
        <f>IF(B401="Serviço",SUMIFS(H402:H468,C402:C468,$C401),IF(B401="Insumo",F401*G401,""))</f>
        <v>3.2000000000000001E-2</v>
      </c>
      <c r="I401" s="315"/>
    </row>
    <row r="402" spans="1:9" ht="15.75" hidden="1" customHeight="1" outlineLevel="2" x14ac:dyDescent="0.2">
      <c r="A402" s="307">
        <f>COUNTIFS($D$2:$D$488,D402,$B$2:$B$488,B402)</f>
        <v>10</v>
      </c>
      <c r="B402" s="302" t="s">
        <v>587</v>
      </c>
      <c r="C402" s="302" t="str">
        <f t="shared" si="18"/>
        <v>Rodapé de cerâmico h=10cm</v>
      </c>
      <c r="D402" s="968" t="s">
        <v>673</v>
      </c>
      <c r="E402" s="311" t="s">
        <v>589</v>
      </c>
      <c r="F402" s="314">
        <v>0.05</v>
      </c>
      <c r="G402" s="315">
        <v>11.15</v>
      </c>
      <c r="H402" s="315">
        <f>IF(B402="Serviço",SUMIFS(H404:H469,C404:C469,$C402),IF(B402="Insumo",F402*G402,""))</f>
        <v>0.5575</v>
      </c>
      <c r="I402" s="315"/>
    </row>
    <row r="403" spans="1:9" ht="15.75" customHeight="1" collapsed="1" x14ac:dyDescent="0.2">
      <c r="A403" s="307">
        <f>COUNTIFS($D$2:$D$488,D403,$B$2:$B$488,B403)</f>
        <v>1</v>
      </c>
      <c r="B403" s="307" t="s">
        <v>230</v>
      </c>
      <c r="C403" s="307" t="str">
        <f>IF(B403="Serviço",D403,C402)</f>
        <v>Rodapé de cerâmico h=10cm</v>
      </c>
      <c r="D403" s="307" t="s">
        <v>696</v>
      </c>
      <c r="E403" s="308"/>
      <c r="F403" s="319"/>
      <c r="G403" s="309"/>
      <c r="H403" s="309" t="str">
        <f>IF(B403="Serviço",SUMIFS(H404:H476,C404:C476,$C403),IF(B403="Insumo",F403*G403,""))</f>
        <v/>
      </c>
      <c r="I403" s="309"/>
    </row>
    <row r="404" spans="1:9" ht="15.75" hidden="1" customHeight="1" outlineLevel="1" x14ac:dyDescent="0.2">
      <c r="A404" s="307">
        <f>COUNTIFS($D$2:$D$488,D404,$B$2:$B$488,B404)</f>
        <v>1</v>
      </c>
      <c r="B404" s="310" t="s">
        <v>232</v>
      </c>
      <c r="C404" s="310" t="str">
        <f>IF(B404="Serviço",D404,#REF!)</f>
        <v>Pintura em tinta para piso, Aplicação Manual, 2 Demãos</v>
      </c>
      <c r="D404" s="967" t="s">
        <v>5319</v>
      </c>
      <c r="E404" s="993" t="s">
        <v>586</v>
      </c>
      <c r="F404" s="317"/>
      <c r="G404" s="318"/>
      <c r="H404" s="318">
        <f>IF(B404="Serviço",SUMIFS(H405:H488,C405:C488,$C404),IF(B404="Insumo",F404*G404,""))</f>
        <v>11.292560000000002</v>
      </c>
      <c r="I404" s="318" t="s">
        <v>141</v>
      </c>
    </row>
    <row r="405" spans="1:9" ht="15.75" hidden="1" customHeight="1" outlineLevel="2" x14ac:dyDescent="0.2">
      <c r="A405" s="307">
        <f>COUNTIFS($D$2:$D$488,D405,$B$2:$B$488,B405)</f>
        <v>2</v>
      </c>
      <c r="B405" s="302" t="s">
        <v>587</v>
      </c>
      <c r="C405" s="302" t="str">
        <f t="shared" ref="C405:C426" si="19">IF(B405="Serviço",D405,C404)</f>
        <v>Pintura em tinta para piso, Aplicação Manual, 2 Demãos</v>
      </c>
      <c r="D405" s="966" t="s">
        <v>697</v>
      </c>
      <c r="E405" s="311" t="s">
        <v>17</v>
      </c>
      <c r="F405" s="314">
        <v>0.01</v>
      </c>
      <c r="G405" s="315">
        <v>11.26</v>
      </c>
      <c r="H405" s="315">
        <f>IF(B405="Serviço",SUMIFS(H406:H488,C406:C488,$C405),IF(B405="Insumo",F405*G405,""))</f>
        <v>0.11260000000000001</v>
      </c>
      <c r="I405" s="315"/>
    </row>
    <row r="406" spans="1:9" ht="15.75" hidden="1" customHeight="1" outlineLevel="2" x14ac:dyDescent="0.2">
      <c r="A406" s="307">
        <f>COUNTIFS($D$2:$D$488,D406,$B$2:$B$488,B406)</f>
        <v>1</v>
      </c>
      <c r="B406" s="302" t="s">
        <v>587</v>
      </c>
      <c r="C406" s="302" t="str">
        <f t="shared" si="19"/>
        <v>Pintura em tinta para piso, Aplicação Manual, 2 Demãos</v>
      </c>
      <c r="D406" s="966" t="s">
        <v>5320</v>
      </c>
      <c r="E406" s="311" t="s">
        <v>593</v>
      </c>
      <c r="F406" s="314">
        <v>0.48299999999999998</v>
      </c>
      <c r="G406" s="315">
        <v>20</v>
      </c>
      <c r="H406" s="315">
        <f>IF(B406="Serviço",SUMIFS(H407:H488,C407:C488,$C406),IF(B406="Insumo",F406*G406,""))</f>
        <v>9.66</v>
      </c>
      <c r="I406" s="315"/>
    </row>
    <row r="407" spans="1:9" ht="15.75" hidden="1" customHeight="1" outlineLevel="1" x14ac:dyDescent="0.2">
      <c r="A407" s="307">
        <f>COUNTIFS($D$2:$D$488,D407,$B$2:$B$488,B407)</f>
        <v>1</v>
      </c>
      <c r="B407" s="310" t="s">
        <v>232</v>
      </c>
      <c r="C407" s="310" t="str">
        <f>IF(B407="Serviço",D407,#REF!)</f>
        <v>Pintura em Látex Acrilica para demarcação de Paredes, 2 demão</v>
      </c>
      <c r="D407" s="967" t="s">
        <v>5322</v>
      </c>
      <c r="E407" s="993" t="s">
        <v>586</v>
      </c>
      <c r="F407" s="317"/>
      <c r="G407" s="318"/>
      <c r="H407" s="318">
        <f>IF(B407="Serviço",SUMIFS(H410:H488,C410:C488,$C407),IF(B407="Insumo",F407*G407,""))</f>
        <v>9.0783000000000005</v>
      </c>
      <c r="I407" s="318" t="s">
        <v>141</v>
      </c>
    </row>
    <row r="408" spans="1:9" ht="15.75" hidden="1" customHeight="1" outlineLevel="2" x14ac:dyDescent="0.2">
      <c r="A408" s="307">
        <f>COUNTIFS($D$2:$D$488,D408,$B$2:$B$488,B408)</f>
        <v>2</v>
      </c>
      <c r="B408" s="302" t="s">
        <v>587</v>
      </c>
      <c r="C408" s="302" t="str">
        <f>IF(B408="Serviço",D408,C406)</f>
        <v>Pintura em tinta para piso, Aplicação Manual, 2 Demãos</v>
      </c>
      <c r="D408" s="968" t="s">
        <v>697</v>
      </c>
      <c r="E408" s="311" t="s">
        <v>17</v>
      </c>
      <c r="F408" s="314">
        <v>0.01</v>
      </c>
      <c r="G408" s="315">
        <v>11.26</v>
      </c>
      <c r="H408" s="315">
        <f>IF(B408="Serviço",SUMIFS(H410:H488,C410:C488,$C408),IF(B408="Insumo",F408*G408,""))</f>
        <v>0.11260000000000001</v>
      </c>
      <c r="I408" s="315"/>
    </row>
    <row r="409" spans="1:9" ht="15.75" hidden="1" customHeight="1" outlineLevel="2" x14ac:dyDescent="0.2">
      <c r="A409" s="307">
        <f>COUNTIFS($D$2:$D$488,D409,$B$2:$B$488,B409)</f>
        <v>1</v>
      </c>
      <c r="B409" s="302" t="s">
        <v>587</v>
      </c>
      <c r="C409" s="302" t="str">
        <f>IF(B409="Serviço",D409,C406)</f>
        <v>Pintura em tinta para piso, Aplicação Manual, 2 Demãos</v>
      </c>
      <c r="D409" s="968" t="s">
        <v>698</v>
      </c>
      <c r="E409" s="311" t="s">
        <v>593</v>
      </c>
      <c r="F409" s="314">
        <v>6.4000000000000001E-2</v>
      </c>
      <c r="G409" s="315">
        <v>21.99</v>
      </c>
      <c r="H409" s="315">
        <f>IF(B409="Serviço",SUMIFS(H410:H488,C410:C488,$C409),IF(B409="Insumo",F409*G409,""))</f>
        <v>1.4073599999999999</v>
      </c>
      <c r="I409" s="315"/>
    </row>
    <row r="410" spans="1:9" ht="15.75" hidden="1" customHeight="1" outlineLevel="2" x14ac:dyDescent="0.2">
      <c r="A410" s="307">
        <f>COUNTIFS($D$2:$D$488,D410,$B$2:$B$488,B410)</f>
        <v>3</v>
      </c>
      <c r="B410" s="302" t="s">
        <v>587</v>
      </c>
      <c r="C410" s="302" t="str">
        <f>IF(B410="Serviço",D410,C407)</f>
        <v>Pintura em Látex Acrilica para demarcação de Paredes, 2 demão</v>
      </c>
      <c r="D410" s="968" t="s">
        <v>699</v>
      </c>
      <c r="E410" s="311" t="s">
        <v>593</v>
      </c>
      <c r="F410" s="314">
        <v>0.33</v>
      </c>
      <c r="G410" s="315">
        <v>27.51</v>
      </c>
      <c r="H410" s="315">
        <f>IF(B410="Serviço",SUMIFS(H416:H488,C416:C488,$C410),IF(B410="Insumo",F410*G410,""))</f>
        <v>9.0783000000000005</v>
      </c>
      <c r="I410" s="315"/>
    </row>
    <row r="411" spans="1:9" ht="15.75" hidden="1" customHeight="1" outlineLevel="1" x14ac:dyDescent="0.2">
      <c r="A411" s="307">
        <f>COUNTIFS($D$2:$D$488,D411,$B$2:$B$488,B411)</f>
        <v>1</v>
      </c>
      <c r="B411" s="310" t="s">
        <v>232</v>
      </c>
      <c r="C411" s="310" t="str">
        <f>IF(B411="Serviço",D411,C405)</f>
        <v>Selador acrilico em Paredes Internas</v>
      </c>
      <c r="D411" s="967" t="s">
        <v>5323</v>
      </c>
      <c r="E411" s="993" t="s">
        <v>586</v>
      </c>
      <c r="F411" s="317"/>
      <c r="G411" s="318"/>
      <c r="H411" s="318">
        <f>IF(B411="Serviço",SUMIFS(H412:H488,C412:C488,$C411),IF(B411="Insumo",F411*G411,""))</f>
        <v>2.7766666672220004</v>
      </c>
      <c r="I411" s="318" t="s">
        <v>141</v>
      </c>
    </row>
    <row r="412" spans="1:9" ht="15.75" hidden="1" customHeight="1" outlineLevel="2" x14ac:dyDescent="0.2">
      <c r="A412" s="307">
        <f>COUNTIFS($D$2:$D$488,D412,$B$2:$B$488,B412)</f>
        <v>3</v>
      </c>
      <c r="B412" s="302" t="s">
        <v>587</v>
      </c>
      <c r="C412" s="302" t="str">
        <f>IF(B412="Serviço",D412,C411)</f>
        <v>Selador acrilico em Paredes Internas</v>
      </c>
      <c r="D412" s="968" t="s">
        <v>701</v>
      </c>
      <c r="E412" s="311" t="s">
        <v>593</v>
      </c>
      <c r="F412" s="314">
        <v>0.1666</v>
      </c>
      <c r="G412" s="315">
        <v>16.666666670000001</v>
      </c>
      <c r="H412" s="315">
        <f>IF(B412="Serviço",SUMIFS(H416:H488,C416:C488,$C412),IF(B412="Insumo",F412*G412,""))</f>
        <v>2.7766666672220004</v>
      </c>
      <c r="I412" s="315"/>
    </row>
    <row r="413" spans="1:9" ht="15.75" hidden="1" customHeight="1" outlineLevel="1" x14ac:dyDescent="0.2">
      <c r="A413" s="307">
        <f>COUNTIFS($D$2:$D$488,D413,$B$2:$B$488,B413)</f>
        <v>1</v>
      </c>
      <c r="B413" s="310" t="s">
        <v>232</v>
      </c>
      <c r="C413" s="310" t="str">
        <f>IF(B413="Serviço",D413,C405)</f>
        <v>Emassamento de Paredes Internas, 2 demãos</v>
      </c>
      <c r="D413" s="967" t="s">
        <v>5324</v>
      </c>
      <c r="E413" s="993" t="s">
        <v>586</v>
      </c>
      <c r="F413" s="317"/>
      <c r="G413" s="318"/>
      <c r="H413" s="318">
        <f>IF(B413="Serviço",SUMIFS(H414:H488,C414:C488,$C413),IF(B413="Insumo",F413*G413,""))</f>
        <v>5.7965489999999997</v>
      </c>
      <c r="I413" s="318" t="s">
        <v>141</v>
      </c>
    </row>
    <row r="414" spans="1:9" ht="15.75" hidden="1" customHeight="1" outlineLevel="2" x14ac:dyDescent="0.2">
      <c r="A414" s="307">
        <f>COUNTIFS($D$2:$D$488,D414,$B$2:$B$488,B414)</f>
        <v>2</v>
      </c>
      <c r="B414" s="302" t="s">
        <v>587</v>
      </c>
      <c r="C414" s="302" t="str">
        <f t="shared" ref="C414:C417" si="20">IF(B414="Serviço",D414,C413)</f>
        <v>Emassamento de Paredes Internas, 2 demãos</v>
      </c>
      <c r="D414" s="968" t="s">
        <v>594</v>
      </c>
      <c r="E414" s="311" t="s">
        <v>17</v>
      </c>
      <c r="F414" s="314">
        <v>0.1</v>
      </c>
      <c r="G414" s="315">
        <v>1.89</v>
      </c>
      <c r="H414" s="315">
        <f>IF(B414="Serviço",SUMIFS(H415:H488,C415:C488,$C414),IF(B414="Insumo",F414*G414,""))</f>
        <v>0.189</v>
      </c>
      <c r="I414" s="315"/>
    </row>
    <row r="415" spans="1:9" ht="15.75" hidden="1" customHeight="1" outlineLevel="2" x14ac:dyDescent="0.2">
      <c r="A415" s="307">
        <f>COUNTIFS($D$2:$D$488,D415,$B$2:$B$488,B415)</f>
        <v>2</v>
      </c>
      <c r="B415" s="302" t="s">
        <v>587</v>
      </c>
      <c r="C415" s="302" t="str">
        <f t="shared" si="20"/>
        <v>Emassamento de Paredes Internas, 2 demãos</v>
      </c>
      <c r="D415" s="968" t="s">
        <v>700</v>
      </c>
      <c r="E415" s="311" t="s">
        <v>589</v>
      </c>
      <c r="F415" s="314">
        <v>0.86670000000000003</v>
      </c>
      <c r="G415" s="315">
        <v>6.47</v>
      </c>
      <c r="H415" s="315">
        <f>IF(B415="Serviço",SUMIFS(H416:H488,C416:C488,$C415),IF(B415="Insumo",F415*G415,""))</f>
        <v>5.6075489999999997</v>
      </c>
      <c r="I415" s="315"/>
    </row>
    <row r="416" spans="1:9" ht="15.75" hidden="1" customHeight="1" outlineLevel="1" x14ac:dyDescent="0.2">
      <c r="A416" s="307">
        <f>COUNTIFS($D$2:$D$488,D416,$B$2:$B$488,B416)</f>
        <v>1</v>
      </c>
      <c r="B416" s="310" t="s">
        <v>232</v>
      </c>
      <c r="C416" s="310" t="str">
        <f>IF(B416="Serviço",D416,C410)</f>
        <v>Pintura Com Tinta Latex Acrilica em Paredes Internas, 3 Demaos</v>
      </c>
      <c r="D416" s="967" t="s">
        <v>510</v>
      </c>
      <c r="E416" s="993" t="s">
        <v>586</v>
      </c>
      <c r="F416" s="317"/>
      <c r="G416" s="318"/>
      <c r="H416" s="318">
        <f>IF(B416="Serviço",SUMIFS(H417:H488,C417:C488,$C416),IF(B416="Insumo",F416*G416,""))</f>
        <v>13.61745</v>
      </c>
      <c r="I416" s="318" t="s">
        <v>141</v>
      </c>
    </row>
    <row r="417" spans="1:9" ht="15.75" hidden="1" customHeight="1" outlineLevel="2" x14ac:dyDescent="0.2">
      <c r="A417" s="307">
        <f>COUNTIFS($D$2:$D$488,D417,$B$2:$B$488,B417)</f>
        <v>3</v>
      </c>
      <c r="B417" s="302" t="s">
        <v>587</v>
      </c>
      <c r="C417" s="302" t="str">
        <f t="shared" si="20"/>
        <v>Pintura Com Tinta Latex Acrilica em Paredes Internas, 3 Demaos</v>
      </c>
      <c r="D417" s="968" t="s">
        <v>699</v>
      </c>
      <c r="E417" s="311" t="s">
        <v>593</v>
      </c>
      <c r="F417" s="314">
        <v>0.495</v>
      </c>
      <c r="G417" s="315">
        <v>27.51</v>
      </c>
      <c r="H417" s="315">
        <f>IF(B417="Serviço",SUMIFS(H418:H488,C418:C488,$C417),IF(B417="Insumo",F417*G417,""))</f>
        <v>13.61745</v>
      </c>
      <c r="I417" s="315"/>
    </row>
    <row r="418" spans="1:9" ht="15.75" hidden="1" customHeight="1" outlineLevel="1" x14ac:dyDescent="0.2">
      <c r="A418" s="307">
        <f>COUNTIFS($D$2:$D$488,D418,$B$2:$B$488,B418)</f>
        <v>1</v>
      </c>
      <c r="B418" s="310" t="s">
        <v>232</v>
      </c>
      <c r="C418" s="310" t="str">
        <f t="shared" si="19"/>
        <v>Textura acrílica aplicação em paredes internas, 1 demão</v>
      </c>
      <c r="D418" s="967" t="s">
        <v>511</v>
      </c>
      <c r="E418" s="993" t="s">
        <v>586</v>
      </c>
      <c r="F418" s="317"/>
      <c r="G418" s="318"/>
      <c r="H418" s="318">
        <f>IF(B418="Serviço",SUMIFS(H419:H488,C419:C488,$C418),IF(B418="Insumo",F418*G418,""))</f>
        <v>6.7440659999999992</v>
      </c>
      <c r="I418" s="318" t="s">
        <v>141</v>
      </c>
    </row>
    <row r="419" spans="1:9" ht="15.75" hidden="1" customHeight="1" outlineLevel="2" x14ac:dyDescent="0.2">
      <c r="A419" s="307">
        <f>COUNTIFS($D$2:$D$488,D419,$B$2:$B$488,B419)</f>
        <v>2</v>
      </c>
      <c r="B419" s="302" t="s">
        <v>587</v>
      </c>
      <c r="C419" s="302" t="str">
        <f t="shared" si="19"/>
        <v>Textura acrílica aplicação em paredes internas, 1 demão</v>
      </c>
      <c r="D419" s="968" t="s">
        <v>702</v>
      </c>
      <c r="E419" s="311" t="s">
        <v>589</v>
      </c>
      <c r="F419" s="314">
        <v>1.1073999999999999</v>
      </c>
      <c r="G419" s="315">
        <v>6.09</v>
      </c>
      <c r="H419" s="315">
        <f>IF(B419="Serviço",SUMIFS(H427:H488,C427:C488,$C419),IF(B419="Insumo",F419*G419,""))</f>
        <v>6.7440659999999992</v>
      </c>
      <c r="I419" s="315"/>
    </row>
    <row r="420" spans="1:9" ht="15.75" hidden="1" customHeight="1" outlineLevel="1" x14ac:dyDescent="0.2">
      <c r="A420" s="307">
        <f>COUNTIFS($D$2:$D$488,D420,$B$2:$B$488,B420)</f>
        <v>1</v>
      </c>
      <c r="B420" s="310" t="s">
        <v>232</v>
      </c>
      <c r="C420" s="310" t="str">
        <f>IF(B420="Serviço",D420,C414)</f>
        <v>Selador acrilico em Teto</v>
      </c>
      <c r="D420" s="967" t="s">
        <v>5325</v>
      </c>
      <c r="E420" s="993" t="s">
        <v>586</v>
      </c>
      <c r="F420" s="317"/>
      <c r="G420" s="318"/>
      <c r="H420" s="318">
        <f>IF(B420="Serviço",SUMIFS(H421:H488,C421:C488,$C420),IF(B420="Insumo",F420*G420,""))</f>
        <v>2.7766666672220004</v>
      </c>
      <c r="I420" s="318" t="s">
        <v>141</v>
      </c>
    </row>
    <row r="421" spans="1:9" ht="15.75" hidden="1" customHeight="1" outlineLevel="2" x14ac:dyDescent="0.2">
      <c r="A421" s="307">
        <f>COUNTIFS($D$2:$D$488,D421,$B$2:$B$488,B421)</f>
        <v>3</v>
      </c>
      <c r="B421" s="302" t="s">
        <v>587</v>
      </c>
      <c r="C421" s="302" t="str">
        <f>IF(B421="Serviço",D421,C420)</f>
        <v>Selador acrilico em Teto</v>
      </c>
      <c r="D421" s="968" t="s">
        <v>701</v>
      </c>
      <c r="E421" s="311" t="s">
        <v>593</v>
      </c>
      <c r="F421" s="314">
        <v>0.1666</v>
      </c>
      <c r="G421" s="315">
        <v>16.666666670000001</v>
      </c>
      <c r="H421" s="315">
        <f>IF(B421="Serviço",SUMIFS(H425:H488,C425:C488,$C421),IF(B421="Insumo",F421*G421,""))</f>
        <v>2.7766666672220004</v>
      </c>
      <c r="I421" s="315"/>
    </row>
    <row r="422" spans="1:9" ht="15.75" hidden="1" customHeight="1" outlineLevel="1" x14ac:dyDescent="0.2">
      <c r="A422" s="307">
        <f>COUNTIFS($D$2:$D$488,D422,$B$2:$B$488,B422)</f>
        <v>1</v>
      </c>
      <c r="B422" s="310" t="s">
        <v>232</v>
      </c>
      <c r="C422" s="310" t="str">
        <f>IF(B422="Serviço",D422,C414)</f>
        <v>Emassamento em Teto, 2 demãos</v>
      </c>
      <c r="D422" s="967" t="s">
        <v>5327</v>
      </c>
      <c r="E422" s="993" t="s">
        <v>586</v>
      </c>
      <c r="F422" s="317"/>
      <c r="G422" s="318"/>
      <c r="H422" s="318">
        <f>IF(B422="Serviço",SUMIFS(H423:H488,C423:C488,$C422),IF(B422="Insumo",F422*G422,""))</f>
        <v>5.7965489999999997</v>
      </c>
      <c r="I422" s="318" t="s">
        <v>141</v>
      </c>
    </row>
    <row r="423" spans="1:9" ht="15.75" hidden="1" customHeight="1" outlineLevel="2" x14ac:dyDescent="0.2">
      <c r="A423" s="307">
        <f>COUNTIFS($D$2:$D$488,D423,$B$2:$B$488,B423)</f>
        <v>2</v>
      </c>
      <c r="B423" s="302" t="s">
        <v>587</v>
      </c>
      <c r="C423" s="302" t="str">
        <f t="shared" ref="C423:C424" si="21">IF(B423="Serviço",D423,C422)</f>
        <v>Emassamento em Teto, 2 demãos</v>
      </c>
      <c r="D423" s="968" t="s">
        <v>594</v>
      </c>
      <c r="E423" s="311" t="s">
        <v>17</v>
      </c>
      <c r="F423" s="314">
        <v>0.1</v>
      </c>
      <c r="G423" s="315">
        <v>1.89</v>
      </c>
      <c r="H423" s="315">
        <f>IF(B423="Serviço",SUMIFS(H424:H488,C424:C488,$C423),IF(B423="Insumo",F423*G423,""))</f>
        <v>0.189</v>
      </c>
      <c r="I423" s="315"/>
    </row>
    <row r="424" spans="1:9" ht="15.75" hidden="1" customHeight="1" outlineLevel="2" x14ac:dyDescent="0.2">
      <c r="A424" s="307">
        <f>COUNTIFS($D$2:$D$488,D424,$B$2:$B$488,B424)</f>
        <v>2</v>
      </c>
      <c r="B424" s="302" t="s">
        <v>587</v>
      </c>
      <c r="C424" s="302" t="str">
        <f t="shared" si="21"/>
        <v>Emassamento em Teto, 2 demãos</v>
      </c>
      <c r="D424" s="968" t="s">
        <v>700</v>
      </c>
      <c r="E424" s="311" t="s">
        <v>589</v>
      </c>
      <c r="F424" s="314">
        <v>0.86670000000000003</v>
      </c>
      <c r="G424" s="315">
        <v>6.47</v>
      </c>
      <c r="H424" s="315">
        <f>IF(B424="Serviço",SUMIFS(H425:H488,C425:C488,$C424),IF(B424="Insumo",F424*G424,""))</f>
        <v>5.6075489999999997</v>
      </c>
      <c r="I424" s="315"/>
    </row>
    <row r="425" spans="1:9" ht="15.75" hidden="1" customHeight="1" outlineLevel="1" x14ac:dyDescent="0.2">
      <c r="A425" s="307">
        <f>COUNTIFS($D$2:$D$488,D425,$B$2:$B$488,B425)</f>
        <v>1</v>
      </c>
      <c r="B425" s="310" t="s">
        <v>232</v>
      </c>
      <c r="C425" s="310" t="str">
        <f>IF(B425="Serviço",D425,C419)</f>
        <v>Textura acrílica aplicação em tetos, 1 demão</v>
      </c>
      <c r="D425" s="967" t="s">
        <v>513</v>
      </c>
      <c r="E425" s="993" t="s">
        <v>586</v>
      </c>
      <c r="F425" s="317"/>
      <c r="G425" s="318"/>
      <c r="H425" s="318">
        <f>IF(B425="Serviço",SUMIFS(H426:H488,C426:C488,$C425),IF(B425="Insumo",F425*G425,""))</f>
        <v>6.7440659999999992</v>
      </c>
      <c r="I425" s="318" t="s">
        <v>141</v>
      </c>
    </row>
    <row r="426" spans="1:9" ht="15.75" hidden="1" customHeight="1" outlineLevel="2" x14ac:dyDescent="0.2">
      <c r="A426" s="307">
        <f>COUNTIFS($D$2:$D$488,D426,$B$2:$B$488,B426)</f>
        <v>2</v>
      </c>
      <c r="B426" s="302" t="s">
        <v>587</v>
      </c>
      <c r="C426" s="302" t="str">
        <f t="shared" si="19"/>
        <v>Textura acrílica aplicação em tetos, 1 demão</v>
      </c>
      <c r="D426" s="968" t="s">
        <v>702</v>
      </c>
      <c r="E426" s="311" t="s">
        <v>589</v>
      </c>
      <c r="F426" s="314">
        <v>1.1073999999999999</v>
      </c>
      <c r="G426" s="315">
        <v>6.09</v>
      </c>
      <c r="H426" s="315">
        <f>IF(B426="Serviço",SUMIFS(H427:H488,C427:C488,$C426),IF(B426="Insumo",F426*G426,""))</f>
        <v>6.7440659999999992</v>
      </c>
      <c r="I426" s="315"/>
    </row>
    <row r="427" spans="1:9" ht="15.75" hidden="1" customHeight="1" outlineLevel="1" x14ac:dyDescent="0.2">
      <c r="A427" s="307">
        <f>COUNTIFS($D$2:$D$488,D427,$B$2:$B$488,B427)</f>
        <v>1</v>
      </c>
      <c r="B427" s="310" t="s">
        <v>232</v>
      </c>
      <c r="C427" s="310" t="str">
        <f>IF(B427="Serviço",D427,#REF!)</f>
        <v>Pintura em teto com tinta látex acrílica, 3 demãos</v>
      </c>
      <c r="D427" s="967" t="s">
        <v>5326</v>
      </c>
      <c r="E427" s="993" t="s">
        <v>586</v>
      </c>
      <c r="F427" s="317"/>
      <c r="G427" s="318"/>
      <c r="H427" s="318">
        <f>IF(B427="Serviço",SUMIFS(H428:H488,C428:C488,$C427),IF(B427="Insumo",F427*G427,""))</f>
        <v>13.61745</v>
      </c>
      <c r="I427" s="318" t="s">
        <v>141</v>
      </c>
    </row>
    <row r="428" spans="1:9" ht="15.75" hidden="1" customHeight="1" outlineLevel="2" x14ac:dyDescent="0.2">
      <c r="A428" s="307">
        <f>COUNTIFS($D$2:$D$488,D428,$B$2:$B$488,B428)</f>
        <v>3</v>
      </c>
      <c r="B428" s="302" t="s">
        <v>587</v>
      </c>
      <c r="C428" s="302" t="str">
        <f>IF(B428="Serviço",D428,C427)</f>
        <v>Pintura em teto com tinta látex acrílica, 3 demãos</v>
      </c>
      <c r="D428" s="968" t="s">
        <v>699</v>
      </c>
      <c r="E428" s="311" t="s">
        <v>593</v>
      </c>
      <c r="F428" s="314">
        <v>0.495</v>
      </c>
      <c r="G428" s="315">
        <v>27.51</v>
      </c>
      <c r="H428" s="315">
        <f>IF(B428="Serviço",SUMIFS(H429:H488,C429:C488,$C428),IF(B428="Insumo",F428*G428,""))</f>
        <v>13.61745</v>
      </c>
      <c r="I428" s="315"/>
    </row>
    <row r="429" spans="1:9" ht="15.75" customHeight="1" collapsed="1" x14ac:dyDescent="0.2">
      <c r="A429" s="307">
        <f>COUNTIFS($D$2:$D$488,D429,$B$2:$B$488,B429)</f>
        <v>1</v>
      </c>
      <c r="B429" s="307" t="s">
        <v>230</v>
      </c>
      <c r="C429" s="307" t="str">
        <f>IF(B429="Serviço",D429,C428)</f>
        <v>Pintura em teto com tinta látex acrílica, 3 demãos</v>
      </c>
      <c r="D429" s="307" t="s">
        <v>704</v>
      </c>
      <c r="E429" s="308"/>
      <c r="F429" s="319"/>
      <c r="G429" s="309"/>
      <c r="H429" s="309" t="str">
        <f>IF(B429="Serviço",SUMIFS(H430:H488,C430:C488,$C429),IF(B429="Insumo",F429*G429,""))</f>
        <v/>
      </c>
      <c r="I429" s="309"/>
    </row>
    <row r="430" spans="1:9" ht="15.75" hidden="1" customHeight="1" outlineLevel="1" x14ac:dyDescent="0.2">
      <c r="A430" s="307">
        <f>COUNTIFS($D$2:$D$488,D430,$B$2:$B$488,B430)</f>
        <v>1</v>
      </c>
      <c r="B430" s="310" t="s">
        <v>232</v>
      </c>
      <c r="C430" s="310" t="str">
        <f>IF(B430="Serviço",D430,#REF!)</f>
        <v xml:space="preserve">Chapisco externo de argamassa estabilizada projetada, em alvenaria, Estrutura Externas </v>
      </c>
      <c r="D430" s="967" t="s">
        <v>555</v>
      </c>
      <c r="E430" s="993" t="s">
        <v>586</v>
      </c>
      <c r="F430" s="317"/>
      <c r="G430" s="318" t="s">
        <v>640</v>
      </c>
      <c r="H430" s="318">
        <v>4</v>
      </c>
      <c r="I430" s="318"/>
    </row>
    <row r="431" spans="1:9" ht="15.75" hidden="1" customHeight="1" outlineLevel="2" x14ac:dyDescent="0.2">
      <c r="A431" s="307">
        <f>COUNTIFS($D$2:$D$488,D431,$B$2:$B$488,B431)</f>
        <v>2</v>
      </c>
      <c r="B431" s="302" t="s">
        <v>587</v>
      </c>
      <c r="C431" s="302" t="str">
        <f>IF(B431="Serviço",D431,C430)</f>
        <v xml:space="preserve">Chapisco externo de argamassa estabilizada projetada, em alvenaria, Estrutura Externas </v>
      </c>
      <c r="D431" s="968" t="s">
        <v>665</v>
      </c>
      <c r="E431" s="311" t="s">
        <v>589</v>
      </c>
      <c r="F431" s="314">
        <v>5</v>
      </c>
      <c r="G431" s="315">
        <v>0.8</v>
      </c>
      <c r="H431" s="315">
        <f>IF(B431="Serviço",SUMIFS(H438:H489,C438:C489,$C431),IF(B431="Insumo",F431*G431,""))</f>
        <v>4</v>
      </c>
      <c r="I431" s="315"/>
    </row>
    <row r="432" spans="1:9" ht="15.75" hidden="1" customHeight="1" outlineLevel="1" x14ac:dyDescent="0.2">
      <c r="A432" s="307">
        <f>COUNTIFS($D$2:$D$488,D432,$B$2:$B$488,B432)</f>
        <v>1</v>
      </c>
      <c r="B432" s="302" t="s">
        <v>232</v>
      </c>
      <c r="C432" s="302" t="str">
        <f>IF(B432="Serviço",D432,#REF!)</f>
        <v>Tratamento em fachada concreto aparente</v>
      </c>
      <c r="D432" s="302" t="s">
        <v>563</v>
      </c>
      <c r="E432" s="311" t="s">
        <v>586</v>
      </c>
      <c r="F432" s="312"/>
      <c r="G432" s="313"/>
      <c r="H432" s="313">
        <f>IF(B432="Serviço",SUMIFS(H433:H488,C433:C488,$C432),IF(B432="Insumo",F432*G432,""))</f>
        <v>5.1029166664999996</v>
      </c>
      <c r="I432" s="313" t="s">
        <v>141</v>
      </c>
    </row>
    <row r="433" spans="1:9" ht="15.75" hidden="1" customHeight="1" outlineLevel="2" x14ac:dyDescent="0.2">
      <c r="A433" s="307">
        <f>COUNTIFS($D$2:$D$488,D433,$B$2:$B$488,B433)</f>
        <v>11</v>
      </c>
      <c r="B433" s="302" t="s">
        <v>587</v>
      </c>
      <c r="C433" s="302" t="str">
        <f t="shared" ref="C433:C436" si="22">IF(B433="Serviço",D433,C432)</f>
        <v>Tratamento em fachada concreto aparente</v>
      </c>
      <c r="D433" s="302" t="s">
        <v>618</v>
      </c>
      <c r="E433" s="311" t="s">
        <v>589</v>
      </c>
      <c r="F433" s="314">
        <v>0.6</v>
      </c>
      <c r="G433" s="315">
        <v>0.76</v>
      </c>
      <c r="H433" s="315">
        <f>IF(B433="Serviço",SUMIFS(H434:H488,C434:C488,$C433),IF(B433="Insumo",F433*G433,""))</f>
        <v>0.45599999999999996</v>
      </c>
      <c r="I433" s="315"/>
    </row>
    <row r="434" spans="1:9" ht="15.75" hidden="1" customHeight="1" outlineLevel="2" x14ac:dyDescent="0.2">
      <c r="A434" s="307">
        <f>COUNTIFS($D$2:$D$488,D434,$B$2:$B$488,B434)</f>
        <v>3</v>
      </c>
      <c r="B434" s="302" t="s">
        <v>587</v>
      </c>
      <c r="C434" s="302" t="str">
        <f t="shared" si="22"/>
        <v>Tratamento em fachada concreto aparente</v>
      </c>
      <c r="D434" s="302" t="s">
        <v>667</v>
      </c>
      <c r="E434" s="311" t="s">
        <v>17</v>
      </c>
      <c r="F434" s="314">
        <v>0.05</v>
      </c>
      <c r="G434" s="315">
        <v>3.13</v>
      </c>
      <c r="H434" s="315">
        <f>IF(B434="Serviço",SUMIFS(H435:H488,C435:C488,$C434),IF(B434="Insumo",F434*G434,""))</f>
        <v>0.1565</v>
      </c>
      <c r="I434" s="315"/>
    </row>
    <row r="435" spans="1:9" ht="15.75" hidden="1" customHeight="1" outlineLevel="2" x14ac:dyDescent="0.2">
      <c r="A435" s="307">
        <f>COUNTIFS($D$2:$D$488,D435,$B$2:$B$488,B435)</f>
        <v>3</v>
      </c>
      <c r="B435" s="302" t="s">
        <v>587</v>
      </c>
      <c r="C435" s="302" t="str">
        <f t="shared" si="22"/>
        <v>Tratamento em fachada concreto aparente</v>
      </c>
      <c r="D435" s="302" t="s">
        <v>668</v>
      </c>
      <c r="E435" s="311" t="s">
        <v>589</v>
      </c>
      <c r="F435" s="314">
        <v>0.3</v>
      </c>
      <c r="G435" s="315">
        <v>3.49</v>
      </c>
      <c r="H435" s="315">
        <f>IF(B435="Serviço",SUMIFS(H436:H488,C436:C488,$C435),IF(B435="Insumo",F435*G435,""))</f>
        <v>1.0469999999999999</v>
      </c>
      <c r="I435" s="315"/>
    </row>
    <row r="436" spans="1:9" ht="15.75" hidden="1" customHeight="1" outlineLevel="2" x14ac:dyDescent="0.2">
      <c r="A436" s="307">
        <f>COUNTIFS($D$2:$D$488,D436,$B$2:$B$488,B436)</f>
        <v>3</v>
      </c>
      <c r="B436" s="302" t="s">
        <v>587</v>
      </c>
      <c r="C436" s="302" t="str">
        <f t="shared" si="22"/>
        <v>Tratamento em fachada concreto aparente</v>
      </c>
      <c r="D436" s="302" t="s">
        <v>669</v>
      </c>
      <c r="E436" s="311" t="s">
        <v>589</v>
      </c>
      <c r="F436" s="314">
        <v>0.15</v>
      </c>
      <c r="G436" s="315">
        <v>22.956111109999998</v>
      </c>
      <c r="H436" s="315">
        <f>IF(B436="Serviço",SUMIFS(H438:H488,C438:C488,$C436),IF(B436="Insumo",F436*G436,""))</f>
        <v>3.4434166664999997</v>
      </c>
      <c r="I436" s="315"/>
    </row>
    <row r="437" spans="1:9" ht="15.75" hidden="1" customHeight="1" outlineLevel="2" x14ac:dyDescent="0.2">
      <c r="A437" s="307">
        <f>COUNTIFS($D$2:$D$488,D437,$B$2:$B$488,B437)</f>
        <v>1</v>
      </c>
      <c r="B437" s="302" t="s">
        <v>587</v>
      </c>
      <c r="C437" s="302" t="str">
        <f t="shared" ref="C437" si="23">IF(B437="Serviço",D437,C436)</f>
        <v>Tratamento em fachada concreto aparente</v>
      </c>
      <c r="D437" s="968" t="s">
        <v>5390</v>
      </c>
      <c r="E437" s="972" t="s">
        <v>593</v>
      </c>
      <c r="F437" s="314"/>
      <c r="G437" s="315"/>
      <c r="H437" s="315">
        <f>IF(B437="Serviço",SUMIFS(H438:H488,C438:C488,$C437),IF(B437="Insumo",F437*G437,""))</f>
        <v>0</v>
      </c>
      <c r="I437" s="315"/>
    </row>
    <row r="438" spans="1:9" ht="15.75" hidden="1" customHeight="1" outlineLevel="1" x14ac:dyDescent="0.2">
      <c r="A438" s="307"/>
      <c r="B438" s="310" t="s">
        <v>232</v>
      </c>
      <c r="C438" s="310" t="str">
        <f>IF(B438="Serviço",D438,#REF!)</f>
        <v>Fundo selador latex acrilico em paredes externas - 1 demao</v>
      </c>
      <c r="D438" s="967" t="s">
        <v>559</v>
      </c>
      <c r="E438" s="993" t="s">
        <v>586</v>
      </c>
      <c r="F438" s="317"/>
      <c r="G438" s="318" t="s">
        <v>640</v>
      </c>
      <c r="H438" s="318">
        <f>IF(B438="Serviço",SUMIFS(H439:H494,C439:C494,$C438),IF(B438="Insumo",F438*G438,""))</f>
        <v>2.7766666666666668</v>
      </c>
      <c r="I438" s="318"/>
    </row>
    <row r="439" spans="1:9" ht="15.75" hidden="1" customHeight="1" outlineLevel="2" x14ac:dyDescent="0.2">
      <c r="A439" s="307">
        <f>COUNTIFS($D$2:$D$488,#REF!,$B$2:$B$488,#REF!)</f>
        <v>0</v>
      </c>
      <c r="B439" s="302" t="s">
        <v>587</v>
      </c>
      <c r="C439" s="302" t="str">
        <f t="shared" ref="C439:C441" si="24">IF(B439="Serviço",D439,C438)</f>
        <v>Fundo selador latex acrilico em paredes externas - 1 demao</v>
      </c>
      <c r="D439" s="968" t="s">
        <v>701</v>
      </c>
      <c r="E439" s="311" t="s">
        <v>593</v>
      </c>
      <c r="F439" s="314">
        <v>0.1666</v>
      </c>
      <c r="G439" s="315">
        <v>16.666666666666668</v>
      </c>
      <c r="H439" s="315">
        <f>IF(B439="Serviço",SUMIFS(H440:H495,C440:C495,$C439),IF(B439="Insumo",F439*G439,""))</f>
        <v>2.7766666666666668</v>
      </c>
      <c r="I439" s="315"/>
    </row>
    <row r="440" spans="1:9" ht="15.75" hidden="1" customHeight="1" outlineLevel="1" x14ac:dyDescent="0.2">
      <c r="A440" s="307"/>
      <c r="B440" s="310" t="s">
        <v>232</v>
      </c>
      <c r="C440" s="310" t="str">
        <f t="shared" si="24"/>
        <v>Acabamento em ACM para Fachadas - Material e mão de obra</v>
      </c>
      <c r="D440" s="967" t="s">
        <v>562</v>
      </c>
      <c r="E440" s="993" t="s">
        <v>586</v>
      </c>
      <c r="F440" s="317"/>
      <c r="G440" s="318" t="s">
        <v>640</v>
      </c>
      <c r="H440" s="318">
        <f>IF(B440="Serviço",SUMIFS(H441:H496,C441:C496,$C440),IF(B440="Insumo",F440*G440,""))</f>
        <v>1200</v>
      </c>
      <c r="I440" s="318"/>
    </row>
    <row r="441" spans="1:9" ht="15.75" hidden="1" customHeight="1" outlineLevel="2" x14ac:dyDescent="0.2">
      <c r="A441" s="307"/>
      <c r="B441" s="302" t="s">
        <v>587</v>
      </c>
      <c r="C441" s="302" t="str">
        <f t="shared" si="24"/>
        <v>Acabamento em ACM para Fachadas - Material e mão de obra</v>
      </c>
      <c r="D441" s="968" t="s">
        <v>562</v>
      </c>
      <c r="E441" s="311" t="s">
        <v>586</v>
      </c>
      <c r="F441" s="314">
        <v>1</v>
      </c>
      <c r="G441" s="315">
        <v>1200</v>
      </c>
      <c r="H441" s="315">
        <f>IF(B441="Serviço",SUMIFS(H442:H497,C442:C497,$C441),IF(B441="Insumo",F441*G441,""))</f>
        <v>1200</v>
      </c>
      <c r="I441" s="315"/>
    </row>
    <row r="442" spans="1:9" ht="15.75" hidden="1" customHeight="1" outlineLevel="1" x14ac:dyDescent="0.2">
      <c r="A442" s="307">
        <f>COUNTIFS($D$2:$D$488,D442,$B$2:$B$488,B442)</f>
        <v>1</v>
      </c>
      <c r="B442" s="310" t="s">
        <v>232</v>
      </c>
      <c r="C442" s="310" t="str">
        <f>IF(B442="Serviço",D442,#REF!)</f>
        <v>Junta de movimentação em emboço</v>
      </c>
      <c r="D442" s="967" t="s">
        <v>557</v>
      </c>
      <c r="E442" s="993" t="s">
        <v>586</v>
      </c>
      <c r="F442" s="317"/>
      <c r="G442" s="318" t="s">
        <v>640</v>
      </c>
      <c r="H442" s="318">
        <f>IF(B442="Serviço",SUMIFS(H443:H498,C443:C498,$C442),IF(B442="Insumo",F442*G442,""))</f>
        <v>3.79</v>
      </c>
      <c r="I442" s="318"/>
    </row>
    <row r="443" spans="1:9" ht="15.75" hidden="1" customHeight="1" outlineLevel="2" x14ac:dyDescent="0.2">
      <c r="A443" s="307">
        <f>COUNTIFS($D$2:$D$488,D443,$B$2:$B$488,B443)</f>
        <v>1</v>
      </c>
      <c r="B443" s="302" t="s">
        <v>587</v>
      </c>
      <c r="C443" s="302" t="str">
        <f t="shared" ref="C443:C444" si="25">IF(B443="Serviço",D443,C442)</f>
        <v>Junta de movimentação em emboço</v>
      </c>
      <c r="D443" s="968" t="s">
        <v>705</v>
      </c>
      <c r="E443" s="311" t="s">
        <v>79</v>
      </c>
      <c r="F443" s="314">
        <v>1</v>
      </c>
      <c r="G443" s="315">
        <v>1.72</v>
      </c>
      <c r="H443" s="315">
        <f>IF(B443="Serviço",SUMIFS(H444:H495,C444:C495,$C443),IF(B443="Insumo",F443*G443,""))</f>
        <v>1.72</v>
      </c>
      <c r="I443" s="315"/>
    </row>
    <row r="444" spans="1:9" ht="15.75" hidden="1" customHeight="1" outlineLevel="2" x14ac:dyDescent="0.2">
      <c r="A444" s="307">
        <f>COUNTIFS($D$2:$D$488,D444,$B$2:$B$488,B444)</f>
        <v>1</v>
      </c>
      <c r="B444" s="302" t="s">
        <v>587</v>
      </c>
      <c r="C444" s="302" t="str">
        <f t="shared" si="25"/>
        <v>Junta de movimentação em emboço</v>
      </c>
      <c r="D444" s="968" t="s">
        <v>706</v>
      </c>
      <c r="E444" s="311" t="s">
        <v>17</v>
      </c>
      <c r="F444" s="314">
        <v>0.1</v>
      </c>
      <c r="G444" s="315">
        <v>20.7</v>
      </c>
      <c r="H444" s="315">
        <f>IF(B444="Serviço",SUMIFS(H445:H496,C445:C496,$C444),IF(B444="Insumo",F444*G444,""))</f>
        <v>2.0699999999999998</v>
      </c>
      <c r="I444" s="315"/>
    </row>
    <row r="445" spans="1:9" ht="15.75" hidden="1" customHeight="1" outlineLevel="1" x14ac:dyDescent="0.2">
      <c r="A445" s="307">
        <f>COUNTIFS($D$2:$D$488,D445,$B$2:$B$488,B445)</f>
        <v>1</v>
      </c>
      <c r="B445" s="310" t="s">
        <v>232</v>
      </c>
      <c r="C445" s="310" t="str">
        <f>IF(B445="Serviço",D445,#REF!)</f>
        <v>Chapisco externo de argamassa pré-fabricada adesiva de cimento colante - aplicação rolada em paredes externas</v>
      </c>
      <c r="D445" s="967" t="s">
        <v>554</v>
      </c>
      <c r="E445" s="993" t="s">
        <v>586</v>
      </c>
      <c r="F445" s="317"/>
      <c r="G445" s="318"/>
      <c r="H445" s="318">
        <f>IF(B445="Serviço",SUMIFS(H446:H532,C446:C532,$C445),IF(B445="Insumo",F445*G445,""))</f>
        <v>12.49845</v>
      </c>
      <c r="I445" s="318" t="s">
        <v>141</v>
      </c>
    </row>
    <row r="446" spans="1:9" ht="15.75" hidden="1" customHeight="1" outlineLevel="2" x14ac:dyDescent="0.2">
      <c r="A446" s="307">
        <f>COUNTIFS($D$2:$D$488,D446,$B$2:$B$488,B446)</f>
        <v>15</v>
      </c>
      <c r="B446" s="302" t="s">
        <v>587</v>
      </c>
      <c r="C446" s="302" t="str">
        <f t="shared" ref="C446:C449" si="26">IF(B446="Serviço",D446,C445)</f>
        <v>Chapisco externo de argamassa pré-fabricada adesiva de cimento colante - aplicação rolada em paredes externas</v>
      </c>
      <c r="D446" s="968" t="s">
        <v>663</v>
      </c>
      <c r="E446" s="311" t="s">
        <v>589</v>
      </c>
      <c r="F446" s="314">
        <v>6.34</v>
      </c>
      <c r="G446" s="315">
        <v>1.44</v>
      </c>
      <c r="H446" s="315">
        <f>IF(B446="Serviço",SUMIFS(H447:H533,C447:C533,$C446),IF(B446="Insumo",F446*G446,""))</f>
        <v>9.1295999999999999</v>
      </c>
      <c r="I446" s="315"/>
    </row>
    <row r="447" spans="1:9" ht="15.75" hidden="1" customHeight="1" outlineLevel="2" x14ac:dyDescent="0.2">
      <c r="A447" s="307">
        <f>COUNTIFS($D$2:$D$488,D447,$B$2:$B$488,B447)</f>
        <v>2</v>
      </c>
      <c r="B447" s="302" t="s">
        <v>587</v>
      </c>
      <c r="C447" s="302" t="str">
        <f t="shared" si="26"/>
        <v>Chapisco externo de argamassa pré-fabricada adesiva de cimento colante - aplicação rolada em paredes externas</v>
      </c>
      <c r="D447" s="968" t="s">
        <v>664</v>
      </c>
      <c r="E447" s="311" t="s">
        <v>589</v>
      </c>
      <c r="F447" s="314">
        <v>0.3</v>
      </c>
      <c r="G447" s="315">
        <v>11.2295</v>
      </c>
      <c r="H447" s="315">
        <f>IF(B447="Serviço",SUMIFS(H448:H534,C448:C534,$C447),IF(B447="Insumo",F447*G447,""))</f>
        <v>3.3688499999999997</v>
      </c>
      <c r="I447" s="315"/>
    </row>
    <row r="448" spans="1:9" ht="15.75" hidden="1" customHeight="1" outlineLevel="1" x14ac:dyDescent="0.2">
      <c r="A448" s="307">
        <f>COUNTIFS($D$2:$D$488,D448,$B$2:$B$488,B448)</f>
        <v>1</v>
      </c>
      <c r="B448" s="310" t="s">
        <v>232</v>
      </c>
      <c r="C448" s="310" t="str">
        <f t="shared" si="26"/>
        <v>Massa unica para reboco externo em Argamassa preparada em central / usinada, espessura de 30mm</v>
      </c>
      <c r="D448" s="967" t="s">
        <v>5335</v>
      </c>
      <c r="E448" s="993" t="s">
        <v>586</v>
      </c>
      <c r="F448" s="317"/>
      <c r="G448" s="318"/>
      <c r="H448" s="318">
        <f>IF(B448="Serviço",SUMIFS(H449:H535,C449:C535,$C448),IF(B448="Insumo",F448*G448,""))</f>
        <v>16.904999999999998</v>
      </c>
      <c r="I448" s="318" t="s">
        <v>141</v>
      </c>
    </row>
    <row r="449" spans="1:9" ht="15.75" hidden="1" customHeight="1" outlineLevel="2" x14ac:dyDescent="0.2">
      <c r="A449" s="307">
        <f>COUNTIFS($D$2:$D$488,D449,$B$2:$B$488,B449)</f>
        <v>5</v>
      </c>
      <c r="B449" s="302" t="s">
        <v>587</v>
      </c>
      <c r="C449" s="302" t="str">
        <f t="shared" si="26"/>
        <v>Massa unica para reboco externo em Argamassa preparada em central / usinada, espessura de 30mm</v>
      </c>
      <c r="D449" s="968" t="s">
        <v>666</v>
      </c>
      <c r="E449" s="311" t="s">
        <v>588</v>
      </c>
      <c r="F449" s="314">
        <f>0.03*1.15</f>
        <v>3.4499999999999996E-2</v>
      </c>
      <c r="G449" s="315">
        <v>490</v>
      </c>
      <c r="H449" s="315">
        <f>IF(B449="Serviço",SUMIFS(H450:H536,C450:C536,$C449),IF(B449="Insumo",F449*G449,""))</f>
        <v>16.904999999999998</v>
      </c>
      <c r="I449" s="315"/>
    </row>
    <row r="450" spans="1:9" ht="15.75" hidden="1" customHeight="1" outlineLevel="1" x14ac:dyDescent="0.2">
      <c r="A450" s="307">
        <f>COUNTIFS($D$2:$D$488,D450,$B$2:$B$488,B450)</f>
        <v>1</v>
      </c>
      <c r="B450" s="310" t="s">
        <v>232</v>
      </c>
      <c r="C450" s="310" t="str">
        <f>IF(B450="Serviço",D450,#REF!)</f>
        <v>Textura acrílica, acabamento granulado, aplicação em paredes externas - 1 demão</v>
      </c>
      <c r="D450" s="967" t="s">
        <v>560</v>
      </c>
      <c r="E450" s="993" t="s">
        <v>586</v>
      </c>
      <c r="F450" s="317"/>
      <c r="G450" s="318"/>
      <c r="H450" s="318">
        <f>IF(B450="Serviço",SUMIFS(H451:H542,C451:C542,$C450),IF(B450="Insumo",F450*G450,""))</f>
        <v>24</v>
      </c>
      <c r="I450" s="318" t="s">
        <v>141</v>
      </c>
    </row>
    <row r="451" spans="1:9" ht="15.75" hidden="1" customHeight="1" outlineLevel="2" x14ac:dyDescent="0.2">
      <c r="A451" s="307">
        <f>COUNTIFS($D$2:$D$488,D451,$B$2:$B$488,B451)</f>
        <v>1</v>
      </c>
      <c r="B451" s="302" t="s">
        <v>587</v>
      </c>
      <c r="C451" s="302" t="str">
        <f>IF(B451="Serviço",D451,C450)</f>
        <v>Textura acrílica, acabamento granulado, aplicação em paredes externas - 1 demão</v>
      </c>
      <c r="D451" s="966" t="s">
        <v>5391</v>
      </c>
      <c r="E451" s="1009" t="s">
        <v>589</v>
      </c>
      <c r="F451" s="1010">
        <v>4</v>
      </c>
      <c r="G451" s="315">
        <v>6</v>
      </c>
      <c r="H451" s="315">
        <f>IF(B451="Serviço",SUMIFS(H452:H545,C452:C545,$C451),IF(B451="Insumo",F451*G451,""))</f>
        <v>24</v>
      </c>
      <c r="I451" s="315"/>
    </row>
    <row r="452" spans="1:9" ht="15.75" customHeight="1" collapsed="1" x14ac:dyDescent="0.2">
      <c r="A452" s="307">
        <f>COUNTIFS($D$2:$D$488,D452,$B$2:$B$488,B452)</f>
        <v>1</v>
      </c>
      <c r="B452" s="307" t="s">
        <v>230</v>
      </c>
      <c r="C452" s="323" t="str">
        <f>IF(B452="Serviço",D452,C451)</f>
        <v>Textura acrílica, acabamento granulado, aplicação em paredes externas - 1 demão</v>
      </c>
      <c r="D452" s="323" t="s">
        <v>725</v>
      </c>
      <c r="E452" s="308"/>
      <c r="F452" s="319"/>
      <c r="G452" s="309"/>
      <c r="H452" s="309" t="str">
        <f>IF(B452="Serviço",SUMIFS(H453:H745,C453:C745,$C452),IF(B452="Insumo",F452*G452,""))</f>
        <v/>
      </c>
      <c r="I452" s="309"/>
    </row>
    <row r="453" spans="1:9" ht="15.75" hidden="1" customHeight="1" outlineLevel="1" x14ac:dyDescent="0.2">
      <c r="A453" s="307">
        <f>COUNTIFS($D$2:$D$488,D453,$B$2:$B$488,B453)</f>
        <v>1</v>
      </c>
      <c r="B453" s="302" t="s">
        <v>232</v>
      </c>
      <c r="C453" s="302" t="str">
        <f t="shared" ref="C453:C480" si="27">IF(B453="Serviço",D453,C452)</f>
        <v>Mão de obra para assentamento de blocos cerâmicos</v>
      </c>
      <c r="D453" s="302" t="s">
        <v>414</v>
      </c>
      <c r="E453" s="311" t="s">
        <v>586</v>
      </c>
      <c r="F453" s="312"/>
      <c r="G453" s="313"/>
      <c r="H453" s="313">
        <f>IF(B453="Serviço",SUMIFS(H454:H746,C454:C746,$C453),IF(B453="Insumo",F453*G453,""))</f>
        <v>40</v>
      </c>
      <c r="I453" s="313" t="s">
        <v>141</v>
      </c>
    </row>
    <row r="454" spans="1:9" ht="15.75" hidden="1" customHeight="1" outlineLevel="1" x14ac:dyDescent="0.2">
      <c r="A454" s="307">
        <f>COUNTIFS($D$2:$D$488,D454,$B$2:$B$488,B454)</f>
        <v>1</v>
      </c>
      <c r="B454" s="310" t="s">
        <v>587</v>
      </c>
      <c r="C454" s="310" t="str">
        <f t="shared" si="27"/>
        <v>Mão de obra para assentamento de blocos cerâmicos</v>
      </c>
      <c r="D454" s="310" t="s">
        <v>414</v>
      </c>
      <c r="E454" s="316" t="s">
        <v>586</v>
      </c>
      <c r="F454" s="321">
        <v>1</v>
      </c>
      <c r="G454" s="322">
        <v>40</v>
      </c>
      <c r="H454" s="322">
        <f>IF(B454="Serviço",SUMIFS(H455:H747,C455:C747,$C454),IF(B454="Insumo",F454*G454,""))</f>
        <v>40</v>
      </c>
      <c r="I454" s="322"/>
    </row>
    <row r="455" spans="1:9" ht="15.75" hidden="1" customHeight="1" outlineLevel="1" x14ac:dyDescent="0.2">
      <c r="A455" s="307">
        <f>COUNTIFS($D$2:$D$488,D455,$B$2:$B$488,B455)</f>
        <v>1</v>
      </c>
      <c r="B455" s="302" t="s">
        <v>232</v>
      </c>
      <c r="C455" s="302" t="str">
        <f>IF(B455="Serviço",D455,#REF!)</f>
        <v xml:space="preserve">Mão de obra para regularização de superfície </v>
      </c>
      <c r="D455" s="302" t="s">
        <v>425</v>
      </c>
      <c r="E455" s="311" t="s">
        <v>586</v>
      </c>
      <c r="F455" s="312"/>
      <c r="G455" s="313"/>
      <c r="H455" s="313">
        <f t="shared" ref="H455:H464" si="28">IF(B455="Serviço",SUMIFS(H456:H756,C456:C756,$C455),IF(B455="Insumo",F455*G455,""))</f>
        <v>20</v>
      </c>
      <c r="I455" s="313" t="s">
        <v>141</v>
      </c>
    </row>
    <row r="456" spans="1:9" ht="15.75" hidden="1" customHeight="1" outlineLevel="1" x14ac:dyDescent="0.2">
      <c r="A456" s="307">
        <f>COUNTIFS($D$2:$D$488,D456,$B$2:$B$488,B456)</f>
        <v>1</v>
      </c>
      <c r="B456" s="310" t="s">
        <v>587</v>
      </c>
      <c r="C456" s="310" t="str">
        <f t="shared" si="27"/>
        <v xml:space="preserve">Mão de obra para regularização de superfície </v>
      </c>
      <c r="D456" s="310" t="s">
        <v>425</v>
      </c>
      <c r="E456" s="316" t="s">
        <v>586</v>
      </c>
      <c r="F456" s="321">
        <v>1</v>
      </c>
      <c r="G456" s="322">
        <v>20</v>
      </c>
      <c r="H456" s="322">
        <f t="shared" si="28"/>
        <v>20</v>
      </c>
      <c r="I456" s="322"/>
    </row>
    <row r="457" spans="1:9" ht="15.75" hidden="1" customHeight="1" outlineLevel="1" x14ac:dyDescent="0.2">
      <c r="A457" s="307">
        <f>COUNTIFS($D$2:$D$488,D457,$B$2:$B$488,B457)</f>
        <v>1</v>
      </c>
      <c r="B457" s="302" t="s">
        <v>232</v>
      </c>
      <c r="C457" s="302" t="str">
        <f t="shared" si="27"/>
        <v>Mão de obra para proteção mecânica</v>
      </c>
      <c r="D457" s="302" t="s">
        <v>426</v>
      </c>
      <c r="E457" s="311" t="s">
        <v>586</v>
      </c>
      <c r="F457" s="324"/>
      <c r="G457" s="313"/>
      <c r="H457" s="313">
        <f t="shared" si="28"/>
        <v>45</v>
      </c>
      <c r="I457" s="313" t="s">
        <v>141</v>
      </c>
    </row>
    <row r="458" spans="1:9" ht="15.75" hidden="1" customHeight="1" outlineLevel="1" x14ac:dyDescent="0.2">
      <c r="A458" s="307">
        <f>COUNTIFS($D$2:$D$488,D458,$B$2:$B$488,B458)</f>
        <v>1</v>
      </c>
      <c r="B458" s="302" t="s">
        <v>587</v>
      </c>
      <c r="C458" s="302" t="str">
        <f t="shared" si="27"/>
        <v>Mão de obra para proteção mecânica</v>
      </c>
      <c r="D458" s="302" t="s">
        <v>426</v>
      </c>
      <c r="E458" s="311" t="s">
        <v>17</v>
      </c>
      <c r="F458" s="314">
        <v>1</v>
      </c>
      <c r="G458" s="315">
        <v>45</v>
      </c>
      <c r="H458" s="315">
        <f t="shared" si="28"/>
        <v>45</v>
      </c>
      <c r="I458" s="315"/>
    </row>
    <row r="459" spans="1:9" ht="15.75" hidden="1" customHeight="1" outlineLevel="1" x14ac:dyDescent="0.2">
      <c r="A459" s="307">
        <f>COUNTIFS($D$2:$D$488,D459,$B$2:$B$488,B459)</f>
        <v>1</v>
      </c>
      <c r="B459" s="302" t="s">
        <v>232</v>
      </c>
      <c r="C459" s="302" t="str">
        <f t="shared" si="27"/>
        <v>Mão de obra impermeabilização de superfície com manta asfáltica</v>
      </c>
      <c r="D459" s="302" t="s">
        <v>428</v>
      </c>
      <c r="E459" s="311" t="s">
        <v>586</v>
      </c>
      <c r="F459" s="324"/>
      <c r="G459" s="313"/>
      <c r="H459" s="313">
        <f t="shared" si="28"/>
        <v>48</v>
      </c>
      <c r="I459" s="313" t="s">
        <v>141</v>
      </c>
    </row>
    <row r="460" spans="1:9" ht="15.75" hidden="1" customHeight="1" outlineLevel="1" x14ac:dyDescent="0.2">
      <c r="A460" s="307">
        <f>COUNTIFS($D$2:$D$488,D460,$B$2:$B$488,B460)</f>
        <v>1</v>
      </c>
      <c r="B460" s="302" t="s">
        <v>587</v>
      </c>
      <c r="C460" s="302" t="str">
        <f t="shared" si="27"/>
        <v>Mão de obra impermeabilização de superfície com manta asfáltica</v>
      </c>
      <c r="D460" s="302" t="s">
        <v>428</v>
      </c>
      <c r="E460" s="311" t="s">
        <v>17</v>
      </c>
      <c r="F460" s="314">
        <v>1</v>
      </c>
      <c r="G460" s="315">
        <v>48</v>
      </c>
      <c r="H460" s="315">
        <f t="shared" si="28"/>
        <v>48</v>
      </c>
      <c r="I460" s="315"/>
    </row>
    <row r="461" spans="1:9" ht="15.75" hidden="1" customHeight="1" outlineLevel="1" x14ac:dyDescent="0.2">
      <c r="A461" s="307">
        <f>COUNTIFS($D$2:$D$488,D461,$B$2:$B$488,B461)</f>
        <v>1</v>
      </c>
      <c r="B461" s="302" t="s">
        <v>232</v>
      </c>
      <c r="C461" s="302" t="str">
        <f t="shared" si="27"/>
        <v>Mão de obra impermeabilização de argamassa polimérica</v>
      </c>
      <c r="D461" s="302" t="s">
        <v>429</v>
      </c>
      <c r="E461" s="311" t="s">
        <v>586</v>
      </c>
      <c r="F461" s="324"/>
      <c r="G461" s="313"/>
      <c r="H461" s="313">
        <f t="shared" si="28"/>
        <v>30</v>
      </c>
      <c r="I461" s="313" t="s">
        <v>141</v>
      </c>
    </row>
    <row r="462" spans="1:9" ht="15.75" hidden="1" customHeight="1" outlineLevel="1" x14ac:dyDescent="0.2">
      <c r="A462" s="307">
        <f>COUNTIFS($D$2:$D$488,D462,$B$2:$B$488,B462)</f>
        <v>1</v>
      </c>
      <c r="B462" s="302" t="s">
        <v>587</v>
      </c>
      <c r="C462" s="302" t="str">
        <f t="shared" si="27"/>
        <v>Mão de obra impermeabilização de argamassa polimérica</v>
      </c>
      <c r="D462" s="302" t="s">
        <v>429</v>
      </c>
      <c r="E462" s="311" t="s">
        <v>17</v>
      </c>
      <c r="F462" s="314">
        <v>1</v>
      </c>
      <c r="G462" s="315">
        <v>30</v>
      </c>
      <c r="H462" s="315">
        <f t="shared" si="28"/>
        <v>30</v>
      </c>
      <c r="I462" s="315"/>
    </row>
    <row r="463" spans="1:9" ht="15.75" hidden="1" customHeight="1" outlineLevel="1" x14ac:dyDescent="0.2">
      <c r="A463" s="307">
        <f>COUNTIFS($D$2:$D$488,D463,$B$2:$B$488,B463)</f>
        <v>1</v>
      </c>
      <c r="B463" s="302" t="s">
        <v>232</v>
      </c>
      <c r="C463" s="302" t="str">
        <f t="shared" si="27"/>
        <v>Mão de obra impermeabilização com emulsão Asfaltica</v>
      </c>
      <c r="D463" s="302" t="s">
        <v>427</v>
      </c>
      <c r="E463" s="311" t="s">
        <v>586</v>
      </c>
      <c r="F463" s="312"/>
      <c r="G463" s="313"/>
      <c r="H463" s="313">
        <f t="shared" si="28"/>
        <v>38.299999999999997</v>
      </c>
      <c r="I463" s="313" t="s">
        <v>141</v>
      </c>
    </row>
    <row r="464" spans="1:9" ht="15.75" hidden="1" customHeight="1" outlineLevel="1" x14ac:dyDescent="0.2">
      <c r="A464" s="307">
        <f>COUNTIFS($D$2:$D$488,D464,$B$2:$B$488,B464)</f>
        <v>1</v>
      </c>
      <c r="B464" s="302" t="s">
        <v>587</v>
      </c>
      <c r="C464" s="302" t="str">
        <f t="shared" si="27"/>
        <v>Mão de obra impermeabilização com emulsão Asfaltica</v>
      </c>
      <c r="D464" s="302" t="s">
        <v>427</v>
      </c>
      <c r="E464" s="311" t="s">
        <v>586</v>
      </c>
      <c r="F464" s="314">
        <v>1</v>
      </c>
      <c r="G464" s="315">
        <v>38.299999999999997</v>
      </c>
      <c r="H464" s="315">
        <f t="shared" si="28"/>
        <v>38.299999999999997</v>
      </c>
      <c r="I464" s="315"/>
    </row>
    <row r="465" spans="1:9" ht="15.75" hidden="1" customHeight="1" outlineLevel="1" x14ac:dyDescent="0.2">
      <c r="A465" s="307">
        <f>COUNTIFS($D$2:$D$488,D465,$B$2:$B$488,B465)</f>
        <v>1</v>
      </c>
      <c r="B465" s="302" t="s">
        <v>232</v>
      </c>
      <c r="C465" s="302" t="str">
        <f>IF(B465="Serviço",D465,#REF!)</f>
        <v>Mão de obra estucamento de paredes</v>
      </c>
      <c r="D465" s="302" t="s">
        <v>487</v>
      </c>
      <c r="E465" s="311" t="s">
        <v>586</v>
      </c>
      <c r="F465" s="324"/>
      <c r="G465" s="313"/>
      <c r="H465" s="313">
        <f>IF(B465="Serviço",SUMIFS(H466:H772,C466:C772,$C465),IF(B465="Insumo",F465*G465,""))</f>
        <v>25</v>
      </c>
      <c r="I465" s="313" t="s">
        <v>141</v>
      </c>
    </row>
    <row r="466" spans="1:9" ht="15.75" hidden="1" customHeight="1" outlineLevel="1" x14ac:dyDescent="0.2">
      <c r="A466" s="307">
        <f>COUNTIFS($D$2:$D$488,D466,$B$2:$B$488,B466)</f>
        <v>1</v>
      </c>
      <c r="B466" s="302" t="s">
        <v>587</v>
      </c>
      <c r="C466" s="302" t="str">
        <f t="shared" si="27"/>
        <v>Mão de obra estucamento de paredes</v>
      </c>
      <c r="D466" s="302" t="s">
        <v>487</v>
      </c>
      <c r="E466" s="311" t="s">
        <v>17</v>
      </c>
      <c r="F466" s="314">
        <v>1</v>
      </c>
      <c r="G466" s="315">
        <v>25</v>
      </c>
      <c r="H466" s="315">
        <f>IF(B466="Serviço",SUMIFS(H467:H773,C467:C773,$C466),IF(B466="Insumo",F466*G466,""))</f>
        <v>25</v>
      </c>
      <c r="I466" s="315"/>
    </row>
    <row r="467" spans="1:9" ht="15.75" hidden="1" customHeight="1" outlineLevel="1" x14ac:dyDescent="0.2">
      <c r="A467" s="307">
        <f>COUNTIFS($D$2:$D$488,D467,$B$2:$B$488,B467)</f>
        <v>1</v>
      </c>
      <c r="B467" s="302" t="s">
        <v>232</v>
      </c>
      <c r="C467" s="302" t="str">
        <f t="shared" si="27"/>
        <v>Mão de obra para assentamento de revestimento cerâmico em parede</v>
      </c>
      <c r="D467" s="302" t="s">
        <v>488</v>
      </c>
      <c r="E467" s="311" t="s">
        <v>586</v>
      </c>
      <c r="F467" s="324"/>
      <c r="G467" s="313"/>
      <c r="H467" s="313">
        <f>IF(B467="Serviço",SUMIFS(H468:H774,C468:C774,$C467),IF(B467="Insumo",F467*G467,""))</f>
        <v>55</v>
      </c>
      <c r="I467" s="313" t="s">
        <v>141</v>
      </c>
    </row>
    <row r="468" spans="1:9" ht="15.75" hidden="1" customHeight="1" outlineLevel="1" x14ac:dyDescent="0.2">
      <c r="A468" s="307">
        <f>COUNTIFS($D$2:$D$488,D468,$B$2:$B$488,B468)</f>
        <v>1</v>
      </c>
      <c r="B468" s="302" t="s">
        <v>587</v>
      </c>
      <c r="C468" s="302" t="str">
        <f t="shared" si="27"/>
        <v>Mão de obra para assentamento de revestimento cerâmico em parede</v>
      </c>
      <c r="D468" s="302" t="s">
        <v>488</v>
      </c>
      <c r="E468" s="311" t="s">
        <v>17</v>
      </c>
      <c r="F468" s="314">
        <v>1</v>
      </c>
      <c r="G468" s="315">
        <v>55</v>
      </c>
      <c r="H468" s="315">
        <f>IF(B468="Serviço",SUMIFS(H469:H775,C469:C775,$C468),IF(B468="Insumo",F468*G468,""))</f>
        <v>55</v>
      </c>
      <c r="I468" s="315"/>
    </row>
    <row r="469" spans="1:9" ht="15.75" hidden="1" customHeight="1" outlineLevel="1" x14ac:dyDescent="0.2">
      <c r="A469" s="307">
        <f>COUNTIFS($D$2:$D$488,D469,$B$2:$B$488,B469)</f>
        <v>1</v>
      </c>
      <c r="B469" s="302" t="s">
        <v>232</v>
      </c>
      <c r="C469" s="302" t="str">
        <f>IF(B469="Serviço",D469,#REF!)</f>
        <v>Mão de obra execução de contrapiso comum e Acústico</v>
      </c>
      <c r="D469" s="302" t="s">
        <v>505</v>
      </c>
      <c r="E469" s="311" t="s">
        <v>586</v>
      </c>
      <c r="F469" s="324"/>
      <c r="G469" s="313"/>
      <c r="H469" s="313">
        <f>IF(B469="Serviço",SUMIFS(H470:H780,C470:C780,$C469),IF(B469="Insumo",F469*G469,""))</f>
        <v>37</v>
      </c>
      <c r="I469" s="313" t="s">
        <v>141</v>
      </c>
    </row>
    <row r="470" spans="1:9" ht="15.75" hidden="1" customHeight="1" outlineLevel="1" x14ac:dyDescent="0.2">
      <c r="A470" s="307">
        <f>COUNTIFS($D$2:$D$488,D470,$B$2:$B$488,B470)</f>
        <v>1</v>
      </c>
      <c r="B470" s="302" t="s">
        <v>587</v>
      </c>
      <c r="C470" s="302" t="str">
        <f t="shared" si="27"/>
        <v>Mão de obra execução de contrapiso comum e Acústico</v>
      </c>
      <c r="D470" s="302" t="s">
        <v>505</v>
      </c>
      <c r="E470" s="311" t="s">
        <v>17</v>
      </c>
      <c r="F470" s="314">
        <v>1</v>
      </c>
      <c r="G470" s="315">
        <v>37</v>
      </c>
      <c r="H470" s="315">
        <f>IF(B470="Serviço",SUMIFS(H471:H781,C471:C781,$C470),IF(B470="Insumo",F470*G470,""))</f>
        <v>37</v>
      </c>
      <c r="I470" s="315"/>
    </row>
    <row r="471" spans="1:9" ht="15.75" hidden="1" customHeight="1" outlineLevel="1" x14ac:dyDescent="0.2">
      <c r="A471" s="307">
        <f>COUNTIFS($D$2:$D$488,D471,$B$2:$B$488,B471)</f>
        <v>1</v>
      </c>
      <c r="B471" s="302" t="s">
        <v>232</v>
      </c>
      <c r="C471" s="302" t="str">
        <f t="shared" si="27"/>
        <v>Mão de Obra Piso Porcenato/ Cerâmico</v>
      </c>
      <c r="D471" s="302" t="s">
        <v>506</v>
      </c>
      <c r="E471" s="311" t="s">
        <v>586</v>
      </c>
      <c r="F471" s="324"/>
      <c r="G471" s="313"/>
      <c r="H471" s="313">
        <f>IF(B471="Serviço",SUMIFS(H472:H782,C472:C782,$C471),IF(B471="Insumo",F471*G471,""))</f>
        <v>48</v>
      </c>
      <c r="I471" s="313" t="s">
        <v>141</v>
      </c>
    </row>
    <row r="472" spans="1:9" ht="15.75" hidden="1" customHeight="1" outlineLevel="1" x14ac:dyDescent="0.2">
      <c r="A472" s="307">
        <f>COUNTIFS($D$2:$D$488,D472,$B$2:$B$488,B472)</f>
        <v>1</v>
      </c>
      <c r="B472" s="302" t="s">
        <v>587</v>
      </c>
      <c r="C472" s="302" t="str">
        <f t="shared" si="27"/>
        <v>Mão de Obra Piso Porcenato/ Cerâmico</v>
      </c>
      <c r="D472" s="302" t="s">
        <v>506</v>
      </c>
      <c r="E472" s="311" t="s">
        <v>17</v>
      </c>
      <c r="F472" s="314">
        <v>1</v>
      </c>
      <c r="G472" s="315">
        <v>48</v>
      </c>
      <c r="H472" s="315">
        <f>IF(B472="Serviço",SUMIFS(H473:H783,C473:C783,$C472),IF(B472="Insumo",F472*G472,""))</f>
        <v>48</v>
      </c>
      <c r="I472" s="315"/>
    </row>
    <row r="473" spans="1:9" ht="15.75" hidden="1" customHeight="1" outlineLevel="1" x14ac:dyDescent="0.2">
      <c r="A473" s="307">
        <f>COUNTIFS($D$2:$D$488,D473,$B$2:$B$488,B473)</f>
        <v>1</v>
      </c>
      <c r="B473" s="302" t="s">
        <v>232</v>
      </c>
      <c r="C473" s="302" t="str">
        <f>IF(B473="Serviço",D473,#REF!)</f>
        <v>Mão de obra de rodapé Poliestireno</v>
      </c>
      <c r="D473" s="302" t="s">
        <v>726</v>
      </c>
      <c r="E473" s="311" t="s">
        <v>586</v>
      </c>
      <c r="F473" s="324"/>
      <c r="G473" s="313"/>
      <c r="H473" s="313">
        <f>IF(B473="Serviço",SUMIFS(H474:H786,C474:C786,$C473),IF(B473="Insumo",F473*G473,""))</f>
        <v>22</v>
      </c>
      <c r="I473" s="313" t="s">
        <v>141</v>
      </c>
    </row>
    <row r="474" spans="1:9" ht="15.75" hidden="1" customHeight="1" outlineLevel="1" x14ac:dyDescent="0.2">
      <c r="A474" s="307">
        <f>COUNTIFS($D$2:$D$488,D474,$B$2:$B$488,B474)</f>
        <v>1</v>
      </c>
      <c r="B474" s="310" t="s">
        <v>587</v>
      </c>
      <c r="C474" s="310" t="str">
        <f t="shared" si="27"/>
        <v>Mão de obra de rodapé Poliestireno</v>
      </c>
      <c r="D474" s="310" t="s">
        <v>726</v>
      </c>
      <c r="E474" s="316" t="s">
        <v>17</v>
      </c>
      <c r="F474" s="321">
        <v>1</v>
      </c>
      <c r="G474" s="322">
        <v>22</v>
      </c>
      <c r="H474" s="322">
        <f>IF(B474="Serviço",SUMIFS(H475:H787,C475:C787,$C474),IF(B474="Insumo",F474*G474,""))</f>
        <v>22</v>
      </c>
      <c r="I474" s="322"/>
    </row>
    <row r="475" spans="1:9" ht="15.75" hidden="1" customHeight="1" outlineLevel="1" x14ac:dyDescent="0.2">
      <c r="A475" s="307">
        <f>COUNTIFS($D$2:$D$488,D475,$B$2:$B$488,B475)</f>
        <v>1</v>
      </c>
      <c r="B475" s="302" t="s">
        <v>232</v>
      </c>
      <c r="C475" s="302" t="str">
        <f t="shared" si="27"/>
        <v>Mão de obra de rodapé Porcelanato</v>
      </c>
      <c r="D475" s="302" t="s">
        <v>727</v>
      </c>
      <c r="E475" s="311" t="s">
        <v>586</v>
      </c>
      <c r="F475" s="324"/>
      <c r="G475" s="313"/>
      <c r="H475" s="313">
        <f>IF(B475="Serviço",SUMIFS(H476:H788,C476:C788,$C475),IF(B475="Insumo",F475*G475,""))</f>
        <v>22</v>
      </c>
      <c r="I475" s="313" t="s">
        <v>141</v>
      </c>
    </row>
    <row r="476" spans="1:9" ht="15.75" hidden="1" customHeight="1" outlineLevel="1" x14ac:dyDescent="0.2">
      <c r="A476" s="307">
        <f>COUNTIFS($D$2:$D$488,D476,$B$2:$B$488,B476)</f>
        <v>1</v>
      </c>
      <c r="B476" s="302" t="s">
        <v>587</v>
      </c>
      <c r="C476" s="302" t="str">
        <f t="shared" si="27"/>
        <v>Mão de obra de rodapé Porcelanato</v>
      </c>
      <c r="D476" s="302" t="s">
        <v>727</v>
      </c>
      <c r="E476" s="311" t="s">
        <v>17</v>
      </c>
      <c r="F476" s="314">
        <v>1</v>
      </c>
      <c r="G476" s="315">
        <v>22</v>
      </c>
      <c r="H476" s="315">
        <f>IF(B476="Serviço",SUMIFS(H477:H789,C477:C789,$C476),IF(B476="Insumo",F476*G476,""))</f>
        <v>22</v>
      </c>
      <c r="I476" s="315"/>
    </row>
    <row r="477" spans="1:9" ht="15.75" hidden="1" customHeight="1" outlineLevel="1" x14ac:dyDescent="0.2">
      <c r="A477" s="307">
        <f>COUNTIFS($D$2:$D$488,D477,$B$2:$B$488,B477)</f>
        <v>1</v>
      </c>
      <c r="B477" s="302" t="s">
        <v>232</v>
      </c>
      <c r="C477" s="302" t="str">
        <f>IF(B477="Serviço",D477,#REF!)</f>
        <v>Mão de obra para pintura acrílica em paredes internas, 3 demãos</v>
      </c>
      <c r="D477" s="302" t="s">
        <v>515</v>
      </c>
      <c r="E477" s="311" t="s">
        <v>586</v>
      </c>
      <c r="F477" s="324"/>
      <c r="G477" s="313"/>
      <c r="H477" s="313">
        <f t="shared" ref="H477:H482" si="29">IF(B477="Serviço",SUMIFS(H478:H794,C478:C794,$C477),IF(B477="Insumo",F477*G477,""))</f>
        <v>34</v>
      </c>
      <c r="I477" s="313" t="s">
        <v>141</v>
      </c>
    </row>
    <row r="478" spans="1:9" ht="15.75" hidden="1" customHeight="1" outlineLevel="1" x14ac:dyDescent="0.2">
      <c r="A478" s="307">
        <f>COUNTIFS($D$2:$D$488,D478,$B$2:$B$488,B478)</f>
        <v>1</v>
      </c>
      <c r="B478" s="302" t="s">
        <v>587</v>
      </c>
      <c r="C478" s="302" t="str">
        <f t="shared" si="27"/>
        <v>Mão de obra para pintura acrílica em paredes internas, 3 demãos</v>
      </c>
      <c r="D478" s="302" t="s">
        <v>515</v>
      </c>
      <c r="E478" s="311" t="s">
        <v>17</v>
      </c>
      <c r="F478" s="314">
        <v>1</v>
      </c>
      <c r="G478" s="315">
        <v>34</v>
      </c>
      <c r="H478" s="315">
        <f t="shared" si="29"/>
        <v>34</v>
      </c>
      <c r="I478" s="315"/>
    </row>
    <row r="479" spans="1:9" ht="15.75" hidden="1" customHeight="1" outlineLevel="1" x14ac:dyDescent="0.2">
      <c r="A479" s="307">
        <f>COUNTIFS($D$2:$D$488,D479,$B$2:$B$488,B479)</f>
        <v>1</v>
      </c>
      <c r="B479" s="302" t="s">
        <v>232</v>
      </c>
      <c r="C479" s="302" t="str">
        <f t="shared" si="27"/>
        <v>Mão de obra para pintura acrílica em teto, 3 demãos</v>
      </c>
      <c r="D479" s="302" t="s">
        <v>517</v>
      </c>
      <c r="E479" s="311" t="s">
        <v>586</v>
      </c>
      <c r="F479" s="324"/>
      <c r="G479" s="313"/>
      <c r="H479" s="313">
        <f t="shared" si="29"/>
        <v>32</v>
      </c>
      <c r="I479" s="313" t="s">
        <v>141</v>
      </c>
    </row>
    <row r="480" spans="1:9" ht="15.75" hidden="1" customHeight="1" outlineLevel="1" x14ac:dyDescent="0.2">
      <c r="A480" s="307">
        <f>COUNTIFS($D$2:$D$488,D480,$B$2:$B$488,B480)</f>
        <v>1</v>
      </c>
      <c r="B480" s="310" t="s">
        <v>587</v>
      </c>
      <c r="C480" s="310" t="str">
        <f t="shared" si="27"/>
        <v>Mão de obra para pintura acrílica em teto, 3 demãos</v>
      </c>
      <c r="D480" s="310" t="s">
        <v>517</v>
      </c>
      <c r="E480" s="316" t="s">
        <v>17</v>
      </c>
      <c r="F480" s="321">
        <v>1</v>
      </c>
      <c r="G480" s="322">
        <v>32</v>
      </c>
      <c r="H480" s="322">
        <f t="shared" si="29"/>
        <v>32</v>
      </c>
      <c r="I480" s="322"/>
    </row>
    <row r="481" spans="1:25" ht="15.75" hidden="1" customHeight="1" outlineLevel="1" x14ac:dyDescent="0.2">
      <c r="A481" s="307">
        <f>COUNTIFS($D$2:$D$488,D481,$B$2:$B$488,B481)</f>
        <v>1</v>
      </c>
      <c r="B481" s="302" t="s">
        <v>232</v>
      </c>
      <c r="C481" s="302" t="str">
        <f t="shared" ref="C481:C488" si="30">IF(B481="Serviço",D481,C480)</f>
        <v>Mão de obra para instalação de portas de madeira</v>
      </c>
      <c r="D481" s="302" t="s">
        <v>539</v>
      </c>
      <c r="E481" s="311" t="s">
        <v>586</v>
      </c>
      <c r="F481" s="324"/>
      <c r="G481" s="313"/>
      <c r="H481" s="313">
        <f t="shared" si="29"/>
        <v>300</v>
      </c>
      <c r="I481" s="313" t="s">
        <v>141</v>
      </c>
    </row>
    <row r="482" spans="1:25" ht="15.75" hidden="1" customHeight="1" outlineLevel="1" x14ac:dyDescent="0.2">
      <c r="A482" s="307">
        <f>COUNTIFS($D$2:$D$488,D482,$B$2:$B$488,B482)</f>
        <v>1</v>
      </c>
      <c r="B482" s="302" t="s">
        <v>587</v>
      </c>
      <c r="C482" s="302" t="str">
        <f t="shared" si="30"/>
        <v>Mão de obra para instalação de portas de madeira</v>
      </c>
      <c r="D482" s="302" t="s">
        <v>539</v>
      </c>
      <c r="E482" s="311" t="s">
        <v>17</v>
      </c>
      <c r="F482" s="314">
        <v>1</v>
      </c>
      <c r="G482" s="315">
        <v>300</v>
      </c>
      <c r="H482" s="315">
        <f t="shared" si="29"/>
        <v>300</v>
      </c>
      <c r="I482" s="315"/>
    </row>
    <row r="483" spans="1:25" ht="15.75" hidden="1" customHeight="1" outlineLevel="1" x14ac:dyDescent="0.2">
      <c r="A483" s="307">
        <f>COUNTIFS($D$2:$D$488,D483,$B$2:$B$488,B483)</f>
        <v>1</v>
      </c>
      <c r="B483" s="302" t="s">
        <v>232</v>
      </c>
      <c r="C483" s="302" t="str">
        <f>IF(B483="Serviço",D483,#REF!)</f>
        <v>Mao de obra para reboco externo - inclui chapisco</v>
      </c>
      <c r="D483" s="302" t="s">
        <v>564</v>
      </c>
      <c r="E483" s="311" t="s">
        <v>586</v>
      </c>
      <c r="F483" s="324"/>
      <c r="G483" s="313"/>
      <c r="H483" s="313">
        <f>IF(B483="Serviço",SUMIFS(H484:H802,C484:C802,$C483),IF(B483="Insumo",F483*G483,""))</f>
        <v>58</v>
      </c>
      <c r="I483" s="313" t="s">
        <v>141</v>
      </c>
    </row>
    <row r="484" spans="1:25" ht="15.75" hidden="1" customHeight="1" outlineLevel="1" x14ac:dyDescent="0.2">
      <c r="A484" s="307">
        <f>COUNTIFS($D$2:$D$488,D484,$B$2:$B$488,B484)</f>
        <v>1</v>
      </c>
      <c r="B484" s="302" t="s">
        <v>587</v>
      </c>
      <c r="C484" s="302" t="str">
        <f t="shared" si="30"/>
        <v>Mao de obra para reboco externo - inclui chapisco</v>
      </c>
      <c r="D484" s="302" t="s">
        <v>564</v>
      </c>
      <c r="E484" s="311" t="s">
        <v>17</v>
      </c>
      <c r="F484" s="314">
        <v>1</v>
      </c>
      <c r="G484" s="315">
        <v>58</v>
      </c>
      <c r="H484" s="315">
        <f>IF(B484="Serviço",SUMIFS(H485:H803,C485:C803,$C484),IF(B484="Insumo",F484*G484,""))</f>
        <v>58</v>
      </c>
      <c r="I484" s="315"/>
    </row>
    <row r="485" spans="1:25" ht="15.75" hidden="1" customHeight="1" outlineLevel="1" x14ac:dyDescent="0.2">
      <c r="A485" s="307">
        <f>COUNTIFS($D$2:$D$488,D485,$B$2:$B$488,B485)</f>
        <v>1</v>
      </c>
      <c r="B485" s="302" t="s">
        <v>232</v>
      </c>
      <c r="C485" s="302" t="str">
        <f>IF(B485="Serviço",D485,#REF!)</f>
        <v>Mão de obra para aplicação de textura em paredes internas - 1 demão</v>
      </c>
      <c r="D485" s="302" t="s">
        <v>516</v>
      </c>
      <c r="E485" s="311" t="s">
        <v>586</v>
      </c>
      <c r="F485" s="314"/>
      <c r="G485" s="315"/>
      <c r="H485" s="313">
        <f>IF(B485="Serviço",SUMIFS(H486:H808,C486:C808,$C485),IF(B485="Insumo",F485*G485,""))</f>
        <v>42</v>
      </c>
      <c r="I485" s="315"/>
    </row>
    <row r="486" spans="1:25" ht="15.75" hidden="1" customHeight="1" outlineLevel="1" x14ac:dyDescent="0.2">
      <c r="A486" s="307">
        <f>COUNTIFS($D$2:$D$488,D486,$B$2:$B$488,B486)</f>
        <v>1</v>
      </c>
      <c r="B486" s="302" t="s">
        <v>587</v>
      </c>
      <c r="C486" s="302" t="str">
        <f t="shared" si="30"/>
        <v>Mão de obra para aplicação de textura em paredes internas - 1 demão</v>
      </c>
      <c r="D486" s="302" t="s">
        <v>516</v>
      </c>
      <c r="E486" s="311" t="s">
        <v>17</v>
      </c>
      <c r="F486" s="314">
        <v>1</v>
      </c>
      <c r="G486" s="315">
        <v>42</v>
      </c>
      <c r="H486" s="315">
        <f>IF(B486="Serviço",SUMIFS(H489:H809,C489:C809,$C486),IF(B486="Insumo",F486*G486,""))</f>
        <v>42</v>
      </c>
      <c r="I486" s="315"/>
    </row>
    <row r="487" spans="1:25" ht="15.75" hidden="1" customHeight="1" outlineLevel="1" x14ac:dyDescent="0.2">
      <c r="A487" s="325">
        <f>COUNTIFS($D$2:$D$488,D487,$B$2:$B$488,B487)</f>
        <v>1</v>
      </c>
      <c r="B487" s="302" t="s">
        <v>232</v>
      </c>
      <c r="C487" s="302" t="str">
        <f t="shared" si="30"/>
        <v>Mão de obra para aplicação de textura em teto - 1 demão</v>
      </c>
      <c r="D487" s="302" t="s">
        <v>518</v>
      </c>
      <c r="E487" s="311" t="s">
        <v>586</v>
      </c>
      <c r="F487" s="326"/>
      <c r="G487" s="327"/>
      <c r="H487" s="328">
        <f>IF(B487="Serviço",SUMIFS(H488:H808,C488:C808,$C487),IF(B487="Insumo",F487*G487,""))</f>
        <v>42</v>
      </c>
      <c r="I487" s="327"/>
      <c r="J487" s="329"/>
      <c r="K487" s="329"/>
      <c r="L487" s="329"/>
      <c r="M487" s="329"/>
      <c r="N487" s="329"/>
      <c r="O487" s="329"/>
      <c r="P487" s="329"/>
      <c r="Q487" s="329"/>
      <c r="R487" s="329"/>
      <c r="S487" s="329"/>
      <c r="T487" s="329"/>
      <c r="U487" s="329"/>
      <c r="V487" s="329"/>
      <c r="W487" s="329"/>
      <c r="X487" s="329"/>
      <c r="Y487" s="329"/>
    </row>
    <row r="488" spans="1:25" ht="15.75" hidden="1" customHeight="1" outlineLevel="1" x14ac:dyDescent="0.2">
      <c r="A488" s="330">
        <f>COUNTIFS($D$2:$D$488,D488,$B$2:$B$488,B488)</f>
        <v>1</v>
      </c>
      <c r="B488" s="302" t="s">
        <v>587</v>
      </c>
      <c r="C488" s="302" t="str">
        <f t="shared" si="30"/>
        <v>Mão de obra para aplicação de textura em teto - 1 demão</v>
      </c>
      <c r="D488" s="302" t="s">
        <v>518</v>
      </c>
      <c r="E488" s="311" t="s">
        <v>17</v>
      </c>
      <c r="F488" s="331">
        <v>1</v>
      </c>
      <c r="G488" s="315">
        <v>42</v>
      </c>
      <c r="H488" s="315">
        <f>IF(B488="Serviço",SUMIFS(H489:H809,C489:C809,$C488),IF(B488="Insumo",F488*G488,""))</f>
        <v>42</v>
      </c>
      <c r="I488" s="327"/>
      <c r="J488" s="329"/>
      <c r="K488" s="329"/>
      <c r="L488" s="329"/>
      <c r="M488" s="329"/>
      <c r="N488" s="329"/>
      <c r="O488" s="329"/>
      <c r="P488" s="329"/>
      <c r="Q488" s="329"/>
      <c r="R488" s="329"/>
      <c r="S488" s="329"/>
      <c r="T488" s="329"/>
      <c r="U488" s="329"/>
      <c r="V488" s="329"/>
      <c r="W488" s="329"/>
      <c r="X488" s="329"/>
      <c r="Y488" s="329"/>
    </row>
    <row r="489" spans="1:25" ht="12.75" x14ac:dyDescent="0.2">
      <c r="G489" s="332"/>
      <c r="H489" s="332"/>
      <c r="I489" s="332"/>
    </row>
  </sheetData>
  <conditionalFormatting sqref="B53:G55 H40:I55 B57:I57 B59:I61 A64 A63:I63 A65:I65 A66:A67 A70:I70 A68:I68 A69 A71:A85 A87:A89 A86:I86 A91 A90:I90 A92:I92 A98:I98 A93:A97 A99:A172 A170:I175 A182:I183 A176:A179 A181:A185 A177:I180 A185:E186 A192:E192 A202:E202 C284:C285 B282:B285 E282:I285 A280:B280 E280:I280 A279 A277:B278 E277:I278 B287:B288 E287:G288 A281:A295 B289:G295 H287:I295 E246 H331:I333 A296:I330 H335:I344 B351:G352 B354:G355 H362:I362 H367:I367 H372:I372 B357:G358 H346:I359 A331:A359 A362 A360:I361 A367 A363:I366 A372 A368:I371 A373:I376 H382:I382 H386:I386 H390:I390 H393:I393 A382 A386 A383:I385 A390 A387:I389 A393 A391:I392 A394:I397 H398:I398 A398 A399:I402 H404:I404 H407:I407 H416:I416 A403:A404 A407 A416 A405:C406 E405:I406 A408:I410 H411:I411 A411 A412:I412 H413:I413 A413 A414:I415 A417:I417 H420:I420 A421:I421 H422:I422 A422 A423:I424 H425:I425 H427:I427 A425 A427 A426:I426 A428:I428 H418:I418 A418 A420 A419:I419 H430:I430 H438:I438 H440:I440 H442:I442 A438 A440 A439:I439 A442 A441:I441 A443:I444 A446:I447 A449:I449 H445:I445 A445 H448:I448 A448 H450:I450 A450 A431:I437 A451:C451 G451:I451 H377:I377 A377 A378:I381 A429:A430 A452:A488 A2:A62 B2:B42 A187:A191 A193:A201 A203:A276 H192:I192 H185:I186 H202:I202">
    <cfRule type="expression" dxfId="975" priority="1025">
      <formula>$B2="Serviço"</formula>
    </cfRule>
  </conditionalFormatting>
  <conditionalFormatting sqref="B311:I312 B54:C55 B57 B59:B61 A64 A63:B63 A65:B65 A66:A67 A70:B70 A68:B68 A69 A71:A85 A87:A89 A86:B86 A91 A90:B90 A92:B92 A98:B98 A93:A97 A185:E185 B282:B285 E282:H285 C284:C285 A280:B280 E280:H280 A279 A277:B278 E277:H278 B287:B288 E287:H288 B300:H310 A281:A295 B289:H295 B246:I246 A296:H299 A300:A327 B313:G327 A328:G330 B351:G352 B354:G355 B357:G358 A331:A359 A362 A360:G361 A367 A363:G366 A372 A368:G371 A373:G376 A382 A386 A383:G385 A390 A387:G389 A393 A391:G392 A394:G397 A398 A399:G402 A403:A404 A407 A416 A405:C406 E405:G406 A408:G410 A411 A412:G412 A413 A414:G415 A417:G417 A421:G421 A422 A423:G424 A425 A427 A426:G426 A428:G428 A418 A420 A419:G419 A431:G431 A438 A440 A439:G439 A442 A441:G441 A443:G444 A446:G447 A449:G449 A445 A448 A450 A432:H437 A451:C451 G451 A377 A378:G381 A429:A430 A452:A488 A2:A62 B2:B3 A99:A276 H185:I185">
    <cfRule type="expression" dxfId="974" priority="1026">
      <formula>$B2="Subetapa"</formula>
    </cfRule>
  </conditionalFormatting>
  <conditionalFormatting sqref="A157:B157 D156:I157">
    <cfRule type="expression" dxfId="973" priority="1034">
      <formula>$B156="Subetapa"</formula>
    </cfRule>
  </conditionalFormatting>
  <conditionalFormatting sqref="A157:B157">
    <cfRule type="expression" dxfId="972" priority="1035">
      <formula>$B157="Serviço"</formula>
    </cfRule>
  </conditionalFormatting>
  <conditionalFormatting sqref="B43:B52 C42:G51 E52:G52">
    <cfRule type="expression" dxfId="971" priority="1054">
      <formula>$B42="Serviço"</formula>
    </cfRule>
  </conditionalFormatting>
  <conditionalFormatting sqref="B52">
    <cfRule type="expression" dxfId="970" priority="1055">
      <formula>$B52="Subetapa"</formula>
    </cfRule>
  </conditionalFormatting>
  <conditionalFormatting sqref="D54:I54 D55 F55 F57 F59:F61">
    <cfRule type="expression" dxfId="969" priority="1056">
      <formula>$B54="Subetapa"</formula>
    </cfRule>
  </conditionalFormatting>
  <conditionalFormatting sqref="C283:D283 C287:D287 B268:H268 B270:H271 B273:H275 B265:H266">
    <cfRule type="expression" dxfId="968" priority="1060">
      <formula>$B265="Subetapa"</formula>
    </cfRule>
  </conditionalFormatting>
  <conditionalFormatting sqref="B40:D40">
    <cfRule type="expression" dxfId="967" priority="1061">
      <formula>$B40="Subetapa"</formula>
    </cfRule>
  </conditionalFormatting>
  <conditionalFormatting sqref="B177:G179 B170:G175">
    <cfRule type="expression" dxfId="966" priority="1066">
      <formula>$B170="Subetapa"</formula>
    </cfRule>
  </conditionalFormatting>
  <conditionalFormatting sqref="B262:G263">
    <cfRule type="expression" dxfId="965" priority="1074">
      <formula>$B262="Subetapa"</formula>
    </cfRule>
  </conditionalFormatting>
  <conditionalFormatting sqref="B262:G263">
    <cfRule type="expression" dxfId="964" priority="1075">
      <formula>$B262="Serviço"</formula>
    </cfRule>
  </conditionalFormatting>
  <conditionalFormatting sqref="B268:I268 B270:I271 B273:I275 B265:I266 B242:I259">
    <cfRule type="expression" dxfId="963" priority="1077">
      <formula>#REF!="Serviço"</formula>
    </cfRule>
  </conditionalFormatting>
  <conditionalFormatting sqref="B66:I66">
    <cfRule type="expression" dxfId="962" priority="1078">
      <formula>$B66="Serviço"</formula>
    </cfRule>
  </conditionalFormatting>
  <conditionalFormatting sqref="B99:I99">
    <cfRule type="expression" dxfId="961" priority="1080">
      <formula>$B99="Serviço"</formula>
    </cfRule>
  </conditionalFormatting>
  <conditionalFormatting sqref="B99:I99 B67:I67 B69:I69 B71:I85 B87:I89 C2:D39 E2:I53">
    <cfRule type="expression" dxfId="960" priority="1081">
      <formula>#REF!="Subetapa"</formula>
    </cfRule>
  </conditionalFormatting>
  <conditionalFormatting sqref="B154:I154">
    <cfRule type="expression" dxfId="959" priority="1083">
      <formula>#REF!="Subetapa"</formula>
    </cfRule>
  </conditionalFormatting>
  <conditionalFormatting sqref="B158:I158">
    <cfRule type="expression" dxfId="958" priority="1084">
      <formula>$B158="Serviço"</formula>
    </cfRule>
  </conditionalFormatting>
  <conditionalFormatting sqref="B158:I158">
    <cfRule type="expression" dxfId="957" priority="1085">
      <formula>#REF!="Subetapa"</formula>
    </cfRule>
  </conditionalFormatting>
  <conditionalFormatting sqref="B159:I159">
    <cfRule type="expression" dxfId="956" priority="1086">
      <formula>$B159="Serviço"</formula>
    </cfRule>
  </conditionalFormatting>
  <conditionalFormatting sqref="B159:I159">
    <cfRule type="expression" dxfId="955" priority="1087">
      <formula>#REF!="Subetapa"</formula>
    </cfRule>
  </conditionalFormatting>
  <conditionalFormatting sqref="B243:I244 B248:I250 B252:I259">
    <cfRule type="expression" dxfId="954" priority="1088">
      <formula>$B243="Subetapa"</formula>
    </cfRule>
  </conditionalFormatting>
  <conditionalFormatting sqref="B223:I223">
    <cfRule type="expression" dxfId="953" priority="1090">
      <formula>$B223="Serviço"</formula>
    </cfRule>
  </conditionalFormatting>
  <conditionalFormatting sqref="B223:I223">
    <cfRule type="expression" dxfId="952" priority="1091">
      <formula>#REF!="Subetapa"</formula>
    </cfRule>
  </conditionalFormatting>
  <conditionalFormatting sqref="B224:I224 B235:E235 B227:I227 B225:C225 E225:I225 B228:C228 E228:I228 B233:I233 B231:C231 E231:I231 B230:I230 B229:E229 G229:I229 B232:E232 G232:I232 G235:I235">
    <cfRule type="expression" dxfId="951" priority="1092">
      <formula>$B224="Subetapa"</formula>
    </cfRule>
  </conditionalFormatting>
  <conditionalFormatting sqref="B242:I242">
    <cfRule type="expression" dxfId="950" priority="1101">
      <formula>$B242="Subetapa"</formula>
    </cfRule>
  </conditionalFormatting>
  <conditionalFormatting sqref="B247:I247">
    <cfRule type="expression" dxfId="949" priority="1102">
      <formula>$B247="Subetapa"</formula>
    </cfRule>
  </conditionalFormatting>
  <conditionalFormatting sqref="B251:I251">
    <cfRule type="expression" dxfId="948" priority="1103">
      <formula>$B251="Subetapa"</formula>
    </cfRule>
  </conditionalFormatting>
  <conditionalFormatting sqref="B260:I260">
    <cfRule type="expression" dxfId="947" priority="1110">
      <formula>#REF!="Subetapa"</formula>
    </cfRule>
  </conditionalFormatting>
  <conditionalFormatting sqref="B260:I261">
    <cfRule type="expression" dxfId="946" priority="1111">
      <formula>$B260="Serviço"</formula>
    </cfRule>
  </conditionalFormatting>
  <conditionalFormatting sqref="B261:I261">
    <cfRule type="expression" dxfId="945" priority="1112">
      <formula>$B261="Subetapa"</formula>
    </cfRule>
  </conditionalFormatting>
  <conditionalFormatting sqref="C40:C41">
    <cfRule type="expression" dxfId="944" priority="1114">
      <formula>$B40="Serviço"</formula>
    </cfRule>
  </conditionalFormatting>
  <conditionalFormatting sqref="C156:C157">
    <cfRule type="expression" dxfId="943" priority="1116">
      <formula>$B156="Subetapa"</formula>
    </cfRule>
  </conditionalFormatting>
  <conditionalFormatting sqref="C2:I39">
    <cfRule type="expression" dxfId="942" priority="1120">
      <formula>$B2="Serviço"</formula>
    </cfRule>
  </conditionalFormatting>
  <conditionalFormatting sqref="C282 C288">
    <cfRule type="expression" dxfId="941" priority="1123">
      <formula>$B282="Serviço"</formula>
    </cfRule>
  </conditionalFormatting>
  <conditionalFormatting sqref="C282 C288">
    <cfRule type="expression" dxfId="940" priority="1124">
      <formula>$B282="Subetapa"</formula>
    </cfRule>
  </conditionalFormatting>
  <conditionalFormatting sqref="C315:C330 C351:D352 C412:D412 C414:D415 C417:D417 C451">
    <cfRule type="expression" dxfId="939" priority="1125">
      <formula>$I315="SUBETAPA"</formula>
    </cfRule>
  </conditionalFormatting>
  <conditionalFormatting sqref="C315:C330 C351:D352 C412:D412 C414:D415 C417:D417 C451">
    <cfRule type="expression" dxfId="938" priority="1126">
      <formula>$I315="CÉLULA CONSTRUTIVA"</formula>
    </cfRule>
  </conditionalFormatting>
  <conditionalFormatting sqref="C315:C330 C351:D352 C412:D412 C414:D415 C417:D417 C451">
    <cfRule type="expression" dxfId="937" priority="1127">
      <formula>$I315="ETAPA"</formula>
    </cfRule>
  </conditionalFormatting>
  <conditionalFormatting sqref="B4:B39 B41:D51 B53:D53 B66:I66 B182:I183">
    <cfRule type="expression" dxfId="936" priority="1128">
      <formula>#REF!="Subetapa"</formula>
    </cfRule>
  </conditionalFormatting>
  <conditionalFormatting sqref="C52:D52">
    <cfRule type="expression" dxfId="935" priority="1130">
      <formula>$A52=2</formula>
    </cfRule>
  </conditionalFormatting>
  <conditionalFormatting sqref="C57:D57">
    <cfRule type="expression" dxfId="934" priority="1131">
      <formula>$B57="Subetapa"</formula>
    </cfRule>
  </conditionalFormatting>
  <conditionalFormatting sqref="C283:D283 C287:D287">
    <cfRule type="expression" dxfId="933" priority="1142">
      <formula>$B283="Serviço"</formula>
    </cfRule>
  </conditionalFormatting>
  <conditionalFormatting sqref="D315:D330">
    <cfRule type="expression" dxfId="932" priority="1149">
      <formula>$I315="SUBETAPA"</formula>
    </cfRule>
  </conditionalFormatting>
  <conditionalFormatting sqref="D315:D330">
    <cfRule type="expression" dxfId="931" priority="1150">
      <formula>$I315="CÉLULA CONSTRUTIVA"</formula>
    </cfRule>
  </conditionalFormatting>
  <conditionalFormatting sqref="D315:D330">
    <cfRule type="expression" dxfId="930" priority="1151">
      <formula>$I315="ETAPA"</formula>
    </cfRule>
  </conditionalFormatting>
  <conditionalFormatting sqref="D40:G41">
    <cfRule type="expression" dxfId="929" priority="1154">
      <formula>$B40="Serviço"</formula>
    </cfRule>
  </conditionalFormatting>
  <conditionalFormatting sqref="E40 E48:E50 E52 E72 E76:E78 E80:E82 E84:E85 E88:E89 E93:E94 E96:E97 E195:E197 E200:E201 E150:E153 E145 E140:E143 E135:E136 E130:E133 E125:E128 E120:E123 E116:E118 E74 E138 E147 E190:E191 E187:E188">
    <cfRule type="expression" dxfId="928" priority="1157">
      <formula>$B40="Serviço"</formula>
    </cfRule>
  </conditionalFormatting>
  <conditionalFormatting sqref="E326">
    <cfRule type="expression" dxfId="927" priority="1159">
      <formula>$B160="Subetapa"</formula>
    </cfRule>
  </conditionalFormatting>
  <conditionalFormatting sqref="E55 E57 E59:E61">
    <cfRule type="expression" dxfId="926" priority="1161">
      <formula>$B55="Subetapa"</formula>
    </cfRule>
  </conditionalFormatting>
  <conditionalFormatting sqref="E182:E183 E268 D282:E282 D284:E285 E290:E291 E293 E295 E301:E304 E306 E308 E310 E314 E316 E318 E320 E322 E324 E155:E157 E161:E164 E166:E169 E270:E271 E273:E275 E265:E266 E297 E326:E327 E299 E329:E330 E351:E352 E412 E417">
    <cfRule type="expression" dxfId="925" priority="1162">
      <formula>#REF!="Serviço"</formula>
    </cfRule>
  </conditionalFormatting>
  <conditionalFormatting sqref="E225">
    <cfRule type="expression" dxfId="924" priority="1163">
      <formula>$B225="Serviço"</formula>
    </cfRule>
  </conditionalFormatting>
  <conditionalFormatting sqref="E225">
    <cfRule type="expression" dxfId="923" priority="1164">
      <formula>$B225="Subetapa"</formula>
    </cfRule>
  </conditionalFormatting>
  <conditionalFormatting sqref="E243:E244">
    <cfRule type="expression" dxfId="922" priority="1167">
      <formula>$B243="Serviço"</formula>
    </cfRule>
  </conditionalFormatting>
  <conditionalFormatting sqref="E243:E244">
    <cfRule type="expression" dxfId="921" priority="1168">
      <formula>$B243="Subetapa"</formula>
    </cfRule>
  </conditionalFormatting>
  <conditionalFormatting sqref="E248:E250">
    <cfRule type="expression" dxfId="920" priority="1169">
      <formula>$B248="Serviço"</formula>
    </cfRule>
  </conditionalFormatting>
  <conditionalFormatting sqref="E248:E250">
    <cfRule type="expression" dxfId="919" priority="1170">
      <formula>$B248="Subetapa"</formula>
    </cfRule>
  </conditionalFormatting>
  <conditionalFormatting sqref="E252">
    <cfRule type="expression" dxfId="918" priority="1171">
      <formula>$B252="Serviço"</formula>
    </cfRule>
  </conditionalFormatting>
  <conditionalFormatting sqref="E252">
    <cfRule type="expression" dxfId="917" priority="1172">
      <formula>$B252="Subetapa"</formula>
    </cfRule>
  </conditionalFormatting>
  <conditionalFormatting sqref="E262:E263">
    <cfRule type="expression" dxfId="916" priority="1178">
      <formula>$B262="Serviço"</formula>
    </cfRule>
  </conditionalFormatting>
  <conditionalFormatting sqref="E312">
    <cfRule type="expression" dxfId="915" priority="1179">
      <formula>$B312="Serviço"</formula>
    </cfRule>
  </conditionalFormatting>
  <conditionalFormatting sqref="E312">
    <cfRule type="expression" dxfId="914" priority="1180">
      <formula>$B312="Subetapa"</formula>
    </cfRule>
  </conditionalFormatting>
  <conditionalFormatting sqref="G40:I40 G48:I50 G52:I52 G72:I72 G76:I78 G80:I82 G84:I85 G88:I89 G93:I94 G96:I97 H195:I197 H200:I201 G150:I153 G145:I145 G140:I143 G135:I136 G130:I133 G125:I128 G120:I123 G116:I118 G74:I74 G138:I138 G147:I147 H190:I191 H187:I188 G195:G198 G190:G193 G186:G188 G205:G206 G200:G203 G208 G210 G212:G213">
    <cfRule type="expression" dxfId="91" priority="1189">
      <formula>$B40="Serviço"</formula>
    </cfRule>
  </conditionalFormatting>
  <conditionalFormatting sqref="G55:I55 G57:I57 G59:I61">
    <cfRule type="expression" dxfId="913" priority="1191">
      <formula>$B55="Subetapa"</formula>
    </cfRule>
  </conditionalFormatting>
  <conditionalFormatting sqref="H177:I179 H170:I175">
    <cfRule type="expression" dxfId="912" priority="1199">
      <formula>$B170="Subetapa"</formula>
    </cfRule>
  </conditionalFormatting>
  <conditionalFormatting sqref="H262:I263">
    <cfRule type="expression" dxfId="911" priority="1208">
      <formula>$B262="Subetapa"</formula>
    </cfRule>
  </conditionalFormatting>
  <conditionalFormatting sqref="H262:I263">
    <cfRule type="expression" dxfId="910" priority="1209">
      <formula>$B262="Serviço"</formula>
    </cfRule>
  </conditionalFormatting>
  <conditionalFormatting sqref="I307:I310 H313:I330">
    <cfRule type="expression" dxfId="909" priority="1211">
      <formula>$B260="Subetapa"</formula>
    </cfRule>
  </conditionalFormatting>
  <conditionalFormatting sqref="B286:I286">
    <cfRule type="expression" dxfId="908" priority="1212">
      <formula>#REF!="Subetapa"</formula>
    </cfRule>
  </conditionalFormatting>
  <conditionalFormatting sqref="B286:I286">
    <cfRule type="expression" dxfId="907" priority="1213">
      <formula>$B286="Serviço"</formula>
    </cfRule>
  </conditionalFormatting>
  <conditionalFormatting sqref="D288:E288">
    <cfRule type="expression" dxfId="906" priority="1214">
      <formula>$B288="Subetapa"</formula>
    </cfRule>
  </conditionalFormatting>
  <conditionalFormatting sqref="D288:E288">
    <cfRule type="expression" dxfId="905" priority="1215">
      <formula>$B288="Serviço"</formula>
    </cfRule>
  </conditionalFormatting>
  <conditionalFormatting sqref="B155:C155">
    <cfRule type="expression" dxfId="904" priority="1018">
      <formula>$B155="Subetapa"</formula>
    </cfRule>
  </conditionalFormatting>
  <conditionalFormatting sqref="D155:G155">
    <cfRule type="expression" dxfId="903" priority="1019">
      <formula>$B155="Subetapa"</formula>
    </cfRule>
  </conditionalFormatting>
  <conditionalFormatting sqref="H155:I155">
    <cfRule type="expression" dxfId="902" priority="1020">
      <formula>$B155="Subetapa"</formula>
    </cfRule>
  </conditionalFormatting>
  <conditionalFormatting sqref="B114:I114 B116:I117">
    <cfRule type="expression" dxfId="901" priority="5522">
      <formula>$B56="Subetapa"</formula>
    </cfRule>
  </conditionalFormatting>
  <conditionalFormatting sqref="A157:I157">
    <cfRule type="expression" dxfId="900" priority="5535">
      <formula>$B99="Serviço"</formula>
    </cfRule>
  </conditionalFormatting>
  <conditionalFormatting sqref="B197:E197 B200:E201 B205:E207 B210:E212 B215:E217 B221:I222 B220:F220 H220:I220 H197:I197 H210:I212 H205:I207 H200:I201 H215:I217">
    <cfRule type="expression" dxfId="899" priority="5543">
      <formula>#REF!="Subetapa"</formula>
    </cfRule>
  </conditionalFormatting>
  <conditionalFormatting sqref="E265:E266">
    <cfRule type="expression" dxfId="898" priority="5552">
      <formula>#REF!="Subetapa"</formula>
    </cfRule>
  </conditionalFormatting>
  <conditionalFormatting sqref="B190:E191 H190:I191">
    <cfRule type="expression" dxfId="897" priority="5554">
      <formula>$B101="Subetapa"</formula>
    </cfRule>
  </conditionalFormatting>
  <conditionalFormatting sqref="B116:I117">
    <cfRule type="expression" dxfId="896" priority="5562">
      <formula>$B101="Serviço"</formula>
    </cfRule>
  </conditionalFormatting>
  <conditionalFormatting sqref="B153:I153">
    <cfRule type="expression" dxfId="895" priority="5564">
      <formula>#REF!="Subetapa"</formula>
    </cfRule>
  </conditionalFormatting>
  <conditionalFormatting sqref="B153:I153">
    <cfRule type="expression" dxfId="894" priority="5592">
      <formula>$B112="Serviço"</formula>
    </cfRule>
  </conditionalFormatting>
  <conditionalFormatting sqref="B152:I152">
    <cfRule type="expression" dxfId="893" priority="1016">
      <formula>#REF!="Subetapa"</formula>
    </cfRule>
  </conditionalFormatting>
  <conditionalFormatting sqref="B152:I152">
    <cfRule type="expression" dxfId="892" priority="1017">
      <formula>$B111="Serviço"</formula>
    </cfRule>
  </conditionalFormatting>
  <conditionalFormatting sqref="B149:I151">
    <cfRule type="expression" dxfId="891" priority="5594">
      <formula>#REF!="Subetapa"</formula>
    </cfRule>
  </conditionalFormatting>
  <conditionalFormatting sqref="B149:I151">
    <cfRule type="expression" dxfId="890" priority="5622">
      <formula>$B109="Serviço"</formula>
    </cfRule>
  </conditionalFormatting>
  <conditionalFormatting sqref="B144:I145 B147:I147">
    <cfRule type="expression" dxfId="889" priority="5624">
      <formula>#REF!="Subetapa"</formula>
    </cfRule>
  </conditionalFormatting>
  <conditionalFormatting sqref="B144:I145 B147:I147">
    <cfRule type="expression" dxfId="888" priority="5652">
      <formula>$B105="Serviço"</formula>
    </cfRule>
  </conditionalFormatting>
  <conditionalFormatting sqref="B143:I143">
    <cfRule type="expression" dxfId="887" priority="1012">
      <formula>#REF!="Subetapa"</formula>
    </cfRule>
  </conditionalFormatting>
  <conditionalFormatting sqref="B143:I143">
    <cfRule type="expression" dxfId="886" priority="1013">
      <formula>$B102="Serviço"</formula>
    </cfRule>
  </conditionalFormatting>
  <conditionalFormatting sqref="B139:I142">
    <cfRule type="expression" dxfId="885" priority="5654">
      <formula>#REF!="Subetapa"</formula>
    </cfRule>
  </conditionalFormatting>
  <conditionalFormatting sqref="B139:I142 E225:I225 B224:I224">
    <cfRule type="expression" dxfId="884" priority="5682">
      <formula>$B101="Serviço"</formula>
    </cfRule>
  </conditionalFormatting>
  <conditionalFormatting sqref="B138:I138">
    <cfRule type="expression" dxfId="883" priority="1010">
      <formula>#REF!="Subetapa"</formula>
    </cfRule>
  </conditionalFormatting>
  <conditionalFormatting sqref="B138:I138">
    <cfRule type="expression" dxfId="882" priority="1011">
      <formula>#REF!="Serviço"</formula>
    </cfRule>
  </conditionalFormatting>
  <conditionalFormatting sqref="B134:I136">
    <cfRule type="expression" dxfId="881" priority="5684">
      <formula>#REF!="Subetapa"</formula>
    </cfRule>
  </conditionalFormatting>
  <conditionalFormatting sqref="B133:I133">
    <cfRule type="expression" dxfId="880" priority="1008">
      <formula>#REF!="Subetapa"</formula>
    </cfRule>
  </conditionalFormatting>
  <conditionalFormatting sqref="B133:I133">
    <cfRule type="expression" dxfId="879" priority="1009">
      <formula>$B99="Serviço"</formula>
    </cfRule>
  </conditionalFormatting>
  <conditionalFormatting sqref="B129:I132">
    <cfRule type="expression" dxfId="878" priority="5714">
      <formula>$B64="Subetapa"</formula>
    </cfRule>
  </conditionalFormatting>
  <conditionalFormatting sqref="B129:I132">
    <cfRule type="expression" dxfId="877" priority="5742">
      <formula>#REF!="Serviço"</formula>
    </cfRule>
  </conditionalFormatting>
  <conditionalFormatting sqref="B128:I128">
    <cfRule type="expression" dxfId="876" priority="1006">
      <formula>#REF!="Subetapa"</formula>
    </cfRule>
  </conditionalFormatting>
  <conditionalFormatting sqref="B128:I128">
    <cfRule type="expression" dxfId="875" priority="1007">
      <formula>#REF!="Serviço"</formula>
    </cfRule>
  </conditionalFormatting>
  <conditionalFormatting sqref="B124:I127">
    <cfRule type="expression" dxfId="874" priority="5744">
      <formula>$B62="Subetapa"</formula>
    </cfRule>
  </conditionalFormatting>
  <conditionalFormatting sqref="B127:I127">
    <cfRule type="expression" dxfId="873" priority="5772">
      <formula>$B99="Serviço"</formula>
    </cfRule>
  </conditionalFormatting>
  <conditionalFormatting sqref="B123:I123">
    <cfRule type="expression" dxfId="872" priority="1004">
      <formula>$B57="Subetapa"</formula>
    </cfRule>
  </conditionalFormatting>
  <conditionalFormatting sqref="B123:I123">
    <cfRule type="expression" dxfId="871" priority="1005">
      <formula>#REF!="Serviço"</formula>
    </cfRule>
  </conditionalFormatting>
  <conditionalFormatting sqref="B119:I122">
    <cfRule type="expression" dxfId="870" priority="5774">
      <formula>$B60="Subetapa"</formula>
    </cfRule>
  </conditionalFormatting>
  <conditionalFormatting sqref="B119:I122">
    <cfRule type="expression" dxfId="869" priority="5802">
      <formula>#REF!="Serviço"</formula>
    </cfRule>
  </conditionalFormatting>
  <conditionalFormatting sqref="B118:I118">
    <cfRule type="expression" dxfId="868" priority="1002">
      <formula>$B54="Subetapa"</formula>
    </cfRule>
  </conditionalFormatting>
  <conditionalFormatting sqref="B118:I118">
    <cfRule type="expression" dxfId="867" priority="1003">
      <formula>#REF!="Serviço"</formula>
    </cfRule>
  </conditionalFormatting>
  <conditionalFormatting sqref="B64:I64">
    <cfRule type="expression" dxfId="866" priority="5807">
      <formula>#REF!="Subetapa"</formula>
    </cfRule>
  </conditionalFormatting>
  <conditionalFormatting sqref="B64:I64">
    <cfRule type="expression" dxfId="865" priority="5817">
      <formula>$B8="Serviço"</formula>
    </cfRule>
  </conditionalFormatting>
  <conditionalFormatting sqref="B88:I89 A96:I97 B187:E187 B160:I160 B190:E191 B195:E197 B200:E201 B205:E207 B210:E212 B215:E217 H195:I197 H190:I191 H187:I187 H210:I212 H205:I207 H200:I201 H215:I217">
    <cfRule type="expression" dxfId="864" priority="5820">
      <formula>#REF!="Serviço"</formula>
    </cfRule>
  </conditionalFormatting>
  <conditionalFormatting sqref="E155:E157">
    <cfRule type="expression" dxfId="863" priority="5831">
      <formula>#REF!="Subetapa"</formula>
    </cfRule>
  </conditionalFormatting>
  <conditionalFormatting sqref="B91:I91 B93:I94">
    <cfRule type="expression" dxfId="862" priority="5839">
      <formula>$B57="Serviço"</formula>
    </cfRule>
  </conditionalFormatting>
  <conditionalFormatting sqref="A95:I95">
    <cfRule type="expression" dxfId="861" priority="5847">
      <formula>$B63="Serviço"</formula>
    </cfRule>
  </conditionalFormatting>
  <conditionalFormatting sqref="A156:B157 B187:E187 B160:I160 H187:I187">
    <cfRule type="expression" dxfId="860" priority="5854">
      <formula>#REF!="Subetapa"</formula>
    </cfRule>
  </conditionalFormatting>
  <conditionalFormatting sqref="B62:I62">
    <cfRule type="expression" dxfId="859" priority="998">
      <formula>#REF!="Subetapa"</formula>
    </cfRule>
  </conditionalFormatting>
  <conditionalFormatting sqref="B62:I62">
    <cfRule type="expression" dxfId="858" priority="999">
      <formula>$B6="Serviço"</formula>
    </cfRule>
  </conditionalFormatting>
  <conditionalFormatting sqref="B58:I58">
    <cfRule type="expression" dxfId="857" priority="996">
      <formula>#REF!="Subetapa"</formula>
    </cfRule>
  </conditionalFormatting>
  <conditionalFormatting sqref="B58:I58">
    <cfRule type="expression" dxfId="856" priority="997">
      <formula>$B2="Serviço"</formula>
    </cfRule>
  </conditionalFormatting>
  <conditionalFormatting sqref="B56:I56">
    <cfRule type="expression" dxfId="855" priority="994">
      <formula>#REF!="Subetapa"</formula>
    </cfRule>
  </conditionalFormatting>
  <conditionalFormatting sqref="B56:I56">
    <cfRule type="expression" dxfId="854" priority="995">
      <formula>#REF!="Serviço"</formula>
    </cfRule>
  </conditionalFormatting>
  <conditionalFormatting sqref="C59:D61">
    <cfRule type="expression" dxfId="853" priority="993">
      <formula>$B59="Subetapa"</formula>
    </cfRule>
  </conditionalFormatting>
  <conditionalFormatting sqref="F63">
    <cfRule type="expression" dxfId="852" priority="990">
      <formula>$B63="Subetapa"</formula>
    </cfRule>
  </conditionalFormatting>
  <conditionalFormatting sqref="E63">
    <cfRule type="expression" dxfId="851" priority="991">
      <formula>$B63="Subetapa"</formula>
    </cfRule>
  </conditionalFormatting>
  <conditionalFormatting sqref="G63:I63">
    <cfRule type="expression" dxfId="850" priority="992">
      <formula>$B63="Subetapa"</formula>
    </cfRule>
  </conditionalFormatting>
  <conditionalFormatting sqref="C63:D63">
    <cfRule type="expression" dxfId="849" priority="989">
      <formula>$B63="Subetapa"</formula>
    </cfRule>
  </conditionalFormatting>
  <conditionalFormatting sqref="F65">
    <cfRule type="expression" dxfId="848" priority="986">
      <formula>$B65="Subetapa"</formula>
    </cfRule>
  </conditionalFormatting>
  <conditionalFormatting sqref="E65">
    <cfRule type="expression" dxfId="847" priority="987">
      <formula>$B65="Subetapa"</formula>
    </cfRule>
  </conditionalFormatting>
  <conditionalFormatting sqref="G65:I65">
    <cfRule type="expression" dxfId="846" priority="988">
      <formula>$B65="Subetapa"</formula>
    </cfRule>
  </conditionalFormatting>
  <conditionalFormatting sqref="C65:D65">
    <cfRule type="expression" dxfId="845" priority="985">
      <formula>$B65="Subetapa"</formula>
    </cfRule>
  </conditionalFormatting>
  <conditionalFormatting sqref="B91:I91 B93:I94">
    <cfRule type="expression" dxfId="844" priority="5874">
      <formula>#REF!="Subetapa"</formula>
    </cfRule>
  </conditionalFormatting>
  <conditionalFormatting sqref="B67:I67 B69:I69 B71:I85 B87:I87">
    <cfRule type="expression" dxfId="843" priority="5876">
      <formula>$B35="Serviço"</formula>
    </cfRule>
  </conditionalFormatting>
  <conditionalFormatting sqref="F70">
    <cfRule type="expression" dxfId="842" priority="978">
      <formula>$B70="Subetapa"</formula>
    </cfRule>
  </conditionalFormatting>
  <conditionalFormatting sqref="E70">
    <cfRule type="expression" dxfId="841" priority="979">
      <formula>$B70="Subetapa"</formula>
    </cfRule>
  </conditionalFormatting>
  <conditionalFormatting sqref="G70:I70">
    <cfRule type="expression" dxfId="840" priority="980">
      <formula>$B70="Subetapa"</formula>
    </cfRule>
  </conditionalFormatting>
  <conditionalFormatting sqref="C70:D70">
    <cfRule type="expression" dxfId="839" priority="977">
      <formula>$B70="Subetapa"</formula>
    </cfRule>
  </conditionalFormatting>
  <conditionalFormatting sqref="F68">
    <cfRule type="expression" dxfId="838" priority="974">
      <formula>$B68="Subetapa"</formula>
    </cfRule>
  </conditionalFormatting>
  <conditionalFormatting sqref="E68">
    <cfRule type="expression" dxfId="837" priority="975">
      <formula>$B68="Subetapa"</formula>
    </cfRule>
  </conditionalFormatting>
  <conditionalFormatting sqref="G68:I68">
    <cfRule type="expression" dxfId="836" priority="976">
      <formula>$B68="Subetapa"</formula>
    </cfRule>
  </conditionalFormatting>
  <conditionalFormatting sqref="C68:D68">
    <cfRule type="expression" dxfId="835" priority="973">
      <formula>$B68="Subetapa"</formula>
    </cfRule>
  </conditionalFormatting>
  <conditionalFormatting sqref="F86">
    <cfRule type="expression" dxfId="834" priority="970">
      <formula>$B86="Subetapa"</formula>
    </cfRule>
  </conditionalFormatting>
  <conditionalFormatting sqref="E86">
    <cfRule type="expression" dxfId="833" priority="971">
      <formula>$B86="Subetapa"</formula>
    </cfRule>
  </conditionalFormatting>
  <conditionalFormatting sqref="G86:I86">
    <cfRule type="expression" dxfId="832" priority="972">
      <formula>$B86="Subetapa"</formula>
    </cfRule>
  </conditionalFormatting>
  <conditionalFormatting sqref="C86:D86">
    <cfRule type="expression" dxfId="831" priority="969">
      <formula>$B86="Subetapa"</formula>
    </cfRule>
  </conditionalFormatting>
  <conditionalFormatting sqref="F90">
    <cfRule type="expression" dxfId="830" priority="966">
      <formula>$B90="Subetapa"</formula>
    </cfRule>
  </conditionalFormatting>
  <conditionalFormatting sqref="E90">
    <cfRule type="expression" dxfId="829" priority="967">
      <formula>$B90="Subetapa"</formula>
    </cfRule>
  </conditionalFormatting>
  <conditionalFormatting sqref="G90:I90">
    <cfRule type="expression" dxfId="828" priority="968">
      <formula>$B90="Subetapa"</formula>
    </cfRule>
  </conditionalFormatting>
  <conditionalFormatting sqref="C90:D90">
    <cfRule type="expression" dxfId="827" priority="965">
      <formula>$B90="Subetapa"</formula>
    </cfRule>
  </conditionalFormatting>
  <conditionalFormatting sqref="F92">
    <cfRule type="expression" dxfId="826" priority="962">
      <formula>$B92="Subetapa"</formula>
    </cfRule>
  </conditionalFormatting>
  <conditionalFormatting sqref="E92">
    <cfRule type="expression" dxfId="825" priority="963">
      <formula>$B92="Subetapa"</formula>
    </cfRule>
  </conditionalFormatting>
  <conditionalFormatting sqref="G92:I92">
    <cfRule type="expression" dxfId="824" priority="964">
      <formula>$B92="Subetapa"</formula>
    </cfRule>
  </conditionalFormatting>
  <conditionalFormatting sqref="C92:D92">
    <cfRule type="expression" dxfId="823" priority="961">
      <formula>$B92="Subetapa"</formula>
    </cfRule>
  </conditionalFormatting>
  <conditionalFormatting sqref="F98">
    <cfRule type="expression" dxfId="822" priority="954">
      <formula>$B98="Subetapa"</formula>
    </cfRule>
  </conditionalFormatting>
  <conditionalFormatting sqref="E98">
    <cfRule type="expression" dxfId="821" priority="955">
      <formula>$B98="Subetapa"</formula>
    </cfRule>
  </conditionalFormatting>
  <conditionalFormatting sqref="G98:I98">
    <cfRule type="expression" dxfId="820" priority="956">
      <formula>$B98="Subetapa"</formula>
    </cfRule>
  </conditionalFormatting>
  <conditionalFormatting sqref="C98:D98">
    <cfRule type="expression" dxfId="819" priority="953">
      <formula>$B98="Subetapa"</formula>
    </cfRule>
  </conditionalFormatting>
  <conditionalFormatting sqref="B100:I100 B107:I107">
    <cfRule type="expression" dxfId="818" priority="5879">
      <formula>$B67="Serviço"</formula>
    </cfRule>
  </conditionalFormatting>
  <conditionalFormatting sqref="B95:I97">
    <cfRule type="expression" dxfId="817" priority="5896">
      <formula>#REF!="Subetapa"</formula>
    </cfRule>
  </conditionalFormatting>
  <conditionalFormatting sqref="A156:I156 B154:I155">
    <cfRule type="expression" dxfId="816" priority="5899">
      <formula>#REF!="Serviço"</formula>
    </cfRule>
  </conditionalFormatting>
  <conditionalFormatting sqref="B162:I162 B164:I166 B168:I169">
    <cfRule type="expression" dxfId="815" priority="5906">
      <formula>$B95="Subetapa"</formula>
    </cfRule>
  </conditionalFormatting>
  <conditionalFormatting sqref="B124:I126">
    <cfRule type="expression" dxfId="814" priority="5907">
      <formula>#REF!="Serviço"</formula>
    </cfRule>
  </conditionalFormatting>
  <conditionalFormatting sqref="B107:I113 B100:I100">
    <cfRule type="expression" dxfId="813" priority="5915">
      <formula>$B15="Subetapa"</formula>
    </cfRule>
  </conditionalFormatting>
  <conditionalFormatting sqref="E101:E106">
    <cfRule type="expression" dxfId="812" priority="948">
      <formula>$B101="Serviço"</formula>
    </cfRule>
  </conditionalFormatting>
  <conditionalFormatting sqref="G101:I106">
    <cfRule type="expression" dxfId="811" priority="949">
      <formula>$B101="Serviço"</formula>
    </cfRule>
  </conditionalFormatting>
  <conditionalFormatting sqref="A101:I106">
    <cfRule type="expression" dxfId="810" priority="950">
      <formula>#REF!="Serviço"</formula>
    </cfRule>
  </conditionalFormatting>
  <conditionalFormatting sqref="B105:I106">
    <cfRule type="expression" dxfId="809" priority="951">
      <formula>$B2="Subetapa"</formula>
    </cfRule>
  </conditionalFormatting>
  <conditionalFormatting sqref="E108:E113">
    <cfRule type="expression" dxfId="808" priority="945">
      <formula>$B108="Serviço"</formula>
    </cfRule>
  </conditionalFormatting>
  <conditionalFormatting sqref="G108:I113">
    <cfRule type="expression" dxfId="807" priority="946">
      <formula>$B108="Serviço"</formula>
    </cfRule>
  </conditionalFormatting>
  <conditionalFormatting sqref="B108:I113">
    <cfRule type="expression" dxfId="806" priority="947">
      <formula>#REF!="Serviço"</formula>
    </cfRule>
  </conditionalFormatting>
  <conditionalFormatting sqref="B114:I114">
    <cfRule type="expression" dxfId="805" priority="5934">
      <formula>#REF!="Serviço"</formula>
    </cfRule>
  </conditionalFormatting>
  <conditionalFormatting sqref="B134:I136">
    <cfRule type="expression" dxfId="804" priority="5935">
      <formula>#REF!="Serviço"</formula>
    </cfRule>
  </conditionalFormatting>
  <conditionalFormatting sqref="B115:I115">
    <cfRule type="expression" dxfId="803" priority="924">
      <formula>$B30="Subetapa"</formula>
    </cfRule>
  </conditionalFormatting>
  <conditionalFormatting sqref="E115">
    <cfRule type="expression" dxfId="802" priority="921">
      <formula>$B115="Serviço"</formula>
    </cfRule>
  </conditionalFormatting>
  <conditionalFormatting sqref="G115:I115">
    <cfRule type="expression" dxfId="801" priority="922">
      <formula>$B115="Serviço"</formula>
    </cfRule>
  </conditionalFormatting>
  <conditionalFormatting sqref="B115:I115">
    <cfRule type="expression" dxfId="800" priority="923">
      <formula>#REF!="Serviço"</formula>
    </cfRule>
  </conditionalFormatting>
  <conditionalFormatting sqref="B137:I137">
    <cfRule type="expression" dxfId="799" priority="920">
      <formula>$B52="Subetapa"</formula>
    </cfRule>
  </conditionalFormatting>
  <conditionalFormatting sqref="E137">
    <cfRule type="expression" dxfId="798" priority="917">
      <formula>$B137="Serviço"</formula>
    </cfRule>
  </conditionalFormatting>
  <conditionalFormatting sqref="G137:I137">
    <cfRule type="expression" dxfId="797" priority="918">
      <formula>$B137="Serviço"</formula>
    </cfRule>
  </conditionalFormatting>
  <conditionalFormatting sqref="B137:I137">
    <cfRule type="expression" dxfId="796" priority="919">
      <formula>#REF!="Serviço"</formula>
    </cfRule>
  </conditionalFormatting>
  <conditionalFormatting sqref="B146:I146">
    <cfRule type="expression" dxfId="795" priority="916">
      <formula>$B61="Subetapa"</formula>
    </cfRule>
  </conditionalFormatting>
  <conditionalFormatting sqref="E146">
    <cfRule type="expression" dxfId="794" priority="913">
      <formula>$B146="Serviço"</formula>
    </cfRule>
  </conditionalFormatting>
  <conditionalFormatting sqref="G146:I146">
    <cfRule type="expression" dxfId="793" priority="914">
      <formula>$B146="Serviço"</formula>
    </cfRule>
  </conditionalFormatting>
  <conditionalFormatting sqref="B146:I146">
    <cfRule type="expression" dxfId="792" priority="915">
      <formula>#REF!="Serviço"</formula>
    </cfRule>
  </conditionalFormatting>
  <conditionalFormatting sqref="B148:I148">
    <cfRule type="expression" dxfId="791" priority="912">
      <formula>$B63="Subetapa"</formula>
    </cfRule>
  </conditionalFormatting>
  <conditionalFormatting sqref="E148">
    <cfRule type="expression" dxfId="790" priority="909">
      <formula>$B148="Serviço"</formula>
    </cfRule>
  </conditionalFormatting>
  <conditionalFormatting sqref="G148:I148">
    <cfRule type="expression" dxfId="789" priority="910">
      <formula>$B148="Serviço"</formula>
    </cfRule>
  </conditionalFormatting>
  <conditionalFormatting sqref="B148:I148">
    <cfRule type="expression" dxfId="788" priority="911">
      <formula>#REF!="Serviço"</formula>
    </cfRule>
  </conditionalFormatting>
  <conditionalFormatting sqref="E268 D282:E282 D284:E285 E290:E291 E293 E295 E301:E304 E306 E308 E310 E314 E316 E318 E270:E271 E273:E275 E297 E299">
    <cfRule type="expression" dxfId="787" priority="5945">
      <formula>#REF!="Subetapa"</formula>
    </cfRule>
  </conditionalFormatting>
  <conditionalFormatting sqref="B162:I162 B164:I166">
    <cfRule type="expression" dxfId="786" priority="5952">
      <formula>$B155="Serviço"</formula>
    </cfRule>
  </conditionalFormatting>
  <conditionalFormatting sqref="B161:I161">
    <cfRule type="expression" dxfId="785" priority="904">
      <formula>#REF!="Serviço"</formula>
    </cfRule>
  </conditionalFormatting>
  <conditionalFormatting sqref="E161">
    <cfRule type="expression" dxfId="784" priority="905">
      <formula>#REF!="Subetapa"</formula>
    </cfRule>
  </conditionalFormatting>
  <conditionalFormatting sqref="B161:C161">
    <cfRule type="expression" dxfId="783" priority="901">
      <formula>$B161="Subetapa"</formula>
    </cfRule>
  </conditionalFormatting>
  <conditionalFormatting sqref="D161:G161">
    <cfRule type="expression" dxfId="782" priority="902">
      <formula>$B161="Subetapa"</formula>
    </cfRule>
  </conditionalFormatting>
  <conditionalFormatting sqref="H161:I161">
    <cfRule type="expression" dxfId="781" priority="903">
      <formula>$B161="Subetapa"</formula>
    </cfRule>
  </conditionalFormatting>
  <conditionalFormatting sqref="B163:I163">
    <cfRule type="expression" dxfId="780" priority="899">
      <formula>#REF!="Serviço"</formula>
    </cfRule>
  </conditionalFormatting>
  <conditionalFormatting sqref="E163">
    <cfRule type="expression" dxfId="779" priority="900">
      <formula>#REF!="Subetapa"</formula>
    </cfRule>
  </conditionalFormatting>
  <conditionalFormatting sqref="B163:C163">
    <cfRule type="expression" dxfId="778" priority="896">
      <formula>$B163="Subetapa"</formula>
    </cfRule>
  </conditionalFormatting>
  <conditionalFormatting sqref="D163:G163">
    <cfRule type="expression" dxfId="777" priority="897">
      <formula>$B163="Subetapa"</formula>
    </cfRule>
  </conditionalFormatting>
  <conditionalFormatting sqref="H163:I163">
    <cfRule type="expression" dxfId="776" priority="898">
      <formula>$B163="Subetapa"</formula>
    </cfRule>
  </conditionalFormatting>
  <conditionalFormatting sqref="B167:I167">
    <cfRule type="expression" dxfId="775" priority="894">
      <formula>#REF!="Serviço"</formula>
    </cfRule>
  </conditionalFormatting>
  <conditionalFormatting sqref="E167">
    <cfRule type="expression" dxfId="774" priority="895">
      <formula>#REF!="Subetapa"</formula>
    </cfRule>
  </conditionalFormatting>
  <conditionalFormatting sqref="B167:C167">
    <cfRule type="expression" dxfId="773" priority="891">
      <formula>$B167="Subetapa"</formula>
    </cfRule>
  </conditionalFormatting>
  <conditionalFormatting sqref="D167:G167">
    <cfRule type="expression" dxfId="772" priority="892">
      <formula>$B167="Subetapa"</formula>
    </cfRule>
  </conditionalFormatting>
  <conditionalFormatting sqref="H167:I167">
    <cfRule type="expression" dxfId="771" priority="893">
      <formula>$B167="Subetapa"</formula>
    </cfRule>
  </conditionalFormatting>
  <conditionalFormatting sqref="E322 E324 E320 E351:E352 E412 E417">
    <cfRule type="expression" dxfId="770" priority="5989">
      <formula>#REF!="Subetapa"</formula>
    </cfRule>
  </conditionalFormatting>
  <conditionalFormatting sqref="B168:I169">
    <cfRule type="expression" dxfId="769" priority="6002">
      <formula>#REF!="Serviço"</formula>
    </cfRule>
  </conditionalFormatting>
  <conditionalFormatting sqref="B235:E235 G235:I235">
    <cfRule type="expression" dxfId="768" priority="6097">
      <formula>$B200="Serviço"</formula>
    </cfRule>
  </conditionalFormatting>
  <conditionalFormatting sqref="B176:I176">
    <cfRule type="expression" dxfId="767" priority="889">
      <formula>#REF!="Serviço"</formula>
    </cfRule>
  </conditionalFormatting>
  <conditionalFormatting sqref="B176:I176">
    <cfRule type="expression" dxfId="766" priority="890">
      <formula>#REF!="Subetapa"</formula>
    </cfRule>
  </conditionalFormatting>
  <conditionalFormatting sqref="B181:I181">
    <cfRule type="expression" dxfId="765" priority="887">
      <formula>#REF!="Serviço"</formula>
    </cfRule>
  </conditionalFormatting>
  <conditionalFormatting sqref="B181:I181">
    <cfRule type="expression" dxfId="764" priority="888">
      <formula>#REF!="Subetapa"</formula>
    </cfRule>
  </conditionalFormatting>
  <conditionalFormatting sqref="B184:I184">
    <cfRule type="expression" dxfId="763" priority="885">
      <formula>#REF!="Serviço"</formula>
    </cfRule>
  </conditionalFormatting>
  <conditionalFormatting sqref="B184:I184">
    <cfRule type="expression" dxfId="762" priority="886">
      <formula>#REF!="Subetapa"</formula>
    </cfRule>
  </conditionalFormatting>
  <conditionalFormatting sqref="B189:E189 H189:I189">
    <cfRule type="expression" dxfId="761" priority="883">
      <formula>#REF!="Serviço"</formula>
    </cfRule>
  </conditionalFormatting>
  <conditionalFormatting sqref="B189:E189 H189:I189">
    <cfRule type="expression" dxfId="760" priority="884">
      <formula>#REF!="Subetapa"</formula>
    </cfRule>
  </conditionalFormatting>
  <conditionalFormatting sqref="B194:E194 H194:I194">
    <cfRule type="expression" dxfId="759" priority="881">
      <formula>#REF!="Serviço"</formula>
    </cfRule>
  </conditionalFormatting>
  <conditionalFormatting sqref="B194:E194 H194:I194">
    <cfRule type="expression" dxfId="758" priority="882">
      <formula>#REF!="Subetapa"</formula>
    </cfRule>
  </conditionalFormatting>
  <conditionalFormatting sqref="B199:I199">
    <cfRule type="expression" dxfId="757" priority="879">
      <formula>#REF!="Serviço"</formula>
    </cfRule>
  </conditionalFormatting>
  <conditionalFormatting sqref="B199:I199">
    <cfRule type="expression" dxfId="756" priority="880">
      <formula>#REF!="Subetapa"</formula>
    </cfRule>
  </conditionalFormatting>
  <conditionalFormatting sqref="B204:E204 H204:I204">
    <cfRule type="expression" dxfId="755" priority="877">
      <formula>#REF!="Serviço"</formula>
    </cfRule>
  </conditionalFormatting>
  <conditionalFormatting sqref="B204:E204 H204:I204">
    <cfRule type="expression" dxfId="754" priority="878">
      <formula>#REF!="Subetapa"</formula>
    </cfRule>
  </conditionalFormatting>
  <conditionalFormatting sqref="B209:E209 H209:I209">
    <cfRule type="expression" dxfId="753" priority="875">
      <formula>#REF!="Serviço"</formula>
    </cfRule>
  </conditionalFormatting>
  <conditionalFormatting sqref="B209:E209 H209:I209">
    <cfRule type="expression" dxfId="752" priority="876">
      <formula>#REF!="Subetapa"</formula>
    </cfRule>
  </conditionalFormatting>
  <conditionalFormatting sqref="B214:I214">
    <cfRule type="expression" dxfId="751" priority="873">
      <formula>#REF!="Serviço"</formula>
    </cfRule>
  </conditionalFormatting>
  <conditionalFormatting sqref="B214:I214">
    <cfRule type="expression" dxfId="750" priority="874">
      <formula>#REF!="Subetapa"</formula>
    </cfRule>
  </conditionalFormatting>
  <conditionalFormatting sqref="B219:I219">
    <cfRule type="expression" dxfId="749" priority="871">
      <formula>#REF!="Serviço"</formula>
    </cfRule>
  </conditionalFormatting>
  <conditionalFormatting sqref="B219:I219">
    <cfRule type="expression" dxfId="748" priority="872">
      <formula>#REF!="Subetapa"</formula>
    </cfRule>
  </conditionalFormatting>
  <conditionalFormatting sqref="B220:F220 H220:I220">
    <cfRule type="expression" dxfId="747" priority="868">
      <formula>#REF!="Serviço"</formula>
    </cfRule>
  </conditionalFormatting>
  <conditionalFormatting sqref="B221:I222">
    <cfRule type="expression" dxfId="746" priority="867">
      <formula>#REF!="Serviço"</formula>
    </cfRule>
  </conditionalFormatting>
  <conditionalFormatting sqref="B180:G180">
    <cfRule type="expression" dxfId="745" priority="865">
      <formula>$B180="Subetapa"</formula>
    </cfRule>
  </conditionalFormatting>
  <conditionalFormatting sqref="H180:I180">
    <cfRule type="expression" dxfId="744" priority="866">
      <formula>$B180="Subetapa"</formula>
    </cfRule>
  </conditionalFormatting>
  <conditionalFormatting sqref="B186:E186">
    <cfRule type="expression" dxfId="743" priority="863">
      <formula>$B186="Subetapa"</formula>
    </cfRule>
  </conditionalFormatting>
  <conditionalFormatting sqref="H186:I186">
    <cfRule type="expression" dxfId="742" priority="864">
      <formula>$B186="Subetapa"</formula>
    </cfRule>
  </conditionalFormatting>
  <conditionalFormatting sqref="B192:E192">
    <cfRule type="expression" dxfId="741" priority="861">
      <formula>$B192="Subetapa"</formula>
    </cfRule>
  </conditionalFormatting>
  <conditionalFormatting sqref="H192:I192">
    <cfRule type="expression" dxfId="740" priority="862">
      <formula>$B192="Subetapa"</formula>
    </cfRule>
  </conditionalFormatting>
  <conditionalFormatting sqref="B202:E202">
    <cfRule type="expression" dxfId="739" priority="859">
      <formula>$B202="Subetapa"</formula>
    </cfRule>
  </conditionalFormatting>
  <conditionalFormatting sqref="H202:I202">
    <cfRule type="expression" dxfId="738" priority="860">
      <formula>$B202="Subetapa"</formula>
    </cfRule>
  </conditionalFormatting>
  <conditionalFormatting sqref="E220:E222">
    <cfRule type="expression" dxfId="737" priority="858">
      <formula>#REF!="Serviço"</formula>
    </cfRule>
  </conditionalFormatting>
  <conditionalFormatting sqref="B226:I226">
    <cfRule type="expression" dxfId="736" priority="857">
      <formula>#REF!="Subetapa"</formula>
    </cfRule>
  </conditionalFormatting>
  <conditionalFormatting sqref="B226:I226">
    <cfRule type="expression" dxfId="735" priority="856">
      <formula>#REF!="Serviço"</formula>
    </cfRule>
  </conditionalFormatting>
  <conditionalFormatting sqref="E226">
    <cfRule type="expression" dxfId="734" priority="855">
      <formula>#REF!="Serviço"</formula>
    </cfRule>
  </conditionalFormatting>
  <conditionalFormatting sqref="E228:E229">
    <cfRule type="expression" dxfId="733" priority="853">
      <formula>$B228="Serviço"</formula>
    </cfRule>
  </conditionalFormatting>
  <conditionalFormatting sqref="E228:E229">
    <cfRule type="expression" dxfId="732" priority="854">
      <formula>$B228="Subetapa"</formula>
    </cfRule>
  </conditionalFormatting>
  <conditionalFormatting sqref="E231:E232">
    <cfRule type="expression" dxfId="731" priority="851">
      <formula>$B231="Serviço"</formula>
    </cfRule>
  </conditionalFormatting>
  <conditionalFormatting sqref="E231:E232">
    <cfRule type="expression" dxfId="730" priority="852">
      <formula>$B231="Subetapa"</formula>
    </cfRule>
  </conditionalFormatting>
  <conditionalFormatting sqref="E235">
    <cfRule type="expression" dxfId="729" priority="849">
      <formula>$B235="Serviço"</formula>
    </cfRule>
  </conditionalFormatting>
  <conditionalFormatting sqref="E235">
    <cfRule type="expression" dxfId="728" priority="850">
      <formula>$B235="Subetapa"</formula>
    </cfRule>
  </conditionalFormatting>
  <conditionalFormatting sqref="B234:I234">
    <cfRule type="expression" dxfId="727" priority="844">
      <formula>#REF!="Subetapa"</formula>
    </cfRule>
  </conditionalFormatting>
  <conditionalFormatting sqref="B234:I234">
    <cfRule type="expression" dxfId="726" priority="843">
      <formula>#REF!="Serviço"</formula>
    </cfRule>
  </conditionalFormatting>
  <conditionalFormatting sqref="E234">
    <cfRule type="expression" dxfId="725" priority="842">
      <formula>#REF!="Serviço"</formula>
    </cfRule>
  </conditionalFormatting>
  <conditionalFormatting sqref="B236:H236">
    <cfRule type="expression" dxfId="724" priority="840">
      <formula>$B236="Subetapa"</formula>
    </cfRule>
  </conditionalFormatting>
  <conditionalFormatting sqref="B236:H236">
    <cfRule type="expression" dxfId="723" priority="841">
      <formula>$B201="Serviço"</formula>
    </cfRule>
  </conditionalFormatting>
  <conditionalFormatting sqref="B239:H239">
    <cfRule type="expression" dxfId="722" priority="838">
      <formula>$B239="Subetapa"</formula>
    </cfRule>
  </conditionalFormatting>
  <conditionalFormatting sqref="B239:H239">
    <cfRule type="expression" dxfId="721" priority="839">
      <formula>$B205="Serviço"</formula>
    </cfRule>
  </conditionalFormatting>
  <conditionalFormatting sqref="B237:I237 B238:E238 G238:I238">
    <cfRule type="expression" dxfId="720" priority="837">
      <formula>#REF!="Subetapa"</formula>
    </cfRule>
  </conditionalFormatting>
  <conditionalFormatting sqref="B237:I237 B238:E238 G238:I238">
    <cfRule type="expression" dxfId="719" priority="836">
      <formula>#REF!="Serviço"</formula>
    </cfRule>
  </conditionalFormatting>
  <conditionalFormatting sqref="E237:E238">
    <cfRule type="expression" dxfId="718" priority="835">
      <formula>#REF!="Serviço"</formula>
    </cfRule>
  </conditionalFormatting>
  <conditionalFormatting sqref="B240:I240 B241:E241 G241:I241">
    <cfRule type="expression" dxfId="717" priority="834">
      <formula>#REF!="Subetapa"</formula>
    </cfRule>
  </conditionalFormatting>
  <conditionalFormatting sqref="B240:I240 B241:E241 G241:I241">
    <cfRule type="expression" dxfId="716" priority="833">
      <formula>#REF!="Serviço"</formula>
    </cfRule>
  </conditionalFormatting>
  <conditionalFormatting sqref="E240:E241">
    <cfRule type="expression" dxfId="715" priority="832">
      <formula>#REF!="Serviço"</formula>
    </cfRule>
  </conditionalFormatting>
  <conditionalFormatting sqref="I268 I282:I285 I280 I277:I278 I270:I271 I273:I275 I265:I266 I287:I306">
    <cfRule type="expression" dxfId="714" priority="6116">
      <formula>#REF!="Subetapa"</formula>
    </cfRule>
  </conditionalFormatting>
  <conditionalFormatting sqref="E253:E259">
    <cfRule type="expression" dxfId="713" priority="830">
      <formula>$B253="Serviço"</formula>
    </cfRule>
  </conditionalFormatting>
  <conditionalFormatting sqref="E253:E259">
    <cfRule type="expression" dxfId="712" priority="831">
      <formula>$B253="Subetapa"</formula>
    </cfRule>
  </conditionalFormatting>
  <conditionalFormatting sqref="I236">
    <cfRule type="expression" dxfId="711" priority="828">
      <formula>$B236="Subetapa"</formula>
    </cfRule>
  </conditionalFormatting>
  <conditionalFormatting sqref="I236">
    <cfRule type="expression" dxfId="710" priority="829">
      <formula>$B201="Serviço"</formula>
    </cfRule>
  </conditionalFormatting>
  <conditionalFormatting sqref="I239">
    <cfRule type="expression" dxfId="709" priority="826">
      <formula>$B239="Subetapa"</formula>
    </cfRule>
  </conditionalFormatting>
  <conditionalFormatting sqref="I239">
    <cfRule type="expression" dxfId="708" priority="827">
      <formula>$B205="Serviço"</formula>
    </cfRule>
  </conditionalFormatting>
  <conditionalFormatting sqref="D225">
    <cfRule type="expression" dxfId="707" priority="824">
      <formula>$B225="Serviço"</formula>
    </cfRule>
    <cfRule type="expression" dxfId="706" priority="825">
      <formula>$B225="Subetapa"</formula>
    </cfRule>
  </conditionalFormatting>
  <conditionalFormatting sqref="D228">
    <cfRule type="expression" dxfId="705" priority="822">
      <formula>$B228="Serviço"</formula>
    </cfRule>
    <cfRule type="expression" dxfId="704" priority="823">
      <formula>$B228="Subetapa"</formula>
    </cfRule>
  </conditionalFormatting>
  <conditionalFormatting sqref="D231">
    <cfRule type="expression" dxfId="703" priority="820">
      <formula>$B231="Serviço"</formula>
    </cfRule>
    <cfRule type="expression" dxfId="702" priority="821">
      <formula>$B231="Subetapa"</formula>
    </cfRule>
  </conditionalFormatting>
  <conditionalFormatting sqref="B264:I264">
    <cfRule type="expression" dxfId="701" priority="818">
      <formula>$B264="Serviço"</formula>
    </cfRule>
  </conditionalFormatting>
  <conditionalFormatting sqref="B264:I264">
    <cfRule type="expression" dxfId="700" priority="819">
      <formula>$B264="Subetapa"</formula>
    </cfRule>
  </conditionalFormatting>
  <conditionalFormatting sqref="B267:I267">
    <cfRule type="expression" dxfId="699" priority="816">
      <formula>$B267="Serviço"</formula>
    </cfRule>
  </conditionalFormatting>
  <conditionalFormatting sqref="B267:I267">
    <cfRule type="expression" dxfId="698" priority="817">
      <formula>$B267="Subetapa"</formula>
    </cfRule>
  </conditionalFormatting>
  <conditionalFormatting sqref="B269:I269">
    <cfRule type="expression" dxfId="697" priority="814">
      <formula>$B269="Serviço"</formula>
    </cfRule>
  </conditionalFormatting>
  <conditionalFormatting sqref="B269:I269">
    <cfRule type="expression" dxfId="696" priority="815">
      <formula>$B269="Subetapa"</formula>
    </cfRule>
  </conditionalFormatting>
  <conditionalFormatting sqref="B279:I279">
    <cfRule type="expression" dxfId="695" priority="808">
      <formula>$B279="Serviço"</formula>
    </cfRule>
  </conditionalFormatting>
  <conditionalFormatting sqref="B279:I279">
    <cfRule type="expression" dxfId="694" priority="809">
      <formula>$B279="Subetapa"</formula>
    </cfRule>
  </conditionalFormatting>
  <conditionalFormatting sqref="B281:I281">
    <cfRule type="expression" dxfId="693" priority="806">
      <formula>$B281="Serviço"</formula>
    </cfRule>
  </conditionalFormatting>
  <conditionalFormatting sqref="B281:I281">
    <cfRule type="expression" dxfId="692" priority="807">
      <formula>$B281="Subetapa"</formula>
    </cfRule>
  </conditionalFormatting>
  <conditionalFormatting sqref="C280">
    <cfRule type="expression" dxfId="691" priority="802">
      <formula>$B280="Serviço"</formula>
    </cfRule>
  </conditionalFormatting>
  <conditionalFormatting sqref="C280">
    <cfRule type="expression" dxfId="690" priority="803">
      <formula>$B280="Subetapa"</formula>
    </cfRule>
  </conditionalFormatting>
  <conditionalFormatting sqref="D280:E280">
    <cfRule type="expression" dxfId="689" priority="804">
      <formula>#REF!="Serviço"</formula>
    </cfRule>
  </conditionalFormatting>
  <conditionalFormatting sqref="D280:E280">
    <cfRule type="expression" dxfId="688" priority="805">
      <formula>#REF!="Subetapa"</formula>
    </cfRule>
  </conditionalFormatting>
  <conditionalFormatting sqref="C277:C278">
    <cfRule type="expression" dxfId="687" priority="798">
      <formula>$B277="Serviço"</formula>
    </cfRule>
  </conditionalFormatting>
  <conditionalFormatting sqref="C277:C278">
    <cfRule type="expression" dxfId="686" priority="799">
      <formula>$B277="Subetapa"</formula>
    </cfRule>
  </conditionalFormatting>
  <conditionalFormatting sqref="D277:E278">
    <cfRule type="expression" dxfId="685" priority="800">
      <formula>#REF!="Serviço"</formula>
    </cfRule>
  </conditionalFormatting>
  <conditionalFormatting sqref="D277:E278">
    <cfRule type="expression" dxfId="684" priority="801">
      <formula>#REF!="Subetapa"</formula>
    </cfRule>
  </conditionalFormatting>
  <conditionalFormatting sqref="B276:I276">
    <cfRule type="expression" dxfId="683" priority="794">
      <formula>$B276="Serviço"</formula>
    </cfRule>
  </conditionalFormatting>
  <conditionalFormatting sqref="B276:I276">
    <cfRule type="expression" dxfId="682" priority="795">
      <formula>$B276="Subetapa"</formula>
    </cfRule>
  </conditionalFormatting>
  <conditionalFormatting sqref="B272:I272">
    <cfRule type="expression" dxfId="681" priority="792">
      <formula>$B272="Serviço"</formula>
    </cfRule>
  </conditionalFormatting>
  <conditionalFormatting sqref="B272:I272">
    <cfRule type="expression" dxfId="680" priority="793">
      <formula>$B272="Subetapa"</formula>
    </cfRule>
  </conditionalFormatting>
  <conditionalFormatting sqref="B332:G333">
    <cfRule type="expression" dxfId="679" priority="776">
      <formula>$B332="Subetapa"</formula>
    </cfRule>
  </conditionalFormatting>
  <conditionalFormatting sqref="B332:G333">
    <cfRule type="expression" dxfId="678" priority="777">
      <formula>$B332="Serviço"</formula>
    </cfRule>
  </conditionalFormatting>
  <conditionalFormatting sqref="E332:E333">
    <cfRule type="expression" dxfId="677" priority="778">
      <formula>#REF!="Serviço"</formula>
    </cfRule>
  </conditionalFormatting>
  <conditionalFormatting sqref="C332:C333">
    <cfRule type="expression" dxfId="676" priority="769">
      <formula>$I332="SUBETAPA"</formula>
    </cfRule>
  </conditionalFormatting>
  <conditionalFormatting sqref="C332:C333">
    <cfRule type="expression" dxfId="675" priority="770">
      <formula>$I332="CÉLULA CONSTRUTIVA"</formula>
    </cfRule>
  </conditionalFormatting>
  <conditionalFormatting sqref="C332:C333">
    <cfRule type="expression" dxfId="674" priority="771">
      <formula>$I332="ETAPA"</formula>
    </cfRule>
  </conditionalFormatting>
  <conditionalFormatting sqref="D332:D333">
    <cfRule type="expression" dxfId="673" priority="772">
      <formula>$I332="SUBETAPA"</formula>
    </cfRule>
  </conditionalFormatting>
  <conditionalFormatting sqref="D332:D333">
    <cfRule type="expression" dxfId="672" priority="773">
      <formula>$I332="CÉLULA CONSTRUTIVA"</formula>
    </cfRule>
  </conditionalFormatting>
  <conditionalFormatting sqref="D332:D333">
    <cfRule type="expression" dxfId="671" priority="774">
      <formula>$I332="ETAPA"</formula>
    </cfRule>
  </conditionalFormatting>
  <conditionalFormatting sqref="E332:E333">
    <cfRule type="expression" dxfId="670" priority="775">
      <formula>#REF!="Subetapa"</formula>
    </cfRule>
  </conditionalFormatting>
  <conditionalFormatting sqref="B331:G331">
    <cfRule type="expression" dxfId="669" priority="761">
      <formula>$B331="Subetapa"</formula>
    </cfRule>
  </conditionalFormatting>
  <conditionalFormatting sqref="B331:G331">
    <cfRule type="expression" dxfId="668" priority="762">
      <formula>$B331="Serviço"</formula>
    </cfRule>
  </conditionalFormatting>
  <conditionalFormatting sqref="C331">
    <cfRule type="expression" dxfId="667" priority="755">
      <formula>$I331="SUBETAPA"</formula>
    </cfRule>
  </conditionalFormatting>
  <conditionalFormatting sqref="C331">
    <cfRule type="expression" dxfId="666" priority="756">
      <formula>$I331="CÉLULA CONSTRUTIVA"</formula>
    </cfRule>
  </conditionalFormatting>
  <conditionalFormatting sqref="C331">
    <cfRule type="expression" dxfId="665" priority="757">
      <formula>$I331="ETAPA"</formula>
    </cfRule>
  </conditionalFormatting>
  <conditionalFormatting sqref="D331">
    <cfRule type="expression" dxfId="664" priority="758">
      <formula>$I331="SUBETAPA"</formula>
    </cfRule>
  </conditionalFormatting>
  <conditionalFormatting sqref="D331">
    <cfRule type="expression" dxfId="663" priority="759">
      <formula>$I331="CÉLULA CONSTRUTIVA"</formula>
    </cfRule>
  </conditionalFormatting>
  <conditionalFormatting sqref="D331">
    <cfRule type="expression" dxfId="662" priority="760">
      <formula>$I331="ETAPA"</formula>
    </cfRule>
  </conditionalFormatting>
  <conditionalFormatting sqref="E327 E330">
    <cfRule type="expression" dxfId="661" priority="754">
      <formula>#REF!="Subetapa"</formula>
    </cfRule>
  </conditionalFormatting>
  <conditionalFormatting sqref="F229">
    <cfRule type="expression" dxfId="660" priority="753">
      <formula>#REF!="Subetapa"</formula>
    </cfRule>
  </conditionalFormatting>
  <conditionalFormatting sqref="F229">
    <cfRule type="expression" dxfId="659" priority="752">
      <formula>#REF!="Serviço"</formula>
    </cfRule>
  </conditionalFormatting>
  <conditionalFormatting sqref="F232">
    <cfRule type="expression" dxfId="658" priority="751">
      <formula>#REF!="Subetapa"</formula>
    </cfRule>
  </conditionalFormatting>
  <conditionalFormatting sqref="F232">
    <cfRule type="expression" dxfId="657" priority="750">
      <formula>#REF!="Serviço"</formula>
    </cfRule>
  </conditionalFormatting>
  <conditionalFormatting sqref="F235">
    <cfRule type="expression" dxfId="656" priority="749">
      <formula>#REF!="Subetapa"</formula>
    </cfRule>
  </conditionalFormatting>
  <conditionalFormatting sqref="F235">
    <cfRule type="expression" dxfId="655" priority="748">
      <formula>#REF!="Serviço"</formula>
    </cfRule>
  </conditionalFormatting>
  <conditionalFormatting sqref="F238">
    <cfRule type="expression" dxfId="654" priority="747">
      <formula>#REF!="Subetapa"</formula>
    </cfRule>
  </conditionalFormatting>
  <conditionalFormatting sqref="F238">
    <cfRule type="expression" dxfId="653" priority="746">
      <formula>#REF!="Serviço"</formula>
    </cfRule>
  </conditionalFormatting>
  <conditionalFormatting sqref="F241">
    <cfRule type="expression" dxfId="652" priority="745">
      <formula>#REF!="Subetapa"</formula>
    </cfRule>
  </conditionalFormatting>
  <conditionalFormatting sqref="F241">
    <cfRule type="expression" dxfId="651" priority="744">
      <formula>#REF!="Serviço"</formula>
    </cfRule>
  </conditionalFormatting>
  <conditionalFormatting sqref="B245:I245">
    <cfRule type="expression" dxfId="650" priority="743">
      <formula>$B245="Subetapa"</formula>
    </cfRule>
  </conditionalFormatting>
  <conditionalFormatting sqref="H331:I333 H351:I351">
    <cfRule type="expression" dxfId="649" priority="6274">
      <formula>$B285="Subetapa"</formula>
    </cfRule>
  </conditionalFormatting>
  <conditionalFormatting sqref="E329">
    <cfRule type="expression" dxfId="648" priority="742">
      <formula>$B163="Subetapa"</formula>
    </cfRule>
  </conditionalFormatting>
  <conditionalFormatting sqref="B334:I334">
    <cfRule type="expression" dxfId="647" priority="740">
      <formula>#REF!="Subetapa"</formula>
    </cfRule>
  </conditionalFormatting>
  <conditionalFormatting sqref="B334:I334">
    <cfRule type="expression" dxfId="646" priority="741">
      <formula>$B334="Serviço"</formula>
    </cfRule>
  </conditionalFormatting>
  <conditionalFormatting sqref="B345:I345">
    <cfRule type="expression" dxfId="645" priority="738">
      <formula>#REF!="Subetapa"</formula>
    </cfRule>
  </conditionalFormatting>
  <conditionalFormatting sqref="B345:I345">
    <cfRule type="expression" dxfId="644" priority="739">
      <formula>$B345="Serviço"</formula>
    </cfRule>
  </conditionalFormatting>
  <conditionalFormatting sqref="B335:G335">
    <cfRule type="expression" dxfId="643" priority="735">
      <formula>$B335="Subetapa"</formula>
    </cfRule>
  </conditionalFormatting>
  <conditionalFormatting sqref="B335:G335">
    <cfRule type="expression" dxfId="642" priority="736">
      <formula>$B335="Serviço"</formula>
    </cfRule>
  </conditionalFormatting>
  <conditionalFormatting sqref="C335">
    <cfRule type="expression" dxfId="641" priority="729">
      <formula>$I335="SUBETAPA"</formula>
    </cfRule>
  </conditionalFormatting>
  <conditionalFormatting sqref="C335">
    <cfRule type="expression" dxfId="640" priority="730">
      <formula>$I335="CÉLULA CONSTRUTIVA"</formula>
    </cfRule>
  </conditionalFormatting>
  <conditionalFormatting sqref="C335">
    <cfRule type="expression" dxfId="639" priority="731">
      <formula>$I335="ETAPA"</formula>
    </cfRule>
  </conditionalFormatting>
  <conditionalFormatting sqref="D335">
    <cfRule type="expression" dxfId="638" priority="732">
      <formula>$I335="SUBETAPA"</formula>
    </cfRule>
  </conditionalFormatting>
  <conditionalFormatting sqref="D335">
    <cfRule type="expression" dxfId="637" priority="733">
      <formula>$I335="CÉLULA CONSTRUTIVA"</formula>
    </cfRule>
  </conditionalFormatting>
  <conditionalFormatting sqref="D335">
    <cfRule type="expression" dxfId="636" priority="734">
      <formula>$I335="ETAPA"</formula>
    </cfRule>
  </conditionalFormatting>
  <conditionalFormatting sqref="H335:I335">
    <cfRule type="expression" dxfId="635" priority="737">
      <formula>$B289="Subetapa"</formula>
    </cfRule>
  </conditionalFormatting>
  <conditionalFormatting sqref="B336:G339">
    <cfRule type="expression" dxfId="634" priority="725">
      <formula>$B336="Subetapa"</formula>
    </cfRule>
  </conditionalFormatting>
  <conditionalFormatting sqref="B336:G339">
    <cfRule type="expression" dxfId="633" priority="726">
      <formula>$B336="Serviço"</formula>
    </cfRule>
  </conditionalFormatting>
  <conditionalFormatting sqref="E336:E339">
    <cfRule type="expression" dxfId="632" priority="727">
      <formula>#REF!="Serviço"</formula>
    </cfRule>
  </conditionalFormatting>
  <conditionalFormatting sqref="C336:C339">
    <cfRule type="expression" dxfId="631" priority="718">
      <formula>$I336="SUBETAPA"</formula>
    </cfRule>
  </conditionalFormatting>
  <conditionalFormatting sqref="C336:C339">
    <cfRule type="expression" dxfId="630" priority="719">
      <formula>$I336="CÉLULA CONSTRUTIVA"</formula>
    </cfRule>
  </conditionalFormatting>
  <conditionalFormatting sqref="C336:C339">
    <cfRule type="expression" dxfId="629" priority="720">
      <formula>$I336="ETAPA"</formula>
    </cfRule>
  </conditionalFormatting>
  <conditionalFormatting sqref="D336:D339">
    <cfRule type="expression" dxfId="628" priority="721">
      <formula>$I336="SUBETAPA"</formula>
    </cfRule>
  </conditionalFormatting>
  <conditionalFormatting sqref="D336:D339">
    <cfRule type="expression" dxfId="627" priority="722">
      <formula>$I336="CÉLULA CONSTRUTIVA"</formula>
    </cfRule>
  </conditionalFormatting>
  <conditionalFormatting sqref="D336:D339">
    <cfRule type="expression" dxfId="626" priority="723">
      <formula>$I336="ETAPA"</formula>
    </cfRule>
  </conditionalFormatting>
  <conditionalFormatting sqref="E336:E339">
    <cfRule type="expression" dxfId="625" priority="724">
      <formula>#REF!="Subetapa"</formula>
    </cfRule>
  </conditionalFormatting>
  <conditionalFormatting sqref="H336:I339">
    <cfRule type="expression" dxfId="624" priority="728">
      <formula>$B290="Subetapa"</formula>
    </cfRule>
  </conditionalFormatting>
  <conditionalFormatting sqref="B340:G340">
    <cfRule type="expression" dxfId="623" priority="715">
      <formula>$B340="Subetapa"</formula>
    </cfRule>
  </conditionalFormatting>
  <conditionalFormatting sqref="B340:G340">
    <cfRule type="expression" dxfId="622" priority="716">
      <formula>$B340="Serviço"</formula>
    </cfRule>
  </conditionalFormatting>
  <conditionalFormatting sqref="C340">
    <cfRule type="expression" dxfId="621" priority="709">
      <formula>$I340="SUBETAPA"</formula>
    </cfRule>
  </conditionalFormatting>
  <conditionalFormatting sqref="C340">
    <cfRule type="expression" dxfId="620" priority="710">
      <formula>$I340="CÉLULA CONSTRUTIVA"</formula>
    </cfRule>
  </conditionalFormatting>
  <conditionalFormatting sqref="C340">
    <cfRule type="expression" dxfId="619" priority="711">
      <formula>$I340="ETAPA"</formula>
    </cfRule>
  </conditionalFormatting>
  <conditionalFormatting sqref="D340">
    <cfRule type="expression" dxfId="618" priority="712">
      <formula>$I340="SUBETAPA"</formula>
    </cfRule>
  </conditionalFormatting>
  <conditionalFormatting sqref="D340">
    <cfRule type="expression" dxfId="617" priority="713">
      <formula>$I340="CÉLULA CONSTRUTIVA"</formula>
    </cfRule>
  </conditionalFormatting>
  <conditionalFormatting sqref="D340">
    <cfRule type="expression" dxfId="616" priority="714">
      <formula>$I340="ETAPA"</formula>
    </cfRule>
  </conditionalFormatting>
  <conditionalFormatting sqref="H340:I340">
    <cfRule type="expression" dxfId="615" priority="717">
      <formula>$B294="Subetapa"</formula>
    </cfRule>
  </conditionalFormatting>
  <conditionalFormatting sqref="B342:G342">
    <cfRule type="expression" dxfId="614" priority="706">
      <formula>$B342="Subetapa"</formula>
    </cfRule>
  </conditionalFormatting>
  <conditionalFormatting sqref="B342:G342">
    <cfRule type="expression" dxfId="613" priority="707">
      <formula>$B342="Serviço"</formula>
    </cfRule>
  </conditionalFormatting>
  <conditionalFormatting sqref="C342">
    <cfRule type="expression" dxfId="612" priority="700">
      <formula>$I342="SUBETAPA"</formula>
    </cfRule>
  </conditionalFormatting>
  <conditionalFormatting sqref="C342">
    <cfRule type="expression" dxfId="611" priority="701">
      <formula>$I342="CÉLULA CONSTRUTIVA"</formula>
    </cfRule>
  </conditionalFormatting>
  <conditionalFormatting sqref="C342">
    <cfRule type="expression" dxfId="610" priority="702">
      <formula>$I342="ETAPA"</formula>
    </cfRule>
  </conditionalFormatting>
  <conditionalFormatting sqref="D342">
    <cfRule type="expression" dxfId="609" priority="703">
      <formula>$I342="SUBETAPA"</formula>
    </cfRule>
  </conditionalFormatting>
  <conditionalFormatting sqref="D342">
    <cfRule type="expression" dxfId="608" priority="704">
      <formula>$I342="CÉLULA CONSTRUTIVA"</formula>
    </cfRule>
  </conditionalFormatting>
  <conditionalFormatting sqref="D342">
    <cfRule type="expression" dxfId="607" priority="705">
      <formula>$I342="ETAPA"</formula>
    </cfRule>
  </conditionalFormatting>
  <conditionalFormatting sqref="H342:I342">
    <cfRule type="expression" dxfId="606" priority="708">
      <formula>$B296="Subetapa"</formula>
    </cfRule>
  </conditionalFormatting>
  <conditionalFormatting sqref="B341:G341">
    <cfRule type="expression" dxfId="605" priority="696">
      <formula>$B341="Subetapa"</formula>
    </cfRule>
  </conditionalFormatting>
  <conditionalFormatting sqref="B341:G341">
    <cfRule type="expression" dxfId="604" priority="697">
      <formula>$B341="Serviço"</formula>
    </cfRule>
  </conditionalFormatting>
  <conditionalFormatting sqref="E341">
    <cfRule type="expression" dxfId="603" priority="698">
      <formula>#REF!="Serviço"</formula>
    </cfRule>
  </conditionalFormatting>
  <conditionalFormatting sqref="C341">
    <cfRule type="expression" dxfId="602" priority="689">
      <formula>$I341="SUBETAPA"</formula>
    </cfRule>
  </conditionalFormatting>
  <conditionalFormatting sqref="C341">
    <cfRule type="expression" dxfId="601" priority="690">
      <formula>$I341="CÉLULA CONSTRUTIVA"</formula>
    </cfRule>
  </conditionalFormatting>
  <conditionalFormatting sqref="C341">
    <cfRule type="expression" dxfId="600" priority="691">
      <formula>$I341="ETAPA"</formula>
    </cfRule>
  </conditionalFormatting>
  <conditionalFormatting sqref="D341">
    <cfRule type="expression" dxfId="599" priority="692">
      <formula>$I341="SUBETAPA"</formula>
    </cfRule>
  </conditionalFormatting>
  <conditionalFormatting sqref="D341">
    <cfRule type="expression" dxfId="598" priority="693">
      <formula>$I341="CÉLULA CONSTRUTIVA"</formula>
    </cfRule>
  </conditionalFormatting>
  <conditionalFormatting sqref="D341">
    <cfRule type="expression" dxfId="597" priority="694">
      <formula>$I341="ETAPA"</formula>
    </cfRule>
  </conditionalFormatting>
  <conditionalFormatting sqref="E341">
    <cfRule type="expression" dxfId="596" priority="695">
      <formula>#REF!="Subetapa"</formula>
    </cfRule>
  </conditionalFormatting>
  <conditionalFormatting sqref="H341:I341">
    <cfRule type="expression" dxfId="595" priority="699">
      <formula>$B295="Subetapa"</formula>
    </cfRule>
  </conditionalFormatting>
  <conditionalFormatting sqref="B343:G344">
    <cfRule type="expression" dxfId="594" priority="685">
      <formula>$B343="Subetapa"</formula>
    </cfRule>
  </conditionalFormatting>
  <conditionalFormatting sqref="B343:G344">
    <cfRule type="expression" dxfId="593" priority="686">
      <formula>$B343="Serviço"</formula>
    </cfRule>
  </conditionalFormatting>
  <conditionalFormatting sqref="E343:E344">
    <cfRule type="expression" dxfId="592" priority="687">
      <formula>#REF!="Serviço"</formula>
    </cfRule>
  </conditionalFormatting>
  <conditionalFormatting sqref="C343:C344">
    <cfRule type="expression" dxfId="591" priority="678">
      <formula>$I343="SUBETAPA"</formula>
    </cfRule>
  </conditionalFormatting>
  <conditionalFormatting sqref="C343:C344">
    <cfRule type="expression" dxfId="590" priority="679">
      <formula>$I343="CÉLULA CONSTRUTIVA"</formula>
    </cfRule>
  </conditionalFormatting>
  <conditionalFormatting sqref="C343:C344">
    <cfRule type="expression" dxfId="589" priority="680">
      <formula>$I343="ETAPA"</formula>
    </cfRule>
  </conditionalFormatting>
  <conditionalFormatting sqref="D343:D344">
    <cfRule type="expression" dxfId="588" priority="681">
      <formula>$I343="SUBETAPA"</formula>
    </cfRule>
  </conditionalFormatting>
  <conditionalFormatting sqref="D343:D344">
    <cfRule type="expression" dxfId="587" priority="682">
      <formula>$I343="CÉLULA CONSTRUTIVA"</formula>
    </cfRule>
  </conditionalFormatting>
  <conditionalFormatting sqref="D343:D344">
    <cfRule type="expression" dxfId="586" priority="683">
      <formula>$I343="ETAPA"</formula>
    </cfRule>
  </conditionalFormatting>
  <conditionalFormatting sqref="E343:E344">
    <cfRule type="expression" dxfId="585" priority="684">
      <formula>#REF!="Subetapa"</formula>
    </cfRule>
  </conditionalFormatting>
  <conditionalFormatting sqref="H343:I344">
    <cfRule type="expression" dxfId="584" priority="688">
      <formula>$B297="Subetapa"</formula>
    </cfRule>
  </conditionalFormatting>
  <conditionalFormatting sqref="B346:G346">
    <cfRule type="expression" dxfId="583" priority="635">
      <formula>$B346="Subetapa"</formula>
    </cfRule>
  </conditionalFormatting>
  <conditionalFormatting sqref="B346:G346">
    <cfRule type="expression" dxfId="582" priority="636">
      <formula>$B346="Serviço"</formula>
    </cfRule>
  </conditionalFormatting>
  <conditionalFormatting sqref="C346">
    <cfRule type="expression" dxfId="581" priority="629">
      <formula>$I346="SUBETAPA"</formula>
    </cfRule>
  </conditionalFormatting>
  <conditionalFormatting sqref="C346">
    <cfRule type="expression" dxfId="580" priority="630">
      <formula>$I346="CÉLULA CONSTRUTIVA"</formula>
    </cfRule>
  </conditionalFormatting>
  <conditionalFormatting sqref="C346">
    <cfRule type="expression" dxfId="579" priority="631">
      <formula>$I346="ETAPA"</formula>
    </cfRule>
  </conditionalFormatting>
  <conditionalFormatting sqref="D346">
    <cfRule type="expression" dxfId="578" priority="632">
      <formula>$I346="SUBETAPA"</formula>
    </cfRule>
  </conditionalFormatting>
  <conditionalFormatting sqref="D346">
    <cfRule type="expression" dxfId="577" priority="633">
      <formula>$I346="CÉLULA CONSTRUTIVA"</formula>
    </cfRule>
  </conditionalFormatting>
  <conditionalFormatting sqref="D346">
    <cfRule type="expression" dxfId="576" priority="634">
      <formula>$I346="ETAPA"</formula>
    </cfRule>
  </conditionalFormatting>
  <conditionalFormatting sqref="H346:I346">
    <cfRule type="expression" dxfId="575" priority="637">
      <formula>$B300="Subetapa"</formula>
    </cfRule>
  </conditionalFormatting>
  <conditionalFormatting sqref="B347:G349">
    <cfRule type="expression" dxfId="574" priority="616">
      <formula>$B347="Subetapa"</formula>
    </cfRule>
  </conditionalFormatting>
  <conditionalFormatting sqref="B347:G349">
    <cfRule type="expression" dxfId="573" priority="617">
      <formula>$B347="Serviço"</formula>
    </cfRule>
  </conditionalFormatting>
  <conditionalFormatting sqref="E347:E349">
    <cfRule type="expression" dxfId="572" priority="618">
      <formula>#REF!="Serviço"</formula>
    </cfRule>
  </conditionalFormatting>
  <conditionalFormatting sqref="C347:C349">
    <cfRule type="expression" dxfId="571" priority="609">
      <formula>$I347="SUBETAPA"</formula>
    </cfRule>
  </conditionalFormatting>
  <conditionalFormatting sqref="C347:C349">
    <cfRule type="expression" dxfId="570" priority="610">
      <formula>$I347="CÉLULA CONSTRUTIVA"</formula>
    </cfRule>
  </conditionalFormatting>
  <conditionalFormatting sqref="C347:C349">
    <cfRule type="expression" dxfId="569" priority="611">
      <formula>$I347="ETAPA"</formula>
    </cfRule>
  </conditionalFormatting>
  <conditionalFormatting sqref="D347:D349">
    <cfRule type="expression" dxfId="568" priority="612">
      <formula>$I347="SUBETAPA"</formula>
    </cfRule>
  </conditionalFormatting>
  <conditionalFormatting sqref="D347:D349">
    <cfRule type="expression" dxfId="567" priority="613">
      <formula>$I347="CÉLULA CONSTRUTIVA"</formula>
    </cfRule>
  </conditionalFormatting>
  <conditionalFormatting sqref="D347:D349">
    <cfRule type="expression" dxfId="566" priority="614">
      <formula>$I347="ETAPA"</formula>
    </cfRule>
  </conditionalFormatting>
  <conditionalFormatting sqref="E347:E349">
    <cfRule type="expression" dxfId="565" priority="615">
      <formula>#REF!="Subetapa"</formula>
    </cfRule>
  </conditionalFormatting>
  <conditionalFormatting sqref="H347:I349">
    <cfRule type="expression" dxfId="564" priority="619">
      <formula>$B301="Subetapa"</formula>
    </cfRule>
  </conditionalFormatting>
  <conditionalFormatting sqref="B350:G350">
    <cfRule type="expression" dxfId="563" priority="595">
      <formula>$B350="Subetapa"</formula>
    </cfRule>
  </conditionalFormatting>
  <conditionalFormatting sqref="B350:G350">
    <cfRule type="expression" dxfId="562" priority="596">
      <formula>$B350="Serviço"</formula>
    </cfRule>
  </conditionalFormatting>
  <conditionalFormatting sqref="C350">
    <cfRule type="expression" dxfId="561" priority="589">
      <formula>$I350="SUBETAPA"</formula>
    </cfRule>
  </conditionalFormatting>
  <conditionalFormatting sqref="C350">
    <cfRule type="expression" dxfId="560" priority="590">
      <formula>$I350="CÉLULA CONSTRUTIVA"</formula>
    </cfRule>
  </conditionalFormatting>
  <conditionalFormatting sqref="C350">
    <cfRule type="expression" dxfId="559" priority="591">
      <formula>$I350="ETAPA"</formula>
    </cfRule>
  </conditionalFormatting>
  <conditionalFormatting sqref="D350">
    <cfRule type="expression" dxfId="558" priority="592">
      <formula>$I350="SUBETAPA"</formula>
    </cfRule>
  </conditionalFormatting>
  <conditionalFormatting sqref="D350">
    <cfRule type="expression" dxfId="557" priority="593">
      <formula>$I350="CÉLULA CONSTRUTIVA"</formula>
    </cfRule>
  </conditionalFormatting>
  <conditionalFormatting sqref="D350">
    <cfRule type="expression" dxfId="556" priority="594">
      <formula>$I350="ETAPA"</formula>
    </cfRule>
  </conditionalFormatting>
  <conditionalFormatting sqref="H350:I350">
    <cfRule type="expression" dxfId="555" priority="597">
      <formula>$B304="Subetapa"</formula>
    </cfRule>
  </conditionalFormatting>
  <conditionalFormatting sqref="H352:I352">
    <cfRule type="expression" dxfId="554" priority="6302">
      <formula>$B307="Subetapa"</formula>
    </cfRule>
  </conditionalFormatting>
  <conditionalFormatting sqref="C354:D355">
    <cfRule type="expression" dxfId="553" priority="582">
      <formula>$I354="SUBETAPA"</formula>
    </cfRule>
  </conditionalFormatting>
  <conditionalFormatting sqref="C354:D355">
    <cfRule type="expression" dxfId="552" priority="583">
      <formula>$I354="CÉLULA CONSTRUTIVA"</formula>
    </cfRule>
  </conditionalFormatting>
  <conditionalFormatting sqref="C354:D355">
    <cfRule type="expression" dxfId="551" priority="584">
      <formula>$I354="ETAPA"</formula>
    </cfRule>
  </conditionalFormatting>
  <conditionalFormatting sqref="E354:E355">
    <cfRule type="expression" dxfId="550" priority="585">
      <formula>#REF!="Serviço"</formula>
    </cfRule>
  </conditionalFormatting>
  <conditionalFormatting sqref="E354:E355">
    <cfRule type="expression" dxfId="549" priority="586">
      <formula>#REF!="Subetapa"</formula>
    </cfRule>
  </conditionalFormatting>
  <conditionalFormatting sqref="H354:I354">
    <cfRule type="expression" dxfId="548" priority="587">
      <formula>$B312="Subetapa"</formula>
    </cfRule>
  </conditionalFormatting>
  <conditionalFormatting sqref="B353:G353">
    <cfRule type="expression" dxfId="547" priority="579">
      <formula>$B353="Subetapa"</formula>
    </cfRule>
  </conditionalFormatting>
  <conditionalFormatting sqref="B353:G353">
    <cfRule type="expression" dxfId="546" priority="580">
      <formula>$B353="Serviço"</formula>
    </cfRule>
  </conditionalFormatting>
  <conditionalFormatting sqref="C353">
    <cfRule type="expression" dxfId="545" priority="573">
      <formula>$I353="SUBETAPA"</formula>
    </cfRule>
  </conditionalFormatting>
  <conditionalFormatting sqref="C353">
    <cfRule type="expression" dxfId="544" priority="574">
      <formula>$I353="CÉLULA CONSTRUTIVA"</formula>
    </cfRule>
  </conditionalFormatting>
  <conditionalFormatting sqref="C353">
    <cfRule type="expression" dxfId="543" priority="575">
      <formula>$I353="ETAPA"</formula>
    </cfRule>
  </conditionalFormatting>
  <conditionalFormatting sqref="D353">
    <cfRule type="expression" dxfId="542" priority="576">
      <formula>$I353="SUBETAPA"</formula>
    </cfRule>
  </conditionalFormatting>
  <conditionalFormatting sqref="D353">
    <cfRule type="expression" dxfId="541" priority="577">
      <formula>$I353="CÉLULA CONSTRUTIVA"</formula>
    </cfRule>
  </conditionalFormatting>
  <conditionalFormatting sqref="D353">
    <cfRule type="expression" dxfId="540" priority="578">
      <formula>$I353="ETAPA"</formula>
    </cfRule>
  </conditionalFormatting>
  <conditionalFormatting sqref="H353:I353">
    <cfRule type="expression" dxfId="539" priority="581">
      <formula>$B311="Subetapa"</formula>
    </cfRule>
  </conditionalFormatting>
  <conditionalFormatting sqref="H355:I355">
    <cfRule type="expression" dxfId="538" priority="588">
      <formula>$B314="Subetapa"</formula>
    </cfRule>
  </conditionalFormatting>
  <conditionalFormatting sqref="B356:G356">
    <cfRule type="expression" dxfId="537" priority="570">
      <formula>$B356="Subetapa"</formula>
    </cfRule>
  </conditionalFormatting>
  <conditionalFormatting sqref="B356:G356">
    <cfRule type="expression" dxfId="536" priority="571">
      <formula>$B356="Serviço"</formula>
    </cfRule>
  </conditionalFormatting>
  <conditionalFormatting sqref="C356">
    <cfRule type="expression" dxfId="535" priority="564">
      <formula>$I356="SUBETAPA"</formula>
    </cfRule>
  </conditionalFormatting>
  <conditionalFormatting sqref="C356">
    <cfRule type="expression" dxfId="534" priority="565">
      <formula>$I356="CÉLULA CONSTRUTIVA"</formula>
    </cfRule>
  </conditionalFormatting>
  <conditionalFormatting sqref="C356">
    <cfRule type="expression" dxfId="533" priority="566">
      <formula>$I356="ETAPA"</formula>
    </cfRule>
  </conditionalFormatting>
  <conditionalFormatting sqref="D356">
    <cfRule type="expression" dxfId="532" priority="567">
      <formula>$I356="SUBETAPA"</formula>
    </cfRule>
  </conditionalFormatting>
  <conditionalFormatting sqref="D356">
    <cfRule type="expression" dxfId="531" priority="568">
      <formula>$I356="CÉLULA CONSTRUTIVA"</formula>
    </cfRule>
  </conditionalFormatting>
  <conditionalFormatting sqref="D356">
    <cfRule type="expression" dxfId="530" priority="569">
      <formula>$I356="ETAPA"</formula>
    </cfRule>
  </conditionalFormatting>
  <conditionalFormatting sqref="H356:I356">
    <cfRule type="expression" dxfId="529" priority="572">
      <formula>$B310="Subetapa"</formula>
    </cfRule>
  </conditionalFormatting>
  <conditionalFormatting sqref="B359:G359">
    <cfRule type="expression" dxfId="528" priority="561">
      <formula>$B359="Subetapa"</formula>
    </cfRule>
  </conditionalFormatting>
  <conditionalFormatting sqref="B359:G359">
    <cfRule type="expression" dxfId="527" priority="562">
      <formula>$B359="Serviço"</formula>
    </cfRule>
  </conditionalFormatting>
  <conditionalFormatting sqref="C359">
    <cfRule type="expression" dxfId="526" priority="555">
      <formula>$I359="SUBETAPA"</formula>
    </cfRule>
  </conditionalFormatting>
  <conditionalFormatting sqref="C359">
    <cfRule type="expression" dxfId="525" priority="556">
      <formula>$I359="CÉLULA CONSTRUTIVA"</formula>
    </cfRule>
  </conditionalFormatting>
  <conditionalFormatting sqref="C359">
    <cfRule type="expression" dxfId="524" priority="557">
      <formula>$I359="ETAPA"</formula>
    </cfRule>
  </conditionalFormatting>
  <conditionalFormatting sqref="D359">
    <cfRule type="expression" dxfId="523" priority="558">
      <formula>$I359="SUBETAPA"</formula>
    </cfRule>
  </conditionalFormatting>
  <conditionalFormatting sqref="D359">
    <cfRule type="expression" dxfId="522" priority="559">
      <formula>$I359="CÉLULA CONSTRUTIVA"</formula>
    </cfRule>
  </conditionalFormatting>
  <conditionalFormatting sqref="D359">
    <cfRule type="expression" dxfId="521" priority="560">
      <formula>$I359="ETAPA"</formula>
    </cfRule>
  </conditionalFormatting>
  <conditionalFormatting sqref="H359:I359">
    <cfRule type="expression" dxfId="520" priority="563">
      <formula>$B313="Subetapa"</formula>
    </cfRule>
  </conditionalFormatting>
  <conditionalFormatting sqref="B362:G362">
    <cfRule type="expression" dxfId="519" priority="552">
      <formula>$B362="Subetapa"</formula>
    </cfRule>
  </conditionalFormatting>
  <conditionalFormatting sqref="B362:G362">
    <cfRule type="expression" dxfId="518" priority="553">
      <formula>$B362="Serviço"</formula>
    </cfRule>
  </conditionalFormatting>
  <conditionalFormatting sqref="C362">
    <cfRule type="expression" dxfId="517" priority="546">
      <formula>$I362="SUBETAPA"</formula>
    </cfRule>
  </conditionalFormatting>
  <conditionalFormatting sqref="C362">
    <cfRule type="expression" dxfId="516" priority="547">
      <formula>$I362="CÉLULA CONSTRUTIVA"</formula>
    </cfRule>
  </conditionalFormatting>
  <conditionalFormatting sqref="C362">
    <cfRule type="expression" dxfId="515" priority="548">
      <formula>$I362="ETAPA"</formula>
    </cfRule>
  </conditionalFormatting>
  <conditionalFormatting sqref="D362">
    <cfRule type="expression" dxfId="514" priority="549">
      <formula>$I362="SUBETAPA"</formula>
    </cfRule>
  </conditionalFormatting>
  <conditionalFormatting sqref="D362">
    <cfRule type="expression" dxfId="513" priority="550">
      <formula>$I362="CÉLULA CONSTRUTIVA"</formula>
    </cfRule>
  </conditionalFormatting>
  <conditionalFormatting sqref="D362">
    <cfRule type="expression" dxfId="512" priority="551">
      <formula>$I362="ETAPA"</formula>
    </cfRule>
  </conditionalFormatting>
  <conditionalFormatting sqref="H362:I362">
    <cfRule type="expression" dxfId="511" priority="554">
      <formula>$B316="Subetapa"</formula>
    </cfRule>
  </conditionalFormatting>
  <conditionalFormatting sqref="B367:G367">
    <cfRule type="expression" dxfId="510" priority="543">
      <formula>$B367="Subetapa"</formula>
    </cfRule>
  </conditionalFormatting>
  <conditionalFormatting sqref="B367:G367">
    <cfRule type="expression" dxfId="509" priority="544">
      <formula>$B367="Serviço"</formula>
    </cfRule>
  </conditionalFormatting>
  <conditionalFormatting sqref="C367">
    <cfRule type="expression" dxfId="508" priority="537">
      <formula>$I367="SUBETAPA"</formula>
    </cfRule>
  </conditionalFormatting>
  <conditionalFormatting sqref="C367">
    <cfRule type="expression" dxfId="507" priority="538">
      <formula>$I367="CÉLULA CONSTRUTIVA"</formula>
    </cfRule>
  </conditionalFormatting>
  <conditionalFormatting sqref="C367">
    <cfRule type="expression" dxfId="506" priority="539">
      <formula>$I367="ETAPA"</formula>
    </cfRule>
  </conditionalFormatting>
  <conditionalFormatting sqref="D367">
    <cfRule type="expression" dxfId="505" priority="540">
      <formula>$I367="SUBETAPA"</formula>
    </cfRule>
  </conditionalFormatting>
  <conditionalFormatting sqref="D367">
    <cfRule type="expression" dxfId="504" priority="541">
      <formula>$I367="CÉLULA CONSTRUTIVA"</formula>
    </cfRule>
  </conditionalFormatting>
  <conditionalFormatting sqref="D367">
    <cfRule type="expression" dxfId="503" priority="542">
      <formula>$I367="ETAPA"</formula>
    </cfRule>
  </conditionalFormatting>
  <conditionalFormatting sqref="H367:I367">
    <cfRule type="expression" dxfId="502" priority="545">
      <formula>$B321="Subetapa"</formula>
    </cfRule>
  </conditionalFormatting>
  <conditionalFormatting sqref="B372:G372">
    <cfRule type="expression" dxfId="501" priority="534">
      <formula>$B372="Subetapa"</formula>
    </cfRule>
  </conditionalFormatting>
  <conditionalFormatting sqref="B372:G372">
    <cfRule type="expression" dxfId="500" priority="535">
      <formula>$B372="Serviço"</formula>
    </cfRule>
  </conditionalFormatting>
  <conditionalFormatting sqref="C372">
    <cfRule type="expression" dxfId="499" priority="528">
      <formula>$I372="SUBETAPA"</formula>
    </cfRule>
  </conditionalFormatting>
  <conditionalFormatting sqref="C372">
    <cfRule type="expression" dxfId="498" priority="529">
      <formula>$I372="CÉLULA CONSTRUTIVA"</formula>
    </cfRule>
  </conditionalFormatting>
  <conditionalFormatting sqref="C372">
    <cfRule type="expression" dxfId="497" priority="530">
      <formula>$I372="ETAPA"</formula>
    </cfRule>
  </conditionalFormatting>
  <conditionalFormatting sqref="D372">
    <cfRule type="expression" dxfId="496" priority="531">
      <formula>$I372="SUBETAPA"</formula>
    </cfRule>
  </conditionalFormatting>
  <conditionalFormatting sqref="D372">
    <cfRule type="expression" dxfId="495" priority="532">
      <formula>$I372="CÉLULA CONSTRUTIVA"</formula>
    </cfRule>
  </conditionalFormatting>
  <conditionalFormatting sqref="D372">
    <cfRule type="expression" dxfId="494" priority="533">
      <formula>$I372="ETAPA"</formula>
    </cfRule>
  </conditionalFormatting>
  <conditionalFormatting sqref="H372:I372">
    <cfRule type="expression" dxfId="493" priority="536">
      <formula>$B326="Subetapa"</formula>
    </cfRule>
  </conditionalFormatting>
  <conditionalFormatting sqref="C357:D358">
    <cfRule type="expression" dxfId="492" priority="522">
      <formula>$I357="SUBETAPA"</formula>
    </cfRule>
  </conditionalFormatting>
  <conditionalFormatting sqref="C357:D358">
    <cfRule type="expression" dxfId="491" priority="523">
      <formula>$I357="CÉLULA CONSTRUTIVA"</formula>
    </cfRule>
  </conditionalFormatting>
  <conditionalFormatting sqref="C357:D358">
    <cfRule type="expression" dxfId="490" priority="524">
      <formula>$I357="ETAPA"</formula>
    </cfRule>
  </conditionalFormatting>
  <conditionalFormatting sqref="E357:E358">
    <cfRule type="expression" dxfId="489" priority="525">
      <formula>#REF!="Serviço"</formula>
    </cfRule>
  </conditionalFormatting>
  <conditionalFormatting sqref="E357:E358">
    <cfRule type="expression" dxfId="488" priority="526">
      <formula>#REF!="Subetapa"</formula>
    </cfRule>
  </conditionalFormatting>
  <conditionalFormatting sqref="H357:I358">
    <cfRule type="expression" dxfId="487" priority="527">
      <formula>$B311="Subetapa"</formula>
    </cfRule>
  </conditionalFormatting>
  <conditionalFormatting sqref="C360:D361">
    <cfRule type="expression" dxfId="486" priority="516">
      <formula>$I360="SUBETAPA"</formula>
    </cfRule>
  </conditionalFormatting>
  <conditionalFormatting sqref="C360:D361">
    <cfRule type="expression" dxfId="485" priority="517">
      <formula>$I360="CÉLULA CONSTRUTIVA"</formula>
    </cfRule>
  </conditionalFormatting>
  <conditionalFormatting sqref="C360:D361">
    <cfRule type="expression" dxfId="484" priority="518">
      <formula>$I360="ETAPA"</formula>
    </cfRule>
  </conditionalFormatting>
  <conditionalFormatting sqref="E360:E361">
    <cfRule type="expression" dxfId="483" priority="519">
      <formula>#REF!="Serviço"</formula>
    </cfRule>
  </conditionalFormatting>
  <conditionalFormatting sqref="E360:E361">
    <cfRule type="expression" dxfId="482" priority="520">
      <formula>#REF!="Subetapa"</formula>
    </cfRule>
  </conditionalFormatting>
  <conditionalFormatting sqref="H360:I361">
    <cfRule type="expression" dxfId="481" priority="521">
      <formula>$B314="Subetapa"</formula>
    </cfRule>
  </conditionalFormatting>
  <conditionalFormatting sqref="C363:D366">
    <cfRule type="expression" dxfId="480" priority="510">
      <formula>$I363="SUBETAPA"</formula>
    </cfRule>
  </conditionalFormatting>
  <conditionalFormatting sqref="C363:D366">
    <cfRule type="expression" dxfId="479" priority="511">
      <formula>$I363="CÉLULA CONSTRUTIVA"</formula>
    </cfRule>
  </conditionalFormatting>
  <conditionalFormatting sqref="C363:D366">
    <cfRule type="expression" dxfId="478" priority="512">
      <formula>$I363="ETAPA"</formula>
    </cfRule>
  </conditionalFormatting>
  <conditionalFormatting sqref="E363:E366">
    <cfRule type="expression" dxfId="477" priority="513">
      <formula>#REF!="Serviço"</formula>
    </cfRule>
  </conditionalFormatting>
  <conditionalFormatting sqref="E363:E366">
    <cfRule type="expression" dxfId="476" priority="514">
      <formula>#REF!="Subetapa"</formula>
    </cfRule>
  </conditionalFormatting>
  <conditionalFormatting sqref="H363:I366">
    <cfRule type="expression" dxfId="475" priority="515">
      <formula>$B317="Subetapa"</formula>
    </cfRule>
  </conditionalFormatting>
  <conditionalFormatting sqref="C368:D371">
    <cfRule type="expression" dxfId="474" priority="504">
      <formula>$I368="SUBETAPA"</formula>
    </cfRule>
  </conditionalFormatting>
  <conditionalFormatting sqref="C368:D371">
    <cfRule type="expression" dxfId="473" priority="505">
      <formula>$I368="CÉLULA CONSTRUTIVA"</formula>
    </cfRule>
  </conditionalFormatting>
  <conditionalFormatting sqref="C368:D371">
    <cfRule type="expression" dxfId="472" priority="506">
      <formula>$I368="ETAPA"</formula>
    </cfRule>
  </conditionalFormatting>
  <conditionalFormatting sqref="E368:E371">
    <cfRule type="expression" dxfId="471" priority="507">
      <formula>#REF!="Serviço"</formula>
    </cfRule>
  </conditionalFormatting>
  <conditionalFormatting sqref="E368:E371">
    <cfRule type="expression" dxfId="470" priority="508">
      <formula>#REF!="Subetapa"</formula>
    </cfRule>
  </conditionalFormatting>
  <conditionalFormatting sqref="H368:I371">
    <cfRule type="expression" dxfId="469" priority="509">
      <formula>$B322="Subetapa"</formula>
    </cfRule>
  </conditionalFormatting>
  <conditionalFormatting sqref="C373:D376 C378:D381">
    <cfRule type="expression" dxfId="468" priority="498">
      <formula>$I373="SUBETAPA"</formula>
    </cfRule>
  </conditionalFormatting>
  <conditionalFormatting sqref="C373:D376 C378:D381">
    <cfRule type="expression" dxfId="467" priority="499">
      <formula>$I373="CÉLULA CONSTRUTIVA"</formula>
    </cfRule>
  </conditionalFormatting>
  <conditionalFormatting sqref="C373:D376 C378:D381">
    <cfRule type="expression" dxfId="466" priority="500">
      <formula>$I373="ETAPA"</formula>
    </cfRule>
  </conditionalFormatting>
  <conditionalFormatting sqref="E373:E376 E378:E381">
    <cfRule type="expression" dxfId="465" priority="501">
      <formula>#REF!="Serviço"</formula>
    </cfRule>
  </conditionalFormatting>
  <conditionalFormatting sqref="E373:E376 E378:E381">
    <cfRule type="expression" dxfId="464" priority="502">
      <formula>#REF!="Subetapa"</formula>
    </cfRule>
  </conditionalFormatting>
  <conditionalFormatting sqref="H373:I376 H378:I381">
    <cfRule type="expression" dxfId="463" priority="503">
      <formula>$B327="Subetapa"</formula>
    </cfRule>
  </conditionalFormatting>
  <conditionalFormatting sqref="B382:G382">
    <cfRule type="expression" dxfId="462" priority="495">
      <formula>$B382="Subetapa"</formula>
    </cfRule>
  </conditionalFormatting>
  <conditionalFormatting sqref="B382:G382">
    <cfRule type="expression" dxfId="461" priority="496">
      <formula>$B382="Serviço"</formula>
    </cfRule>
  </conditionalFormatting>
  <conditionalFormatting sqref="C382">
    <cfRule type="expression" dxfId="460" priority="489">
      <formula>$I382="SUBETAPA"</formula>
    </cfRule>
  </conditionalFormatting>
  <conditionalFormatting sqref="C382">
    <cfRule type="expression" dxfId="459" priority="490">
      <formula>$I382="CÉLULA CONSTRUTIVA"</formula>
    </cfRule>
  </conditionalFormatting>
  <conditionalFormatting sqref="C382">
    <cfRule type="expression" dxfId="458" priority="491">
      <formula>$I382="ETAPA"</formula>
    </cfRule>
  </conditionalFormatting>
  <conditionalFormatting sqref="D382">
    <cfRule type="expression" dxfId="457" priority="492">
      <formula>$I382="SUBETAPA"</formula>
    </cfRule>
  </conditionalFormatting>
  <conditionalFormatting sqref="D382">
    <cfRule type="expression" dxfId="456" priority="493">
      <formula>$I382="CÉLULA CONSTRUTIVA"</formula>
    </cfRule>
  </conditionalFormatting>
  <conditionalFormatting sqref="D382">
    <cfRule type="expression" dxfId="455" priority="494">
      <formula>$I382="ETAPA"</formula>
    </cfRule>
  </conditionalFormatting>
  <conditionalFormatting sqref="H382:I382 H399:I402">
    <cfRule type="expression" dxfId="454" priority="497">
      <formula>$B331="Subetapa"</formula>
    </cfRule>
  </conditionalFormatting>
  <conditionalFormatting sqref="B386:G386">
    <cfRule type="expression" dxfId="453" priority="486">
      <formula>$B386="Subetapa"</formula>
    </cfRule>
  </conditionalFormatting>
  <conditionalFormatting sqref="B386:G386">
    <cfRule type="expression" dxfId="452" priority="487">
      <formula>$B386="Serviço"</formula>
    </cfRule>
  </conditionalFormatting>
  <conditionalFormatting sqref="C386">
    <cfRule type="expression" dxfId="451" priority="480">
      <formula>$I386="SUBETAPA"</formula>
    </cfRule>
  </conditionalFormatting>
  <conditionalFormatting sqref="C386">
    <cfRule type="expression" dxfId="450" priority="481">
      <formula>$I386="CÉLULA CONSTRUTIVA"</formula>
    </cfRule>
  </conditionalFormatting>
  <conditionalFormatting sqref="C386">
    <cfRule type="expression" dxfId="449" priority="482">
      <formula>$I386="ETAPA"</formula>
    </cfRule>
  </conditionalFormatting>
  <conditionalFormatting sqref="D386">
    <cfRule type="expression" dxfId="448" priority="483">
      <formula>$I386="SUBETAPA"</formula>
    </cfRule>
  </conditionalFormatting>
  <conditionalFormatting sqref="D386">
    <cfRule type="expression" dxfId="447" priority="484">
      <formula>$I386="CÉLULA CONSTRUTIVA"</formula>
    </cfRule>
  </conditionalFormatting>
  <conditionalFormatting sqref="D386">
    <cfRule type="expression" dxfId="446" priority="485">
      <formula>$I386="ETAPA"</formula>
    </cfRule>
  </conditionalFormatting>
  <conditionalFormatting sqref="H386:I386">
    <cfRule type="expression" dxfId="445" priority="488">
      <formula>$B335="Subetapa"</formula>
    </cfRule>
  </conditionalFormatting>
  <conditionalFormatting sqref="B390:G390">
    <cfRule type="expression" dxfId="444" priority="477">
      <formula>$B390="Subetapa"</formula>
    </cfRule>
  </conditionalFormatting>
  <conditionalFormatting sqref="B390:G390">
    <cfRule type="expression" dxfId="443" priority="478">
      <formula>$B390="Serviço"</formula>
    </cfRule>
  </conditionalFormatting>
  <conditionalFormatting sqref="C390">
    <cfRule type="expression" dxfId="442" priority="471">
      <formula>$I390="SUBETAPA"</formula>
    </cfRule>
  </conditionalFormatting>
  <conditionalFormatting sqref="C390">
    <cfRule type="expression" dxfId="441" priority="472">
      <formula>$I390="CÉLULA CONSTRUTIVA"</formula>
    </cfRule>
  </conditionalFormatting>
  <conditionalFormatting sqref="C390">
    <cfRule type="expression" dxfId="440" priority="473">
      <formula>$I390="ETAPA"</formula>
    </cfRule>
  </conditionalFormatting>
  <conditionalFormatting sqref="D390">
    <cfRule type="expression" dxfId="439" priority="474">
      <formula>$I390="SUBETAPA"</formula>
    </cfRule>
  </conditionalFormatting>
  <conditionalFormatting sqref="D390">
    <cfRule type="expression" dxfId="438" priority="475">
      <formula>$I390="CÉLULA CONSTRUTIVA"</formula>
    </cfRule>
  </conditionalFormatting>
  <conditionalFormatting sqref="D390">
    <cfRule type="expression" dxfId="437" priority="476">
      <formula>$I390="ETAPA"</formula>
    </cfRule>
  </conditionalFormatting>
  <conditionalFormatting sqref="H390:I390">
    <cfRule type="expression" dxfId="436" priority="479">
      <formula>$B339="Subetapa"</formula>
    </cfRule>
  </conditionalFormatting>
  <conditionalFormatting sqref="B393:G393">
    <cfRule type="expression" dxfId="435" priority="468">
      <formula>$B393="Subetapa"</formula>
    </cfRule>
  </conditionalFormatting>
  <conditionalFormatting sqref="B393:G393">
    <cfRule type="expression" dxfId="434" priority="469">
      <formula>$B393="Serviço"</formula>
    </cfRule>
  </conditionalFormatting>
  <conditionalFormatting sqref="C393">
    <cfRule type="expression" dxfId="433" priority="462">
      <formula>$I393="SUBETAPA"</formula>
    </cfRule>
  </conditionalFormatting>
  <conditionalFormatting sqref="C393">
    <cfRule type="expression" dxfId="432" priority="463">
      <formula>$I393="CÉLULA CONSTRUTIVA"</formula>
    </cfRule>
  </conditionalFormatting>
  <conditionalFormatting sqref="C393">
    <cfRule type="expression" dxfId="431" priority="464">
      <formula>$I393="ETAPA"</formula>
    </cfRule>
  </conditionalFormatting>
  <conditionalFormatting sqref="D393">
    <cfRule type="expression" dxfId="430" priority="465">
      <formula>$I393="SUBETAPA"</formula>
    </cfRule>
  </conditionalFormatting>
  <conditionalFormatting sqref="D393">
    <cfRule type="expression" dxfId="429" priority="466">
      <formula>$I393="CÉLULA CONSTRUTIVA"</formula>
    </cfRule>
  </conditionalFormatting>
  <conditionalFormatting sqref="D393">
    <cfRule type="expression" dxfId="428" priority="467">
      <formula>$I393="ETAPA"</formula>
    </cfRule>
  </conditionalFormatting>
  <conditionalFormatting sqref="H393:I393">
    <cfRule type="expression" dxfId="427" priority="470">
      <formula>$B342="Subetapa"</formula>
    </cfRule>
  </conditionalFormatting>
  <conditionalFormatting sqref="C383:D385">
    <cfRule type="expression" dxfId="426" priority="456">
      <formula>$I383="SUBETAPA"</formula>
    </cfRule>
  </conditionalFormatting>
  <conditionalFormatting sqref="C383:D385">
    <cfRule type="expression" dxfId="425" priority="457">
      <formula>$I383="CÉLULA CONSTRUTIVA"</formula>
    </cfRule>
  </conditionalFormatting>
  <conditionalFormatting sqref="C383:D385">
    <cfRule type="expression" dxfId="424" priority="458">
      <formula>$I383="ETAPA"</formula>
    </cfRule>
  </conditionalFormatting>
  <conditionalFormatting sqref="E383:E385">
    <cfRule type="expression" dxfId="423" priority="459">
      <formula>#REF!="Serviço"</formula>
    </cfRule>
  </conditionalFormatting>
  <conditionalFormatting sqref="E383:E385">
    <cfRule type="expression" dxfId="422" priority="460">
      <formula>#REF!="Subetapa"</formula>
    </cfRule>
  </conditionalFormatting>
  <conditionalFormatting sqref="H383:I385">
    <cfRule type="expression" dxfId="421" priority="461">
      <formula>$B332="Subetapa"</formula>
    </cfRule>
  </conditionalFormatting>
  <conditionalFormatting sqref="C387:D389">
    <cfRule type="expression" dxfId="420" priority="450">
      <formula>$I387="SUBETAPA"</formula>
    </cfRule>
  </conditionalFormatting>
  <conditionalFormatting sqref="C387:D389">
    <cfRule type="expression" dxfId="419" priority="451">
      <formula>$I387="CÉLULA CONSTRUTIVA"</formula>
    </cfRule>
  </conditionalFormatting>
  <conditionalFormatting sqref="C387:D389">
    <cfRule type="expression" dxfId="418" priority="452">
      <formula>$I387="ETAPA"</formula>
    </cfRule>
  </conditionalFormatting>
  <conditionalFormatting sqref="E387:E389">
    <cfRule type="expression" dxfId="417" priority="453">
      <formula>#REF!="Serviço"</formula>
    </cfRule>
  </conditionalFormatting>
  <conditionalFormatting sqref="E387:E389">
    <cfRule type="expression" dxfId="416" priority="454">
      <formula>#REF!="Subetapa"</formula>
    </cfRule>
  </conditionalFormatting>
  <conditionalFormatting sqref="H387:I389">
    <cfRule type="expression" dxfId="415" priority="455">
      <formula>$B336="Subetapa"</formula>
    </cfRule>
  </conditionalFormatting>
  <conditionalFormatting sqref="C391:D392">
    <cfRule type="expression" dxfId="414" priority="444">
      <formula>$I391="SUBETAPA"</formula>
    </cfRule>
  </conditionalFormatting>
  <conditionalFormatting sqref="C391:D392">
    <cfRule type="expression" dxfId="413" priority="445">
      <formula>$I391="CÉLULA CONSTRUTIVA"</formula>
    </cfRule>
  </conditionalFormatting>
  <conditionalFormatting sqref="C391:D392">
    <cfRule type="expression" dxfId="412" priority="446">
      <formula>$I391="ETAPA"</formula>
    </cfRule>
  </conditionalFormatting>
  <conditionalFormatting sqref="E391:E392">
    <cfRule type="expression" dxfId="411" priority="447">
      <formula>#REF!="Serviço"</formula>
    </cfRule>
  </conditionalFormatting>
  <conditionalFormatting sqref="E391:E392">
    <cfRule type="expression" dxfId="410" priority="448">
      <formula>#REF!="Subetapa"</formula>
    </cfRule>
  </conditionalFormatting>
  <conditionalFormatting sqref="H391:I392">
    <cfRule type="expression" dxfId="409" priority="449">
      <formula>$B340="Subetapa"</formula>
    </cfRule>
  </conditionalFormatting>
  <conditionalFormatting sqref="C394:D397 C399:D402">
    <cfRule type="expression" dxfId="408" priority="438">
      <formula>$I394="SUBETAPA"</formula>
    </cfRule>
  </conditionalFormatting>
  <conditionalFormatting sqref="C394:D397 C399:D402">
    <cfRule type="expression" dxfId="407" priority="439">
      <formula>$I394="CÉLULA CONSTRUTIVA"</formula>
    </cfRule>
  </conditionalFormatting>
  <conditionalFormatting sqref="C394:D397 C399:D402">
    <cfRule type="expression" dxfId="406" priority="440">
      <formula>$I394="ETAPA"</formula>
    </cfRule>
  </conditionalFormatting>
  <conditionalFormatting sqref="E394:E397 E399:E402">
    <cfRule type="expression" dxfId="405" priority="441">
      <formula>#REF!="Serviço"</formula>
    </cfRule>
  </conditionalFormatting>
  <conditionalFormatting sqref="E394:E397 E399:E402">
    <cfRule type="expression" dxfId="404" priority="442">
      <formula>#REF!="Subetapa"</formula>
    </cfRule>
  </conditionalFormatting>
  <conditionalFormatting sqref="H394:I397">
    <cfRule type="expression" dxfId="403" priority="443">
      <formula>$B343="Subetapa"</formula>
    </cfRule>
  </conditionalFormatting>
  <conditionalFormatting sqref="B398:G398">
    <cfRule type="expression" dxfId="402" priority="435">
      <formula>$B398="Subetapa"</formula>
    </cfRule>
  </conditionalFormatting>
  <conditionalFormatting sqref="B398:G398">
    <cfRule type="expression" dxfId="401" priority="436">
      <formula>$B398="Serviço"</formula>
    </cfRule>
  </conditionalFormatting>
  <conditionalFormatting sqref="C398">
    <cfRule type="expression" dxfId="400" priority="429">
      <formula>$I398="SUBETAPA"</formula>
    </cfRule>
  </conditionalFormatting>
  <conditionalFormatting sqref="C398">
    <cfRule type="expression" dxfId="399" priority="430">
      <formula>$I398="CÉLULA CONSTRUTIVA"</formula>
    </cfRule>
  </conditionalFormatting>
  <conditionalFormatting sqref="C398">
    <cfRule type="expression" dxfId="398" priority="431">
      <formula>$I398="ETAPA"</formula>
    </cfRule>
  </conditionalFormatting>
  <conditionalFormatting sqref="D398">
    <cfRule type="expression" dxfId="397" priority="432">
      <formula>$I398="SUBETAPA"</formula>
    </cfRule>
  </conditionalFormatting>
  <conditionalFormatting sqref="D398">
    <cfRule type="expression" dxfId="396" priority="433">
      <formula>$I398="CÉLULA CONSTRUTIVA"</formula>
    </cfRule>
  </conditionalFormatting>
  <conditionalFormatting sqref="D398">
    <cfRule type="expression" dxfId="395" priority="434">
      <formula>$I398="ETAPA"</formula>
    </cfRule>
  </conditionalFormatting>
  <conditionalFormatting sqref="H398:I398">
    <cfRule type="expression" dxfId="394" priority="437">
      <formula>$B347="Subetapa"</formula>
    </cfRule>
  </conditionalFormatting>
  <conditionalFormatting sqref="B404:G404">
    <cfRule type="expression" dxfId="393" priority="426">
      <formula>$B404="Subetapa"</formula>
    </cfRule>
  </conditionalFormatting>
  <conditionalFormatting sqref="B404:G404">
    <cfRule type="expression" dxfId="392" priority="427">
      <formula>$B404="Serviço"</formula>
    </cfRule>
  </conditionalFormatting>
  <conditionalFormatting sqref="C404">
    <cfRule type="expression" dxfId="391" priority="420">
      <formula>$I404="SUBETAPA"</formula>
    </cfRule>
  </conditionalFormatting>
  <conditionalFormatting sqref="C404">
    <cfRule type="expression" dxfId="390" priority="421">
      <formula>$I404="CÉLULA CONSTRUTIVA"</formula>
    </cfRule>
  </conditionalFormatting>
  <conditionalFormatting sqref="C404">
    <cfRule type="expression" dxfId="389" priority="422">
      <formula>$I404="ETAPA"</formula>
    </cfRule>
  </conditionalFormatting>
  <conditionalFormatting sqref="D404">
    <cfRule type="expression" dxfId="388" priority="423">
      <formula>$I404="SUBETAPA"</formula>
    </cfRule>
  </conditionalFormatting>
  <conditionalFormatting sqref="D404">
    <cfRule type="expression" dxfId="387" priority="424">
      <formula>$I404="CÉLULA CONSTRUTIVA"</formula>
    </cfRule>
  </conditionalFormatting>
  <conditionalFormatting sqref="D404">
    <cfRule type="expression" dxfId="386" priority="425">
      <formula>$I404="ETAPA"</formula>
    </cfRule>
  </conditionalFormatting>
  <conditionalFormatting sqref="H404:I404">
    <cfRule type="expression" dxfId="385" priority="428">
      <formula>$B353="Subetapa"</formula>
    </cfRule>
  </conditionalFormatting>
  <conditionalFormatting sqref="B407:G407">
    <cfRule type="expression" dxfId="384" priority="417">
      <formula>$B407="Subetapa"</formula>
    </cfRule>
  </conditionalFormatting>
  <conditionalFormatting sqref="B407:G407">
    <cfRule type="expression" dxfId="383" priority="418">
      <formula>$B407="Serviço"</formula>
    </cfRule>
  </conditionalFormatting>
  <conditionalFormatting sqref="C407">
    <cfRule type="expression" dxfId="382" priority="411">
      <formula>$I407="SUBETAPA"</formula>
    </cfRule>
  </conditionalFormatting>
  <conditionalFormatting sqref="C407">
    <cfRule type="expression" dxfId="381" priority="412">
      <formula>$I407="CÉLULA CONSTRUTIVA"</formula>
    </cfRule>
  </conditionalFormatting>
  <conditionalFormatting sqref="C407">
    <cfRule type="expression" dxfId="380" priority="413">
      <formula>$I407="ETAPA"</formula>
    </cfRule>
  </conditionalFormatting>
  <conditionalFormatting sqref="D407">
    <cfRule type="expression" dxfId="379" priority="414">
      <formula>$I407="SUBETAPA"</formula>
    </cfRule>
  </conditionalFormatting>
  <conditionalFormatting sqref="D407">
    <cfRule type="expression" dxfId="378" priority="415">
      <formula>$I407="CÉLULA CONSTRUTIVA"</formula>
    </cfRule>
  </conditionalFormatting>
  <conditionalFormatting sqref="D407">
    <cfRule type="expression" dxfId="377" priority="416">
      <formula>$I407="ETAPA"</formula>
    </cfRule>
  </conditionalFormatting>
  <conditionalFormatting sqref="H407:I407">
    <cfRule type="expression" dxfId="376" priority="419">
      <formula>$B358="Subetapa"</formula>
    </cfRule>
  </conditionalFormatting>
  <conditionalFormatting sqref="B416:G416">
    <cfRule type="expression" dxfId="375" priority="408">
      <formula>$B416="Subetapa"</formula>
    </cfRule>
  </conditionalFormatting>
  <conditionalFormatting sqref="B416:G416">
    <cfRule type="expression" dxfId="374" priority="409">
      <formula>$B416="Serviço"</formula>
    </cfRule>
  </conditionalFormatting>
  <conditionalFormatting sqref="C416">
    <cfRule type="expression" dxfId="373" priority="402">
      <formula>$I416="SUBETAPA"</formula>
    </cfRule>
  </conditionalFormatting>
  <conditionalFormatting sqref="C416">
    <cfRule type="expression" dxfId="372" priority="403">
      <formula>$I416="CÉLULA CONSTRUTIVA"</formula>
    </cfRule>
  </conditionalFormatting>
  <conditionalFormatting sqref="C416">
    <cfRule type="expression" dxfId="371" priority="404">
      <formula>$I416="ETAPA"</formula>
    </cfRule>
  </conditionalFormatting>
  <conditionalFormatting sqref="D416">
    <cfRule type="expression" dxfId="370" priority="405">
      <formula>$I416="SUBETAPA"</formula>
    </cfRule>
  </conditionalFormatting>
  <conditionalFormatting sqref="D416">
    <cfRule type="expression" dxfId="369" priority="406">
      <formula>$I416="CÉLULA CONSTRUTIVA"</formula>
    </cfRule>
  </conditionalFormatting>
  <conditionalFormatting sqref="D416">
    <cfRule type="expression" dxfId="368" priority="407">
      <formula>$I416="ETAPA"</formula>
    </cfRule>
  </conditionalFormatting>
  <conditionalFormatting sqref="H412:I412">
    <cfRule type="expression" dxfId="367" priority="410">
      <formula>$B358="Subetapa"</formula>
    </cfRule>
  </conditionalFormatting>
  <conditionalFormatting sqref="C405:C406">
    <cfRule type="expression" dxfId="366" priority="396">
      <formula>$I405="SUBETAPA"</formula>
    </cfRule>
  </conditionalFormatting>
  <conditionalFormatting sqref="C405:C406">
    <cfRule type="expression" dxfId="365" priority="397">
      <formula>$I405="CÉLULA CONSTRUTIVA"</formula>
    </cfRule>
  </conditionalFormatting>
  <conditionalFormatting sqref="C405:C406">
    <cfRule type="expression" dxfId="364" priority="398">
      <formula>$I405="ETAPA"</formula>
    </cfRule>
  </conditionalFormatting>
  <conditionalFormatting sqref="E405:E406">
    <cfRule type="expression" dxfId="363" priority="399">
      <formula>#REF!="Serviço"</formula>
    </cfRule>
  </conditionalFormatting>
  <conditionalFormatting sqref="E405:E406">
    <cfRule type="expression" dxfId="362" priority="400">
      <formula>#REF!="Subetapa"</formula>
    </cfRule>
  </conditionalFormatting>
  <conditionalFormatting sqref="H405:I406">
    <cfRule type="expression" dxfId="361" priority="401">
      <formula>$B354="Subetapa"</formula>
    </cfRule>
  </conditionalFormatting>
  <conditionalFormatting sqref="C410:D410">
    <cfRule type="expression" dxfId="360" priority="390">
      <formula>$I410="SUBETAPA"</formula>
    </cfRule>
  </conditionalFormatting>
  <conditionalFormatting sqref="C410:D410">
    <cfRule type="expression" dxfId="359" priority="391">
      <formula>$I410="CÉLULA CONSTRUTIVA"</formula>
    </cfRule>
  </conditionalFormatting>
  <conditionalFormatting sqref="C410:D410">
    <cfRule type="expression" dxfId="358" priority="392">
      <formula>$I410="ETAPA"</formula>
    </cfRule>
  </conditionalFormatting>
  <conditionalFormatting sqref="E408:E410">
    <cfRule type="expression" dxfId="357" priority="393">
      <formula>#REF!="Serviço"</formula>
    </cfRule>
  </conditionalFormatting>
  <conditionalFormatting sqref="E408:E410">
    <cfRule type="expression" dxfId="356" priority="394">
      <formula>#REF!="Subetapa"</formula>
    </cfRule>
  </conditionalFormatting>
  <conditionalFormatting sqref="H410:I410">
    <cfRule type="expression" dxfId="355" priority="395">
      <formula>$B359="Subetapa"</formula>
    </cfRule>
  </conditionalFormatting>
  <conditionalFormatting sqref="H416:I416">
    <cfRule type="expression" dxfId="354" priority="389">
      <formula>$B360="Subetapa"</formula>
    </cfRule>
  </conditionalFormatting>
  <conditionalFormatting sqref="D405:D406 D451:F451">
    <cfRule type="expression" dxfId="353" priority="383">
      <formula>$B405="Serviço"</formula>
    </cfRule>
  </conditionalFormatting>
  <conditionalFormatting sqref="D405:D406 D451:F451">
    <cfRule type="expression" dxfId="352" priority="382">
      <formula>$B405="Subetapa"</formula>
    </cfRule>
  </conditionalFormatting>
  <conditionalFormatting sqref="D406">
    <cfRule type="expression" dxfId="351" priority="381">
      <formula>$B406="Subetapa"</formula>
    </cfRule>
  </conditionalFormatting>
  <conditionalFormatting sqref="C408:D408">
    <cfRule type="expression" dxfId="350" priority="377">
      <formula>$I408="SUBETAPA"</formula>
    </cfRule>
  </conditionalFormatting>
  <conditionalFormatting sqref="C408:D408">
    <cfRule type="expression" dxfId="349" priority="378">
      <formula>$I408="CÉLULA CONSTRUTIVA"</formula>
    </cfRule>
  </conditionalFormatting>
  <conditionalFormatting sqref="C408:D408">
    <cfRule type="expression" dxfId="348" priority="379">
      <formula>$I408="ETAPA"</formula>
    </cfRule>
  </conditionalFormatting>
  <conditionalFormatting sqref="H408:I408">
    <cfRule type="expression" dxfId="347" priority="380">
      <formula>$B358="Subetapa"</formula>
    </cfRule>
  </conditionalFormatting>
  <conditionalFormatting sqref="C409:D409">
    <cfRule type="expression" dxfId="346" priority="373">
      <formula>$I409="SUBETAPA"</formula>
    </cfRule>
  </conditionalFormatting>
  <conditionalFormatting sqref="C409:D409">
    <cfRule type="expression" dxfId="345" priority="374">
      <formula>$I409="CÉLULA CONSTRUTIVA"</formula>
    </cfRule>
  </conditionalFormatting>
  <conditionalFormatting sqref="C409:D409">
    <cfRule type="expression" dxfId="344" priority="375">
      <formula>$I409="ETAPA"</formula>
    </cfRule>
  </conditionalFormatting>
  <conditionalFormatting sqref="H409:I409">
    <cfRule type="expression" dxfId="343" priority="376">
      <formula>$B358="Subetapa"</formula>
    </cfRule>
  </conditionalFormatting>
  <conditionalFormatting sqref="B411:G411">
    <cfRule type="expression" dxfId="342" priority="370">
      <formula>$B411="Subetapa"</formula>
    </cfRule>
  </conditionalFormatting>
  <conditionalFormatting sqref="B411:G411">
    <cfRule type="expression" dxfId="341" priority="371">
      <formula>$B411="Serviço"</formula>
    </cfRule>
  </conditionalFormatting>
  <conditionalFormatting sqref="C411">
    <cfRule type="expression" dxfId="340" priority="364">
      <formula>$I411="SUBETAPA"</formula>
    </cfRule>
  </conditionalFormatting>
  <conditionalFormatting sqref="C411">
    <cfRule type="expression" dxfId="339" priority="365">
      <formula>$I411="CÉLULA CONSTRUTIVA"</formula>
    </cfRule>
  </conditionalFormatting>
  <conditionalFormatting sqref="C411">
    <cfRule type="expression" dxfId="338" priority="366">
      <formula>$I411="ETAPA"</formula>
    </cfRule>
  </conditionalFormatting>
  <conditionalFormatting sqref="D411">
    <cfRule type="expression" dxfId="337" priority="367">
      <formula>$I411="SUBETAPA"</formula>
    </cfRule>
  </conditionalFormatting>
  <conditionalFormatting sqref="D411">
    <cfRule type="expression" dxfId="336" priority="368">
      <formula>$I411="CÉLULA CONSTRUTIVA"</formula>
    </cfRule>
  </conditionalFormatting>
  <conditionalFormatting sqref="D411">
    <cfRule type="expression" dxfId="335" priority="369">
      <formula>$I411="ETAPA"</formula>
    </cfRule>
  </conditionalFormatting>
  <conditionalFormatting sqref="H411:I411">
    <cfRule type="expression" dxfId="334" priority="372">
      <formula>$B355="Subetapa"</formula>
    </cfRule>
  </conditionalFormatting>
  <conditionalFormatting sqref="B413:G413">
    <cfRule type="expression" dxfId="333" priority="356">
      <formula>$B413="Subetapa"</formula>
    </cfRule>
  </conditionalFormatting>
  <conditionalFormatting sqref="B413:G413">
    <cfRule type="expression" dxfId="332" priority="357">
      <formula>$B413="Serviço"</formula>
    </cfRule>
  </conditionalFormatting>
  <conditionalFormatting sqref="C413">
    <cfRule type="expression" dxfId="331" priority="350">
      <formula>$I413="SUBETAPA"</formula>
    </cfRule>
  </conditionalFormatting>
  <conditionalFormatting sqref="C413">
    <cfRule type="expression" dxfId="330" priority="351">
      <formula>$I413="CÉLULA CONSTRUTIVA"</formula>
    </cfRule>
  </conditionalFormatting>
  <conditionalFormatting sqref="C413">
    <cfRule type="expression" dxfId="329" priority="352">
      <formula>$I413="ETAPA"</formula>
    </cfRule>
  </conditionalFormatting>
  <conditionalFormatting sqref="D413">
    <cfRule type="expression" dxfId="328" priority="353">
      <formula>$I413="SUBETAPA"</formula>
    </cfRule>
  </conditionalFormatting>
  <conditionalFormatting sqref="D413">
    <cfRule type="expression" dxfId="327" priority="354">
      <formula>$I413="CÉLULA CONSTRUTIVA"</formula>
    </cfRule>
  </conditionalFormatting>
  <conditionalFormatting sqref="D413">
    <cfRule type="expression" dxfId="326" priority="355">
      <formula>$I413="ETAPA"</formula>
    </cfRule>
  </conditionalFormatting>
  <conditionalFormatting sqref="E414:E415">
    <cfRule type="expression" dxfId="325" priority="347">
      <formula>#REF!="Serviço"</formula>
    </cfRule>
  </conditionalFormatting>
  <conditionalFormatting sqref="E414:E415">
    <cfRule type="expression" dxfId="324" priority="348">
      <formula>#REF!="Subetapa"</formula>
    </cfRule>
  </conditionalFormatting>
  <conditionalFormatting sqref="H413:I415">
    <cfRule type="expression" dxfId="323" priority="349">
      <formula>$B355="Subetapa"</formula>
    </cfRule>
  </conditionalFormatting>
  <conditionalFormatting sqref="H451:I451">
    <cfRule type="expression" dxfId="322" priority="6311">
      <formula>#REF!="Subetapa"</formula>
    </cfRule>
  </conditionalFormatting>
  <conditionalFormatting sqref="C421:D421 C423:D424">
    <cfRule type="expression" dxfId="321" priority="339">
      <formula>$I421="SUBETAPA"</formula>
    </cfRule>
  </conditionalFormatting>
  <conditionalFormatting sqref="C421:D421 C423:D424">
    <cfRule type="expression" dxfId="320" priority="340">
      <formula>$I421="CÉLULA CONSTRUTIVA"</formula>
    </cfRule>
  </conditionalFormatting>
  <conditionalFormatting sqref="C421:D421 C423:D424">
    <cfRule type="expression" dxfId="319" priority="341">
      <formula>$I421="ETAPA"</formula>
    </cfRule>
  </conditionalFormatting>
  <conditionalFormatting sqref="E421">
    <cfRule type="expression" dxfId="318" priority="342">
      <formula>#REF!="Serviço"</formula>
    </cfRule>
  </conditionalFormatting>
  <conditionalFormatting sqref="E421">
    <cfRule type="expression" dxfId="317" priority="343">
      <formula>#REF!="Subetapa"</formula>
    </cfRule>
  </conditionalFormatting>
  <conditionalFormatting sqref="H421:I421">
    <cfRule type="expression" dxfId="316" priority="338">
      <formula>$B367="Subetapa"</formula>
    </cfRule>
  </conditionalFormatting>
  <conditionalFormatting sqref="B420:G420">
    <cfRule type="expression" dxfId="315" priority="335">
      <formula>$B420="Subetapa"</formula>
    </cfRule>
  </conditionalFormatting>
  <conditionalFormatting sqref="B420:G420">
    <cfRule type="expression" dxfId="314" priority="336">
      <formula>$B420="Serviço"</formula>
    </cfRule>
  </conditionalFormatting>
  <conditionalFormatting sqref="C420">
    <cfRule type="expression" dxfId="313" priority="329">
      <formula>$I420="SUBETAPA"</formula>
    </cfRule>
  </conditionalFormatting>
  <conditionalFormatting sqref="C420">
    <cfRule type="expression" dxfId="312" priority="330">
      <formula>$I420="CÉLULA CONSTRUTIVA"</formula>
    </cfRule>
  </conditionalFormatting>
  <conditionalFormatting sqref="C420">
    <cfRule type="expression" dxfId="311" priority="331">
      <formula>$I420="ETAPA"</formula>
    </cfRule>
  </conditionalFormatting>
  <conditionalFormatting sqref="D420">
    <cfRule type="expression" dxfId="310" priority="332">
      <formula>$I420="SUBETAPA"</formula>
    </cfRule>
  </conditionalFormatting>
  <conditionalFormatting sqref="D420">
    <cfRule type="expression" dxfId="309" priority="333">
      <formula>$I420="CÉLULA CONSTRUTIVA"</formula>
    </cfRule>
  </conditionalFormatting>
  <conditionalFormatting sqref="D420">
    <cfRule type="expression" dxfId="308" priority="334">
      <formula>$I420="ETAPA"</formula>
    </cfRule>
  </conditionalFormatting>
  <conditionalFormatting sqref="H420:I420">
    <cfRule type="expression" dxfId="307" priority="337">
      <formula>$B364="Subetapa"</formula>
    </cfRule>
  </conditionalFormatting>
  <conditionalFormatting sqref="B422:G422">
    <cfRule type="expression" dxfId="306" priority="327">
      <formula>$B422="Subetapa"</formula>
    </cfRule>
  </conditionalFormatting>
  <conditionalFormatting sqref="B422:G422">
    <cfRule type="expression" dxfId="305" priority="328">
      <formula>$B422="Serviço"</formula>
    </cfRule>
  </conditionalFormatting>
  <conditionalFormatting sqref="C422">
    <cfRule type="expression" dxfId="304" priority="321">
      <formula>$I422="SUBETAPA"</formula>
    </cfRule>
  </conditionalFormatting>
  <conditionalFormatting sqref="C422">
    <cfRule type="expression" dxfId="303" priority="322">
      <formula>$I422="CÉLULA CONSTRUTIVA"</formula>
    </cfRule>
  </conditionalFormatting>
  <conditionalFormatting sqref="C422">
    <cfRule type="expression" dxfId="302" priority="323">
      <formula>$I422="ETAPA"</formula>
    </cfRule>
  </conditionalFormatting>
  <conditionalFormatting sqref="D422">
    <cfRule type="expression" dxfId="301" priority="324">
      <formula>$I422="SUBETAPA"</formula>
    </cfRule>
  </conditionalFormatting>
  <conditionalFormatting sqref="D422">
    <cfRule type="expression" dxfId="300" priority="325">
      <formula>$I422="CÉLULA CONSTRUTIVA"</formula>
    </cfRule>
  </conditionalFormatting>
  <conditionalFormatting sqref="D422">
    <cfRule type="expression" dxfId="299" priority="326">
      <formula>$I422="ETAPA"</formula>
    </cfRule>
  </conditionalFormatting>
  <conditionalFormatting sqref="E423:E424">
    <cfRule type="expression" dxfId="298" priority="318">
      <formula>#REF!="Serviço"</formula>
    </cfRule>
  </conditionalFormatting>
  <conditionalFormatting sqref="E423:E424">
    <cfRule type="expression" dxfId="297" priority="319">
      <formula>#REF!="Subetapa"</formula>
    </cfRule>
  </conditionalFormatting>
  <conditionalFormatting sqref="H422:I424">
    <cfRule type="expression" dxfId="296" priority="320">
      <formula>$B364="Subetapa"</formula>
    </cfRule>
  </conditionalFormatting>
  <conditionalFormatting sqref="B425:G425">
    <cfRule type="expression" dxfId="295" priority="316">
      <formula>$B425="Subetapa"</formula>
    </cfRule>
  </conditionalFormatting>
  <conditionalFormatting sqref="B425:G425">
    <cfRule type="expression" dxfId="294" priority="317">
      <formula>$B425="Serviço"</formula>
    </cfRule>
  </conditionalFormatting>
  <conditionalFormatting sqref="C425">
    <cfRule type="expression" dxfId="293" priority="310">
      <formula>$I425="SUBETAPA"</formula>
    </cfRule>
  </conditionalFormatting>
  <conditionalFormatting sqref="C425">
    <cfRule type="expression" dxfId="292" priority="311">
      <formula>$I425="CÉLULA CONSTRUTIVA"</formula>
    </cfRule>
  </conditionalFormatting>
  <conditionalFormatting sqref="C425">
    <cfRule type="expression" dxfId="291" priority="312">
      <formula>$I425="ETAPA"</formula>
    </cfRule>
  </conditionalFormatting>
  <conditionalFormatting sqref="D425">
    <cfRule type="expression" dxfId="290" priority="313">
      <formula>$I425="SUBETAPA"</formula>
    </cfRule>
  </conditionalFormatting>
  <conditionalFormatting sqref="D425">
    <cfRule type="expression" dxfId="289" priority="314">
      <formula>$I425="CÉLULA CONSTRUTIVA"</formula>
    </cfRule>
  </conditionalFormatting>
  <conditionalFormatting sqref="D425">
    <cfRule type="expression" dxfId="288" priority="315">
      <formula>$I425="ETAPA"</formula>
    </cfRule>
  </conditionalFormatting>
  <conditionalFormatting sqref="H425:I425">
    <cfRule type="expression" dxfId="287" priority="309">
      <formula>$B367="Subetapa"</formula>
    </cfRule>
  </conditionalFormatting>
  <conditionalFormatting sqref="B427:G427">
    <cfRule type="expression" dxfId="286" priority="307">
      <formula>$B427="Subetapa"</formula>
    </cfRule>
  </conditionalFormatting>
  <conditionalFormatting sqref="B427:G427">
    <cfRule type="expression" dxfId="285" priority="308">
      <formula>$B427="Serviço"</formula>
    </cfRule>
  </conditionalFormatting>
  <conditionalFormatting sqref="C427">
    <cfRule type="expression" dxfId="284" priority="301">
      <formula>$I427="SUBETAPA"</formula>
    </cfRule>
  </conditionalFormatting>
  <conditionalFormatting sqref="C427">
    <cfRule type="expression" dxfId="283" priority="302">
      <formula>$I427="CÉLULA CONSTRUTIVA"</formula>
    </cfRule>
  </conditionalFormatting>
  <conditionalFormatting sqref="C427">
    <cfRule type="expression" dxfId="282" priority="303">
      <formula>$I427="ETAPA"</formula>
    </cfRule>
  </conditionalFormatting>
  <conditionalFormatting sqref="D427">
    <cfRule type="expression" dxfId="281" priority="304">
      <formula>$I427="SUBETAPA"</formula>
    </cfRule>
  </conditionalFormatting>
  <conditionalFormatting sqref="D427">
    <cfRule type="expression" dxfId="280" priority="305">
      <formula>$I427="CÉLULA CONSTRUTIVA"</formula>
    </cfRule>
  </conditionalFormatting>
  <conditionalFormatting sqref="D427">
    <cfRule type="expression" dxfId="279" priority="306">
      <formula>$I427="ETAPA"</formula>
    </cfRule>
  </conditionalFormatting>
  <conditionalFormatting sqref="H427:I427">
    <cfRule type="expression" dxfId="278" priority="300">
      <formula>$B369="Subetapa"</formula>
    </cfRule>
  </conditionalFormatting>
  <conditionalFormatting sqref="C426:D426">
    <cfRule type="expression" dxfId="277" priority="297">
      <formula>$I426="SUBETAPA"</formula>
    </cfRule>
  </conditionalFormatting>
  <conditionalFormatting sqref="C426:D426">
    <cfRule type="expression" dxfId="276" priority="298">
      <formula>$I426="CÉLULA CONSTRUTIVA"</formula>
    </cfRule>
  </conditionalFormatting>
  <conditionalFormatting sqref="C426:D426">
    <cfRule type="expression" dxfId="275" priority="299">
      <formula>$I426="ETAPA"</formula>
    </cfRule>
  </conditionalFormatting>
  <conditionalFormatting sqref="E426">
    <cfRule type="expression" dxfId="274" priority="294">
      <formula>#REF!="Serviço"</formula>
    </cfRule>
  </conditionalFormatting>
  <conditionalFormatting sqref="E426">
    <cfRule type="expression" dxfId="273" priority="295">
      <formula>#REF!="Subetapa"</formula>
    </cfRule>
  </conditionalFormatting>
  <conditionalFormatting sqref="H426:I426">
    <cfRule type="expression" dxfId="272" priority="296">
      <formula>$B368="Subetapa"</formula>
    </cfRule>
  </conditionalFormatting>
  <conditionalFormatting sqref="C428:D428">
    <cfRule type="expression" dxfId="271" priority="291">
      <formula>$I428="SUBETAPA"</formula>
    </cfRule>
  </conditionalFormatting>
  <conditionalFormatting sqref="C428:D428">
    <cfRule type="expression" dxfId="270" priority="292">
      <formula>$I428="CÉLULA CONSTRUTIVA"</formula>
    </cfRule>
  </conditionalFormatting>
  <conditionalFormatting sqref="C428:D428">
    <cfRule type="expression" dxfId="269" priority="293">
      <formula>$I428="ETAPA"</formula>
    </cfRule>
  </conditionalFormatting>
  <conditionalFormatting sqref="E428">
    <cfRule type="expression" dxfId="268" priority="288">
      <formula>#REF!="Serviço"</formula>
    </cfRule>
  </conditionalFormatting>
  <conditionalFormatting sqref="E428">
    <cfRule type="expression" dxfId="267" priority="289">
      <formula>#REF!="Subetapa"</formula>
    </cfRule>
  </conditionalFormatting>
  <conditionalFormatting sqref="H428:I428">
    <cfRule type="expression" dxfId="266" priority="290">
      <formula>$B370="Subetapa"</formula>
    </cfRule>
  </conditionalFormatting>
  <conditionalFormatting sqref="B418:G418">
    <cfRule type="expression" dxfId="265" priority="286">
      <formula>$B418="Subetapa"</formula>
    </cfRule>
  </conditionalFormatting>
  <conditionalFormatting sqref="B418:G418">
    <cfRule type="expression" dxfId="264" priority="287">
      <formula>$B418="Serviço"</formula>
    </cfRule>
  </conditionalFormatting>
  <conditionalFormatting sqref="C418">
    <cfRule type="expression" dxfId="263" priority="280">
      <formula>$I418="SUBETAPA"</formula>
    </cfRule>
  </conditionalFormatting>
  <conditionalFormatting sqref="C418">
    <cfRule type="expression" dxfId="262" priority="281">
      <formula>$I418="CÉLULA CONSTRUTIVA"</formula>
    </cfRule>
  </conditionalFormatting>
  <conditionalFormatting sqref="C418">
    <cfRule type="expression" dxfId="261" priority="282">
      <formula>$I418="ETAPA"</formula>
    </cfRule>
  </conditionalFormatting>
  <conditionalFormatting sqref="D418">
    <cfRule type="expression" dxfId="260" priority="283">
      <formula>$I418="SUBETAPA"</formula>
    </cfRule>
  </conditionalFormatting>
  <conditionalFormatting sqref="D418">
    <cfRule type="expression" dxfId="259" priority="284">
      <formula>$I418="CÉLULA CONSTRUTIVA"</formula>
    </cfRule>
  </conditionalFormatting>
  <conditionalFormatting sqref="D418">
    <cfRule type="expression" dxfId="258" priority="285">
      <formula>$I418="ETAPA"</formula>
    </cfRule>
  </conditionalFormatting>
  <conditionalFormatting sqref="H418:I418">
    <cfRule type="expression" dxfId="257" priority="279">
      <formula>$B362="Subetapa"</formula>
    </cfRule>
  </conditionalFormatting>
  <conditionalFormatting sqref="C419:D419">
    <cfRule type="expression" dxfId="256" priority="276">
      <formula>$I419="SUBETAPA"</formula>
    </cfRule>
  </conditionalFormatting>
  <conditionalFormatting sqref="C419:D419">
    <cfRule type="expression" dxfId="255" priority="277">
      <formula>$I419="CÉLULA CONSTRUTIVA"</formula>
    </cfRule>
  </conditionalFormatting>
  <conditionalFormatting sqref="C419:D419">
    <cfRule type="expression" dxfId="254" priority="278">
      <formula>$I419="ETAPA"</formula>
    </cfRule>
  </conditionalFormatting>
  <conditionalFormatting sqref="E419">
    <cfRule type="expression" dxfId="253" priority="273">
      <formula>#REF!="Serviço"</formula>
    </cfRule>
  </conditionalFormatting>
  <conditionalFormatting sqref="E419">
    <cfRule type="expression" dxfId="252" priority="274">
      <formula>#REF!="Subetapa"</formula>
    </cfRule>
  </conditionalFormatting>
  <conditionalFormatting sqref="H419:I419">
    <cfRule type="expression" dxfId="251" priority="275">
      <formula>$B361="Subetapa"</formula>
    </cfRule>
  </conditionalFormatting>
  <conditionalFormatting sqref="B430:G430">
    <cfRule type="expression" dxfId="250" priority="270">
      <formula>$B430="Subetapa"</formula>
    </cfRule>
  </conditionalFormatting>
  <conditionalFormatting sqref="B430:G430">
    <cfRule type="expression" dxfId="249" priority="271">
      <formula>$B430="Serviço"</formula>
    </cfRule>
  </conditionalFormatting>
  <conditionalFormatting sqref="C430">
    <cfRule type="expression" dxfId="248" priority="264">
      <formula>$I430="SUBETAPA"</formula>
    </cfRule>
  </conditionalFormatting>
  <conditionalFormatting sqref="C430">
    <cfRule type="expression" dxfId="247" priority="265">
      <formula>$I430="CÉLULA CONSTRUTIVA"</formula>
    </cfRule>
  </conditionalFormatting>
  <conditionalFormatting sqref="C430">
    <cfRule type="expression" dxfId="246" priority="266">
      <formula>$I430="ETAPA"</formula>
    </cfRule>
  </conditionalFormatting>
  <conditionalFormatting sqref="D430">
    <cfRule type="expression" dxfId="245" priority="267">
      <formula>$I430="SUBETAPA"</formula>
    </cfRule>
  </conditionalFormatting>
  <conditionalFormatting sqref="D430">
    <cfRule type="expression" dxfId="244" priority="268">
      <formula>$I430="CÉLULA CONSTRUTIVA"</formula>
    </cfRule>
  </conditionalFormatting>
  <conditionalFormatting sqref="D430">
    <cfRule type="expression" dxfId="243" priority="269">
      <formula>$I430="ETAPA"</formula>
    </cfRule>
  </conditionalFormatting>
  <conditionalFormatting sqref="H430:I430">
    <cfRule type="expression" dxfId="242" priority="272">
      <formula>#REF!="Subetapa"</formula>
    </cfRule>
  </conditionalFormatting>
  <conditionalFormatting sqref="C431:D431">
    <cfRule type="expression" dxfId="241" priority="261">
      <formula>$I431="SUBETAPA"</formula>
    </cfRule>
  </conditionalFormatting>
  <conditionalFormatting sqref="C431:D431">
    <cfRule type="expression" dxfId="240" priority="262">
      <formula>$I431="CÉLULA CONSTRUTIVA"</formula>
    </cfRule>
  </conditionalFormatting>
  <conditionalFormatting sqref="C431:D431">
    <cfRule type="expression" dxfId="239" priority="263">
      <formula>$I431="ETAPA"</formula>
    </cfRule>
  </conditionalFormatting>
  <conditionalFormatting sqref="E431">
    <cfRule type="expression" dxfId="238" priority="258">
      <formula>#REF!="Serviço"</formula>
    </cfRule>
  </conditionalFormatting>
  <conditionalFormatting sqref="E431">
    <cfRule type="expression" dxfId="237" priority="259">
      <formula>#REF!="Subetapa"</formula>
    </cfRule>
  </conditionalFormatting>
  <conditionalFormatting sqref="H417:I417">
    <cfRule type="expression" dxfId="236" priority="260">
      <formula>$B364="Subetapa"</formula>
    </cfRule>
  </conditionalFormatting>
  <conditionalFormatting sqref="B438:G438">
    <cfRule type="expression" dxfId="235" priority="236">
      <formula>$B438="Subetapa"</formula>
    </cfRule>
  </conditionalFormatting>
  <conditionalFormatting sqref="B438:G438">
    <cfRule type="expression" dxfId="234" priority="237">
      <formula>$B438="Serviço"</formula>
    </cfRule>
  </conditionalFormatting>
  <conditionalFormatting sqref="C438">
    <cfRule type="expression" dxfId="233" priority="230">
      <formula>$I438="SUBETAPA"</formula>
    </cfRule>
  </conditionalFormatting>
  <conditionalFormatting sqref="C438">
    <cfRule type="expression" dxfId="232" priority="231">
      <formula>$I438="CÉLULA CONSTRUTIVA"</formula>
    </cfRule>
  </conditionalFormatting>
  <conditionalFormatting sqref="C438">
    <cfRule type="expression" dxfId="231" priority="232">
      <formula>$I438="ETAPA"</formula>
    </cfRule>
  </conditionalFormatting>
  <conditionalFormatting sqref="D438">
    <cfRule type="expression" dxfId="230" priority="233">
      <formula>$I438="SUBETAPA"</formula>
    </cfRule>
  </conditionalFormatting>
  <conditionalFormatting sqref="D438">
    <cfRule type="expression" dxfId="229" priority="234">
      <formula>$I438="CÉLULA CONSTRUTIVA"</formula>
    </cfRule>
  </conditionalFormatting>
  <conditionalFormatting sqref="D438">
    <cfRule type="expression" dxfId="228" priority="235">
      <formula>$I438="ETAPA"</formula>
    </cfRule>
  </conditionalFormatting>
  <conditionalFormatting sqref="H438:I438">
    <cfRule type="expression" dxfId="227" priority="238">
      <formula>#REF!="Subetapa"</formula>
    </cfRule>
  </conditionalFormatting>
  <conditionalFormatting sqref="B440:G440">
    <cfRule type="expression" dxfId="226" priority="227">
      <formula>$B440="Subetapa"</formula>
    </cfRule>
  </conditionalFormatting>
  <conditionalFormatting sqref="B440:G440">
    <cfRule type="expression" dxfId="225" priority="228">
      <formula>$B440="Serviço"</formula>
    </cfRule>
  </conditionalFormatting>
  <conditionalFormatting sqref="C440">
    <cfRule type="expression" dxfId="224" priority="221">
      <formula>$I440="SUBETAPA"</formula>
    </cfRule>
  </conditionalFormatting>
  <conditionalFormatting sqref="C440">
    <cfRule type="expression" dxfId="223" priority="222">
      <formula>$I440="CÉLULA CONSTRUTIVA"</formula>
    </cfRule>
  </conditionalFormatting>
  <conditionalFormatting sqref="C440">
    <cfRule type="expression" dxfId="222" priority="223">
      <formula>$I440="ETAPA"</formula>
    </cfRule>
  </conditionalFormatting>
  <conditionalFormatting sqref="D440">
    <cfRule type="expression" dxfId="221" priority="224">
      <formula>$I440="SUBETAPA"</formula>
    </cfRule>
  </conditionalFormatting>
  <conditionalFormatting sqref="D440">
    <cfRule type="expression" dxfId="220" priority="225">
      <formula>$I440="CÉLULA CONSTRUTIVA"</formula>
    </cfRule>
  </conditionalFormatting>
  <conditionalFormatting sqref="D440">
    <cfRule type="expression" dxfId="219" priority="226">
      <formula>$I440="ETAPA"</formula>
    </cfRule>
  </conditionalFormatting>
  <conditionalFormatting sqref="H440:I440">
    <cfRule type="expression" dxfId="218" priority="229">
      <formula>#REF!="Subetapa"</formula>
    </cfRule>
  </conditionalFormatting>
  <conditionalFormatting sqref="B442:G442">
    <cfRule type="expression" dxfId="217" priority="218">
      <formula>$B442="Subetapa"</formula>
    </cfRule>
  </conditionalFormatting>
  <conditionalFormatting sqref="B442:G442">
    <cfRule type="expression" dxfId="216" priority="219">
      <formula>$B442="Serviço"</formula>
    </cfRule>
  </conditionalFormatting>
  <conditionalFormatting sqref="C442">
    <cfRule type="expression" dxfId="215" priority="212">
      <formula>$I442="SUBETAPA"</formula>
    </cfRule>
  </conditionalFormatting>
  <conditionalFormatting sqref="C442">
    <cfRule type="expression" dxfId="214" priority="213">
      <formula>$I442="CÉLULA CONSTRUTIVA"</formula>
    </cfRule>
  </conditionalFormatting>
  <conditionalFormatting sqref="C442">
    <cfRule type="expression" dxfId="213" priority="214">
      <formula>$I442="ETAPA"</formula>
    </cfRule>
  </conditionalFormatting>
  <conditionalFormatting sqref="D442">
    <cfRule type="expression" dxfId="212" priority="215">
      <formula>$I442="SUBETAPA"</formula>
    </cfRule>
  </conditionalFormatting>
  <conditionalFormatting sqref="D442">
    <cfRule type="expression" dxfId="211" priority="216">
      <formula>$I442="CÉLULA CONSTRUTIVA"</formula>
    </cfRule>
  </conditionalFormatting>
  <conditionalFormatting sqref="D442">
    <cfRule type="expression" dxfId="210" priority="217">
      <formula>$I442="ETAPA"</formula>
    </cfRule>
  </conditionalFormatting>
  <conditionalFormatting sqref="H442:I442">
    <cfRule type="expression" dxfId="209" priority="220">
      <formula>#REF!="Subetapa"</formula>
    </cfRule>
  </conditionalFormatting>
  <conditionalFormatting sqref="E439">
    <cfRule type="expression" dxfId="208" priority="210">
      <formula>#REF!="Serviço"</formula>
    </cfRule>
  </conditionalFormatting>
  <conditionalFormatting sqref="E439">
    <cfRule type="expression" dxfId="207" priority="211">
      <formula>#REF!="Subetapa"</formula>
    </cfRule>
  </conditionalFormatting>
  <conditionalFormatting sqref="C439:D439">
    <cfRule type="expression" dxfId="206" priority="207">
      <formula>$I439="SUBETAPA"</formula>
    </cfRule>
  </conditionalFormatting>
  <conditionalFormatting sqref="C439:D439">
    <cfRule type="expression" dxfId="205" priority="208">
      <formula>$I439="CÉLULA CONSTRUTIVA"</formula>
    </cfRule>
  </conditionalFormatting>
  <conditionalFormatting sqref="C439:D439">
    <cfRule type="expression" dxfId="204" priority="209">
      <formula>$I439="ETAPA"</formula>
    </cfRule>
  </conditionalFormatting>
  <conditionalFormatting sqref="H439:I439">
    <cfRule type="expression" dxfId="203" priority="206">
      <formula>#REF!="Subetapa"</formula>
    </cfRule>
  </conditionalFormatting>
  <conditionalFormatting sqref="E441">
    <cfRule type="expression" dxfId="202" priority="204">
      <formula>#REF!="Serviço"</formula>
    </cfRule>
  </conditionalFormatting>
  <conditionalFormatting sqref="E441">
    <cfRule type="expression" dxfId="201" priority="205">
      <formula>#REF!="Subetapa"</formula>
    </cfRule>
  </conditionalFormatting>
  <conditionalFormatting sqref="C441:D441">
    <cfRule type="expression" dxfId="200" priority="201">
      <formula>$I441="SUBETAPA"</formula>
    </cfRule>
  </conditionalFormatting>
  <conditionalFormatting sqref="C441:D441">
    <cfRule type="expression" dxfId="199" priority="202">
      <formula>$I441="CÉLULA CONSTRUTIVA"</formula>
    </cfRule>
  </conditionalFormatting>
  <conditionalFormatting sqref="C441:D441">
    <cfRule type="expression" dxfId="198" priority="203">
      <formula>$I441="ETAPA"</formula>
    </cfRule>
  </conditionalFormatting>
  <conditionalFormatting sqref="H441:I441">
    <cfRule type="expression" dxfId="197" priority="200">
      <formula>#REF!="Subetapa"</formula>
    </cfRule>
  </conditionalFormatting>
  <conditionalFormatting sqref="E443:E444">
    <cfRule type="expression" dxfId="196" priority="198">
      <formula>#REF!="Serviço"</formula>
    </cfRule>
  </conditionalFormatting>
  <conditionalFormatting sqref="E443:E444">
    <cfRule type="expression" dxfId="195" priority="199">
      <formula>#REF!="Subetapa"</formula>
    </cfRule>
  </conditionalFormatting>
  <conditionalFormatting sqref="C443:D444">
    <cfRule type="expression" dxfId="194" priority="195">
      <formula>$I443="SUBETAPA"</formula>
    </cfRule>
  </conditionalFormatting>
  <conditionalFormatting sqref="C443:D444">
    <cfRule type="expression" dxfId="193" priority="196">
      <formula>$I443="CÉLULA CONSTRUTIVA"</formula>
    </cfRule>
  </conditionalFormatting>
  <conditionalFormatting sqref="C443:D444">
    <cfRule type="expression" dxfId="192" priority="197">
      <formula>$I443="ETAPA"</formula>
    </cfRule>
  </conditionalFormatting>
  <conditionalFormatting sqref="H443:I444">
    <cfRule type="expression" dxfId="191" priority="194">
      <formula>#REF!="Subetapa"</formula>
    </cfRule>
  </conditionalFormatting>
  <conditionalFormatting sqref="E446:E447">
    <cfRule type="expression" dxfId="190" priority="180">
      <formula>#REF!="Serviço"</formula>
    </cfRule>
  </conditionalFormatting>
  <conditionalFormatting sqref="E446:E447">
    <cfRule type="expression" dxfId="189" priority="181">
      <formula>#REF!="Subetapa"</formula>
    </cfRule>
  </conditionalFormatting>
  <conditionalFormatting sqref="C446:D447">
    <cfRule type="expression" dxfId="188" priority="177">
      <formula>$I446="SUBETAPA"</formula>
    </cfRule>
  </conditionalFormatting>
  <conditionalFormatting sqref="C446:D447">
    <cfRule type="expression" dxfId="187" priority="178">
      <formula>$I446="CÉLULA CONSTRUTIVA"</formula>
    </cfRule>
  </conditionalFormatting>
  <conditionalFormatting sqref="C446:D447">
    <cfRule type="expression" dxfId="186" priority="179">
      <formula>$I446="ETAPA"</formula>
    </cfRule>
  </conditionalFormatting>
  <conditionalFormatting sqref="H446:I447">
    <cfRule type="expression" dxfId="185" priority="176">
      <formula>#REF!="Subetapa"</formula>
    </cfRule>
  </conditionalFormatting>
  <conditionalFormatting sqref="E449">
    <cfRule type="expression" dxfId="184" priority="174">
      <formula>#REF!="Serviço"</formula>
    </cfRule>
  </conditionalFormatting>
  <conditionalFormatting sqref="E449">
    <cfRule type="expression" dxfId="183" priority="175">
      <formula>#REF!="Subetapa"</formula>
    </cfRule>
  </conditionalFormatting>
  <conditionalFormatting sqref="C449:D449">
    <cfRule type="expression" dxfId="182" priority="171">
      <formula>$I449="SUBETAPA"</formula>
    </cfRule>
  </conditionalFormatting>
  <conditionalFormatting sqref="C449:D449">
    <cfRule type="expression" dxfId="181" priority="172">
      <formula>$I449="CÉLULA CONSTRUTIVA"</formula>
    </cfRule>
  </conditionalFormatting>
  <conditionalFormatting sqref="C449:D449">
    <cfRule type="expression" dxfId="180" priority="173">
      <formula>$I449="ETAPA"</formula>
    </cfRule>
  </conditionalFormatting>
  <conditionalFormatting sqref="H449:I449">
    <cfRule type="expression" dxfId="179" priority="170">
      <formula>#REF!="Subetapa"</formula>
    </cfRule>
  </conditionalFormatting>
  <conditionalFormatting sqref="B445:G445">
    <cfRule type="expression" dxfId="178" priority="149">
      <formula>$B445="Subetapa"</formula>
    </cfRule>
  </conditionalFormatting>
  <conditionalFormatting sqref="B445:G445">
    <cfRule type="expression" dxfId="177" priority="150">
      <formula>$B445="Serviço"</formula>
    </cfRule>
  </conditionalFormatting>
  <conditionalFormatting sqref="C445">
    <cfRule type="expression" dxfId="176" priority="143">
      <formula>$I445="SUBETAPA"</formula>
    </cfRule>
  </conditionalFormatting>
  <conditionalFormatting sqref="C445">
    <cfRule type="expression" dxfId="175" priority="144">
      <formula>$I445="CÉLULA CONSTRUTIVA"</formula>
    </cfRule>
  </conditionalFormatting>
  <conditionalFormatting sqref="C445">
    <cfRule type="expression" dxfId="174" priority="145">
      <formula>$I445="ETAPA"</formula>
    </cfRule>
  </conditionalFormatting>
  <conditionalFormatting sqref="D445">
    <cfRule type="expression" dxfId="173" priority="146">
      <formula>$I445="SUBETAPA"</formula>
    </cfRule>
  </conditionalFormatting>
  <conditionalFormatting sqref="D445">
    <cfRule type="expression" dxfId="172" priority="147">
      <formula>$I445="CÉLULA CONSTRUTIVA"</formula>
    </cfRule>
  </conditionalFormatting>
  <conditionalFormatting sqref="D445">
    <cfRule type="expression" dxfId="171" priority="148">
      <formula>$I445="ETAPA"</formula>
    </cfRule>
  </conditionalFormatting>
  <conditionalFormatting sqref="H445:I445">
    <cfRule type="expression" dxfId="170" priority="151">
      <formula>#REF!="Subetapa"</formula>
    </cfRule>
  </conditionalFormatting>
  <conditionalFormatting sqref="B448:G448">
    <cfRule type="expression" dxfId="169" priority="140">
      <formula>$B448="Subetapa"</formula>
    </cfRule>
  </conditionalFormatting>
  <conditionalFormatting sqref="B448:G448">
    <cfRule type="expression" dxfId="168" priority="141">
      <formula>$B448="Serviço"</formula>
    </cfRule>
  </conditionalFormatting>
  <conditionalFormatting sqref="C448">
    <cfRule type="expression" dxfId="167" priority="134">
      <formula>$I448="SUBETAPA"</formula>
    </cfRule>
  </conditionalFormatting>
  <conditionalFormatting sqref="C448">
    <cfRule type="expression" dxfId="166" priority="135">
      <formula>$I448="CÉLULA CONSTRUTIVA"</formula>
    </cfRule>
  </conditionalFormatting>
  <conditionalFormatting sqref="C448">
    <cfRule type="expression" dxfId="165" priority="136">
      <formula>$I448="ETAPA"</formula>
    </cfRule>
  </conditionalFormatting>
  <conditionalFormatting sqref="D448">
    <cfRule type="expression" dxfId="164" priority="137">
      <formula>$I448="SUBETAPA"</formula>
    </cfRule>
  </conditionalFormatting>
  <conditionalFormatting sqref="D448">
    <cfRule type="expression" dxfId="163" priority="138">
      <formula>$I448="CÉLULA CONSTRUTIVA"</formula>
    </cfRule>
  </conditionalFormatting>
  <conditionalFormatting sqref="D448">
    <cfRule type="expression" dxfId="162" priority="139">
      <formula>$I448="ETAPA"</formula>
    </cfRule>
  </conditionalFormatting>
  <conditionalFormatting sqref="H448:I448">
    <cfRule type="expression" dxfId="161" priority="142">
      <formula>#REF!="Subetapa"</formula>
    </cfRule>
  </conditionalFormatting>
  <conditionalFormatting sqref="B450:G450">
    <cfRule type="expression" dxfId="160" priority="131">
      <formula>$B450="Subetapa"</formula>
    </cfRule>
  </conditionalFormatting>
  <conditionalFormatting sqref="B450:G450">
    <cfRule type="expression" dxfId="159" priority="132">
      <formula>$B450="Serviço"</formula>
    </cfRule>
  </conditionalFormatting>
  <conditionalFormatting sqref="C450">
    <cfRule type="expression" dxfId="158" priority="125">
      <formula>$I450="SUBETAPA"</formula>
    </cfRule>
  </conditionalFormatting>
  <conditionalFormatting sqref="C450">
    <cfRule type="expression" dxfId="157" priority="126">
      <formula>$I450="CÉLULA CONSTRUTIVA"</formula>
    </cfRule>
  </conditionalFormatting>
  <conditionalFormatting sqref="C450">
    <cfRule type="expression" dxfId="156" priority="127">
      <formula>$I450="ETAPA"</formula>
    </cfRule>
  </conditionalFormatting>
  <conditionalFormatting sqref="D450">
    <cfRule type="expression" dxfId="155" priority="128">
      <formula>$I450="SUBETAPA"</formula>
    </cfRule>
  </conditionalFormatting>
  <conditionalFormatting sqref="D450">
    <cfRule type="expression" dxfId="154" priority="129">
      <formula>$I450="CÉLULA CONSTRUTIVA"</formula>
    </cfRule>
  </conditionalFormatting>
  <conditionalFormatting sqref="D450">
    <cfRule type="expression" dxfId="153" priority="130">
      <formula>$I450="ETAPA"</formula>
    </cfRule>
  </conditionalFormatting>
  <conditionalFormatting sqref="H450:I450">
    <cfRule type="expression" dxfId="152" priority="133">
      <formula>#REF!="Subetapa"</formula>
    </cfRule>
  </conditionalFormatting>
  <conditionalFormatting sqref="E433:E437">
    <cfRule type="expression" dxfId="151" priority="116">
      <formula>#REF!="Serviço"</formula>
    </cfRule>
  </conditionalFormatting>
  <conditionalFormatting sqref="E433:E437">
    <cfRule type="expression" dxfId="150" priority="117">
      <formula>#REF!="Subetapa"</formula>
    </cfRule>
  </conditionalFormatting>
  <conditionalFormatting sqref="I432:I437">
    <cfRule type="expression" dxfId="149" priority="118">
      <formula>#REF!="Subetapa"</formula>
    </cfRule>
  </conditionalFormatting>
  <conditionalFormatting sqref="B377:G377">
    <cfRule type="expression" dxfId="148" priority="111">
      <formula>$B377="Subetapa"</formula>
    </cfRule>
  </conditionalFormatting>
  <conditionalFormatting sqref="B377:G377">
    <cfRule type="expression" dxfId="147" priority="112">
      <formula>$B377="Serviço"</formula>
    </cfRule>
  </conditionalFormatting>
  <conditionalFormatting sqref="C377">
    <cfRule type="expression" dxfId="146" priority="105">
      <formula>$I377="SUBETAPA"</formula>
    </cfRule>
  </conditionalFormatting>
  <conditionalFormatting sqref="C377">
    <cfRule type="expression" dxfId="145" priority="106">
      <formula>$I377="CÉLULA CONSTRUTIVA"</formula>
    </cfRule>
  </conditionalFormatting>
  <conditionalFormatting sqref="C377">
    <cfRule type="expression" dxfId="144" priority="107">
      <formula>$I377="ETAPA"</formula>
    </cfRule>
  </conditionalFormatting>
  <conditionalFormatting sqref="D377">
    <cfRule type="expression" dxfId="143" priority="108">
      <formula>$I377="SUBETAPA"</formula>
    </cfRule>
  </conditionalFormatting>
  <conditionalFormatting sqref="D377">
    <cfRule type="expression" dxfId="142" priority="109">
      <formula>$I377="CÉLULA CONSTRUTIVA"</formula>
    </cfRule>
  </conditionalFormatting>
  <conditionalFormatting sqref="D377">
    <cfRule type="expression" dxfId="141" priority="110">
      <formula>$I377="ETAPA"</formula>
    </cfRule>
  </conditionalFormatting>
  <conditionalFormatting sqref="H377:I377">
    <cfRule type="expression" dxfId="140" priority="113">
      <formula>$B331="Subetapa"</formula>
    </cfRule>
  </conditionalFormatting>
  <conditionalFormatting sqref="H431:I431">
    <cfRule type="expression" dxfId="139" priority="6485">
      <formula>#REF!="Subetapa"</formula>
    </cfRule>
  </conditionalFormatting>
  <conditionalFormatting sqref="B101:I104">
    <cfRule type="expression" dxfId="138" priority="6499">
      <formula>#REF!="Subetapa"</formula>
    </cfRule>
  </conditionalFormatting>
  <conditionalFormatting sqref="G220">
    <cfRule type="expression" dxfId="137" priority="73">
      <formula>$B220="Subetapa"</formula>
    </cfRule>
  </conditionalFormatting>
  <conditionalFormatting sqref="G220">
    <cfRule type="expression" dxfId="136" priority="74">
      <formula>#REF!="Serviço"</formula>
    </cfRule>
  </conditionalFormatting>
  <conditionalFormatting sqref="B188:E188 H188:I188">
    <cfRule type="expression" dxfId="135" priority="71">
      <formula>#REF!="Subetapa"</formula>
    </cfRule>
  </conditionalFormatting>
  <conditionalFormatting sqref="B188:E188 H188:I188">
    <cfRule type="expression" dxfId="134" priority="72">
      <formula>$B147="Serviço"</formula>
    </cfRule>
  </conditionalFormatting>
  <conditionalFormatting sqref="B195:E196 H195:I196">
    <cfRule type="expression" dxfId="133" priority="6749">
      <formula>$B105="Subetapa"</formula>
    </cfRule>
  </conditionalFormatting>
  <conditionalFormatting sqref="E193">
    <cfRule type="expression" dxfId="132" priority="69">
      <formula>$B193="Serviço"</formula>
    </cfRule>
  </conditionalFormatting>
  <conditionalFormatting sqref="H193:I193">
    <cfRule type="expression" dxfId="131" priority="70">
      <formula>$B193="Serviço"</formula>
    </cfRule>
  </conditionalFormatting>
  <conditionalFormatting sqref="B193:E193 H193:I193">
    <cfRule type="expression" dxfId="130" priority="67">
      <formula>#REF!="Subetapa"</formula>
    </cfRule>
  </conditionalFormatting>
  <conditionalFormatting sqref="B193:E193 H193:I193">
    <cfRule type="expression" dxfId="129" priority="68">
      <formula>$B152="Serviço"</formula>
    </cfRule>
  </conditionalFormatting>
  <conditionalFormatting sqref="E198">
    <cfRule type="expression" dxfId="128" priority="65">
      <formula>$B198="Serviço"</formula>
    </cfRule>
  </conditionalFormatting>
  <conditionalFormatting sqref="H198:I198">
    <cfRule type="expression" dxfId="127" priority="66">
      <formula>$B198="Serviço"</formula>
    </cfRule>
  </conditionalFormatting>
  <conditionalFormatting sqref="B198:E198 H198:I198">
    <cfRule type="expression" dxfId="126" priority="63">
      <formula>#REF!="Subetapa"</formula>
    </cfRule>
  </conditionalFormatting>
  <conditionalFormatting sqref="B198:E198 H198:I198">
    <cfRule type="expression" dxfId="125" priority="64">
      <formula>$B157="Serviço"</formula>
    </cfRule>
  </conditionalFormatting>
  <conditionalFormatting sqref="B225:C225">
    <cfRule type="expression" dxfId="124" priority="6750">
      <formula>$B187="Serviço"</formula>
    </cfRule>
  </conditionalFormatting>
  <conditionalFormatting sqref="E203">
    <cfRule type="expression" dxfId="123" priority="61">
      <formula>$B203="Serviço"</formula>
    </cfRule>
  </conditionalFormatting>
  <conditionalFormatting sqref="H203:I203">
    <cfRule type="expression" dxfId="122" priority="62">
      <formula>$B203="Serviço"</formula>
    </cfRule>
  </conditionalFormatting>
  <conditionalFormatting sqref="B203:E203 H203:I203">
    <cfRule type="expression" dxfId="121" priority="59">
      <formula>#REF!="Subetapa"</formula>
    </cfRule>
  </conditionalFormatting>
  <conditionalFormatting sqref="B203:E203 H203:I203">
    <cfRule type="expression" dxfId="120" priority="60">
      <formula>$B162="Serviço"</formula>
    </cfRule>
  </conditionalFormatting>
  <conditionalFormatting sqref="G229:I229 B227:I227 B228:C228 E228:I228 B229:E229">
    <cfRule type="expression" dxfId="119" priority="6751">
      <formula>$B190="Serviço"</formula>
    </cfRule>
  </conditionalFormatting>
  <conditionalFormatting sqref="E208">
    <cfRule type="expression" dxfId="118" priority="57">
      <formula>$B208="Serviço"</formula>
    </cfRule>
  </conditionalFormatting>
  <conditionalFormatting sqref="H208:I208">
    <cfRule type="expression" dxfId="117" priority="58">
      <formula>$B208="Serviço"</formula>
    </cfRule>
  </conditionalFormatting>
  <conditionalFormatting sqref="B208:E208 H208:I208">
    <cfRule type="expression" dxfId="116" priority="55">
      <formula>#REF!="Subetapa"</formula>
    </cfRule>
  </conditionalFormatting>
  <conditionalFormatting sqref="B208:E208 H208:I208">
    <cfRule type="expression" dxfId="115" priority="56">
      <formula>$B167="Serviço"</formula>
    </cfRule>
  </conditionalFormatting>
  <conditionalFormatting sqref="B232:E232 G232:I232 B233:I233 B231:C231 E231:I231 B230:I230">
    <cfRule type="expression" dxfId="114" priority="6752">
      <formula>$B194="Serviço"</formula>
    </cfRule>
  </conditionalFormatting>
  <conditionalFormatting sqref="E213">
    <cfRule type="expression" dxfId="113" priority="53">
      <formula>$B213="Serviço"</formula>
    </cfRule>
  </conditionalFormatting>
  <conditionalFormatting sqref="H213:I213">
    <cfRule type="expression" dxfId="112" priority="54">
      <formula>$B213="Serviço"</formula>
    </cfRule>
  </conditionalFormatting>
  <conditionalFormatting sqref="B213:E213 H213:I213">
    <cfRule type="expression" dxfId="111" priority="51">
      <formula>#REF!="Subetapa"</formula>
    </cfRule>
  </conditionalFormatting>
  <conditionalFormatting sqref="B213:E213 H213:I213">
    <cfRule type="expression" dxfId="110" priority="52">
      <formula>$B172="Serviço"</formula>
    </cfRule>
  </conditionalFormatting>
  <conditionalFormatting sqref="E218">
    <cfRule type="expression" dxfId="95" priority="49">
      <formula>$B218="Serviço"</formula>
    </cfRule>
  </conditionalFormatting>
  <conditionalFormatting sqref="H218:I218">
    <cfRule type="expression" dxfId="94" priority="50">
      <formula>$B218="Serviço"</formula>
    </cfRule>
  </conditionalFormatting>
  <conditionalFormatting sqref="B218:E218 H218:I218">
    <cfRule type="expression" dxfId="93" priority="47">
      <formula>#REF!="Subetapa"</formula>
    </cfRule>
  </conditionalFormatting>
  <conditionalFormatting sqref="B218:E218 H218:I218">
    <cfRule type="expression" dxfId="92" priority="48">
      <formula>$B177="Serviço"</formula>
    </cfRule>
  </conditionalFormatting>
  <conditionalFormatting sqref="F186:G187">
    <cfRule type="expression" dxfId="45" priority="40">
      <formula>$B128="Subetapa"</formula>
    </cfRule>
  </conditionalFormatting>
  <conditionalFormatting sqref="F186:G187">
    <cfRule type="expression" dxfId="44" priority="41">
      <formula>$B171="Serviço"</formula>
    </cfRule>
  </conditionalFormatting>
  <conditionalFormatting sqref="F198:G198">
    <cfRule type="expression" dxfId="43" priority="38">
      <formula>#REF!="Subetapa"</formula>
    </cfRule>
  </conditionalFormatting>
  <conditionalFormatting sqref="F198:G198">
    <cfRule type="expression" dxfId="42" priority="39">
      <formula>#REF!="Serviço"</formula>
    </cfRule>
  </conditionalFormatting>
  <conditionalFormatting sqref="F194:G197">
    <cfRule type="expression" dxfId="41" priority="42">
      <formula>$B132="Subetapa"</formula>
    </cfRule>
  </conditionalFormatting>
  <conditionalFormatting sqref="F197:G197">
    <cfRule type="expression" dxfId="40" priority="43">
      <formula>$B169="Serviço"</formula>
    </cfRule>
  </conditionalFormatting>
  <conditionalFormatting sqref="F193:G193">
    <cfRule type="expression" dxfId="39" priority="36">
      <formula>$B127="Subetapa"</formula>
    </cfRule>
  </conditionalFormatting>
  <conditionalFormatting sqref="F193:G193">
    <cfRule type="expression" dxfId="38" priority="37">
      <formula>#REF!="Serviço"</formula>
    </cfRule>
  </conditionalFormatting>
  <conditionalFormatting sqref="F189:G192">
    <cfRule type="expression" dxfId="37" priority="44">
      <formula>$B130="Subetapa"</formula>
    </cfRule>
  </conditionalFormatting>
  <conditionalFormatting sqref="F189:G192">
    <cfRule type="expression" dxfId="36" priority="45">
      <formula>#REF!="Serviço"</formula>
    </cfRule>
  </conditionalFormatting>
  <conditionalFormatting sqref="F188:G188">
    <cfRule type="expression" dxfId="35" priority="34">
      <formula>$B124="Subetapa"</formula>
    </cfRule>
  </conditionalFormatting>
  <conditionalFormatting sqref="F188:G188">
    <cfRule type="expression" dxfId="34" priority="35">
      <formula>#REF!="Serviço"</formula>
    </cfRule>
  </conditionalFormatting>
  <conditionalFormatting sqref="F194:G196">
    <cfRule type="expression" dxfId="33" priority="46">
      <formula>#REF!="Serviço"</formula>
    </cfRule>
  </conditionalFormatting>
  <conditionalFormatting sqref="F185:G185">
    <cfRule type="expression" dxfId="32" priority="33">
      <formula>$B100="Subetapa"</formula>
    </cfRule>
  </conditionalFormatting>
  <conditionalFormatting sqref="G185">
    <cfRule type="expression" dxfId="31" priority="31">
      <formula>$B185="Serviço"</formula>
    </cfRule>
  </conditionalFormatting>
  <conditionalFormatting sqref="F185:G185">
    <cfRule type="expression" dxfId="30" priority="32">
      <formula>#REF!="Serviço"</formula>
    </cfRule>
  </conditionalFormatting>
  <conditionalFormatting sqref="F213:G213">
    <cfRule type="expression" dxfId="29" priority="23">
      <formula>#REF!="Subetapa"</formula>
    </cfRule>
  </conditionalFormatting>
  <conditionalFormatting sqref="F213:G213">
    <cfRule type="expression" dxfId="28" priority="24">
      <formula>$B172="Serviço"</formula>
    </cfRule>
  </conditionalFormatting>
  <conditionalFormatting sqref="F209:G210 F212:G212">
    <cfRule type="expression" dxfId="27" priority="25">
      <formula>#REF!="Subetapa"</formula>
    </cfRule>
  </conditionalFormatting>
  <conditionalFormatting sqref="F209:G210 F212:G212">
    <cfRule type="expression" dxfId="26" priority="26">
      <formula>$B171="Serviço"</formula>
    </cfRule>
  </conditionalFormatting>
  <conditionalFormatting sqref="F208:G208">
    <cfRule type="expression" dxfId="25" priority="21">
      <formula>#REF!="Subetapa"</formula>
    </cfRule>
  </conditionalFormatting>
  <conditionalFormatting sqref="F208:G208">
    <cfRule type="expression" dxfId="24" priority="22">
      <formula>#REF!="Serviço"</formula>
    </cfRule>
  </conditionalFormatting>
  <conditionalFormatting sqref="F204:G206">
    <cfRule type="expression" dxfId="23" priority="27">
      <formula>#REF!="Subetapa"</formula>
    </cfRule>
  </conditionalFormatting>
  <conditionalFormatting sqref="F203:G203">
    <cfRule type="expression" dxfId="22" priority="19">
      <formula>#REF!="Subetapa"</formula>
    </cfRule>
  </conditionalFormatting>
  <conditionalFormatting sqref="F203:G203">
    <cfRule type="expression" dxfId="21" priority="20">
      <formula>$B169="Serviço"</formula>
    </cfRule>
  </conditionalFormatting>
  <conditionalFormatting sqref="F200:G202">
    <cfRule type="expression" dxfId="20" priority="28">
      <formula>$B135="Subetapa"</formula>
    </cfRule>
  </conditionalFormatting>
  <conditionalFormatting sqref="F200:G202">
    <cfRule type="expression" dxfId="19" priority="29">
      <formula>#REF!="Serviço"</formula>
    </cfRule>
  </conditionalFormatting>
  <conditionalFormatting sqref="F204:G206">
    <cfRule type="expression" dxfId="18" priority="30">
      <formula>#REF!="Serviço"</formula>
    </cfRule>
  </conditionalFormatting>
  <conditionalFormatting sqref="F207:G207">
    <cfRule type="expression" dxfId="17" priority="18">
      <formula>$B122="Subetapa"</formula>
    </cfRule>
  </conditionalFormatting>
  <conditionalFormatting sqref="G207">
    <cfRule type="expression" dxfId="16" priority="16">
      <formula>$B207="Serviço"</formula>
    </cfRule>
  </conditionalFormatting>
  <conditionalFormatting sqref="F207:G207">
    <cfRule type="expression" dxfId="15" priority="17">
      <formula>#REF!="Serviço"</formula>
    </cfRule>
  </conditionalFormatting>
  <conditionalFormatting sqref="F211:G211">
    <cfRule type="expression" dxfId="14" priority="15">
      <formula>$B126="Subetapa"</formula>
    </cfRule>
  </conditionalFormatting>
  <conditionalFormatting sqref="G211">
    <cfRule type="expression" dxfId="13" priority="13">
      <formula>$B211="Serviço"</formula>
    </cfRule>
  </conditionalFormatting>
  <conditionalFormatting sqref="F211:G211">
    <cfRule type="expression" dxfId="12" priority="14">
      <formula>#REF!="Serviço"</formula>
    </cfRule>
  </conditionalFormatting>
  <conditionalFormatting sqref="G217">
    <cfRule type="expression" dxfId="11" priority="10">
      <formula>$B217="Serviço"</formula>
    </cfRule>
  </conditionalFormatting>
  <conditionalFormatting sqref="F217:G217">
    <cfRule type="expression" dxfId="10" priority="11">
      <formula>#REF!="Subetapa"</formula>
    </cfRule>
  </conditionalFormatting>
  <conditionalFormatting sqref="F217:G217">
    <cfRule type="expression" dxfId="9" priority="12">
      <formula>$B178="Serviço"</formula>
    </cfRule>
  </conditionalFormatting>
  <conditionalFormatting sqref="F216:G216">
    <cfRule type="expression" dxfId="8" priority="9">
      <formula>$B131="Subetapa"</formula>
    </cfRule>
  </conditionalFormatting>
  <conditionalFormatting sqref="G216">
    <cfRule type="expression" dxfId="7" priority="7">
      <formula>$B216="Serviço"</formula>
    </cfRule>
  </conditionalFormatting>
  <conditionalFormatting sqref="F216:G216">
    <cfRule type="expression" dxfId="6" priority="8">
      <formula>#REF!="Serviço"</formula>
    </cfRule>
  </conditionalFormatting>
  <conditionalFormatting sqref="F218:G218">
    <cfRule type="expression" dxfId="5" priority="6">
      <formula>$B133="Subetapa"</formula>
    </cfRule>
  </conditionalFormatting>
  <conditionalFormatting sqref="G218">
    <cfRule type="expression" dxfId="4" priority="4">
      <formula>$B218="Serviço"</formula>
    </cfRule>
  </conditionalFormatting>
  <conditionalFormatting sqref="F218:G218">
    <cfRule type="expression" dxfId="3" priority="5">
      <formula>#REF!="Serviço"</formula>
    </cfRule>
  </conditionalFormatting>
  <conditionalFormatting sqref="G215">
    <cfRule type="expression" dxfId="2" priority="3">
      <formula>$B215="Serviço"</formula>
    </cfRule>
  </conditionalFormatting>
  <conditionalFormatting sqref="F215:G215">
    <cfRule type="expression" dxfId="1" priority="1">
      <formula>#REF!="Subetapa"</formula>
    </cfRule>
  </conditionalFormatting>
  <conditionalFormatting sqref="F215:G215">
    <cfRule type="expression" dxfId="0" priority="2">
      <formula>$B177="Serviço"</formula>
    </cfRule>
  </conditionalFormatting>
  <dataValidations count="1">
    <dataValidation type="list" allowBlank="1" showErrorMessage="1" sqref="B2:B488" xr:uid="{00000000-0002-0000-0600-000000000000}">
      <formula1>"Unidade Construtiva,Célula Construtiva,Etapa,Subetapa,Serviço,Insumo,Complemento do Insumo"</formula1>
    </dataValidation>
  </dataValidations>
  <hyperlinks>
    <hyperlink ref="D306" r:id="rId1" xr:uid="{00000000-0004-0000-0600-000000000000}"/>
  </hyperlinks>
  <pageMargins left="0.511811024" right="0.511811024" top="0.78740157499999996" bottom="0.78740157499999996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851D6"/>
    <pageSetUpPr fitToPage="1"/>
  </sheetPr>
  <dimension ref="A1:Q108"/>
  <sheetViews>
    <sheetView showGridLines="0" workbookViewId="0">
      <pane ySplit="7" topLeftCell="A8" activePane="bottomLeft" state="frozen"/>
      <selection pane="bottomLeft" activeCell="B9" sqref="B9"/>
    </sheetView>
  </sheetViews>
  <sheetFormatPr defaultColWidth="12.5703125" defaultRowHeight="15" customHeight="1" x14ac:dyDescent="0.2"/>
  <cols>
    <col min="1" max="1" width="31.85546875" customWidth="1"/>
    <col min="2" max="2" width="18.28515625" customWidth="1"/>
    <col min="3" max="3" width="19.28515625" customWidth="1"/>
    <col min="4" max="4" width="10.7109375" customWidth="1"/>
    <col min="5" max="5" width="10.140625" customWidth="1"/>
    <col min="6" max="6" width="25" customWidth="1"/>
    <col min="7" max="7" width="9" customWidth="1"/>
    <col min="8" max="8" width="11.28515625" customWidth="1"/>
    <col min="9" max="9" width="11" customWidth="1"/>
    <col min="10" max="10" width="10" customWidth="1"/>
    <col min="11" max="11" width="10.140625" customWidth="1"/>
    <col min="12" max="12" width="10.7109375" customWidth="1"/>
    <col min="13" max="13" width="16.28515625" customWidth="1"/>
    <col min="14" max="14" width="12.140625" customWidth="1"/>
    <col min="15" max="15" width="13.140625" customWidth="1"/>
    <col min="16" max="16" width="12.85546875" customWidth="1"/>
    <col min="17" max="18" width="9.140625" customWidth="1"/>
    <col min="19" max="26" width="8.7109375" customWidth="1"/>
  </cols>
  <sheetData>
    <row r="1" spans="1:17" ht="15" customHeight="1" x14ac:dyDescent="0.2">
      <c r="A1" s="337"/>
      <c r="B1" s="338" t="s">
        <v>0</v>
      </c>
      <c r="C1" s="339" t="s">
        <v>731</v>
      </c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4"/>
      <c r="O1" s="334"/>
      <c r="P1" s="334"/>
      <c r="Q1" s="340"/>
    </row>
    <row r="2" spans="1:17" ht="15" customHeight="1" x14ac:dyDescent="0.2">
      <c r="A2" s="341"/>
      <c r="B2" s="338" t="s">
        <v>2</v>
      </c>
      <c r="C2" s="342" t="s">
        <v>732</v>
      </c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4"/>
      <c r="O2" s="334"/>
      <c r="P2" s="334"/>
      <c r="Q2" s="343"/>
    </row>
    <row r="3" spans="1:17" ht="15" customHeight="1" x14ac:dyDescent="0.2">
      <c r="A3" s="344"/>
      <c r="B3" s="338" t="s">
        <v>4</v>
      </c>
      <c r="C3" s="339" t="s">
        <v>733</v>
      </c>
      <c r="D3" s="339"/>
      <c r="E3" s="339"/>
      <c r="F3" s="339"/>
      <c r="G3" s="339"/>
      <c r="H3" s="339"/>
      <c r="I3" s="339"/>
      <c r="J3" s="339"/>
      <c r="K3" s="345"/>
      <c r="L3" s="339"/>
      <c r="M3" s="345"/>
      <c r="N3" s="346"/>
      <c r="O3" s="346"/>
      <c r="P3" s="346"/>
      <c r="Q3" s="347"/>
    </row>
    <row r="4" spans="1:17" ht="20.25" customHeight="1" x14ac:dyDescent="0.25">
      <c r="A4" s="1091" t="s">
        <v>734</v>
      </c>
      <c r="B4" s="1046"/>
      <c r="C4" s="1046"/>
      <c r="D4" s="1046"/>
      <c r="E4" s="1046"/>
      <c r="F4" s="1046"/>
      <c r="G4" s="1046"/>
      <c r="H4" s="1046"/>
      <c r="I4" s="1046"/>
      <c r="J4" s="1046"/>
      <c r="K4" s="1046"/>
      <c r="L4" s="1046"/>
      <c r="M4" s="1046"/>
      <c r="N4" s="1046"/>
      <c r="O4" s="1046"/>
      <c r="P4" s="1046"/>
      <c r="Q4" s="1047"/>
    </row>
    <row r="5" spans="1:17" ht="12" customHeight="1" x14ac:dyDescent="0.2">
      <c r="A5" s="1092" t="s">
        <v>735</v>
      </c>
      <c r="B5" s="1081" t="s">
        <v>736</v>
      </c>
      <c r="C5" s="1081" t="s">
        <v>737</v>
      </c>
      <c r="D5" s="1097" t="s">
        <v>738</v>
      </c>
      <c r="E5" s="1098"/>
      <c r="F5" s="1098"/>
      <c r="G5" s="1099"/>
      <c r="H5" s="1100" t="s">
        <v>59</v>
      </c>
      <c r="I5" s="1081" t="s">
        <v>739</v>
      </c>
      <c r="J5" s="1081" t="s">
        <v>740</v>
      </c>
      <c r="K5" s="1083" t="s">
        <v>741</v>
      </c>
      <c r="L5" s="1084"/>
      <c r="M5" s="1087" t="s">
        <v>742</v>
      </c>
      <c r="N5" s="1088"/>
      <c r="O5" s="1088"/>
      <c r="P5" s="1089"/>
      <c r="Q5" s="348" t="s">
        <v>743</v>
      </c>
    </row>
    <row r="6" spans="1:17" ht="11.25" customHeight="1" x14ac:dyDescent="0.2">
      <c r="A6" s="1093"/>
      <c r="B6" s="1095"/>
      <c r="C6" s="1095"/>
      <c r="D6" s="349" t="s">
        <v>744</v>
      </c>
      <c r="E6" s="349" t="s">
        <v>745</v>
      </c>
      <c r="F6" s="349" t="s">
        <v>746</v>
      </c>
      <c r="G6" s="349" t="s">
        <v>730</v>
      </c>
      <c r="H6" s="1082"/>
      <c r="I6" s="1082"/>
      <c r="J6" s="1082"/>
      <c r="K6" s="1085"/>
      <c r="L6" s="1086"/>
      <c r="M6" s="350"/>
      <c r="N6" s="350"/>
      <c r="O6" s="350"/>
      <c r="P6" s="350"/>
      <c r="Q6" s="351" t="s">
        <v>747</v>
      </c>
    </row>
    <row r="7" spans="1:17" ht="12" customHeight="1" x14ac:dyDescent="0.2">
      <c r="A7" s="1094"/>
      <c r="B7" s="1096"/>
      <c r="C7" s="1096"/>
      <c r="D7" s="352" t="s">
        <v>79</v>
      </c>
      <c r="E7" s="352" t="s">
        <v>79</v>
      </c>
      <c r="F7" s="352" t="s">
        <v>79</v>
      </c>
      <c r="G7" s="352" t="s">
        <v>79</v>
      </c>
      <c r="H7" s="353" t="s">
        <v>79</v>
      </c>
      <c r="I7" s="353" t="s">
        <v>365</v>
      </c>
      <c r="J7" s="353" t="s">
        <v>365</v>
      </c>
      <c r="K7" s="354" t="s">
        <v>365</v>
      </c>
      <c r="L7" s="349" t="s">
        <v>736</v>
      </c>
      <c r="M7" s="355">
        <v>6.3</v>
      </c>
      <c r="N7" s="355">
        <v>8</v>
      </c>
      <c r="O7" s="355">
        <v>16</v>
      </c>
      <c r="P7" s="355">
        <v>20</v>
      </c>
      <c r="Q7" s="356">
        <f>SUM(M9:P9)</f>
        <v>0</v>
      </c>
    </row>
    <row r="8" spans="1:17" ht="17.25" customHeight="1" x14ac:dyDescent="0.2">
      <c r="A8" s="357" t="s">
        <v>748</v>
      </c>
      <c r="B8" s="358"/>
      <c r="C8" s="358"/>
      <c r="D8" s="358"/>
      <c r="E8" s="358"/>
      <c r="F8" s="358"/>
      <c r="G8" s="358"/>
      <c r="H8" s="358"/>
      <c r="I8" s="358"/>
      <c r="J8" s="358"/>
      <c r="K8" s="358"/>
      <c r="L8" s="358"/>
      <c r="M8" s="358"/>
      <c r="N8" s="358"/>
      <c r="O8" s="358"/>
      <c r="P8" s="358"/>
      <c r="Q8" s="358"/>
    </row>
    <row r="9" spans="1:17" ht="11.25" customHeight="1" x14ac:dyDescent="0.2">
      <c r="A9" s="359" t="s">
        <v>374</v>
      </c>
      <c r="B9" s="360" t="s">
        <v>749</v>
      </c>
      <c r="C9" s="361">
        <v>40</v>
      </c>
      <c r="D9" s="362"/>
      <c r="E9" s="363"/>
      <c r="F9" s="364">
        <f t="shared" ref="F9:F12" si="0">IF(B9="","",VLOOKUP(B9,$F$14:$G$25,2,0))</f>
        <v>0.41</v>
      </c>
      <c r="G9" s="364">
        <f t="shared" ref="G9:G12" si="1">IF(C9="","",ROUNDUP((E9-D9),1))</f>
        <v>0</v>
      </c>
      <c r="H9" s="364">
        <f>286.5+45</f>
        <v>331.5</v>
      </c>
      <c r="I9" s="364">
        <f t="shared" ref="I9:I12" si="2">IF(C9="","",PI()*((F9/2)^2)*H9)</f>
        <v>43.766430465047307</v>
      </c>
      <c r="J9" s="364">
        <f t="shared" ref="J9:J12" si="3">IF(C9="","",I9*1.3)</f>
        <v>56.896359604561503</v>
      </c>
      <c r="K9" s="365">
        <f t="shared" ref="K9:K12" si="4">I9</f>
        <v>43.766430465047307</v>
      </c>
      <c r="L9" s="366" t="s">
        <v>750</v>
      </c>
      <c r="M9" s="362"/>
      <c r="N9" s="362"/>
      <c r="O9" s="362"/>
      <c r="P9" s="362"/>
      <c r="Q9" s="364">
        <f t="shared" ref="Q9:Q13" si="5">SUM(M9:P9)/K9</f>
        <v>0</v>
      </c>
    </row>
    <row r="10" spans="1:17" ht="11.25" customHeight="1" x14ac:dyDescent="0.2">
      <c r="A10" s="359" t="s">
        <v>374</v>
      </c>
      <c r="B10" s="360" t="s">
        <v>751</v>
      </c>
      <c r="C10" s="361">
        <v>115</v>
      </c>
      <c r="D10" s="362"/>
      <c r="E10" s="363"/>
      <c r="F10" s="364">
        <f t="shared" si="0"/>
        <v>0.31</v>
      </c>
      <c r="G10" s="364">
        <f t="shared" si="1"/>
        <v>0</v>
      </c>
      <c r="H10" s="364">
        <f>554+191</f>
        <v>745</v>
      </c>
      <c r="I10" s="364">
        <f t="shared" si="2"/>
        <v>56.230188809358616</v>
      </c>
      <c r="J10" s="364">
        <f t="shared" si="3"/>
        <v>73.099245452166201</v>
      </c>
      <c r="K10" s="365">
        <f t="shared" si="4"/>
        <v>56.230188809358616</v>
      </c>
      <c r="L10" s="366" t="s">
        <v>750</v>
      </c>
      <c r="M10" s="362"/>
      <c r="N10" s="362"/>
      <c r="O10" s="362"/>
      <c r="P10" s="362"/>
      <c r="Q10" s="364">
        <f t="shared" si="5"/>
        <v>0</v>
      </c>
    </row>
    <row r="11" spans="1:17" ht="11.25" customHeight="1" x14ac:dyDescent="0.2">
      <c r="A11" s="359" t="s">
        <v>374</v>
      </c>
      <c r="B11" s="360" t="s">
        <v>752</v>
      </c>
      <c r="C11" s="361">
        <v>92</v>
      </c>
      <c r="D11" s="362"/>
      <c r="E11" s="363"/>
      <c r="F11" s="364">
        <f t="shared" si="0"/>
        <v>0.25</v>
      </c>
      <c r="G11" s="364">
        <f t="shared" si="1"/>
        <v>0</v>
      </c>
      <c r="H11" s="364">
        <f>161.5+284</f>
        <v>445.5</v>
      </c>
      <c r="I11" s="364">
        <f t="shared" si="2"/>
        <v>21.868430112097702</v>
      </c>
      <c r="J11" s="364">
        <f t="shared" si="3"/>
        <v>28.428959145727013</v>
      </c>
      <c r="K11" s="365">
        <f t="shared" si="4"/>
        <v>21.868430112097702</v>
      </c>
      <c r="L11" s="366" t="s">
        <v>750</v>
      </c>
      <c r="M11" s="362"/>
      <c r="N11" s="362"/>
      <c r="O11" s="362"/>
      <c r="P11" s="362"/>
      <c r="Q11" s="364">
        <f t="shared" si="5"/>
        <v>0</v>
      </c>
    </row>
    <row r="12" spans="1:17" ht="11.25" customHeight="1" x14ac:dyDescent="0.2">
      <c r="A12" s="359" t="s">
        <v>374</v>
      </c>
      <c r="B12" s="360" t="s">
        <v>753</v>
      </c>
      <c r="C12" s="361">
        <v>16</v>
      </c>
      <c r="D12" s="362"/>
      <c r="E12" s="363"/>
      <c r="F12" s="364">
        <f t="shared" si="0"/>
        <v>0.2</v>
      </c>
      <c r="G12" s="364">
        <f t="shared" si="1"/>
        <v>0</v>
      </c>
      <c r="H12" s="364">
        <v>75</v>
      </c>
      <c r="I12" s="364">
        <f t="shared" si="2"/>
        <v>2.3561944901923448</v>
      </c>
      <c r="J12" s="364">
        <f t="shared" si="3"/>
        <v>3.0630528372500483</v>
      </c>
      <c r="K12" s="365">
        <f t="shared" si="4"/>
        <v>2.3561944901923448</v>
      </c>
      <c r="L12" s="366" t="s">
        <v>750</v>
      </c>
      <c r="M12" s="362"/>
      <c r="N12" s="362"/>
      <c r="O12" s="362"/>
      <c r="P12" s="362"/>
      <c r="Q12" s="364">
        <f t="shared" si="5"/>
        <v>0</v>
      </c>
    </row>
    <row r="13" spans="1:17" ht="15" customHeight="1" x14ac:dyDescent="0.2">
      <c r="A13" s="367" t="s">
        <v>754</v>
      </c>
      <c r="B13" s="368" t="s">
        <v>755</v>
      </c>
      <c r="C13" s="369">
        <f>SUM(C8:C12)</f>
        <v>263</v>
      </c>
      <c r="D13" s="370"/>
      <c r="E13" s="371"/>
      <c r="F13" s="371"/>
      <c r="G13" s="371"/>
      <c r="H13" s="369">
        <f t="shared" ref="H13:K13" si="6">SUM(H8:H12)</f>
        <v>1597</v>
      </c>
      <c r="I13" s="369">
        <f t="shared" si="6"/>
        <v>124.22124387669598</v>
      </c>
      <c r="J13" s="369">
        <f t="shared" si="6"/>
        <v>161.48761703970476</v>
      </c>
      <c r="K13" s="369">
        <f t="shared" si="6"/>
        <v>124.22124387669598</v>
      </c>
      <c r="L13" s="372"/>
      <c r="M13" s="369">
        <v>295</v>
      </c>
      <c r="N13" s="369">
        <v>1453</v>
      </c>
      <c r="O13" s="369">
        <v>4810</v>
      </c>
      <c r="P13" s="369">
        <v>16747</v>
      </c>
      <c r="Q13" s="369">
        <f t="shared" si="5"/>
        <v>187.60881208960458</v>
      </c>
    </row>
    <row r="14" spans="1:17" ht="15" customHeight="1" x14ac:dyDescent="0.2">
      <c r="A14" s="373" t="s">
        <v>756</v>
      </c>
      <c r="B14" s="334"/>
      <c r="C14" s="374"/>
      <c r="D14" s="334"/>
      <c r="E14" s="334"/>
      <c r="F14" s="375" t="s">
        <v>757</v>
      </c>
      <c r="G14" s="376">
        <v>0.35</v>
      </c>
      <c r="H14" s="377">
        <f t="shared" ref="H14:H22" si="7">SUMIF($B$8:$B$9,F14,$H$8:$H$9)</f>
        <v>0</v>
      </c>
      <c r="I14" s="378"/>
      <c r="J14" s="378"/>
      <c r="K14" s="379">
        <f t="shared" ref="K14:K21" si="8">SUMIF($L$9:$L$10,L14,$K$14:$K$25)</f>
        <v>0</v>
      </c>
      <c r="L14" s="380" t="s">
        <v>758</v>
      </c>
      <c r="M14" s="378"/>
      <c r="N14" s="378"/>
      <c r="O14" s="378"/>
      <c r="P14" s="378"/>
      <c r="Q14" s="378"/>
    </row>
    <row r="15" spans="1:17" ht="15" customHeight="1" x14ac:dyDescent="0.2">
      <c r="A15" s="378"/>
      <c r="B15" s="378"/>
      <c r="C15" s="378"/>
      <c r="D15" s="378"/>
      <c r="E15" s="334"/>
      <c r="F15" s="375" t="s">
        <v>759</v>
      </c>
      <c r="G15" s="376">
        <v>0.4</v>
      </c>
      <c r="H15" s="377">
        <f t="shared" si="7"/>
        <v>0</v>
      </c>
      <c r="I15" s="378"/>
      <c r="J15" s="378"/>
      <c r="K15" s="379">
        <f t="shared" si="8"/>
        <v>0</v>
      </c>
      <c r="L15" s="380" t="s">
        <v>758</v>
      </c>
      <c r="M15" s="378"/>
      <c r="N15" s="378"/>
      <c r="O15" s="378"/>
      <c r="P15" s="378"/>
      <c r="Q15" s="378"/>
    </row>
    <row r="16" spans="1:17" ht="15" customHeight="1" x14ac:dyDescent="0.2">
      <c r="A16" s="378"/>
      <c r="B16" s="378"/>
      <c r="C16" s="378"/>
      <c r="D16" s="378"/>
      <c r="E16" s="334"/>
      <c r="F16" s="375" t="s">
        <v>760</v>
      </c>
      <c r="G16" s="376">
        <v>0.5</v>
      </c>
      <c r="H16" s="377">
        <f t="shared" si="7"/>
        <v>0</v>
      </c>
      <c r="I16" s="378"/>
      <c r="J16" s="378"/>
      <c r="K16" s="379">
        <f t="shared" si="8"/>
        <v>0</v>
      </c>
      <c r="L16" s="380" t="s">
        <v>758</v>
      </c>
      <c r="M16" s="378"/>
      <c r="N16" s="378"/>
      <c r="O16" s="378"/>
      <c r="P16" s="378"/>
      <c r="Q16" s="378"/>
    </row>
    <row r="17" spans="1:17" ht="15" customHeight="1" x14ac:dyDescent="0.2">
      <c r="A17" s="378"/>
      <c r="B17" s="378"/>
      <c r="C17" s="378"/>
      <c r="D17" s="378"/>
      <c r="E17" s="334"/>
      <c r="F17" s="375" t="s">
        <v>761</v>
      </c>
      <c r="G17" s="376">
        <v>0.6</v>
      </c>
      <c r="H17" s="377">
        <f t="shared" si="7"/>
        <v>0</v>
      </c>
      <c r="I17" s="378"/>
      <c r="J17" s="378"/>
      <c r="K17" s="379">
        <f t="shared" si="8"/>
        <v>0</v>
      </c>
      <c r="L17" s="380" t="s">
        <v>758</v>
      </c>
      <c r="M17" s="378"/>
      <c r="N17" s="378"/>
      <c r="O17" s="378"/>
      <c r="P17" s="378"/>
      <c r="Q17" s="378"/>
    </row>
    <row r="18" spans="1:17" ht="15" customHeight="1" x14ac:dyDescent="0.2">
      <c r="A18" s="378"/>
      <c r="B18" s="378"/>
      <c r="C18" s="378"/>
      <c r="D18" s="378"/>
      <c r="E18" s="334"/>
      <c r="F18" s="375" t="s">
        <v>762</v>
      </c>
      <c r="G18" s="376">
        <v>0.7</v>
      </c>
      <c r="H18" s="377">
        <f t="shared" si="7"/>
        <v>0</v>
      </c>
      <c r="I18" s="378"/>
      <c r="J18" s="378"/>
      <c r="K18" s="379">
        <f t="shared" si="8"/>
        <v>0</v>
      </c>
      <c r="L18" s="380" t="s">
        <v>758</v>
      </c>
      <c r="M18" s="378"/>
      <c r="N18" s="378"/>
      <c r="O18" s="378"/>
      <c r="P18" s="378"/>
      <c r="Q18" s="378"/>
    </row>
    <row r="19" spans="1:17" ht="15" customHeight="1" x14ac:dyDescent="0.2">
      <c r="A19" s="378"/>
      <c r="B19" s="378"/>
      <c r="C19" s="378"/>
      <c r="D19" s="378"/>
      <c r="E19" s="334"/>
      <c r="F19" s="375" t="s">
        <v>763</v>
      </c>
      <c r="G19" s="376">
        <v>0.8</v>
      </c>
      <c r="H19" s="377">
        <f t="shared" si="7"/>
        <v>0</v>
      </c>
      <c r="I19" s="378"/>
      <c r="J19" s="378"/>
      <c r="K19" s="379">
        <f t="shared" si="8"/>
        <v>0</v>
      </c>
      <c r="L19" s="380" t="s">
        <v>758</v>
      </c>
      <c r="M19" s="378"/>
      <c r="N19" s="378"/>
      <c r="O19" s="378"/>
      <c r="P19" s="378"/>
      <c r="Q19" s="378"/>
    </row>
    <row r="20" spans="1:17" ht="15" customHeight="1" x14ac:dyDescent="0.2">
      <c r="A20" s="378"/>
      <c r="B20" s="378"/>
      <c r="C20" s="378"/>
      <c r="D20" s="378"/>
      <c r="E20" s="334"/>
      <c r="F20" s="375" t="s">
        <v>764</v>
      </c>
      <c r="G20" s="376">
        <v>0.9</v>
      </c>
      <c r="H20" s="377">
        <f t="shared" si="7"/>
        <v>0</v>
      </c>
      <c r="I20" s="378"/>
      <c r="J20" s="378"/>
      <c r="K20" s="379">
        <f t="shared" si="8"/>
        <v>0</v>
      </c>
      <c r="L20" s="380" t="s">
        <v>758</v>
      </c>
      <c r="M20" s="378"/>
      <c r="N20" s="378"/>
      <c r="O20" s="378"/>
      <c r="P20" s="378"/>
      <c r="Q20" s="378"/>
    </row>
    <row r="21" spans="1:17" ht="11.25" customHeight="1" x14ac:dyDescent="0.2">
      <c r="A21" s="334"/>
      <c r="B21" s="334"/>
      <c r="C21" s="334"/>
      <c r="D21" s="334"/>
      <c r="E21" s="334"/>
      <c r="F21" s="375" t="s">
        <v>765</v>
      </c>
      <c r="G21" s="376">
        <v>0.7</v>
      </c>
      <c r="H21" s="377">
        <f t="shared" si="7"/>
        <v>0</v>
      </c>
      <c r="I21" s="378"/>
      <c r="J21" s="334"/>
      <c r="K21" s="379">
        <f t="shared" si="8"/>
        <v>0</v>
      </c>
      <c r="L21" s="380" t="s">
        <v>758</v>
      </c>
      <c r="M21" s="378"/>
      <c r="N21" s="378"/>
      <c r="O21" s="378"/>
      <c r="P21" s="378"/>
      <c r="Q21" s="334"/>
    </row>
    <row r="22" spans="1:17" ht="11.25" customHeight="1" x14ac:dyDescent="0.2">
      <c r="A22" s="334"/>
      <c r="B22" s="334"/>
      <c r="C22" s="334"/>
      <c r="D22" s="334"/>
      <c r="E22" s="334"/>
      <c r="F22" s="375" t="s">
        <v>749</v>
      </c>
      <c r="G22" s="376">
        <v>0.41</v>
      </c>
      <c r="H22" s="377">
        <f t="shared" si="7"/>
        <v>331.5</v>
      </c>
      <c r="I22" s="378"/>
      <c r="J22" s="334"/>
      <c r="K22" s="379">
        <f t="shared" ref="K22:K25" si="9">K9</f>
        <v>43.766430465047307</v>
      </c>
      <c r="L22" s="380" t="s">
        <v>750</v>
      </c>
      <c r="M22" s="378"/>
      <c r="N22" s="378"/>
      <c r="O22" s="378"/>
      <c r="P22" s="378"/>
      <c r="Q22" s="334"/>
    </row>
    <row r="23" spans="1:17" ht="11.25" customHeight="1" x14ac:dyDescent="0.2">
      <c r="A23" s="334"/>
      <c r="B23" s="334"/>
      <c r="C23" s="334"/>
      <c r="D23" s="334"/>
      <c r="E23" s="334"/>
      <c r="F23" s="375" t="s">
        <v>751</v>
      </c>
      <c r="G23" s="376">
        <v>0.31</v>
      </c>
      <c r="H23" s="377">
        <f t="shared" ref="H23:H25" si="10">SUMIF($B$8:$B$12,F23,$H$8:$H$12)</f>
        <v>745</v>
      </c>
      <c r="I23" s="378"/>
      <c r="J23" s="334"/>
      <c r="K23" s="379">
        <f t="shared" si="9"/>
        <v>56.230188809358616</v>
      </c>
      <c r="L23" s="380" t="s">
        <v>750</v>
      </c>
      <c r="M23" s="378"/>
      <c r="N23" s="378"/>
      <c r="O23" s="378"/>
      <c r="P23" s="378"/>
      <c r="Q23" s="334"/>
    </row>
    <row r="24" spans="1:17" ht="11.25" customHeight="1" x14ac:dyDescent="0.2">
      <c r="A24" s="334"/>
      <c r="B24" s="334"/>
      <c r="C24" s="334"/>
      <c r="D24" s="334"/>
      <c r="E24" s="334"/>
      <c r="F24" s="375" t="s">
        <v>752</v>
      </c>
      <c r="G24" s="376">
        <v>0.25</v>
      </c>
      <c r="H24" s="377">
        <f t="shared" si="10"/>
        <v>445.5</v>
      </c>
      <c r="I24" s="378"/>
      <c r="J24" s="334"/>
      <c r="K24" s="379">
        <f t="shared" si="9"/>
        <v>21.868430112097702</v>
      </c>
      <c r="L24" s="380" t="s">
        <v>750</v>
      </c>
      <c r="M24" s="378"/>
      <c r="N24" s="378"/>
      <c r="O24" s="378"/>
      <c r="P24" s="378"/>
      <c r="Q24" s="334"/>
    </row>
    <row r="25" spans="1:17" ht="11.25" customHeight="1" x14ac:dyDescent="0.2">
      <c r="A25" s="334"/>
      <c r="B25" s="334"/>
      <c r="C25" s="334"/>
      <c r="D25" s="334"/>
      <c r="E25" s="334"/>
      <c r="F25" s="375" t="s">
        <v>753</v>
      </c>
      <c r="G25" s="376">
        <v>0.2</v>
      </c>
      <c r="H25" s="377">
        <f t="shared" si="10"/>
        <v>75</v>
      </c>
      <c r="I25" s="378"/>
      <c r="J25" s="334"/>
      <c r="K25" s="379">
        <f t="shared" si="9"/>
        <v>2.3561944901923448</v>
      </c>
      <c r="L25" s="380" t="s">
        <v>750</v>
      </c>
      <c r="M25" s="378"/>
      <c r="N25" s="378"/>
      <c r="O25" s="378"/>
      <c r="P25" s="378"/>
      <c r="Q25" s="334"/>
    </row>
    <row r="107" spans="1:17" ht="11.25" customHeight="1" x14ac:dyDescent="0.25">
      <c r="A107" s="1090" t="s">
        <v>766</v>
      </c>
      <c r="B107" s="1063"/>
      <c r="C107" s="1063"/>
      <c r="D107" s="1063"/>
      <c r="E107" s="1063"/>
      <c r="F107" s="1063"/>
      <c r="G107" s="1063"/>
      <c r="H107" s="1063"/>
      <c r="I107" s="1063"/>
      <c r="J107" s="1063"/>
      <c r="K107" s="1063"/>
      <c r="L107" s="1063"/>
      <c r="M107" s="1063"/>
      <c r="N107" s="1063"/>
      <c r="O107" s="1063"/>
      <c r="P107" s="1063"/>
      <c r="Q107" s="1064"/>
    </row>
    <row r="108" spans="1:17" ht="11.25" customHeight="1" x14ac:dyDescent="0.2">
      <c r="A108" s="381" t="s">
        <v>767</v>
      </c>
      <c r="B108" s="334"/>
      <c r="C108" s="334"/>
      <c r="D108" s="334"/>
      <c r="E108" s="334"/>
      <c r="F108" s="334"/>
      <c r="G108" s="334"/>
      <c r="H108" s="334"/>
      <c r="I108" s="334"/>
      <c r="J108" s="334"/>
      <c r="K108" s="334"/>
      <c r="L108" s="334"/>
      <c r="M108" s="334"/>
      <c r="N108" s="334"/>
      <c r="O108" s="334"/>
      <c r="P108" s="334"/>
      <c r="Q108" s="334"/>
    </row>
  </sheetData>
  <mergeCells count="11">
    <mergeCell ref="J5:J6"/>
    <mergeCell ref="K5:L6"/>
    <mergeCell ref="M5:P5"/>
    <mergeCell ref="A107:Q107"/>
    <mergeCell ref="A4:Q4"/>
    <mergeCell ref="A5:A7"/>
    <mergeCell ref="B5:B7"/>
    <mergeCell ref="C5:C7"/>
    <mergeCell ref="D5:G5"/>
    <mergeCell ref="H5:H6"/>
    <mergeCell ref="I5:I6"/>
  </mergeCells>
  <dataValidations count="3">
    <dataValidation type="list" allowBlank="1" showErrorMessage="1" sqref="B9:B12" xr:uid="{00000000-0002-0000-0900-000000000000}">
      <formula1>$F$14:$F$26</formula1>
    </dataValidation>
    <dataValidation type="list" allowBlank="1" showErrorMessage="1" sqref="L8:P8" xr:uid="{00000000-0002-0000-0900-000001000000}">
      <formula1>$L$14:$L$19</formula1>
    </dataValidation>
    <dataValidation type="list" allowBlank="1" showErrorMessage="1" sqref="L9:L12" xr:uid="{00000000-0002-0000-0900-000002000000}">
      <formula1>$L$14:$L$26</formula1>
    </dataValidation>
  </dataValidations>
  <printOptions horizontalCentered="1"/>
  <pageMargins left="0.39370078740157483" right="0" top="0.39370078740157483" bottom="0.39370078740157483" header="0" footer="0"/>
  <pageSetup paperSize="9" orientation="portrait"/>
  <headerFooter>
    <oddFooter>&amp;L&amp;F - &amp;A&amp;R&amp;P /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851D6"/>
    <pageSetUpPr fitToPage="1"/>
  </sheetPr>
  <dimension ref="A1:Y151"/>
  <sheetViews>
    <sheetView showGridLines="0" workbookViewId="0">
      <pane ySplit="9" topLeftCell="A10" activePane="bottomLeft" state="frozen"/>
      <selection pane="bottomLeft" activeCell="A102" sqref="A102:XFD102"/>
    </sheetView>
  </sheetViews>
  <sheetFormatPr defaultColWidth="12.5703125" defaultRowHeight="15" customHeight="1" x14ac:dyDescent="0.2"/>
  <cols>
    <col min="1" max="1" width="16.85546875" customWidth="1"/>
    <col min="2" max="2" width="18" customWidth="1"/>
    <col min="3" max="3" width="7" customWidth="1"/>
    <col min="4" max="4" width="11.28515625" customWidth="1"/>
    <col min="5" max="5" width="20.7109375" customWidth="1"/>
    <col min="6" max="7" width="11.28515625" customWidth="1"/>
    <col min="8" max="8" width="16.7109375" customWidth="1"/>
    <col min="9" max="13" width="11.28515625" customWidth="1"/>
    <col min="14" max="14" width="9.7109375" customWidth="1"/>
    <col min="15" max="15" width="11.28515625" customWidth="1"/>
    <col min="16" max="16" width="14.7109375" customWidth="1"/>
    <col min="17" max="20" width="11.28515625" customWidth="1"/>
    <col min="21" max="21" width="10.28515625" customWidth="1"/>
    <col min="22" max="22" width="11" customWidth="1"/>
    <col min="23" max="23" width="6.7109375" customWidth="1"/>
    <col min="24" max="28" width="9.140625" customWidth="1"/>
    <col min="29" max="29" width="1.7109375" customWidth="1"/>
    <col min="30" max="33" width="9.140625" customWidth="1"/>
  </cols>
  <sheetData>
    <row r="1" spans="1:24" ht="15" customHeight="1" x14ac:dyDescent="0.2">
      <c r="A1" s="3"/>
      <c r="B1" s="382"/>
      <c r="C1" s="383"/>
      <c r="D1" s="1" t="s">
        <v>768</v>
      </c>
      <c r="E1" s="2" t="s">
        <v>1</v>
      </c>
      <c r="F1" s="2"/>
      <c r="G1" s="384"/>
      <c r="H1" s="384"/>
      <c r="I1" s="384"/>
      <c r="J1" s="384"/>
      <c r="K1" s="384"/>
      <c r="L1" s="384"/>
      <c r="M1" s="384"/>
      <c r="N1" s="385"/>
      <c r="O1" s="385"/>
      <c r="P1" s="385"/>
      <c r="Q1" s="385"/>
      <c r="R1" s="385"/>
      <c r="S1" s="385"/>
      <c r="T1" s="385"/>
      <c r="U1" s="385"/>
      <c r="V1" s="386"/>
      <c r="W1" s="383"/>
      <c r="X1" s="235"/>
    </row>
    <row r="2" spans="1:24" ht="15" customHeight="1" x14ac:dyDescent="0.2">
      <c r="A2" s="6"/>
      <c r="B2" s="224"/>
      <c r="C2" s="387"/>
      <c r="D2" s="1" t="s">
        <v>769</v>
      </c>
      <c r="E2" s="388" t="s">
        <v>3</v>
      </c>
      <c r="F2" s="2"/>
      <c r="G2" s="2"/>
      <c r="H2" s="2"/>
      <c r="I2" s="2"/>
      <c r="J2" s="2"/>
      <c r="K2" s="2"/>
      <c r="L2" s="2"/>
      <c r="M2" s="2"/>
      <c r="N2" s="389"/>
      <c r="O2" s="389"/>
      <c r="P2" s="389"/>
      <c r="Q2" s="389"/>
      <c r="R2" s="389"/>
      <c r="S2" s="389"/>
      <c r="T2" s="389"/>
      <c r="U2" s="389"/>
      <c r="V2" s="390"/>
      <c r="W2" s="387"/>
      <c r="X2" s="224"/>
    </row>
    <row r="3" spans="1:24" ht="15" customHeight="1" x14ac:dyDescent="0.2">
      <c r="A3" s="391"/>
      <c r="B3" s="392"/>
      <c r="C3" s="393"/>
      <c r="D3" s="1" t="s">
        <v>770</v>
      </c>
      <c r="E3" s="2" t="s">
        <v>771</v>
      </c>
      <c r="F3" s="2"/>
      <c r="G3" s="2"/>
      <c r="H3" s="2"/>
      <c r="I3" s="2"/>
      <c r="J3" s="2"/>
      <c r="K3" s="394"/>
      <c r="L3" s="395"/>
      <c r="M3" s="396"/>
      <c r="N3" s="389"/>
      <c r="O3" s="389"/>
      <c r="P3" s="389"/>
      <c r="Q3" s="389"/>
      <c r="R3" s="389"/>
      <c r="S3" s="397"/>
      <c r="T3" s="398"/>
      <c r="U3" s="398"/>
      <c r="V3" s="399"/>
      <c r="W3" s="393"/>
      <c r="X3" s="224"/>
    </row>
    <row r="4" spans="1:24" ht="21.75" customHeight="1" x14ac:dyDescent="0.2">
      <c r="A4" s="400" t="s">
        <v>393</v>
      </c>
      <c r="B4" s="401"/>
      <c r="C4" s="401"/>
      <c r="D4" s="401"/>
      <c r="E4" s="401"/>
      <c r="F4" s="401"/>
      <c r="G4" s="401"/>
      <c r="H4" s="401"/>
      <c r="I4" s="401"/>
      <c r="J4" s="401"/>
      <c r="K4" s="401"/>
      <c r="L4" s="401"/>
      <c r="M4" s="401"/>
      <c r="N4" s="401"/>
      <c r="O4" s="401"/>
      <c r="P4" s="401"/>
      <c r="Q4" s="401"/>
      <c r="R4" s="401"/>
      <c r="S4" s="401"/>
      <c r="T4" s="401"/>
      <c r="U4" s="401"/>
      <c r="V4" s="401"/>
      <c r="W4" s="402"/>
      <c r="X4" s="11"/>
    </row>
    <row r="5" spans="1:24" ht="11.25" customHeight="1" x14ac:dyDescent="0.2">
      <c r="A5" s="270"/>
      <c r="B5" s="270"/>
      <c r="C5" s="270"/>
      <c r="D5" s="270"/>
      <c r="E5" s="1101"/>
      <c r="F5" s="403" t="s">
        <v>772</v>
      </c>
      <c r="G5" s="403" t="s">
        <v>773</v>
      </c>
      <c r="H5" s="403" t="s">
        <v>774</v>
      </c>
      <c r="I5" s="403" t="s">
        <v>775</v>
      </c>
      <c r="J5" s="404" t="s">
        <v>776</v>
      </c>
      <c r="K5" s="405" t="s">
        <v>777</v>
      </c>
      <c r="L5" s="405" t="s">
        <v>778</v>
      </c>
      <c r="M5" s="403" t="s">
        <v>394</v>
      </c>
      <c r="N5" s="406" t="s">
        <v>779</v>
      </c>
      <c r="O5" s="407" t="s">
        <v>780</v>
      </c>
      <c r="P5" s="407" t="s">
        <v>781</v>
      </c>
      <c r="Q5" s="407" t="s">
        <v>782</v>
      </c>
      <c r="R5" s="407" t="s">
        <v>783</v>
      </c>
      <c r="S5" s="407" t="s">
        <v>784</v>
      </c>
      <c r="T5" s="1103" t="s">
        <v>785</v>
      </c>
      <c r="U5" s="270">
        <v>863.5</v>
      </c>
      <c r="V5" s="270"/>
      <c r="W5" s="270"/>
      <c r="X5" s="270"/>
    </row>
    <row r="6" spans="1:24" ht="15.75" customHeight="1" x14ac:dyDescent="0.2">
      <c r="A6" s="270"/>
      <c r="B6" s="270"/>
      <c r="C6" s="270"/>
      <c r="D6" s="270"/>
      <c r="E6" s="1102"/>
      <c r="F6" s="403" t="s">
        <v>92</v>
      </c>
      <c r="G6" s="403" t="s">
        <v>365</v>
      </c>
      <c r="H6" s="403" t="s">
        <v>92</v>
      </c>
      <c r="I6" s="403" t="s">
        <v>365</v>
      </c>
      <c r="J6" s="403" t="s">
        <v>365</v>
      </c>
      <c r="K6" s="403" t="s">
        <v>365</v>
      </c>
      <c r="L6" s="403" t="s">
        <v>365</v>
      </c>
      <c r="M6" s="403" t="s">
        <v>92</v>
      </c>
      <c r="N6" s="403" t="s">
        <v>92</v>
      </c>
      <c r="O6" s="403" t="s">
        <v>365</v>
      </c>
      <c r="P6" s="403" t="s">
        <v>365</v>
      </c>
      <c r="Q6" s="403" t="s">
        <v>365</v>
      </c>
      <c r="R6" s="403" t="s">
        <v>365</v>
      </c>
      <c r="S6" s="403" t="s">
        <v>365</v>
      </c>
      <c r="T6" s="1104"/>
      <c r="U6" s="270"/>
      <c r="V6" s="270"/>
      <c r="W6" s="270"/>
      <c r="X6" s="270"/>
    </row>
    <row r="7" spans="1:24" ht="24.75" customHeight="1" x14ac:dyDescent="0.2">
      <c r="A7" s="408"/>
      <c r="B7" s="408"/>
      <c r="C7" s="408"/>
      <c r="D7" s="270"/>
      <c r="E7" s="409" t="s">
        <v>786</v>
      </c>
      <c r="F7" s="410"/>
      <c r="G7" s="411">
        <f>L50+L63+L83+L102</f>
        <v>1071.0719280000001</v>
      </c>
      <c r="H7" s="411">
        <f>M50+M63+M83+M102</f>
        <v>285.68455000000006</v>
      </c>
      <c r="I7" s="411">
        <f>N50+N63+N83+N102</f>
        <v>707.22412500000007</v>
      </c>
      <c r="J7" s="411">
        <f>O50+O63+O83+O102</f>
        <v>473.00214390000008</v>
      </c>
      <c r="K7" s="411">
        <f>Q50+Q63+Q83</f>
        <v>0</v>
      </c>
      <c r="L7" s="411">
        <f>R50+R63+R83+R102</f>
        <v>14.284227499999998</v>
      </c>
      <c r="M7" s="411">
        <f>S50+S63+S83+S102</f>
        <v>1273.756513673568</v>
      </c>
      <c r="N7" s="411">
        <f>T50+T63+T83+T102</f>
        <v>1293.8116</v>
      </c>
      <c r="O7" s="411">
        <f t="shared" ref="O7:Q7" si="0">SUMIF($V$11:$V$87,O$5,$U$11:$U$87)</f>
        <v>0</v>
      </c>
      <c r="P7" s="411">
        <f t="shared" si="0"/>
        <v>0</v>
      </c>
      <c r="Q7" s="411">
        <f t="shared" si="0"/>
        <v>0</v>
      </c>
      <c r="R7" s="411">
        <f>SUMIF($V$11:$V$102,R$5,$U$11:$U$102)</f>
        <v>256.51286299999998</v>
      </c>
      <c r="S7" s="411">
        <f t="shared" ref="S7:T7" si="1">SUMIF($V$11:$V$87,S$5,$U$11:$U$87)</f>
        <v>0</v>
      </c>
      <c r="T7" s="411">
        <f t="shared" si="1"/>
        <v>0</v>
      </c>
      <c r="U7" s="270"/>
      <c r="V7" s="270"/>
      <c r="W7" s="270"/>
      <c r="X7" s="270"/>
    </row>
    <row r="8" spans="1:24" ht="24.75" customHeight="1" x14ac:dyDescent="0.2">
      <c r="A8" s="408"/>
      <c r="B8" s="408"/>
      <c r="C8" s="408"/>
      <c r="D8" s="270"/>
      <c r="E8" s="409" t="s">
        <v>787</v>
      </c>
      <c r="F8" s="411"/>
      <c r="G8" s="411">
        <f t="shared" ref="G8:J8" si="2">L146</f>
        <v>93.981099999999998</v>
      </c>
      <c r="H8" s="411">
        <f t="shared" si="2"/>
        <v>748.32999999999993</v>
      </c>
      <c r="I8" s="411">
        <f t="shared" si="2"/>
        <v>0</v>
      </c>
      <c r="J8" s="411">
        <f t="shared" si="2"/>
        <v>122.17542999999999</v>
      </c>
      <c r="K8" s="411">
        <f t="shared" ref="K8:N8" si="3">Q146</f>
        <v>0</v>
      </c>
      <c r="L8" s="411">
        <f t="shared" si="3"/>
        <v>0</v>
      </c>
      <c r="M8" s="411">
        <f t="shared" si="3"/>
        <v>0</v>
      </c>
      <c r="N8" s="411">
        <f t="shared" si="3"/>
        <v>826.03811999999994</v>
      </c>
      <c r="O8" s="411">
        <f t="shared" ref="O8:Q8" si="4">SUMIF($V$11:$V$87,O$5,$U$11:$U$87)</f>
        <v>0</v>
      </c>
      <c r="P8" s="411">
        <f t="shared" si="4"/>
        <v>0</v>
      </c>
      <c r="Q8" s="411">
        <f t="shared" si="4"/>
        <v>0</v>
      </c>
      <c r="R8" s="411">
        <f>SUMIF($V$106:$V$146,R$5,$U$106:$U$146)</f>
        <v>93.981099999999998</v>
      </c>
      <c r="S8" s="411">
        <f t="shared" ref="S8:T8" si="5">SUMIF($V$11:$V$87,S$5,$U$11:$U$87)</f>
        <v>0</v>
      </c>
      <c r="T8" s="411">
        <f t="shared" si="5"/>
        <v>0</v>
      </c>
      <c r="U8" s="270"/>
      <c r="V8" s="270"/>
      <c r="W8" s="270"/>
      <c r="X8" s="270"/>
    </row>
    <row r="9" spans="1:24" ht="11.25" customHeight="1" x14ac:dyDescent="0.2">
      <c r="A9" s="408"/>
      <c r="B9" s="408"/>
      <c r="C9" s="408"/>
      <c r="D9" s="408"/>
      <c r="E9" s="408"/>
      <c r="F9" s="408"/>
      <c r="G9" s="408"/>
      <c r="H9" s="408"/>
      <c r="I9" s="408"/>
      <c r="J9" s="408"/>
      <c r="K9" s="408"/>
      <c r="L9" s="408"/>
      <c r="M9" s="408"/>
      <c r="N9" s="408"/>
      <c r="O9" s="408"/>
      <c r="P9" s="270"/>
      <c r="Q9" s="270"/>
      <c r="R9" s="270"/>
      <c r="S9" s="270"/>
      <c r="T9" s="270"/>
      <c r="U9" s="270"/>
      <c r="V9" s="270"/>
      <c r="W9" s="270"/>
      <c r="X9" s="270"/>
    </row>
    <row r="10" spans="1:24" ht="21.75" customHeight="1" x14ac:dyDescent="0.25">
      <c r="A10" s="1105" t="s">
        <v>788</v>
      </c>
      <c r="B10" s="1046"/>
      <c r="C10" s="1046"/>
      <c r="D10" s="1046"/>
      <c r="E10" s="1046"/>
      <c r="F10" s="1046"/>
      <c r="G10" s="1046"/>
      <c r="H10" s="1046"/>
      <c r="I10" s="1046"/>
      <c r="J10" s="1046"/>
      <c r="K10" s="1046"/>
      <c r="L10" s="1046"/>
      <c r="M10" s="1046"/>
      <c r="N10" s="1046"/>
      <c r="O10" s="1046"/>
      <c r="P10" s="1046"/>
      <c r="Q10" s="1046"/>
      <c r="R10" s="1046"/>
      <c r="S10" s="1046"/>
      <c r="T10" s="1046"/>
      <c r="U10" s="1046"/>
      <c r="V10" s="1106"/>
      <c r="W10" s="334"/>
      <c r="X10" s="334"/>
    </row>
    <row r="11" spans="1:24" ht="15" customHeight="1" x14ac:dyDescent="0.2">
      <c r="A11" s="412" t="s">
        <v>735</v>
      </c>
      <c r="B11" s="413"/>
      <c r="C11" s="413"/>
      <c r="D11" s="413"/>
      <c r="E11" s="414"/>
      <c r="F11" s="415" t="s">
        <v>737</v>
      </c>
      <c r="G11" s="416" t="s">
        <v>789</v>
      </c>
      <c r="H11" s="413"/>
      <c r="I11" s="413"/>
      <c r="J11" s="1107" t="s">
        <v>790</v>
      </c>
      <c r="K11" s="1108"/>
      <c r="L11" s="1109" t="s">
        <v>791</v>
      </c>
      <c r="M11" s="1063"/>
      <c r="N11" s="1063"/>
      <c r="O11" s="1063"/>
      <c r="P11" s="1063"/>
      <c r="Q11" s="1063"/>
      <c r="R11" s="1063"/>
      <c r="S11" s="1063"/>
      <c r="T11" s="1063"/>
      <c r="U11" s="1063"/>
      <c r="V11" s="1110"/>
      <c r="W11" s="334"/>
      <c r="X11" s="417" t="s">
        <v>792</v>
      </c>
    </row>
    <row r="12" spans="1:24" ht="12.75" customHeight="1" x14ac:dyDescent="0.2">
      <c r="A12" s="414"/>
      <c r="B12" s="413"/>
      <c r="C12" s="413"/>
      <c r="D12" s="413"/>
      <c r="E12" s="414"/>
      <c r="F12" s="418"/>
      <c r="G12" s="412" t="s">
        <v>793</v>
      </c>
      <c r="H12" s="419" t="s">
        <v>794</v>
      </c>
      <c r="I12" s="419" t="s">
        <v>795</v>
      </c>
      <c r="J12" s="420" t="s">
        <v>796</v>
      </c>
      <c r="K12" s="420" t="s">
        <v>797</v>
      </c>
      <c r="L12" s="421" t="s">
        <v>798</v>
      </c>
      <c r="M12" s="421" t="s">
        <v>799</v>
      </c>
      <c r="N12" s="421" t="s">
        <v>775</v>
      </c>
      <c r="O12" s="421" t="s">
        <v>800</v>
      </c>
      <c r="P12" s="1109" t="s">
        <v>801</v>
      </c>
      <c r="Q12" s="1063"/>
      <c r="R12" s="1064"/>
      <c r="S12" s="421" t="s">
        <v>802</v>
      </c>
      <c r="T12" s="421" t="s">
        <v>803</v>
      </c>
      <c r="U12" s="421" t="s">
        <v>397</v>
      </c>
      <c r="V12" s="422" t="s">
        <v>583</v>
      </c>
      <c r="W12" s="334"/>
      <c r="X12" s="334"/>
    </row>
    <row r="13" spans="1:24" ht="12.75" customHeight="1" x14ac:dyDescent="0.2">
      <c r="A13" s="423"/>
      <c r="B13" s="413"/>
      <c r="C13" s="413"/>
      <c r="D13" s="413"/>
      <c r="E13" s="414"/>
      <c r="F13" s="418"/>
      <c r="G13" s="424" t="s">
        <v>804</v>
      </c>
      <c r="H13" s="425" t="s">
        <v>805</v>
      </c>
      <c r="I13" s="425" t="s">
        <v>806</v>
      </c>
      <c r="J13" s="426" t="s">
        <v>79</v>
      </c>
      <c r="K13" s="426" t="s">
        <v>79</v>
      </c>
      <c r="L13" s="426" t="s">
        <v>365</v>
      </c>
      <c r="M13" s="426" t="s">
        <v>92</v>
      </c>
      <c r="N13" s="426" t="s">
        <v>365</v>
      </c>
      <c r="O13" s="426" t="s">
        <v>365</v>
      </c>
      <c r="P13" s="427" t="s">
        <v>807</v>
      </c>
      <c r="Q13" s="412" t="s">
        <v>365</v>
      </c>
      <c r="R13" s="412" t="s">
        <v>365</v>
      </c>
      <c r="S13" s="426" t="s">
        <v>92</v>
      </c>
      <c r="T13" s="426" t="s">
        <v>92</v>
      </c>
      <c r="U13" s="426" t="s">
        <v>365</v>
      </c>
      <c r="V13" s="428"/>
      <c r="W13" s="334"/>
      <c r="X13" s="334"/>
    </row>
    <row r="14" spans="1:24" ht="15.75" customHeight="1" x14ac:dyDescent="0.2">
      <c r="A14" s="429" t="s">
        <v>808</v>
      </c>
      <c r="B14" s="430"/>
      <c r="C14" s="430"/>
      <c r="D14" s="430"/>
      <c r="E14" s="430"/>
      <c r="F14" s="430"/>
      <c r="G14" s="430"/>
      <c r="H14" s="430"/>
      <c r="I14" s="430"/>
      <c r="J14" s="430"/>
      <c r="K14" s="430"/>
      <c r="L14" s="430"/>
      <c r="M14" s="430"/>
      <c r="N14" s="430"/>
      <c r="O14" s="430"/>
      <c r="P14" s="431"/>
      <c r="Q14" s="432" t="s">
        <v>809</v>
      </c>
      <c r="R14" s="432" t="s">
        <v>397</v>
      </c>
      <c r="S14" s="430"/>
      <c r="T14" s="430"/>
      <c r="U14" s="430"/>
      <c r="V14" s="430"/>
      <c r="W14" s="334"/>
      <c r="X14" s="334"/>
    </row>
    <row r="15" spans="1:24" ht="15" customHeight="1" x14ac:dyDescent="0.2">
      <c r="A15" s="433" t="s">
        <v>810</v>
      </c>
      <c r="B15" s="334"/>
      <c r="C15" s="334"/>
      <c r="D15" s="334"/>
      <c r="E15" s="334"/>
      <c r="F15" s="434">
        <v>4</v>
      </c>
      <c r="G15" s="435">
        <v>0.8</v>
      </c>
      <c r="H15" s="435">
        <v>0.8</v>
      </c>
      <c r="I15" s="435">
        <v>0.9</v>
      </c>
      <c r="J15" s="436">
        <f t="shared" ref="J15:J49" si="6">IF(I15&lt;=1,0.6,1.2)</f>
        <v>0.6</v>
      </c>
      <c r="K15" s="437"/>
      <c r="L15" s="436">
        <f t="shared" ref="L15:L49" si="7">(G15+J15)*(I15+K15+P15)*(H15+J15)*F15</f>
        <v>7.4479999999999995</v>
      </c>
      <c r="M15" s="436">
        <f t="shared" ref="M15:M49" si="8">(G15)*(H15)*F15</f>
        <v>2.5600000000000005</v>
      </c>
      <c r="N15" s="436">
        <f t="shared" ref="N15:N49" si="9">+L15-U15</f>
        <v>5.1439999999999992</v>
      </c>
      <c r="O15" s="436">
        <f t="shared" ref="O15:O49" si="10">(L15-N15)*1.3</f>
        <v>2.9952000000000005</v>
      </c>
      <c r="P15" s="438">
        <v>0.05</v>
      </c>
      <c r="Q15" s="439"/>
      <c r="R15" s="440">
        <f t="shared" ref="R15:R49" si="11">M15*$P$15</f>
        <v>0.12800000000000003</v>
      </c>
      <c r="S15" s="441">
        <f t="shared" ref="S15:S49" si="12">(2*G15+H15*2)*I15*F15</f>
        <v>11.520000000000001</v>
      </c>
      <c r="T15" s="441">
        <f t="shared" ref="T15:T49" si="13">(M15+((G15+H15)*I15)*2)*F15</f>
        <v>21.760000000000005</v>
      </c>
      <c r="U15" s="441">
        <f t="shared" ref="U15:U49" si="14">G15*I15*H15*F15</f>
        <v>2.3040000000000003</v>
      </c>
      <c r="V15" s="442" t="s">
        <v>783</v>
      </c>
      <c r="W15" s="334"/>
      <c r="X15" s="334"/>
    </row>
    <row r="16" spans="1:24" ht="15" customHeight="1" x14ac:dyDescent="0.2">
      <c r="A16" s="433" t="s">
        <v>811</v>
      </c>
      <c r="B16" s="443"/>
      <c r="C16" s="443"/>
      <c r="D16" s="443"/>
      <c r="E16" s="443"/>
      <c r="F16" s="444">
        <v>1</v>
      </c>
      <c r="G16" s="445">
        <v>2.1</v>
      </c>
      <c r="H16" s="445">
        <v>2.1</v>
      </c>
      <c r="I16" s="445">
        <v>1.5</v>
      </c>
      <c r="J16" s="436">
        <f t="shared" si="6"/>
        <v>1.2</v>
      </c>
      <c r="K16" s="446"/>
      <c r="L16" s="436">
        <f t="shared" si="7"/>
        <v>16.8795</v>
      </c>
      <c r="M16" s="441">
        <f t="shared" si="8"/>
        <v>4.41</v>
      </c>
      <c r="N16" s="441">
        <f t="shared" si="9"/>
        <v>10.264499999999998</v>
      </c>
      <c r="O16" s="436">
        <f t="shared" si="10"/>
        <v>8.5995000000000026</v>
      </c>
      <c r="P16" s="438">
        <v>0.05</v>
      </c>
      <c r="Q16" s="439"/>
      <c r="R16" s="440">
        <f t="shared" si="11"/>
        <v>0.22050000000000003</v>
      </c>
      <c r="S16" s="447">
        <f t="shared" si="12"/>
        <v>12.600000000000001</v>
      </c>
      <c r="T16" s="447">
        <f t="shared" si="13"/>
        <v>17.010000000000002</v>
      </c>
      <c r="U16" s="447">
        <f t="shared" si="14"/>
        <v>6.6150000000000011</v>
      </c>
      <c r="V16" s="442" t="s">
        <v>783</v>
      </c>
      <c r="W16" s="334"/>
      <c r="X16" s="334"/>
    </row>
    <row r="17" spans="1:22" ht="15" customHeight="1" x14ac:dyDescent="0.2">
      <c r="A17" s="433" t="s">
        <v>812</v>
      </c>
      <c r="B17" s="334"/>
      <c r="C17" s="334"/>
      <c r="D17" s="334"/>
      <c r="E17" s="334"/>
      <c r="F17" s="434">
        <v>1</v>
      </c>
      <c r="G17" s="435">
        <v>1.61</v>
      </c>
      <c r="H17" s="435">
        <v>1.61</v>
      </c>
      <c r="I17" s="435">
        <v>0.85</v>
      </c>
      <c r="J17" s="436">
        <f t="shared" si="6"/>
        <v>0.6</v>
      </c>
      <c r="K17" s="439"/>
      <c r="L17" s="436">
        <f t="shared" si="7"/>
        <v>4.3956900000000001</v>
      </c>
      <c r="M17" s="447">
        <f t="shared" si="8"/>
        <v>2.5921000000000003</v>
      </c>
      <c r="N17" s="447">
        <f t="shared" si="9"/>
        <v>2.1924049999999999</v>
      </c>
      <c r="O17" s="436">
        <f t="shared" si="10"/>
        <v>2.8642705000000004</v>
      </c>
      <c r="P17" s="438">
        <v>0.05</v>
      </c>
      <c r="Q17" s="439"/>
      <c r="R17" s="440">
        <f t="shared" si="11"/>
        <v>0.12960500000000003</v>
      </c>
      <c r="S17" s="447">
        <f t="shared" si="12"/>
        <v>5.4740000000000002</v>
      </c>
      <c r="T17" s="447">
        <f t="shared" si="13"/>
        <v>8.0661000000000005</v>
      </c>
      <c r="U17" s="447">
        <f t="shared" si="14"/>
        <v>2.2032850000000002</v>
      </c>
      <c r="V17" s="442" t="s">
        <v>783</v>
      </c>
    </row>
    <row r="18" spans="1:22" ht="15" customHeight="1" x14ac:dyDescent="0.2">
      <c r="A18" s="433" t="s">
        <v>813</v>
      </c>
      <c r="B18" s="443"/>
      <c r="C18" s="443"/>
      <c r="D18" s="443"/>
      <c r="E18" s="443"/>
      <c r="F18" s="444">
        <v>1</v>
      </c>
      <c r="G18" s="445">
        <v>1.61</v>
      </c>
      <c r="H18" s="445">
        <v>1.61</v>
      </c>
      <c r="I18" s="445">
        <v>0.85</v>
      </c>
      <c r="J18" s="436">
        <f t="shared" si="6"/>
        <v>0.6</v>
      </c>
      <c r="K18" s="439"/>
      <c r="L18" s="436">
        <f t="shared" si="7"/>
        <v>4.3956900000000001</v>
      </c>
      <c r="M18" s="447">
        <f t="shared" si="8"/>
        <v>2.5921000000000003</v>
      </c>
      <c r="N18" s="447">
        <f t="shared" si="9"/>
        <v>2.1924049999999999</v>
      </c>
      <c r="O18" s="436">
        <f t="shared" si="10"/>
        <v>2.8642705000000004</v>
      </c>
      <c r="P18" s="438">
        <v>0.05</v>
      </c>
      <c r="Q18" s="439"/>
      <c r="R18" s="440">
        <f t="shared" si="11"/>
        <v>0.12960500000000003</v>
      </c>
      <c r="S18" s="447">
        <f t="shared" si="12"/>
        <v>5.4740000000000002</v>
      </c>
      <c r="T18" s="447">
        <f t="shared" si="13"/>
        <v>8.0661000000000005</v>
      </c>
      <c r="U18" s="447">
        <f t="shared" si="14"/>
        <v>2.2032850000000002</v>
      </c>
      <c r="V18" s="442" t="s">
        <v>783</v>
      </c>
    </row>
    <row r="19" spans="1:22" ht="15" customHeight="1" x14ac:dyDescent="0.2">
      <c r="A19" s="433" t="s">
        <v>814</v>
      </c>
      <c r="B19" s="443"/>
      <c r="C19" s="443"/>
      <c r="D19" s="443"/>
      <c r="E19" s="443"/>
      <c r="F19" s="444">
        <v>1</v>
      </c>
      <c r="G19" s="445">
        <v>2.0099999999999998</v>
      </c>
      <c r="H19" s="445">
        <v>2.0099999999999998</v>
      </c>
      <c r="I19" s="445">
        <v>1.3</v>
      </c>
      <c r="J19" s="436">
        <f t="shared" si="6"/>
        <v>1.2</v>
      </c>
      <c r="K19" s="439"/>
      <c r="L19" s="436">
        <f t="shared" si="7"/>
        <v>13.910534999999999</v>
      </c>
      <c r="M19" s="447">
        <f t="shared" si="8"/>
        <v>4.0400999999999989</v>
      </c>
      <c r="N19" s="447">
        <f t="shared" si="9"/>
        <v>8.6584050000000001</v>
      </c>
      <c r="O19" s="436">
        <f t="shared" si="10"/>
        <v>6.8277689999999991</v>
      </c>
      <c r="P19" s="438">
        <v>0.05</v>
      </c>
      <c r="Q19" s="439"/>
      <c r="R19" s="440">
        <f t="shared" si="11"/>
        <v>0.20200499999999996</v>
      </c>
      <c r="S19" s="447">
        <f t="shared" si="12"/>
        <v>10.452</v>
      </c>
      <c r="T19" s="447">
        <f t="shared" si="13"/>
        <v>14.492099999999999</v>
      </c>
      <c r="U19" s="447">
        <f t="shared" si="14"/>
        <v>5.2521299999999993</v>
      </c>
      <c r="V19" s="442" t="s">
        <v>783</v>
      </c>
    </row>
    <row r="20" spans="1:22" ht="15" customHeight="1" x14ac:dyDescent="0.2">
      <c r="A20" s="433" t="s">
        <v>815</v>
      </c>
      <c r="B20" s="443"/>
      <c r="C20" s="443"/>
      <c r="D20" s="443"/>
      <c r="E20" s="443"/>
      <c r="F20" s="444">
        <v>1</v>
      </c>
      <c r="G20" s="445">
        <v>1.65</v>
      </c>
      <c r="H20" s="445">
        <v>2.65</v>
      </c>
      <c r="I20" s="445">
        <v>1.35</v>
      </c>
      <c r="J20" s="436">
        <f t="shared" si="6"/>
        <v>1.2</v>
      </c>
      <c r="K20" s="439"/>
      <c r="L20" s="436">
        <f t="shared" si="7"/>
        <v>15.361499999999998</v>
      </c>
      <c r="M20" s="447">
        <f t="shared" si="8"/>
        <v>4.3724999999999996</v>
      </c>
      <c r="N20" s="447">
        <f t="shared" si="9"/>
        <v>9.4586249999999978</v>
      </c>
      <c r="O20" s="436">
        <f t="shared" si="10"/>
        <v>7.6737374999999997</v>
      </c>
      <c r="P20" s="438">
        <v>0.05</v>
      </c>
      <c r="Q20" s="439"/>
      <c r="R20" s="440">
        <f t="shared" si="11"/>
        <v>0.21862499999999999</v>
      </c>
      <c r="S20" s="447">
        <f t="shared" si="12"/>
        <v>11.61</v>
      </c>
      <c r="T20" s="447">
        <f t="shared" si="13"/>
        <v>15.982499999999998</v>
      </c>
      <c r="U20" s="447">
        <f t="shared" si="14"/>
        <v>5.9028749999999999</v>
      </c>
      <c r="V20" s="442" t="s">
        <v>783</v>
      </c>
    </row>
    <row r="21" spans="1:22" ht="15" customHeight="1" x14ac:dyDescent="0.2">
      <c r="A21" s="433" t="s">
        <v>816</v>
      </c>
      <c r="B21" s="443"/>
      <c r="C21" s="443"/>
      <c r="D21" s="443"/>
      <c r="E21" s="443"/>
      <c r="F21" s="444">
        <v>1</v>
      </c>
      <c r="G21" s="445">
        <v>1.61</v>
      </c>
      <c r="H21" s="445">
        <v>1.61</v>
      </c>
      <c r="I21" s="445">
        <v>0.85</v>
      </c>
      <c r="J21" s="436">
        <f t="shared" si="6"/>
        <v>0.6</v>
      </c>
      <c r="K21" s="439"/>
      <c r="L21" s="436">
        <f t="shared" si="7"/>
        <v>4.3956900000000001</v>
      </c>
      <c r="M21" s="447">
        <f t="shared" si="8"/>
        <v>2.5921000000000003</v>
      </c>
      <c r="N21" s="447">
        <f t="shared" si="9"/>
        <v>2.1924049999999999</v>
      </c>
      <c r="O21" s="436">
        <f t="shared" si="10"/>
        <v>2.8642705000000004</v>
      </c>
      <c r="P21" s="438">
        <v>0.05</v>
      </c>
      <c r="Q21" s="439"/>
      <c r="R21" s="440">
        <f t="shared" si="11"/>
        <v>0.12960500000000003</v>
      </c>
      <c r="S21" s="447">
        <f t="shared" si="12"/>
        <v>5.4740000000000002</v>
      </c>
      <c r="T21" s="447">
        <f t="shared" si="13"/>
        <v>8.0661000000000005</v>
      </c>
      <c r="U21" s="447">
        <f t="shared" si="14"/>
        <v>2.2032850000000002</v>
      </c>
      <c r="V21" s="442" t="s">
        <v>783</v>
      </c>
    </row>
    <row r="22" spans="1:22" ht="15" customHeight="1" x14ac:dyDescent="0.2">
      <c r="A22" s="433" t="s">
        <v>817</v>
      </c>
      <c r="B22" s="443"/>
      <c r="C22" s="443"/>
      <c r="D22" s="443"/>
      <c r="E22" s="443"/>
      <c r="F22" s="444">
        <v>3</v>
      </c>
      <c r="G22" s="445">
        <v>0.8</v>
      </c>
      <c r="H22" s="445">
        <v>0.8</v>
      </c>
      <c r="I22" s="445">
        <v>0.9</v>
      </c>
      <c r="J22" s="436">
        <f t="shared" si="6"/>
        <v>0.6</v>
      </c>
      <c r="K22" s="439"/>
      <c r="L22" s="436">
        <f t="shared" si="7"/>
        <v>5.5859999999999994</v>
      </c>
      <c r="M22" s="447">
        <f t="shared" si="8"/>
        <v>1.9200000000000004</v>
      </c>
      <c r="N22" s="447">
        <f t="shared" si="9"/>
        <v>3.8579999999999992</v>
      </c>
      <c r="O22" s="436">
        <f t="shared" si="10"/>
        <v>2.2464000000000004</v>
      </c>
      <c r="P22" s="438">
        <v>0.05</v>
      </c>
      <c r="Q22" s="439"/>
      <c r="R22" s="440">
        <f t="shared" si="11"/>
        <v>9.600000000000003E-2</v>
      </c>
      <c r="S22" s="447">
        <f t="shared" si="12"/>
        <v>8.64</v>
      </c>
      <c r="T22" s="447">
        <f t="shared" si="13"/>
        <v>14.400000000000002</v>
      </c>
      <c r="U22" s="447">
        <f t="shared" si="14"/>
        <v>1.7280000000000002</v>
      </c>
      <c r="V22" s="442" t="s">
        <v>783</v>
      </c>
    </row>
    <row r="23" spans="1:22" ht="15" customHeight="1" x14ac:dyDescent="0.2">
      <c r="A23" s="433" t="s">
        <v>818</v>
      </c>
      <c r="B23" s="443"/>
      <c r="C23" s="443"/>
      <c r="D23" s="443"/>
      <c r="E23" s="443"/>
      <c r="F23" s="444">
        <v>1</v>
      </c>
      <c r="G23" s="445">
        <v>2.0099999999999998</v>
      </c>
      <c r="H23" s="445">
        <v>2.0099999999999998</v>
      </c>
      <c r="I23" s="445">
        <v>1.3</v>
      </c>
      <c r="J23" s="436">
        <f t="shared" si="6"/>
        <v>1.2</v>
      </c>
      <c r="K23" s="439"/>
      <c r="L23" s="436">
        <f t="shared" si="7"/>
        <v>13.910534999999999</v>
      </c>
      <c r="M23" s="447">
        <f t="shared" si="8"/>
        <v>4.0400999999999989</v>
      </c>
      <c r="N23" s="447">
        <f t="shared" si="9"/>
        <v>8.6584050000000001</v>
      </c>
      <c r="O23" s="436">
        <f t="shared" si="10"/>
        <v>6.8277689999999991</v>
      </c>
      <c r="P23" s="438">
        <v>0.05</v>
      </c>
      <c r="Q23" s="439"/>
      <c r="R23" s="440">
        <f t="shared" si="11"/>
        <v>0.20200499999999996</v>
      </c>
      <c r="S23" s="447">
        <f t="shared" si="12"/>
        <v>10.452</v>
      </c>
      <c r="T23" s="447">
        <f t="shared" si="13"/>
        <v>14.492099999999999</v>
      </c>
      <c r="U23" s="447">
        <f t="shared" si="14"/>
        <v>5.2521299999999993</v>
      </c>
      <c r="V23" s="442" t="s">
        <v>783</v>
      </c>
    </row>
    <row r="24" spans="1:22" ht="15" customHeight="1" x14ac:dyDescent="0.2">
      <c r="A24" s="433" t="s">
        <v>819</v>
      </c>
      <c r="B24" s="443"/>
      <c r="C24" s="443"/>
      <c r="D24" s="443"/>
      <c r="E24" s="443"/>
      <c r="F24" s="444">
        <v>1</v>
      </c>
      <c r="G24" s="445">
        <v>1.4</v>
      </c>
      <c r="H24" s="445">
        <v>2.2599999999999998</v>
      </c>
      <c r="I24" s="445">
        <v>1</v>
      </c>
      <c r="J24" s="436">
        <f t="shared" si="6"/>
        <v>0.6</v>
      </c>
      <c r="K24" s="439"/>
      <c r="L24" s="436">
        <f t="shared" si="7"/>
        <v>6.0060000000000002</v>
      </c>
      <c r="M24" s="447">
        <f t="shared" si="8"/>
        <v>3.1639999999999997</v>
      </c>
      <c r="N24" s="447">
        <f t="shared" si="9"/>
        <v>2.8420000000000005</v>
      </c>
      <c r="O24" s="436">
        <f t="shared" si="10"/>
        <v>4.1132</v>
      </c>
      <c r="P24" s="438">
        <v>0.05</v>
      </c>
      <c r="Q24" s="439"/>
      <c r="R24" s="440">
        <f t="shared" si="11"/>
        <v>0.15820000000000001</v>
      </c>
      <c r="S24" s="447">
        <f t="shared" si="12"/>
        <v>7.3199999999999994</v>
      </c>
      <c r="T24" s="447">
        <f t="shared" si="13"/>
        <v>10.483999999999998</v>
      </c>
      <c r="U24" s="447">
        <f t="shared" si="14"/>
        <v>3.1639999999999997</v>
      </c>
      <c r="V24" s="442" t="s">
        <v>783</v>
      </c>
    </row>
    <row r="25" spans="1:22" ht="15" customHeight="1" x14ac:dyDescent="0.2">
      <c r="A25" s="433" t="s">
        <v>820</v>
      </c>
      <c r="B25" s="443"/>
      <c r="C25" s="443"/>
      <c r="D25" s="443"/>
      <c r="E25" s="443"/>
      <c r="F25" s="444">
        <v>1</v>
      </c>
      <c r="G25" s="445">
        <v>1.61</v>
      </c>
      <c r="H25" s="445">
        <v>1.61</v>
      </c>
      <c r="I25" s="445">
        <v>1.55</v>
      </c>
      <c r="J25" s="436">
        <f t="shared" si="6"/>
        <v>1.2</v>
      </c>
      <c r="K25" s="439"/>
      <c r="L25" s="436">
        <f t="shared" si="7"/>
        <v>12.633760000000002</v>
      </c>
      <c r="M25" s="447">
        <f t="shared" si="8"/>
        <v>2.5921000000000003</v>
      </c>
      <c r="N25" s="447">
        <f t="shared" si="9"/>
        <v>8.6160050000000012</v>
      </c>
      <c r="O25" s="436">
        <f t="shared" si="10"/>
        <v>5.2230815000000019</v>
      </c>
      <c r="P25" s="438">
        <v>0.05</v>
      </c>
      <c r="Q25" s="439"/>
      <c r="R25" s="440">
        <f t="shared" si="11"/>
        <v>0.12960500000000003</v>
      </c>
      <c r="S25" s="447">
        <f t="shared" si="12"/>
        <v>9.9820000000000011</v>
      </c>
      <c r="T25" s="447">
        <f t="shared" si="13"/>
        <v>12.574100000000001</v>
      </c>
      <c r="U25" s="447">
        <f t="shared" si="14"/>
        <v>4.0177550000000011</v>
      </c>
      <c r="V25" s="442" t="s">
        <v>783</v>
      </c>
    </row>
    <row r="26" spans="1:22" ht="15" customHeight="1" x14ac:dyDescent="0.2">
      <c r="A26" s="433" t="s">
        <v>821</v>
      </c>
      <c r="B26" s="443"/>
      <c r="C26" s="443"/>
      <c r="D26" s="443"/>
      <c r="E26" s="443"/>
      <c r="F26" s="444">
        <v>1</v>
      </c>
      <c r="G26" s="448">
        <v>1.65</v>
      </c>
      <c r="H26" s="449">
        <v>2.65</v>
      </c>
      <c r="I26" s="448">
        <v>1.35</v>
      </c>
      <c r="J26" s="436">
        <f t="shared" si="6"/>
        <v>1.2</v>
      </c>
      <c r="K26" s="439"/>
      <c r="L26" s="436">
        <f t="shared" si="7"/>
        <v>15.361499999999998</v>
      </c>
      <c r="M26" s="447">
        <f t="shared" si="8"/>
        <v>4.3724999999999996</v>
      </c>
      <c r="N26" s="447">
        <f t="shared" si="9"/>
        <v>9.4586249999999978</v>
      </c>
      <c r="O26" s="436">
        <f t="shared" si="10"/>
        <v>7.6737374999999997</v>
      </c>
      <c r="P26" s="438">
        <v>0.05</v>
      </c>
      <c r="Q26" s="439"/>
      <c r="R26" s="440">
        <f t="shared" si="11"/>
        <v>0.21862499999999999</v>
      </c>
      <c r="S26" s="447">
        <f t="shared" si="12"/>
        <v>11.61</v>
      </c>
      <c r="T26" s="447">
        <f t="shared" si="13"/>
        <v>15.982499999999998</v>
      </c>
      <c r="U26" s="447">
        <f t="shared" si="14"/>
        <v>5.9028749999999999</v>
      </c>
      <c r="V26" s="442" t="s">
        <v>783</v>
      </c>
    </row>
    <row r="27" spans="1:22" ht="15" customHeight="1" x14ac:dyDescent="0.2">
      <c r="A27" s="433" t="s">
        <v>822</v>
      </c>
      <c r="B27" s="443"/>
      <c r="C27" s="443"/>
      <c r="D27" s="443"/>
      <c r="E27" s="443"/>
      <c r="F27" s="444">
        <v>1</v>
      </c>
      <c r="G27" s="445">
        <v>1.61</v>
      </c>
      <c r="H27" s="445">
        <v>1.61</v>
      </c>
      <c r="I27" s="445">
        <v>1.55</v>
      </c>
      <c r="J27" s="436">
        <f t="shared" si="6"/>
        <v>1.2</v>
      </c>
      <c r="K27" s="439"/>
      <c r="L27" s="436">
        <f t="shared" si="7"/>
        <v>12.633760000000002</v>
      </c>
      <c r="M27" s="447">
        <f t="shared" si="8"/>
        <v>2.5921000000000003</v>
      </c>
      <c r="N27" s="447">
        <f t="shared" si="9"/>
        <v>8.6160050000000012</v>
      </c>
      <c r="O27" s="436">
        <f t="shared" si="10"/>
        <v>5.2230815000000019</v>
      </c>
      <c r="P27" s="438">
        <v>0.05</v>
      </c>
      <c r="Q27" s="439"/>
      <c r="R27" s="440">
        <f t="shared" si="11"/>
        <v>0.12960500000000003</v>
      </c>
      <c r="S27" s="447">
        <f t="shared" si="12"/>
        <v>9.9820000000000011</v>
      </c>
      <c r="T27" s="447">
        <f t="shared" si="13"/>
        <v>12.574100000000001</v>
      </c>
      <c r="U27" s="447">
        <f t="shared" si="14"/>
        <v>4.0177550000000011</v>
      </c>
      <c r="V27" s="442" t="s">
        <v>783</v>
      </c>
    </row>
    <row r="28" spans="1:22" ht="15" customHeight="1" x14ac:dyDescent="0.2">
      <c r="A28" s="433" t="s">
        <v>823</v>
      </c>
      <c r="B28" s="443"/>
      <c r="C28" s="443"/>
      <c r="D28" s="443"/>
      <c r="E28" s="443"/>
      <c r="F28" s="444">
        <v>1</v>
      </c>
      <c r="G28" s="445">
        <v>2.0099999999999998</v>
      </c>
      <c r="H28" s="445">
        <v>2.0099999999999998</v>
      </c>
      <c r="I28" s="445">
        <v>1.3</v>
      </c>
      <c r="J28" s="436">
        <f t="shared" si="6"/>
        <v>1.2</v>
      </c>
      <c r="K28" s="439"/>
      <c r="L28" s="436">
        <f t="shared" si="7"/>
        <v>13.910534999999999</v>
      </c>
      <c r="M28" s="447">
        <f t="shared" si="8"/>
        <v>4.0400999999999989</v>
      </c>
      <c r="N28" s="447">
        <f t="shared" si="9"/>
        <v>8.6584050000000001</v>
      </c>
      <c r="O28" s="436">
        <f t="shared" si="10"/>
        <v>6.8277689999999991</v>
      </c>
      <c r="P28" s="438">
        <v>0.05</v>
      </c>
      <c r="Q28" s="439"/>
      <c r="R28" s="440">
        <f t="shared" si="11"/>
        <v>0.20200499999999996</v>
      </c>
      <c r="S28" s="447">
        <f t="shared" si="12"/>
        <v>10.452</v>
      </c>
      <c r="T28" s="447">
        <f t="shared" si="13"/>
        <v>14.492099999999999</v>
      </c>
      <c r="U28" s="447">
        <f t="shared" si="14"/>
        <v>5.2521299999999993</v>
      </c>
      <c r="V28" s="442" t="s">
        <v>783</v>
      </c>
    </row>
    <row r="29" spans="1:22" ht="15" customHeight="1" x14ac:dyDescent="0.2">
      <c r="A29" s="433" t="s">
        <v>824</v>
      </c>
      <c r="B29" s="443"/>
      <c r="C29" s="443"/>
      <c r="D29" s="443"/>
      <c r="E29" s="443"/>
      <c r="F29" s="444">
        <v>1</v>
      </c>
      <c r="G29" s="445">
        <v>1.65</v>
      </c>
      <c r="H29" s="445">
        <v>2.65</v>
      </c>
      <c r="I29" s="445">
        <v>1.35</v>
      </c>
      <c r="J29" s="436">
        <f t="shared" si="6"/>
        <v>1.2</v>
      </c>
      <c r="K29" s="439"/>
      <c r="L29" s="436">
        <f t="shared" si="7"/>
        <v>15.361499999999998</v>
      </c>
      <c r="M29" s="447">
        <f t="shared" si="8"/>
        <v>4.3724999999999996</v>
      </c>
      <c r="N29" s="447">
        <f t="shared" si="9"/>
        <v>9.4586249999999978</v>
      </c>
      <c r="O29" s="436">
        <f t="shared" si="10"/>
        <v>7.6737374999999997</v>
      </c>
      <c r="P29" s="438">
        <v>0.05</v>
      </c>
      <c r="Q29" s="439"/>
      <c r="R29" s="440">
        <f t="shared" si="11"/>
        <v>0.21862499999999999</v>
      </c>
      <c r="S29" s="447">
        <f t="shared" si="12"/>
        <v>11.61</v>
      </c>
      <c r="T29" s="447">
        <f t="shared" si="13"/>
        <v>15.982499999999998</v>
      </c>
      <c r="U29" s="447">
        <f t="shared" si="14"/>
        <v>5.9028749999999999</v>
      </c>
      <c r="V29" s="442" t="s">
        <v>783</v>
      </c>
    </row>
    <row r="30" spans="1:22" ht="15" customHeight="1" x14ac:dyDescent="0.2">
      <c r="A30" s="433" t="s">
        <v>825</v>
      </c>
      <c r="B30" s="443"/>
      <c r="C30" s="443"/>
      <c r="D30" s="443"/>
      <c r="E30" s="443"/>
      <c r="F30" s="444">
        <v>1</v>
      </c>
      <c r="G30" s="445">
        <v>1.3</v>
      </c>
      <c r="H30" s="445">
        <v>1.3</v>
      </c>
      <c r="I30" s="445">
        <v>1.1000000000000001</v>
      </c>
      <c r="J30" s="436">
        <f t="shared" si="6"/>
        <v>1.2</v>
      </c>
      <c r="K30" s="439"/>
      <c r="L30" s="436">
        <f t="shared" si="7"/>
        <v>7.1875000000000009</v>
      </c>
      <c r="M30" s="447">
        <f t="shared" si="8"/>
        <v>1.6900000000000002</v>
      </c>
      <c r="N30" s="447">
        <f t="shared" si="9"/>
        <v>5.3285000000000009</v>
      </c>
      <c r="O30" s="436">
        <f t="shared" si="10"/>
        <v>2.4167000000000001</v>
      </c>
      <c r="P30" s="438">
        <v>0.05</v>
      </c>
      <c r="Q30" s="439"/>
      <c r="R30" s="440">
        <f t="shared" si="11"/>
        <v>8.450000000000002E-2</v>
      </c>
      <c r="S30" s="447">
        <f t="shared" si="12"/>
        <v>5.7200000000000006</v>
      </c>
      <c r="T30" s="447">
        <f t="shared" si="13"/>
        <v>7.410000000000001</v>
      </c>
      <c r="U30" s="447">
        <f t="shared" si="14"/>
        <v>1.8590000000000002</v>
      </c>
      <c r="V30" s="442" t="s">
        <v>783</v>
      </c>
    </row>
    <row r="31" spans="1:22" ht="15" customHeight="1" x14ac:dyDescent="0.2">
      <c r="A31" s="433" t="s">
        <v>826</v>
      </c>
      <c r="B31" s="443"/>
      <c r="C31" s="443"/>
      <c r="D31" s="443"/>
      <c r="E31" s="443"/>
      <c r="F31" s="444">
        <v>1</v>
      </c>
      <c r="G31" s="445">
        <v>2.5499999999999998</v>
      </c>
      <c r="H31" s="445">
        <v>2.5499999999999998</v>
      </c>
      <c r="I31" s="445">
        <v>1.8</v>
      </c>
      <c r="J31" s="436">
        <f t="shared" si="6"/>
        <v>1.2</v>
      </c>
      <c r="K31" s="439"/>
      <c r="L31" s="436">
        <f t="shared" si="7"/>
        <v>26.015625</v>
      </c>
      <c r="M31" s="447">
        <f t="shared" si="8"/>
        <v>6.5024999999999995</v>
      </c>
      <c r="N31" s="447">
        <f t="shared" si="9"/>
        <v>14.311125000000001</v>
      </c>
      <c r="O31" s="436">
        <f t="shared" si="10"/>
        <v>15.21585</v>
      </c>
      <c r="P31" s="438">
        <v>0.05</v>
      </c>
      <c r="Q31" s="439"/>
      <c r="R31" s="440">
        <f t="shared" si="11"/>
        <v>0.325125</v>
      </c>
      <c r="S31" s="447">
        <f t="shared" si="12"/>
        <v>18.36</v>
      </c>
      <c r="T31" s="447">
        <f t="shared" si="13"/>
        <v>24.862499999999997</v>
      </c>
      <c r="U31" s="447">
        <f t="shared" si="14"/>
        <v>11.704499999999999</v>
      </c>
      <c r="V31" s="442" t="s">
        <v>783</v>
      </c>
    </row>
    <row r="32" spans="1:22" ht="15" customHeight="1" x14ac:dyDescent="0.2">
      <c r="A32" s="433" t="s">
        <v>827</v>
      </c>
      <c r="B32" s="443"/>
      <c r="C32" s="443"/>
      <c r="D32" s="443"/>
      <c r="E32" s="443"/>
      <c r="F32" s="444">
        <v>1</v>
      </c>
      <c r="G32" s="445">
        <v>1.61</v>
      </c>
      <c r="H32" s="445">
        <v>1.61</v>
      </c>
      <c r="I32" s="445">
        <v>1.55</v>
      </c>
      <c r="J32" s="436">
        <f t="shared" si="6"/>
        <v>1.2</v>
      </c>
      <c r="K32" s="439"/>
      <c r="L32" s="436">
        <f t="shared" si="7"/>
        <v>12.633760000000002</v>
      </c>
      <c r="M32" s="447">
        <f t="shared" si="8"/>
        <v>2.5921000000000003</v>
      </c>
      <c r="N32" s="447">
        <f t="shared" si="9"/>
        <v>8.6160050000000012</v>
      </c>
      <c r="O32" s="436">
        <f t="shared" si="10"/>
        <v>5.2230815000000019</v>
      </c>
      <c r="P32" s="438">
        <v>0.05</v>
      </c>
      <c r="Q32" s="439"/>
      <c r="R32" s="440">
        <f t="shared" si="11"/>
        <v>0.12960500000000003</v>
      </c>
      <c r="S32" s="447">
        <f t="shared" si="12"/>
        <v>9.9820000000000011</v>
      </c>
      <c r="T32" s="447">
        <f t="shared" si="13"/>
        <v>12.574100000000001</v>
      </c>
      <c r="U32" s="447">
        <f t="shared" si="14"/>
        <v>4.0177550000000011</v>
      </c>
      <c r="V32" s="442" t="s">
        <v>783</v>
      </c>
    </row>
    <row r="33" spans="1:22" ht="15" customHeight="1" x14ac:dyDescent="0.2">
      <c r="A33" s="433" t="s">
        <v>828</v>
      </c>
      <c r="B33" s="443"/>
      <c r="C33" s="443"/>
      <c r="D33" s="443"/>
      <c r="E33" s="443"/>
      <c r="F33" s="444">
        <v>1</v>
      </c>
      <c r="G33" s="445">
        <v>2.5499999999999998</v>
      </c>
      <c r="H33" s="445">
        <v>2.5499999999999998</v>
      </c>
      <c r="I33" s="445">
        <v>1.5</v>
      </c>
      <c r="J33" s="436">
        <f t="shared" si="6"/>
        <v>1.2</v>
      </c>
      <c r="K33" s="439"/>
      <c r="L33" s="436">
        <f t="shared" si="7"/>
        <v>21.796875</v>
      </c>
      <c r="M33" s="447">
        <f t="shared" si="8"/>
        <v>6.5024999999999995</v>
      </c>
      <c r="N33" s="447">
        <f t="shared" si="9"/>
        <v>12.043125000000002</v>
      </c>
      <c r="O33" s="436">
        <f t="shared" si="10"/>
        <v>12.679874999999999</v>
      </c>
      <c r="P33" s="438">
        <v>0.05</v>
      </c>
      <c r="Q33" s="439"/>
      <c r="R33" s="440">
        <f t="shared" si="11"/>
        <v>0.325125</v>
      </c>
      <c r="S33" s="447">
        <f t="shared" si="12"/>
        <v>15.299999999999999</v>
      </c>
      <c r="T33" s="447">
        <f t="shared" si="13"/>
        <v>21.802499999999998</v>
      </c>
      <c r="U33" s="447">
        <f t="shared" si="14"/>
        <v>9.7537499999999984</v>
      </c>
      <c r="V33" s="442" t="s">
        <v>783</v>
      </c>
    </row>
    <row r="34" spans="1:22" ht="15" customHeight="1" x14ac:dyDescent="0.2">
      <c r="A34" s="433" t="s">
        <v>829</v>
      </c>
      <c r="B34" s="443"/>
      <c r="C34" s="443"/>
      <c r="D34" s="443"/>
      <c r="E34" s="443"/>
      <c r="F34" s="444">
        <v>1</v>
      </c>
      <c r="G34" s="445">
        <v>1.61</v>
      </c>
      <c r="H34" s="445">
        <v>1.61</v>
      </c>
      <c r="I34" s="445">
        <v>0.85</v>
      </c>
      <c r="J34" s="436">
        <f t="shared" si="6"/>
        <v>0.6</v>
      </c>
      <c r="K34" s="439"/>
      <c r="L34" s="436">
        <f t="shared" si="7"/>
        <v>4.3956900000000001</v>
      </c>
      <c r="M34" s="447">
        <f t="shared" si="8"/>
        <v>2.5921000000000003</v>
      </c>
      <c r="N34" s="447">
        <f t="shared" si="9"/>
        <v>2.1924049999999999</v>
      </c>
      <c r="O34" s="436">
        <f t="shared" si="10"/>
        <v>2.8642705000000004</v>
      </c>
      <c r="P34" s="438">
        <v>0.05</v>
      </c>
      <c r="Q34" s="439"/>
      <c r="R34" s="440">
        <f t="shared" si="11"/>
        <v>0.12960500000000003</v>
      </c>
      <c r="S34" s="447">
        <f t="shared" si="12"/>
        <v>5.4740000000000002</v>
      </c>
      <c r="T34" s="447">
        <f t="shared" si="13"/>
        <v>8.0661000000000005</v>
      </c>
      <c r="U34" s="447">
        <f t="shared" si="14"/>
        <v>2.2032850000000002</v>
      </c>
      <c r="V34" s="442" t="s">
        <v>783</v>
      </c>
    </row>
    <row r="35" spans="1:22" ht="15" customHeight="1" x14ac:dyDescent="0.2">
      <c r="A35" s="433" t="s">
        <v>830</v>
      </c>
      <c r="B35" s="443"/>
      <c r="C35" s="443"/>
      <c r="D35" s="443"/>
      <c r="E35" s="443"/>
      <c r="F35" s="444">
        <v>1</v>
      </c>
      <c r="G35" s="445">
        <v>1.65</v>
      </c>
      <c r="H35" s="445">
        <v>2.65</v>
      </c>
      <c r="I35" s="445">
        <v>1.2</v>
      </c>
      <c r="J35" s="436">
        <f t="shared" si="6"/>
        <v>1.2</v>
      </c>
      <c r="K35" s="439"/>
      <c r="L35" s="436">
        <f t="shared" si="7"/>
        <v>13.715624999999998</v>
      </c>
      <c r="M35" s="447">
        <f t="shared" si="8"/>
        <v>4.3724999999999996</v>
      </c>
      <c r="N35" s="447">
        <f t="shared" si="9"/>
        <v>8.4686249999999994</v>
      </c>
      <c r="O35" s="436">
        <f t="shared" si="10"/>
        <v>6.8210999999999977</v>
      </c>
      <c r="P35" s="438">
        <v>0.05</v>
      </c>
      <c r="Q35" s="439"/>
      <c r="R35" s="440">
        <f t="shared" si="11"/>
        <v>0.21862499999999999</v>
      </c>
      <c r="S35" s="447">
        <f t="shared" si="12"/>
        <v>10.319999999999999</v>
      </c>
      <c r="T35" s="447">
        <f t="shared" si="13"/>
        <v>14.692499999999999</v>
      </c>
      <c r="U35" s="447">
        <f t="shared" si="14"/>
        <v>5.246999999999999</v>
      </c>
      <c r="V35" s="442" t="s">
        <v>783</v>
      </c>
    </row>
    <row r="36" spans="1:22" ht="15" customHeight="1" x14ac:dyDescent="0.2">
      <c r="A36" s="433" t="s">
        <v>831</v>
      </c>
      <c r="B36" s="443"/>
      <c r="C36" s="443"/>
      <c r="D36" s="443"/>
      <c r="E36" s="443"/>
      <c r="F36" s="444">
        <v>1</v>
      </c>
      <c r="G36" s="445">
        <v>0.8</v>
      </c>
      <c r="H36" s="445">
        <v>1.45</v>
      </c>
      <c r="I36" s="445">
        <v>0.9</v>
      </c>
      <c r="J36" s="436">
        <f t="shared" si="6"/>
        <v>0.6</v>
      </c>
      <c r="K36" s="439"/>
      <c r="L36" s="436">
        <f t="shared" si="7"/>
        <v>2.7264999999999997</v>
      </c>
      <c r="M36" s="447">
        <f t="shared" si="8"/>
        <v>1.1599999999999999</v>
      </c>
      <c r="N36" s="447">
        <f t="shared" si="9"/>
        <v>1.6824999999999997</v>
      </c>
      <c r="O36" s="436">
        <f t="shared" si="10"/>
        <v>1.3572000000000002</v>
      </c>
      <c r="P36" s="438">
        <v>0.05</v>
      </c>
      <c r="Q36" s="439"/>
      <c r="R36" s="440">
        <f t="shared" si="11"/>
        <v>5.7999999999999996E-2</v>
      </c>
      <c r="S36" s="447">
        <f t="shared" si="12"/>
        <v>4.05</v>
      </c>
      <c r="T36" s="447">
        <f t="shared" si="13"/>
        <v>5.21</v>
      </c>
      <c r="U36" s="447">
        <f t="shared" si="14"/>
        <v>1.044</v>
      </c>
      <c r="V36" s="442" t="s">
        <v>783</v>
      </c>
    </row>
    <row r="37" spans="1:22" ht="15" customHeight="1" x14ac:dyDescent="0.2">
      <c r="A37" s="433" t="s">
        <v>832</v>
      </c>
      <c r="B37" s="443"/>
      <c r="C37" s="443"/>
      <c r="D37" s="443"/>
      <c r="E37" s="443"/>
      <c r="F37" s="444">
        <v>1</v>
      </c>
      <c r="G37" s="445">
        <v>2.0099999999999998</v>
      </c>
      <c r="H37" s="445">
        <v>2.0099999999999998</v>
      </c>
      <c r="I37" s="445">
        <v>1.35</v>
      </c>
      <c r="J37" s="436">
        <f t="shared" si="6"/>
        <v>1.2</v>
      </c>
      <c r="K37" s="439"/>
      <c r="L37" s="436">
        <f t="shared" si="7"/>
        <v>14.425740000000001</v>
      </c>
      <c r="M37" s="447">
        <f t="shared" si="8"/>
        <v>4.0400999999999989</v>
      </c>
      <c r="N37" s="447">
        <f t="shared" si="9"/>
        <v>8.9716050000000021</v>
      </c>
      <c r="O37" s="436">
        <f t="shared" si="10"/>
        <v>7.0903754999999986</v>
      </c>
      <c r="P37" s="438">
        <v>0.05</v>
      </c>
      <c r="Q37" s="439"/>
      <c r="R37" s="440">
        <f t="shared" si="11"/>
        <v>0.20200499999999996</v>
      </c>
      <c r="S37" s="447">
        <f t="shared" si="12"/>
        <v>10.853999999999999</v>
      </c>
      <c r="T37" s="447">
        <f t="shared" si="13"/>
        <v>14.894099999999998</v>
      </c>
      <c r="U37" s="447">
        <f t="shared" si="14"/>
        <v>5.4541349999999991</v>
      </c>
      <c r="V37" s="442" t="s">
        <v>783</v>
      </c>
    </row>
    <row r="38" spans="1:22" ht="15" customHeight="1" x14ac:dyDescent="0.2">
      <c r="A38" s="433" t="s">
        <v>833</v>
      </c>
      <c r="B38" s="443"/>
      <c r="C38" s="443"/>
      <c r="D38" s="443"/>
      <c r="E38" s="443"/>
      <c r="F38" s="444">
        <v>1</v>
      </c>
      <c r="G38" s="445">
        <v>2.0099999999999998</v>
      </c>
      <c r="H38" s="445">
        <v>2.0099999999999998</v>
      </c>
      <c r="I38" s="445">
        <v>1.3</v>
      </c>
      <c r="J38" s="436">
        <f t="shared" si="6"/>
        <v>1.2</v>
      </c>
      <c r="K38" s="439"/>
      <c r="L38" s="436">
        <f t="shared" si="7"/>
        <v>13.910534999999999</v>
      </c>
      <c r="M38" s="447">
        <f t="shared" si="8"/>
        <v>4.0400999999999989</v>
      </c>
      <c r="N38" s="447">
        <f t="shared" si="9"/>
        <v>8.6584050000000001</v>
      </c>
      <c r="O38" s="436">
        <f t="shared" si="10"/>
        <v>6.8277689999999991</v>
      </c>
      <c r="P38" s="438">
        <v>0.05</v>
      </c>
      <c r="Q38" s="439"/>
      <c r="R38" s="440">
        <f t="shared" si="11"/>
        <v>0.20200499999999996</v>
      </c>
      <c r="S38" s="447">
        <f t="shared" si="12"/>
        <v>10.452</v>
      </c>
      <c r="T38" s="447">
        <f t="shared" si="13"/>
        <v>14.492099999999999</v>
      </c>
      <c r="U38" s="447">
        <f t="shared" si="14"/>
        <v>5.2521299999999993</v>
      </c>
      <c r="V38" s="442" t="s">
        <v>783</v>
      </c>
    </row>
    <row r="39" spans="1:22" ht="15" customHeight="1" x14ac:dyDescent="0.2">
      <c r="A39" s="433" t="s">
        <v>834</v>
      </c>
      <c r="B39" s="443"/>
      <c r="C39" s="443"/>
      <c r="D39" s="443"/>
      <c r="E39" s="443"/>
      <c r="F39" s="444">
        <v>1</v>
      </c>
      <c r="G39" s="445">
        <v>2.5499999999999998</v>
      </c>
      <c r="H39" s="445">
        <v>2.5499999999999998</v>
      </c>
      <c r="I39" s="445">
        <v>1.5</v>
      </c>
      <c r="J39" s="436">
        <f t="shared" si="6"/>
        <v>1.2</v>
      </c>
      <c r="K39" s="439"/>
      <c r="L39" s="436">
        <f t="shared" si="7"/>
        <v>21.796875</v>
      </c>
      <c r="M39" s="447">
        <f t="shared" si="8"/>
        <v>6.5024999999999995</v>
      </c>
      <c r="N39" s="447">
        <f t="shared" si="9"/>
        <v>12.043125000000002</v>
      </c>
      <c r="O39" s="436">
        <f t="shared" si="10"/>
        <v>12.679874999999999</v>
      </c>
      <c r="P39" s="438">
        <v>0.05</v>
      </c>
      <c r="Q39" s="439"/>
      <c r="R39" s="440">
        <f t="shared" si="11"/>
        <v>0.325125</v>
      </c>
      <c r="S39" s="447">
        <f t="shared" si="12"/>
        <v>15.299999999999999</v>
      </c>
      <c r="T39" s="447">
        <f t="shared" si="13"/>
        <v>21.802499999999998</v>
      </c>
      <c r="U39" s="447">
        <f t="shared" si="14"/>
        <v>9.7537499999999984</v>
      </c>
      <c r="V39" s="442" t="s">
        <v>783</v>
      </c>
    </row>
    <row r="40" spans="1:22" ht="15" customHeight="1" x14ac:dyDescent="0.2">
      <c r="A40" s="433" t="s">
        <v>835</v>
      </c>
      <c r="B40" s="443"/>
      <c r="C40" s="443"/>
      <c r="D40" s="443"/>
      <c r="E40" s="443"/>
      <c r="F40" s="444">
        <v>1</v>
      </c>
      <c r="G40" s="445">
        <v>2.0099999999999998</v>
      </c>
      <c r="H40" s="445">
        <v>2.0099999999999998</v>
      </c>
      <c r="I40" s="445">
        <v>1.35</v>
      </c>
      <c r="J40" s="436">
        <f t="shared" si="6"/>
        <v>1.2</v>
      </c>
      <c r="K40" s="439"/>
      <c r="L40" s="436">
        <f t="shared" si="7"/>
        <v>14.425740000000001</v>
      </c>
      <c r="M40" s="447">
        <f t="shared" si="8"/>
        <v>4.0400999999999989</v>
      </c>
      <c r="N40" s="447">
        <f t="shared" si="9"/>
        <v>8.9716050000000021</v>
      </c>
      <c r="O40" s="436">
        <f t="shared" si="10"/>
        <v>7.0903754999999986</v>
      </c>
      <c r="P40" s="438">
        <v>0.05</v>
      </c>
      <c r="Q40" s="439"/>
      <c r="R40" s="440">
        <f t="shared" si="11"/>
        <v>0.20200499999999996</v>
      </c>
      <c r="S40" s="447">
        <f t="shared" si="12"/>
        <v>10.853999999999999</v>
      </c>
      <c r="T40" s="447">
        <f t="shared" si="13"/>
        <v>14.894099999999998</v>
      </c>
      <c r="U40" s="447">
        <f t="shared" si="14"/>
        <v>5.4541349999999991</v>
      </c>
      <c r="V40" s="442" t="s">
        <v>783</v>
      </c>
    </row>
    <row r="41" spans="1:22" ht="15" customHeight="1" x14ac:dyDescent="0.2">
      <c r="A41" s="433" t="s">
        <v>836</v>
      </c>
      <c r="B41" s="443"/>
      <c r="C41" s="443"/>
      <c r="D41" s="443"/>
      <c r="E41" s="443"/>
      <c r="F41" s="444">
        <v>1</v>
      </c>
      <c r="G41" s="445">
        <v>0.8</v>
      </c>
      <c r="H41" s="445">
        <v>1.65</v>
      </c>
      <c r="I41" s="445">
        <v>0.9</v>
      </c>
      <c r="J41" s="436">
        <f t="shared" si="6"/>
        <v>0.6</v>
      </c>
      <c r="K41" s="439"/>
      <c r="L41" s="436">
        <f t="shared" si="7"/>
        <v>2.9925000000000002</v>
      </c>
      <c r="M41" s="447">
        <f t="shared" si="8"/>
        <v>1.32</v>
      </c>
      <c r="N41" s="447">
        <f t="shared" si="9"/>
        <v>1.8045</v>
      </c>
      <c r="O41" s="436">
        <f t="shared" si="10"/>
        <v>1.5444000000000002</v>
      </c>
      <c r="P41" s="438">
        <v>0.05</v>
      </c>
      <c r="Q41" s="439"/>
      <c r="R41" s="440">
        <f t="shared" si="11"/>
        <v>6.6000000000000003E-2</v>
      </c>
      <c r="S41" s="447">
        <f t="shared" si="12"/>
        <v>4.41</v>
      </c>
      <c r="T41" s="447">
        <f t="shared" si="13"/>
        <v>5.73</v>
      </c>
      <c r="U41" s="447">
        <f t="shared" si="14"/>
        <v>1.1880000000000002</v>
      </c>
      <c r="V41" s="442" t="s">
        <v>783</v>
      </c>
    </row>
    <row r="42" spans="1:22" ht="15" customHeight="1" x14ac:dyDescent="0.2">
      <c r="A42" s="433" t="s">
        <v>837</v>
      </c>
      <c r="B42" s="443"/>
      <c r="C42" s="443"/>
      <c r="D42" s="443"/>
      <c r="E42" s="443"/>
      <c r="F42" s="444">
        <v>1</v>
      </c>
      <c r="G42" s="445">
        <v>0.55000000000000004</v>
      </c>
      <c r="H42" s="445">
        <v>1.35</v>
      </c>
      <c r="I42" s="445">
        <v>0.9</v>
      </c>
      <c r="J42" s="436">
        <f t="shared" si="6"/>
        <v>0.6</v>
      </c>
      <c r="K42" s="439"/>
      <c r="L42" s="436">
        <f t="shared" si="7"/>
        <v>2.1303750000000004</v>
      </c>
      <c r="M42" s="447">
        <f t="shared" si="8"/>
        <v>0.74250000000000016</v>
      </c>
      <c r="N42" s="447">
        <f t="shared" si="9"/>
        <v>1.4621250000000003</v>
      </c>
      <c r="O42" s="436">
        <f t="shared" si="10"/>
        <v>0.86872500000000008</v>
      </c>
      <c r="P42" s="438">
        <v>0.05</v>
      </c>
      <c r="Q42" s="439"/>
      <c r="R42" s="440">
        <f t="shared" si="11"/>
        <v>3.7125000000000012E-2</v>
      </c>
      <c r="S42" s="447">
        <f t="shared" si="12"/>
        <v>3.4200000000000004</v>
      </c>
      <c r="T42" s="447">
        <f t="shared" si="13"/>
        <v>4.1625000000000005</v>
      </c>
      <c r="U42" s="447">
        <f t="shared" si="14"/>
        <v>0.66825000000000012</v>
      </c>
      <c r="V42" s="442" t="s">
        <v>783</v>
      </c>
    </row>
    <row r="43" spans="1:22" ht="15" customHeight="1" x14ac:dyDescent="0.2">
      <c r="A43" s="433" t="s">
        <v>838</v>
      </c>
      <c r="B43" s="443"/>
      <c r="C43" s="443"/>
      <c r="D43" s="443"/>
      <c r="E43" s="443"/>
      <c r="F43" s="444">
        <v>1</v>
      </c>
      <c r="G43" s="445">
        <v>0.6</v>
      </c>
      <c r="H43" s="445">
        <v>0.8</v>
      </c>
      <c r="I43" s="445">
        <v>0.9</v>
      </c>
      <c r="J43" s="436">
        <f t="shared" si="6"/>
        <v>0.6</v>
      </c>
      <c r="K43" s="439"/>
      <c r="L43" s="436">
        <f t="shared" si="7"/>
        <v>1.5960000000000001</v>
      </c>
      <c r="M43" s="447">
        <f t="shared" si="8"/>
        <v>0.48</v>
      </c>
      <c r="N43" s="447">
        <f t="shared" si="9"/>
        <v>1.1640000000000001</v>
      </c>
      <c r="O43" s="436">
        <f t="shared" si="10"/>
        <v>0.56159999999999999</v>
      </c>
      <c r="P43" s="438">
        <v>0.05</v>
      </c>
      <c r="Q43" s="439"/>
      <c r="R43" s="440">
        <f t="shared" si="11"/>
        <v>2.4E-2</v>
      </c>
      <c r="S43" s="447">
        <f t="shared" si="12"/>
        <v>2.52</v>
      </c>
      <c r="T43" s="447">
        <f t="shared" si="13"/>
        <v>3</v>
      </c>
      <c r="U43" s="447">
        <f t="shared" si="14"/>
        <v>0.43200000000000005</v>
      </c>
      <c r="V43" s="442" t="s">
        <v>783</v>
      </c>
    </row>
    <row r="44" spans="1:22" ht="15" customHeight="1" x14ac:dyDescent="0.2">
      <c r="A44" s="433" t="s">
        <v>839</v>
      </c>
      <c r="B44" s="443"/>
      <c r="C44" s="443"/>
      <c r="D44" s="443"/>
      <c r="E44" s="443"/>
      <c r="F44" s="444">
        <v>1</v>
      </c>
      <c r="G44" s="445">
        <v>0.55000000000000004</v>
      </c>
      <c r="H44" s="445">
        <v>1.35</v>
      </c>
      <c r="I44" s="445">
        <v>0.9</v>
      </c>
      <c r="J44" s="436">
        <f t="shared" si="6"/>
        <v>0.6</v>
      </c>
      <c r="K44" s="439"/>
      <c r="L44" s="436">
        <f t="shared" si="7"/>
        <v>2.1303750000000004</v>
      </c>
      <c r="M44" s="447">
        <f t="shared" si="8"/>
        <v>0.74250000000000016</v>
      </c>
      <c r="N44" s="447">
        <f t="shared" si="9"/>
        <v>1.4621250000000003</v>
      </c>
      <c r="O44" s="436">
        <f t="shared" si="10"/>
        <v>0.86872500000000008</v>
      </c>
      <c r="P44" s="438">
        <v>0.05</v>
      </c>
      <c r="Q44" s="439"/>
      <c r="R44" s="440">
        <f t="shared" si="11"/>
        <v>3.7125000000000012E-2</v>
      </c>
      <c r="S44" s="447">
        <f t="shared" si="12"/>
        <v>3.4200000000000004</v>
      </c>
      <c r="T44" s="447">
        <f t="shared" si="13"/>
        <v>4.1625000000000005</v>
      </c>
      <c r="U44" s="447">
        <f t="shared" si="14"/>
        <v>0.66825000000000012</v>
      </c>
      <c r="V44" s="442" t="s">
        <v>783</v>
      </c>
    </row>
    <row r="45" spans="1:22" ht="15" customHeight="1" x14ac:dyDescent="0.2">
      <c r="A45" s="433" t="s">
        <v>840</v>
      </c>
      <c r="B45" s="443"/>
      <c r="C45" s="443"/>
      <c r="D45" s="443"/>
      <c r="E45" s="443"/>
      <c r="F45" s="444">
        <v>1</v>
      </c>
      <c r="G45" s="445">
        <v>0.55000000000000004</v>
      </c>
      <c r="H45" s="445">
        <v>1.35</v>
      </c>
      <c r="I45" s="445">
        <v>0.9</v>
      </c>
      <c r="J45" s="436">
        <f t="shared" si="6"/>
        <v>0.6</v>
      </c>
      <c r="K45" s="439"/>
      <c r="L45" s="436">
        <f t="shared" si="7"/>
        <v>2.1303750000000004</v>
      </c>
      <c r="M45" s="447">
        <f t="shared" si="8"/>
        <v>0.74250000000000016</v>
      </c>
      <c r="N45" s="447">
        <f t="shared" si="9"/>
        <v>1.4621250000000003</v>
      </c>
      <c r="O45" s="436">
        <f t="shared" si="10"/>
        <v>0.86872500000000008</v>
      </c>
      <c r="P45" s="438">
        <v>0.05</v>
      </c>
      <c r="Q45" s="439"/>
      <c r="R45" s="440">
        <f t="shared" si="11"/>
        <v>3.7125000000000012E-2</v>
      </c>
      <c r="S45" s="447">
        <f t="shared" si="12"/>
        <v>3.4200000000000004</v>
      </c>
      <c r="T45" s="447">
        <f t="shared" si="13"/>
        <v>4.1625000000000005</v>
      </c>
      <c r="U45" s="447">
        <f t="shared" si="14"/>
        <v>0.66825000000000012</v>
      </c>
      <c r="V45" s="442" t="s">
        <v>783</v>
      </c>
    </row>
    <row r="46" spans="1:22" ht="15" customHeight="1" x14ac:dyDescent="0.2">
      <c r="A46" s="433" t="s">
        <v>841</v>
      </c>
      <c r="B46" s="443"/>
      <c r="C46" s="443"/>
      <c r="D46" s="443"/>
      <c r="E46" s="443"/>
      <c r="F46" s="444">
        <v>1</v>
      </c>
      <c r="G46" s="445">
        <v>0.6</v>
      </c>
      <c r="H46" s="445">
        <v>0.8</v>
      </c>
      <c r="I46" s="445">
        <v>0.9</v>
      </c>
      <c r="J46" s="436">
        <f t="shared" si="6"/>
        <v>0.6</v>
      </c>
      <c r="K46" s="439"/>
      <c r="L46" s="436">
        <f t="shared" si="7"/>
        <v>1.5960000000000001</v>
      </c>
      <c r="M46" s="447">
        <f t="shared" si="8"/>
        <v>0.48</v>
      </c>
      <c r="N46" s="447">
        <f t="shared" si="9"/>
        <v>1.1640000000000001</v>
      </c>
      <c r="O46" s="436">
        <f t="shared" si="10"/>
        <v>0.56159999999999999</v>
      </c>
      <c r="P46" s="438">
        <v>0.05</v>
      </c>
      <c r="Q46" s="439"/>
      <c r="R46" s="440">
        <f t="shared" si="11"/>
        <v>2.4E-2</v>
      </c>
      <c r="S46" s="447">
        <f t="shared" si="12"/>
        <v>2.52</v>
      </c>
      <c r="T46" s="447">
        <f t="shared" si="13"/>
        <v>3</v>
      </c>
      <c r="U46" s="447">
        <f t="shared" si="14"/>
        <v>0.43200000000000005</v>
      </c>
      <c r="V46" s="442" t="s">
        <v>783</v>
      </c>
    </row>
    <row r="47" spans="1:22" ht="15" customHeight="1" x14ac:dyDescent="0.2">
      <c r="A47" s="433" t="s">
        <v>842</v>
      </c>
      <c r="B47" s="443"/>
      <c r="C47" s="443"/>
      <c r="D47" s="443"/>
      <c r="E47" s="443"/>
      <c r="F47" s="444">
        <v>1</v>
      </c>
      <c r="G47" s="445">
        <v>0.55000000000000004</v>
      </c>
      <c r="H47" s="445">
        <v>1.35</v>
      </c>
      <c r="I47" s="445">
        <v>0.9</v>
      </c>
      <c r="J47" s="436">
        <f t="shared" si="6"/>
        <v>0.6</v>
      </c>
      <c r="K47" s="439"/>
      <c r="L47" s="436">
        <f t="shared" si="7"/>
        <v>2.1303750000000004</v>
      </c>
      <c r="M47" s="447">
        <f t="shared" si="8"/>
        <v>0.74250000000000016</v>
      </c>
      <c r="N47" s="447">
        <f t="shared" si="9"/>
        <v>1.4621250000000003</v>
      </c>
      <c r="O47" s="436">
        <f t="shared" si="10"/>
        <v>0.86872500000000008</v>
      </c>
      <c r="P47" s="438">
        <v>0.05</v>
      </c>
      <c r="Q47" s="439"/>
      <c r="R47" s="440">
        <f t="shared" si="11"/>
        <v>3.7125000000000012E-2</v>
      </c>
      <c r="S47" s="447">
        <f t="shared" si="12"/>
        <v>3.4200000000000004</v>
      </c>
      <c r="T47" s="447">
        <f t="shared" si="13"/>
        <v>4.1625000000000005</v>
      </c>
      <c r="U47" s="447">
        <f t="shared" si="14"/>
        <v>0.66825000000000012</v>
      </c>
      <c r="V47" s="442" t="s">
        <v>783</v>
      </c>
    </row>
    <row r="48" spans="1:22" ht="15" customHeight="1" x14ac:dyDescent="0.2">
      <c r="A48" s="433" t="s">
        <v>843</v>
      </c>
      <c r="B48" s="443"/>
      <c r="C48" s="443"/>
      <c r="D48" s="443"/>
      <c r="E48" s="443"/>
      <c r="F48" s="444">
        <v>1</v>
      </c>
      <c r="G48" s="445">
        <v>0.8</v>
      </c>
      <c r="H48" s="445">
        <v>1.45</v>
      </c>
      <c r="I48" s="445">
        <v>0.9</v>
      </c>
      <c r="J48" s="436">
        <f t="shared" si="6"/>
        <v>0.6</v>
      </c>
      <c r="K48" s="439"/>
      <c r="L48" s="436">
        <f t="shared" si="7"/>
        <v>2.7264999999999997</v>
      </c>
      <c r="M48" s="447">
        <f t="shared" si="8"/>
        <v>1.1599999999999999</v>
      </c>
      <c r="N48" s="447">
        <f t="shared" si="9"/>
        <v>1.6824999999999997</v>
      </c>
      <c r="O48" s="436">
        <f t="shared" si="10"/>
        <v>1.3572000000000002</v>
      </c>
      <c r="P48" s="438">
        <v>0.05</v>
      </c>
      <c r="Q48" s="439"/>
      <c r="R48" s="440">
        <f t="shared" si="11"/>
        <v>5.7999999999999996E-2</v>
      </c>
      <c r="S48" s="447">
        <f t="shared" si="12"/>
        <v>4.05</v>
      </c>
      <c r="T48" s="447">
        <f t="shared" si="13"/>
        <v>5.21</v>
      </c>
      <c r="U48" s="447">
        <f t="shared" si="14"/>
        <v>1.044</v>
      </c>
      <c r="V48" s="442" t="s">
        <v>783</v>
      </c>
    </row>
    <row r="49" spans="1:24" ht="11.25" customHeight="1" x14ac:dyDescent="0.2">
      <c r="A49" s="450"/>
      <c r="B49" s="443"/>
      <c r="C49" s="443"/>
      <c r="D49" s="443"/>
      <c r="E49" s="443"/>
      <c r="F49" s="451"/>
      <c r="G49" s="362"/>
      <c r="H49" s="362"/>
      <c r="I49" s="362"/>
      <c r="J49" s="436">
        <f t="shared" si="6"/>
        <v>0.6</v>
      </c>
      <c r="K49" s="439"/>
      <c r="L49" s="436">
        <f t="shared" si="7"/>
        <v>0</v>
      </c>
      <c r="M49" s="447">
        <f t="shared" si="8"/>
        <v>0</v>
      </c>
      <c r="N49" s="447">
        <f t="shared" si="9"/>
        <v>0</v>
      </c>
      <c r="O49" s="436">
        <f t="shared" si="10"/>
        <v>0</v>
      </c>
      <c r="P49" s="438">
        <v>0.05</v>
      </c>
      <c r="Q49" s="439"/>
      <c r="R49" s="440">
        <f t="shared" si="11"/>
        <v>0</v>
      </c>
      <c r="S49" s="447">
        <f t="shared" si="12"/>
        <v>0</v>
      </c>
      <c r="T49" s="447">
        <f t="shared" si="13"/>
        <v>0</v>
      </c>
      <c r="U49" s="447">
        <f t="shared" si="14"/>
        <v>0</v>
      </c>
      <c r="V49" s="442" t="s">
        <v>783</v>
      </c>
      <c r="W49" s="334"/>
      <c r="X49" s="334"/>
    </row>
    <row r="50" spans="1:24" ht="11.25" customHeight="1" x14ac:dyDescent="0.2">
      <c r="A50" s="452" t="str">
        <f>"TOTAL GERAL - "&amp;A10</f>
        <v>TOTAL GERAL - BLOCOS QUADRADOS RETANGULARES</v>
      </c>
      <c r="B50" s="371"/>
      <c r="C50" s="371"/>
      <c r="D50" s="371"/>
      <c r="E50" s="371"/>
      <c r="F50" s="453"/>
      <c r="G50" s="371"/>
      <c r="H50" s="371"/>
      <c r="I50" s="371"/>
      <c r="J50" s="371"/>
      <c r="K50" s="371"/>
      <c r="L50" s="454">
        <f t="shared" ref="L50:O50" si="15">SUM(L15:L49)</f>
        <v>332.65316000000007</v>
      </c>
      <c r="M50" s="454">
        <f t="shared" si="15"/>
        <v>100.69680000000001</v>
      </c>
      <c r="N50" s="454">
        <f t="shared" si="15"/>
        <v>203.21934000000005</v>
      </c>
      <c r="O50" s="454">
        <f t="shared" si="15"/>
        <v>168.26396600000007</v>
      </c>
      <c r="P50" s="372"/>
      <c r="Q50" s="454">
        <f t="shared" ref="Q50:U50" si="16">SUM(Q15:Q49)</f>
        <v>0</v>
      </c>
      <c r="R50" s="454">
        <f t="shared" si="16"/>
        <v>5.0348399999999973</v>
      </c>
      <c r="S50" s="454">
        <f t="shared" si="16"/>
        <v>286.49800000000005</v>
      </c>
      <c r="T50" s="454">
        <f t="shared" si="16"/>
        <v>398.71480000000003</v>
      </c>
      <c r="U50" s="454">
        <f t="shared" si="16"/>
        <v>129.43382</v>
      </c>
      <c r="V50" s="455"/>
      <c r="W50" s="334"/>
      <c r="X50" s="334"/>
    </row>
    <row r="51" spans="1:24" ht="22.5" customHeight="1" x14ac:dyDescent="0.2">
      <c r="A51" s="378"/>
      <c r="B51" s="378"/>
      <c r="C51" s="378"/>
      <c r="D51" s="378"/>
      <c r="E51" s="378"/>
      <c r="F51" s="378"/>
      <c r="G51" s="378"/>
      <c r="H51" s="378"/>
      <c r="I51" s="378"/>
      <c r="J51" s="378"/>
      <c r="K51" s="378"/>
      <c r="L51" s="378"/>
      <c r="M51" s="378"/>
      <c r="N51" s="378"/>
      <c r="O51" s="378"/>
      <c r="P51" s="378"/>
      <c r="Q51" s="334"/>
      <c r="R51" s="334"/>
      <c r="S51" s="334"/>
      <c r="T51" s="334"/>
      <c r="U51" s="334"/>
      <c r="V51" s="334"/>
      <c r="W51" s="334"/>
      <c r="X51" s="334"/>
    </row>
    <row r="52" spans="1:24" ht="11.25" customHeight="1" x14ac:dyDescent="0.25">
      <c r="A52" s="1111" t="s">
        <v>844</v>
      </c>
      <c r="B52" s="1063"/>
      <c r="C52" s="1063"/>
      <c r="D52" s="1063"/>
      <c r="E52" s="1063"/>
      <c r="F52" s="1063"/>
      <c r="G52" s="1063"/>
      <c r="H52" s="1063"/>
      <c r="I52" s="1063"/>
      <c r="J52" s="1063"/>
      <c r="K52" s="1063"/>
      <c r="L52" s="1063"/>
      <c r="M52" s="1063"/>
      <c r="N52" s="1063"/>
      <c r="O52" s="1063"/>
      <c r="P52" s="1063"/>
      <c r="Q52" s="1063"/>
      <c r="R52" s="1063"/>
      <c r="S52" s="1063"/>
      <c r="T52" s="1063"/>
      <c r="U52" s="1063"/>
      <c r="V52" s="1064"/>
      <c r="W52" s="334"/>
      <c r="X52" s="417" t="s">
        <v>792</v>
      </c>
    </row>
    <row r="53" spans="1:24" ht="11.25" customHeight="1" x14ac:dyDescent="0.2">
      <c r="A53" s="412" t="s">
        <v>735</v>
      </c>
      <c r="B53" s="456"/>
      <c r="C53" s="457" t="s">
        <v>737</v>
      </c>
      <c r="D53" s="457" t="s">
        <v>845</v>
      </c>
      <c r="E53" s="457" t="s">
        <v>846</v>
      </c>
      <c r="F53" s="457" t="s">
        <v>847</v>
      </c>
      <c r="G53" s="457" t="s">
        <v>848</v>
      </c>
      <c r="H53" s="457" t="s">
        <v>849</v>
      </c>
      <c r="I53" s="457" t="s">
        <v>850</v>
      </c>
      <c r="J53" s="1107" t="s">
        <v>790</v>
      </c>
      <c r="K53" s="1108"/>
      <c r="L53" s="458" t="s">
        <v>791</v>
      </c>
      <c r="M53" s="459"/>
      <c r="N53" s="459"/>
      <c r="O53" s="459"/>
      <c r="P53" s="459"/>
      <c r="Q53" s="459"/>
      <c r="R53" s="459"/>
      <c r="S53" s="459"/>
      <c r="T53" s="460"/>
      <c r="U53" s="459"/>
      <c r="V53" s="459"/>
      <c r="W53" s="334"/>
      <c r="X53" s="334"/>
    </row>
    <row r="54" spans="1:24" ht="11.25" customHeight="1" x14ac:dyDescent="0.2">
      <c r="A54" s="414"/>
      <c r="B54" s="418"/>
      <c r="C54" s="461" t="s">
        <v>851</v>
      </c>
      <c r="D54" s="461" t="s">
        <v>852</v>
      </c>
      <c r="E54" s="461" t="s">
        <v>853</v>
      </c>
      <c r="F54" s="461" t="s">
        <v>805</v>
      </c>
      <c r="G54" s="461" t="s">
        <v>854</v>
      </c>
      <c r="H54" s="461" t="s">
        <v>855</v>
      </c>
      <c r="I54" s="461" t="s">
        <v>856</v>
      </c>
      <c r="J54" s="420" t="s">
        <v>796</v>
      </c>
      <c r="K54" s="420" t="s">
        <v>797</v>
      </c>
      <c r="L54" s="421" t="s">
        <v>798</v>
      </c>
      <c r="M54" s="421" t="s">
        <v>799</v>
      </c>
      <c r="N54" s="421" t="s">
        <v>775</v>
      </c>
      <c r="O54" s="421" t="s">
        <v>800</v>
      </c>
      <c r="P54" s="1115" t="s">
        <v>801</v>
      </c>
      <c r="Q54" s="1098"/>
      <c r="R54" s="1099"/>
      <c r="S54" s="421" t="s">
        <v>802</v>
      </c>
      <c r="T54" s="421" t="s">
        <v>803</v>
      </c>
      <c r="U54" s="421" t="s">
        <v>397</v>
      </c>
      <c r="V54" s="421" t="s">
        <v>583</v>
      </c>
      <c r="W54" s="334"/>
      <c r="X54" s="334"/>
    </row>
    <row r="55" spans="1:24" ht="11.25" customHeight="1" x14ac:dyDescent="0.2">
      <c r="A55" s="462"/>
      <c r="B55" s="463"/>
      <c r="C55" s="464" t="s">
        <v>857</v>
      </c>
      <c r="D55" s="464" t="s">
        <v>79</v>
      </c>
      <c r="E55" s="464" t="s">
        <v>79</v>
      </c>
      <c r="F55" s="464" t="s">
        <v>79</v>
      </c>
      <c r="G55" s="464" t="s">
        <v>79</v>
      </c>
      <c r="H55" s="464" t="s">
        <v>79</v>
      </c>
      <c r="I55" s="464" t="s">
        <v>79</v>
      </c>
      <c r="J55" s="465" t="s">
        <v>79</v>
      </c>
      <c r="K55" s="465" t="s">
        <v>79</v>
      </c>
      <c r="L55" s="465" t="s">
        <v>365</v>
      </c>
      <c r="M55" s="465" t="s">
        <v>92</v>
      </c>
      <c r="N55" s="465" t="s">
        <v>365</v>
      </c>
      <c r="O55" s="465" t="s">
        <v>365</v>
      </c>
      <c r="P55" s="466" t="s">
        <v>807</v>
      </c>
      <c r="Q55" s="467" t="s">
        <v>365</v>
      </c>
      <c r="R55" s="467" t="s">
        <v>365</v>
      </c>
      <c r="S55" s="465" t="s">
        <v>92</v>
      </c>
      <c r="T55" s="465" t="s">
        <v>92</v>
      </c>
      <c r="U55" s="465" t="s">
        <v>365</v>
      </c>
      <c r="V55" s="463"/>
      <c r="W55" s="334"/>
      <c r="X55" s="334"/>
    </row>
    <row r="56" spans="1:24" ht="11.25" customHeight="1" x14ac:dyDescent="0.2">
      <c r="A56" s="429" t="s">
        <v>858</v>
      </c>
      <c r="B56" s="430"/>
      <c r="C56" s="430"/>
      <c r="D56" s="430"/>
      <c r="E56" s="430"/>
      <c r="F56" s="430"/>
      <c r="G56" s="430"/>
      <c r="H56" s="430"/>
      <c r="I56" s="430"/>
      <c r="J56" s="430"/>
      <c r="K56" s="430"/>
      <c r="L56" s="430"/>
      <c r="M56" s="430"/>
      <c r="N56" s="430"/>
      <c r="O56" s="430"/>
      <c r="P56" s="431"/>
      <c r="Q56" s="432" t="s">
        <v>809</v>
      </c>
      <c r="R56" s="432" t="s">
        <v>397</v>
      </c>
      <c r="S56" s="430"/>
      <c r="T56" s="430"/>
      <c r="U56" s="430"/>
      <c r="V56" s="430"/>
      <c r="W56" s="334"/>
      <c r="X56" s="334"/>
    </row>
    <row r="57" spans="1:24" ht="11.25" customHeight="1" x14ac:dyDescent="0.2">
      <c r="A57" s="433" t="s">
        <v>859</v>
      </c>
      <c r="B57" s="450"/>
      <c r="C57" s="468">
        <v>1</v>
      </c>
      <c r="D57" s="449">
        <v>1.49</v>
      </c>
      <c r="E57" s="449">
        <v>0.31</v>
      </c>
      <c r="F57" s="449">
        <v>1.72</v>
      </c>
      <c r="G57" s="449">
        <v>1.36</v>
      </c>
      <c r="H57" s="449">
        <v>0.36</v>
      </c>
      <c r="I57" s="449">
        <v>1.1000000000000001</v>
      </c>
      <c r="J57" s="447">
        <v>0.6</v>
      </c>
      <c r="K57" s="439"/>
      <c r="L57" s="440">
        <f t="shared" ref="L57:L62" si="17">(D57+J57)*(F57+J57)*(I57+P57+K57)*C57</f>
        <v>5.5761200000000004</v>
      </c>
      <c r="M57" s="440">
        <f t="shared" ref="M57:M62" si="18">(((F57+G57)*E57/2)+((F57+H57)*(D57-E57))/2)*C57</f>
        <v>1.7046000000000001</v>
      </c>
      <c r="N57" s="440">
        <f t="shared" ref="N57:N62" si="19">L57-U57</f>
        <v>3.70106</v>
      </c>
      <c r="O57" s="440">
        <f t="shared" ref="O57:O62" si="20">(L57-N57)*1.3</f>
        <v>2.4375780000000007</v>
      </c>
      <c r="P57" s="438">
        <v>0.05</v>
      </c>
      <c r="Q57" s="439"/>
      <c r="R57" s="440">
        <f t="shared" ref="R57:R62" si="21">M57*P57</f>
        <v>8.5230000000000014E-2</v>
      </c>
      <c r="S57" s="440">
        <f t="shared" ref="S57:S62" si="22">(G57*I57+H57*I57+(((D57-E57)^2+((F57-H57)/2)^2)^(1/2))*I57*2+(((E57^2)+((F57-G57)/2)^2)^(1/2))*I57*2)*C57</f>
        <v>5.6768346568501826</v>
      </c>
      <c r="T57" s="439"/>
      <c r="U57" s="440">
        <f t="shared" ref="U57:U62" si="23">(((F57+G57)*E57/2)+((F57+H57)*(D57-E57))/2)*I57*C57</f>
        <v>1.8750600000000002</v>
      </c>
      <c r="V57" s="442" t="s">
        <v>783</v>
      </c>
      <c r="W57" s="334"/>
      <c r="X57" s="334"/>
    </row>
    <row r="58" spans="1:24" ht="11.25" customHeight="1" x14ac:dyDescent="0.2">
      <c r="A58" s="433" t="s">
        <v>860</v>
      </c>
      <c r="B58" s="450"/>
      <c r="C58" s="468">
        <v>1</v>
      </c>
      <c r="D58" s="449">
        <v>1.95</v>
      </c>
      <c r="E58" s="449">
        <v>0.41</v>
      </c>
      <c r="F58" s="449">
        <v>2.25</v>
      </c>
      <c r="G58" s="449">
        <v>1.77</v>
      </c>
      <c r="H58" s="449">
        <v>0.47</v>
      </c>
      <c r="I58" s="449">
        <v>1.2</v>
      </c>
      <c r="J58" s="447">
        <v>0.6</v>
      </c>
      <c r="K58" s="439"/>
      <c r="L58" s="440">
        <f t="shared" si="17"/>
        <v>9.0843749999999996</v>
      </c>
      <c r="M58" s="440">
        <f t="shared" si="18"/>
        <v>2.9184999999999999</v>
      </c>
      <c r="N58" s="440">
        <f t="shared" si="19"/>
        <v>5.5821749999999994</v>
      </c>
      <c r="O58" s="440">
        <f t="shared" si="20"/>
        <v>4.5528600000000008</v>
      </c>
      <c r="P58" s="438">
        <v>0.05</v>
      </c>
      <c r="Q58" s="439"/>
      <c r="R58" s="440">
        <f t="shared" si="21"/>
        <v>0.145925</v>
      </c>
      <c r="S58" s="440">
        <f t="shared" si="22"/>
        <v>8.0970197426912343</v>
      </c>
      <c r="T58" s="439"/>
      <c r="U58" s="440">
        <f t="shared" si="23"/>
        <v>3.5021999999999998</v>
      </c>
      <c r="V58" s="442" t="s">
        <v>783</v>
      </c>
      <c r="W58" s="334"/>
      <c r="X58" s="334"/>
    </row>
    <row r="59" spans="1:24" ht="11.25" customHeight="1" x14ac:dyDescent="0.2">
      <c r="A59" s="433" t="s">
        <v>861</v>
      </c>
      <c r="B59" s="450"/>
      <c r="C59" s="468">
        <v>1</v>
      </c>
      <c r="D59" s="449">
        <v>1.95</v>
      </c>
      <c r="E59" s="449">
        <v>0.41</v>
      </c>
      <c r="F59" s="449">
        <v>2.25</v>
      </c>
      <c r="G59" s="449">
        <v>1.78</v>
      </c>
      <c r="H59" s="449">
        <v>0.47</v>
      </c>
      <c r="I59" s="449">
        <v>1.2</v>
      </c>
      <c r="J59" s="447">
        <v>0.6</v>
      </c>
      <c r="K59" s="439"/>
      <c r="L59" s="440">
        <f t="shared" si="17"/>
        <v>9.0843749999999996</v>
      </c>
      <c r="M59" s="440">
        <f t="shared" si="18"/>
        <v>2.92055</v>
      </c>
      <c r="N59" s="440">
        <f t="shared" si="19"/>
        <v>5.5797150000000002</v>
      </c>
      <c r="O59" s="440">
        <f t="shared" si="20"/>
        <v>4.5560579999999993</v>
      </c>
      <c r="P59" s="438">
        <v>0.05</v>
      </c>
      <c r="Q59" s="439"/>
      <c r="R59" s="440">
        <f t="shared" si="21"/>
        <v>0.1460275</v>
      </c>
      <c r="S59" s="440">
        <f t="shared" si="22"/>
        <v>8.103004874484899</v>
      </c>
      <c r="T59" s="439"/>
      <c r="U59" s="440">
        <f t="shared" si="23"/>
        <v>3.5046599999999999</v>
      </c>
      <c r="V59" s="442" t="s">
        <v>783</v>
      </c>
      <c r="W59" s="334"/>
      <c r="X59" s="334"/>
    </row>
    <row r="60" spans="1:24" ht="11.25" customHeight="1" x14ac:dyDescent="0.2">
      <c r="A60" s="433" t="s">
        <v>862</v>
      </c>
      <c r="B60" s="450"/>
      <c r="C60" s="468">
        <v>1</v>
      </c>
      <c r="D60" s="449">
        <v>1.49</v>
      </c>
      <c r="E60" s="449">
        <v>0.31</v>
      </c>
      <c r="F60" s="449">
        <v>1.72</v>
      </c>
      <c r="G60" s="449">
        <v>1.36</v>
      </c>
      <c r="H60" s="449">
        <v>0.36</v>
      </c>
      <c r="I60" s="449">
        <v>1.1000000000000001</v>
      </c>
      <c r="J60" s="447">
        <v>0.6</v>
      </c>
      <c r="K60" s="439"/>
      <c r="L60" s="440">
        <f t="shared" si="17"/>
        <v>5.5761200000000004</v>
      </c>
      <c r="M60" s="440">
        <f t="shared" si="18"/>
        <v>1.7046000000000001</v>
      </c>
      <c r="N60" s="440">
        <f t="shared" si="19"/>
        <v>3.70106</v>
      </c>
      <c r="O60" s="440">
        <f t="shared" si="20"/>
        <v>2.4375780000000007</v>
      </c>
      <c r="P60" s="438">
        <v>0.05</v>
      </c>
      <c r="Q60" s="439"/>
      <c r="R60" s="440">
        <f t="shared" si="21"/>
        <v>8.5230000000000014E-2</v>
      </c>
      <c r="S60" s="440">
        <f t="shared" si="22"/>
        <v>5.6768346568501826</v>
      </c>
      <c r="T60" s="439"/>
      <c r="U60" s="440">
        <f t="shared" si="23"/>
        <v>1.8750600000000002</v>
      </c>
      <c r="V60" s="442" t="s">
        <v>783</v>
      </c>
      <c r="W60" s="334"/>
      <c r="X60" s="334"/>
    </row>
    <row r="61" spans="1:24" ht="11.25" customHeight="1" x14ac:dyDescent="0.2">
      <c r="A61" s="433" t="s">
        <v>863</v>
      </c>
      <c r="B61" s="450"/>
      <c r="C61" s="468">
        <v>1</v>
      </c>
      <c r="D61" s="449">
        <v>1.95</v>
      </c>
      <c r="E61" s="449">
        <v>0.41</v>
      </c>
      <c r="F61" s="449">
        <v>2.25</v>
      </c>
      <c r="G61" s="449">
        <v>1.77</v>
      </c>
      <c r="H61" s="449">
        <v>0.47</v>
      </c>
      <c r="I61" s="449">
        <v>1.2</v>
      </c>
      <c r="J61" s="447">
        <v>0.6</v>
      </c>
      <c r="K61" s="439"/>
      <c r="L61" s="440">
        <f t="shared" si="17"/>
        <v>9.0843749999999996</v>
      </c>
      <c r="M61" s="440">
        <f t="shared" si="18"/>
        <v>2.9184999999999999</v>
      </c>
      <c r="N61" s="440">
        <f t="shared" si="19"/>
        <v>5.5821749999999994</v>
      </c>
      <c r="O61" s="440">
        <f t="shared" si="20"/>
        <v>4.5528600000000008</v>
      </c>
      <c r="P61" s="438">
        <v>0.05</v>
      </c>
      <c r="Q61" s="439"/>
      <c r="R61" s="440">
        <f t="shared" si="21"/>
        <v>0.145925</v>
      </c>
      <c r="S61" s="440">
        <f t="shared" si="22"/>
        <v>8.0970197426912343</v>
      </c>
      <c r="T61" s="439"/>
      <c r="U61" s="440">
        <f t="shared" si="23"/>
        <v>3.5021999999999998</v>
      </c>
      <c r="V61" s="442" t="s">
        <v>783</v>
      </c>
      <c r="W61" s="334"/>
      <c r="X61" s="334"/>
    </row>
    <row r="62" spans="1:24" ht="11.25" customHeight="1" x14ac:dyDescent="0.2">
      <c r="A62" s="450"/>
      <c r="B62" s="450"/>
      <c r="C62" s="469"/>
      <c r="D62" s="470"/>
      <c r="E62" s="470"/>
      <c r="F62" s="470"/>
      <c r="G62" s="470"/>
      <c r="H62" s="470"/>
      <c r="I62" s="470"/>
      <c r="J62" s="447">
        <v>0.6</v>
      </c>
      <c r="K62" s="439"/>
      <c r="L62" s="440">
        <f t="shared" si="17"/>
        <v>0</v>
      </c>
      <c r="M62" s="440">
        <f t="shared" si="18"/>
        <v>0</v>
      </c>
      <c r="N62" s="440">
        <f t="shared" si="19"/>
        <v>0</v>
      </c>
      <c r="O62" s="440">
        <f t="shared" si="20"/>
        <v>0</v>
      </c>
      <c r="P62" s="438">
        <v>0.05</v>
      </c>
      <c r="Q62" s="439"/>
      <c r="R62" s="440">
        <f t="shared" si="21"/>
        <v>0</v>
      </c>
      <c r="S62" s="440">
        <f t="shared" si="22"/>
        <v>0</v>
      </c>
      <c r="T62" s="439"/>
      <c r="U62" s="440">
        <f t="shared" si="23"/>
        <v>0</v>
      </c>
      <c r="V62" s="442" t="s">
        <v>783</v>
      </c>
      <c r="W62" s="334"/>
      <c r="X62" s="334"/>
    </row>
    <row r="63" spans="1:24" ht="11.25" customHeight="1" x14ac:dyDescent="0.2">
      <c r="A63" s="452" t="str">
        <f>"TOTAL GERAL - "&amp;A52</f>
        <v>TOTAL GERAL - BLOCOS TRIANGULARES</v>
      </c>
      <c r="B63" s="370"/>
      <c r="C63" s="453"/>
      <c r="D63" s="371"/>
      <c r="E63" s="371"/>
      <c r="F63" s="371"/>
      <c r="G63" s="371"/>
      <c r="H63" s="371"/>
      <c r="I63" s="371"/>
      <c r="J63" s="371"/>
      <c r="K63" s="371"/>
      <c r="L63" s="454">
        <f t="shared" ref="L63:O63" si="24">SUM(L57:L62)</f>
        <v>38.405364999999996</v>
      </c>
      <c r="M63" s="454">
        <f t="shared" si="24"/>
        <v>12.166749999999999</v>
      </c>
      <c r="N63" s="454">
        <f t="shared" si="24"/>
        <v>24.146184999999999</v>
      </c>
      <c r="O63" s="454">
        <f t="shared" si="24"/>
        <v>18.536934000000002</v>
      </c>
      <c r="P63" s="372"/>
      <c r="Q63" s="454">
        <f t="shared" ref="Q63:U63" si="25">SUM(Q57:Q62)</f>
        <v>0</v>
      </c>
      <c r="R63" s="454">
        <f t="shared" si="25"/>
        <v>0.60833749999999998</v>
      </c>
      <c r="S63" s="454">
        <f t="shared" si="25"/>
        <v>35.650713673567736</v>
      </c>
      <c r="T63" s="454">
        <f t="shared" si="25"/>
        <v>0</v>
      </c>
      <c r="U63" s="454">
        <f t="shared" si="25"/>
        <v>14.259179999999999</v>
      </c>
      <c r="V63" s="371"/>
      <c r="W63" s="334"/>
      <c r="X63" s="334"/>
    </row>
    <row r="64" spans="1:24" ht="15" customHeight="1" x14ac:dyDescent="0.2"/>
    <row r="67" spans="1:22" ht="18.75" x14ac:dyDescent="0.3">
      <c r="A67" s="471" t="s">
        <v>864</v>
      </c>
      <c r="B67" s="472"/>
      <c r="C67" s="472"/>
      <c r="D67" s="472"/>
      <c r="E67" s="472"/>
      <c r="F67" s="472"/>
      <c r="G67" s="472"/>
      <c r="H67" s="472"/>
      <c r="I67" s="472"/>
      <c r="J67" s="472"/>
      <c r="K67" s="472"/>
      <c r="L67" s="472"/>
      <c r="M67" s="472"/>
      <c r="N67" s="472"/>
      <c r="O67" s="472"/>
      <c r="P67" s="472"/>
      <c r="Q67" s="472"/>
      <c r="R67" s="472"/>
      <c r="S67" s="472"/>
      <c r="T67" s="472"/>
      <c r="U67" s="472"/>
      <c r="V67" s="472"/>
    </row>
    <row r="68" spans="1:22" ht="22.5" customHeight="1" x14ac:dyDescent="0.2">
      <c r="A68" s="473" t="s">
        <v>735</v>
      </c>
      <c r="B68" s="474"/>
      <c r="C68" s="474"/>
      <c r="D68" s="474"/>
      <c r="E68" s="475" t="s">
        <v>865</v>
      </c>
      <c r="F68" s="1116" t="s">
        <v>789</v>
      </c>
      <c r="G68" s="1063"/>
      <c r="H68" s="1110"/>
      <c r="I68" s="476"/>
      <c r="J68" s="1117" t="s">
        <v>790</v>
      </c>
      <c r="K68" s="1108"/>
      <c r="L68" s="1118" t="s">
        <v>791</v>
      </c>
      <c r="M68" s="1063"/>
      <c r="N68" s="1063"/>
      <c r="O68" s="1063"/>
      <c r="P68" s="1063"/>
      <c r="Q68" s="1063"/>
      <c r="R68" s="1063"/>
      <c r="S68" s="1063"/>
      <c r="T68" s="1063"/>
      <c r="U68" s="1063"/>
      <c r="V68" s="1110"/>
    </row>
    <row r="69" spans="1:22" ht="11.25" customHeight="1" x14ac:dyDescent="0.2">
      <c r="A69" s="414"/>
      <c r="B69" s="418"/>
      <c r="C69" s="418"/>
      <c r="D69" s="418"/>
      <c r="E69" s="418"/>
      <c r="F69" s="412" t="s">
        <v>866</v>
      </c>
      <c r="G69" s="419" t="s">
        <v>867</v>
      </c>
      <c r="H69" s="419" t="s">
        <v>868</v>
      </c>
      <c r="I69" s="477"/>
      <c r="J69" s="420" t="s">
        <v>796</v>
      </c>
      <c r="K69" s="420" t="s">
        <v>797</v>
      </c>
      <c r="L69" s="421" t="s">
        <v>798</v>
      </c>
      <c r="M69" s="421" t="s">
        <v>799</v>
      </c>
      <c r="N69" s="421" t="s">
        <v>775</v>
      </c>
      <c r="O69" s="421" t="s">
        <v>800</v>
      </c>
      <c r="P69" s="1115" t="s">
        <v>801</v>
      </c>
      <c r="Q69" s="1098"/>
      <c r="R69" s="1099"/>
      <c r="S69" s="421" t="s">
        <v>802</v>
      </c>
      <c r="T69" s="421" t="s">
        <v>803</v>
      </c>
      <c r="U69" s="421" t="s">
        <v>397</v>
      </c>
      <c r="V69" s="421" t="s">
        <v>583</v>
      </c>
    </row>
    <row r="70" spans="1:22" ht="11.25" customHeight="1" x14ac:dyDescent="0.2">
      <c r="A70" s="423"/>
      <c r="B70" s="478"/>
      <c r="C70" s="478"/>
      <c r="D70" s="478"/>
      <c r="E70" s="428"/>
      <c r="F70" s="424" t="s">
        <v>804</v>
      </c>
      <c r="G70" s="425" t="s">
        <v>806</v>
      </c>
      <c r="H70" s="425" t="s">
        <v>805</v>
      </c>
      <c r="I70" s="425" t="s">
        <v>869</v>
      </c>
      <c r="J70" s="426" t="s">
        <v>79</v>
      </c>
      <c r="K70" s="426" t="s">
        <v>79</v>
      </c>
      <c r="L70" s="426" t="s">
        <v>365</v>
      </c>
      <c r="M70" s="426" t="s">
        <v>92</v>
      </c>
      <c r="N70" s="426" t="s">
        <v>365</v>
      </c>
      <c r="O70" s="426" t="s">
        <v>365</v>
      </c>
      <c r="P70" s="427" t="s">
        <v>807</v>
      </c>
      <c r="Q70" s="412" t="s">
        <v>365</v>
      </c>
      <c r="R70" s="412" t="s">
        <v>365</v>
      </c>
      <c r="S70" s="426" t="s">
        <v>92</v>
      </c>
      <c r="T70" s="426" t="s">
        <v>92</v>
      </c>
      <c r="U70" s="426" t="s">
        <v>365</v>
      </c>
      <c r="V70" s="428"/>
    </row>
    <row r="71" spans="1:22" ht="11.25" customHeight="1" x14ac:dyDescent="0.2">
      <c r="A71" s="479" t="s">
        <v>858</v>
      </c>
      <c r="B71" s="480"/>
      <c r="C71" s="480"/>
      <c r="D71" s="480"/>
      <c r="E71" s="480"/>
      <c r="F71" s="480"/>
      <c r="G71" s="480"/>
      <c r="H71" s="480"/>
      <c r="I71" s="480"/>
      <c r="J71" s="480"/>
      <c r="K71" s="480"/>
      <c r="L71" s="480"/>
      <c r="M71" s="480"/>
      <c r="N71" s="480"/>
      <c r="O71" s="480"/>
      <c r="P71" s="431"/>
      <c r="Q71" s="432" t="s">
        <v>809</v>
      </c>
      <c r="R71" s="432" t="s">
        <v>397</v>
      </c>
      <c r="S71" s="480"/>
      <c r="T71" s="481"/>
      <c r="U71" s="480"/>
      <c r="V71" s="480"/>
    </row>
    <row r="72" spans="1:22" ht="11.25" customHeight="1" x14ac:dyDescent="0.2">
      <c r="A72" s="482" t="s">
        <v>870</v>
      </c>
      <c r="B72" s="483"/>
      <c r="C72" s="483"/>
      <c r="D72" s="483"/>
      <c r="E72" s="484">
        <v>1</v>
      </c>
      <c r="F72" s="448">
        <v>0.15</v>
      </c>
      <c r="G72" s="449">
        <v>1.82</v>
      </c>
      <c r="H72" s="449">
        <v>1.35</v>
      </c>
      <c r="I72" s="485">
        <v>2</v>
      </c>
      <c r="J72" s="436">
        <f t="shared" ref="J72:J82" si="26">IF(H72&lt;=1,0.6,1.2)</f>
        <v>1.2</v>
      </c>
      <c r="K72" s="439"/>
      <c r="L72" s="436">
        <f t="shared" ref="L72:L82" si="27">((F72+J72)*(H72+K72)*G72)*E72</f>
        <v>3.3169500000000003</v>
      </c>
      <c r="M72" s="436">
        <f t="shared" ref="M72:M82" si="28">(F72)*(G72)*E72</f>
        <v>0.27300000000000002</v>
      </c>
      <c r="N72" s="436">
        <f t="shared" ref="N72:N82" si="29">L72-U72</f>
        <v>2.9484000000000004</v>
      </c>
      <c r="O72" s="436">
        <f t="shared" ref="O72:O82" si="30">(L72-N72)*1.3</f>
        <v>0.4791149999999999</v>
      </c>
      <c r="P72" s="438">
        <v>0.05</v>
      </c>
      <c r="Q72" s="439"/>
      <c r="R72" s="436">
        <f t="shared" ref="R72:R82" si="31">M72*$P72</f>
        <v>1.3650000000000002E-2</v>
      </c>
      <c r="S72" s="436">
        <f t="shared" ref="S72:S82" si="32">((G72*H72*I72))*E72</f>
        <v>4.9140000000000006</v>
      </c>
      <c r="T72" s="486">
        <f t="shared" ref="T72:T82" si="33">S72+G72*F72</f>
        <v>5.1870000000000003</v>
      </c>
      <c r="U72" s="436">
        <f t="shared" ref="U72:U82" si="34">F72*H72*G72*E72</f>
        <v>0.36855000000000004</v>
      </c>
      <c r="V72" s="442" t="s">
        <v>783</v>
      </c>
    </row>
    <row r="73" spans="1:22" ht="11.25" customHeight="1" x14ac:dyDescent="0.2">
      <c r="A73" s="487" t="s">
        <v>871</v>
      </c>
      <c r="B73" s="488"/>
      <c r="C73" s="488"/>
      <c r="D73" s="488"/>
      <c r="E73" s="484">
        <v>1</v>
      </c>
      <c r="F73" s="448">
        <v>0.17</v>
      </c>
      <c r="G73" s="449">
        <v>5.54</v>
      </c>
      <c r="H73" s="449">
        <v>0.35</v>
      </c>
      <c r="I73" s="485">
        <v>2</v>
      </c>
      <c r="J73" s="436">
        <f t="shared" si="26"/>
        <v>0.6</v>
      </c>
      <c r="K73" s="439"/>
      <c r="L73" s="436">
        <f t="shared" si="27"/>
        <v>1.4930299999999999</v>
      </c>
      <c r="M73" s="436">
        <f t="shared" si="28"/>
        <v>0.94180000000000008</v>
      </c>
      <c r="N73" s="436">
        <f t="shared" si="29"/>
        <v>1.1633999999999998</v>
      </c>
      <c r="O73" s="436">
        <f t="shared" si="30"/>
        <v>0.42851900000000015</v>
      </c>
      <c r="P73" s="438">
        <v>0.05</v>
      </c>
      <c r="Q73" s="439"/>
      <c r="R73" s="436">
        <f t="shared" si="31"/>
        <v>4.7090000000000007E-2</v>
      </c>
      <c r="S73" s="436">
        <f t="shared" si="32"/>
        <v>3.8779999999999997</v>
      </c>
      <c r="T73" s="486">
        <f t="shared" si="33"/>
        <v>4.8197999999999999</v>
      </c>
      <c r="U73" s="436">
        <f t="shared" si="34"/>
        <v>0.32962999999999998</v>
      </c>
      <c r="V73" s="442" t="s">
        <v>783</v>
      </c>
    </row>
    <row r="74" spans="1:22" ht="11.25" customHeight="1" x14ac:dyDescent="0.2">
      <c r="A74" s="487" t="s">
        <v>872</v>
      </c>
      <c r="B74" s="488"/>
      <c r="C74" s="488"/>
      <c r="D74" s="488"/>
      <c r="E74" s="484">
        <v>1</v>
      </c>
      <c r="F74" s="448">
        <v>0.17</v>
      </c>
      <c r="G74" s="449">
        <v>112.36</v>
      </c>
      <c r="H74" s="449">
        <v>0.6</v>
      </c>
      <c r="I74" s="485">
        <v>2</v>
      </c>
      <c r="J74" s="436">
        <f t="shared" si="26"/>
        <v>0.6</v>
      </c>
      <c r="K74" s="439"/>
      <c r="L74" s="436">
        <f t="shared" si="27"/>
        <v>51.910319999999999</v>
      </c>
      <c r="M74" s="436">
        <f t="shared" si="28"/>
        <v>19.101200000000002</v>
      </c>
      <c r="N74" s="436">
        <f t="shared" si="29"/>
        <v>40.449599999999997</v>
      </c>
      <c r="O74" s="436">
        <f t="shared" si="30"/>
        <v>14.898936000000003</v>
      </c>
      <c r="P74" s="438">
        <v>0.05</v>
      </c>
      <c r="Q74" s="439"/>
      <c r="R74" s="436">
        <f t="shared" si="31"/>
        <v>0.95506000000000013</v>
      </c>
      <c r="S74" s="436">
        <f t="shared" si="32"/>
        <v>134.83199999999999</v>
      </c>
      <c r="T74" s="486">
        <f t="shared" si="33"/>
        <v>153.9332</v>
      </c>
      <c r="U74" s="436">
        <f t="shared" si="34"/>
        <v>11.46072</v>
      </c>
      <c r="V74" s="442" t="s">
        <v>783</v>
      </c>
    </row>
    <row r="75" spans="1:22" ht="11.25" customHeight="1" x14ac:dyDescent="0.2">
      <c r="A75" s="487" t="s">
        <v>873</v>
      </c>
      <c r="B75" s="488"/>
      <c r="C75" s="488"/>
      <c r="D75" s="488"/>
      <c r="E75" s="484">
        <v>1</v>
      </c>
      <c r="F75" s="448">
        <v>0.17</v>
      </c>
      <c r="G75" s="449">
        <v>44.91</v>
      </c>
      <c r="H75" s="449">
        <v>0.7</v>
      </c>
      <c r="I75" s="485">
        <v>2</v>
      </c>
      <c r="J75" s="436">
        <f t="shared" si="26"/>
        <v>0.6</v>
      </c>
      <c r="K75" s="439"/>
      <c r="L75" s="436">
        <f t="shared" si="27"/>
        <v>24.206489999999995</v>
      </c>
      <c r="M75" s="436">
        <f t="shared" si="28"/>
        <v>7.6346999999999996</v>
      </c>
      <c r="N75" s="436">
        <f t="shared" si="29"/>
        <v>18.862199999999994</v>
      </c>
      <c r="O75" s="436">
        <f t="shared" si="30"/>
        <v>6.9475770000000017</v>
      </c>
      <c r="P75" s="438">
        <v>0.05</v>
      </c>
      <c r="Q75" s="439"/>
      <c r="R75" s="436">
        <f t="shared" si="31"/>
        <v>0.38173499999999999</v>
      </c>
      <c r="S75" s="436">
        <f t="shared" si="32"/>
        <v>62.873999999999988</v>
      </c>
      <c r="T75" s="486">
        <f t="shared" si="33"/>
        <v>70.50869999999999</v>
      </c>
      <c r="U75" s="436">
        <f t="shared" si="34"/>
        <v>5.3442899999999991</v>
      </c>
      <c r="V75" s="442" t="s">
        <v>783</v>
      </c>
    </row>
    <row r="76" spans="1:22" ht="11.25" customHeight="1" x14ac:dyDescent="0.2">
      <c r="A76" s="487" t="s">
        <v>874</v>
      </c>
      <c r="B76" s="488"/>
      <c r="C76" s="488"/>
      <c r="D76" s="488"/>
      <c r="E76" s="484">
        <v>1</v>
      </c>
      <c r="F76" s="448">
        <v>0.17</v>
      </c>
      <c r="G76" s="449">
        <f>3.67</f>
        <v>3.67</v>
      </c>
      <c r="H76" s="449">
        <v>1.35</v>
      </c>
      <c r="I76" s="485">
        <v>2</v>
      </c>
      <c r="J76" s="436">
        <f t="shared" si="26"/>
        <v>1.2</v>
      </c>
      <c r="K76" s="439"/>
      <c r="L76" s="436">
        <f t="shared" si="27"/>
        <v>6.7876649999999996</v>
      </c>
      <c r="M76" s="436">
        <f t="shared" si="28"/>
        <v>0.62390000000000001</v>
      </c>
      <c r="N76" s="436">
        <f t="shared" si="29"/>
        <v>5.9453999999999994</v>
      </c>
      <c r="O76" s="436">
        <f t="shared" si="30"/>
        <v>1.0949445000000004</v>
      </c>
      <c r="P76" s="438">
        <v>0.05</v>
      </c>
      <c r="Q76" s="439"/>
      <c r="R76" s="436">
        <f t="shared" si="31"/>
        <v>3.1195000000000001E-2</v>
      </c>
      <c r="S76" s="436">
        <f t="shared" si="32"/>
        <v>9.9090000000000007</v>
      </c>
      <c r="T76" s="486">
        <f t="shared" si="33"/>
        <v>10.532900000000001</v>
      </c>
      <c r="U76" s="436">
        <f t="shared" si="34"/>
        <v>0.84226500000000015</v>
      </c>
      <c r="V76" s="442" t="s">
        <v>783</v>
      </c>
    </row>
    <row r="77" spans="1:22" ht="11.25" customHeight="1" x14ac:dyDescent="0.2">
      <c r="A77" s="487" t="s">
        <v>875</v>
      </c>
      <c r="B77" s="488"/>
      <c r="C77" s="488"/>
      <c r="D77" s="488"/>
      <c r="E77" s="484">
        <v>1</v>
      </c>
      <c r="F77" s="448">
        <v>0.22</v>
      </c>
      <c r="G77" s="449">
        <v>21.2</v>
      </c>
      <c r="H77" s="449">
        <v>0.22</v>
      </c>
      <c r="I77" s="485">
        <v>2</v>
      </c>
      <c r="J77" s="436">
        <f t="shared" si="26"/>
        <v>0.6</v>
      </c>
      <c r="K77" s="439"/>
      <c r="L77" s="436">
        <f t="shared" si="27"/>
        <v>3.8244799999999994</v>
      </c>
      <c r="M77" s="436">
        <f t="shared" si="28"/>
        <v>4.6639999999999997</v>
      </c>
      <c r="N77" s="436">
        <f t="shared" si="29"/>
        <v>2.7983999999999996</v>
      </c>
      <c r="O77" s="436">
        <f t="shared" si="30"/>
        <v>1.333904</v>
      </c>
      <c r="P77" s="438">
        <v>0.05</v>
      </c>
      <c r="Q77" s="439"/>
      <c r="R77" s="436">
        <f t="shared" si="31"/>
        <v>0.23319999999999999</v>
      </c>
      <c r="S77" s="436">
        <f t="shared" si="32"/>
        <v>9.3279999999999994</v>
      </c>
      <c r="T77" s="486">
        <f t="shared" si="33"/>
        <v>13.991999999999999</v>
      </c>
      <c r="U77" s="436">
        <f t="shared" si="34"/>
        <v>1.0260799999999999</v>
      </c>
      <c r="V77" s="442" t="s">
        <v>783</v>
      </c>
    </row>
    <row r="78" spans="1:22" ht="11.25" customHeight="1" x14ac:dyDescent="0.2">
      <c r="A78" s="487" t="s">
        <v>876</v>
      </c>
      <c r="B78" s="488"/>
      <c r="C78" s="488"/>
      <c r="D78" s="488"/>
      <c r="E78" s="484">
        <v>1</v>
      </c>
      <c r="F78" s="448">
        <v>0.22</v>
      </c>
      <c r="G78" s="449">
        <v>124.25</v>
      </c>
      <c r="H78" s="449">
        <v>0.22</v>
      </c>
      <c r="I78" s="485">
        <v>2</v>
      </c>
      <c r="J78" s="436">
        <f t="shared" si="26"/>
        <v>0.6</v>
      </c>
      <c r="K78" s="439"/>
      <c r="L78" s="436">
        <f t="shared" si="27"/>
        <v>22.414699999999996</v>
      </c>
      <c r="M78" s="436">
        <f t="shared" si="28"/>
        <v>27.335000000000001</v>
      </c>
      <c r="N78" s="436">
        <f t="shared" si="29"/>
        <v>16.400999999999996</v>
      </c>
      <c r="O78" s="436">
        <f t="shared" si="30"/>
        <v>7.8178100000000006</v>
      </c>
      <c r="P78" s="438">
        <v>0.05</v>
      </c>
      <c r="Q78" s="439"/>
      <c r="R78" s="436">
        <f t="shared" si="31"/>
        <v>1.3667500000000001</v>
      </c>
      <c r="S78" s="436">
        <f t="shared" si="32"/>
        <v>54.67</v>
      </c>
      <c r="T78" s="486">
        <f t="shared" si="33"/>
        <v>82.004999999999995</v>
      </c>
      <c r="U78" s="436">
        <f t="shared" si="34"/>
        <v>6.0137</v>
      </c>
      <c r="V78" s="442" t="s">
        <v>783</v>
      </c>
    </row>
    <row r="79" spans="1:22" ht="11.25" customHeight="1" x14ac:dyDescent="0.2">
      <c r="A79" s="487" t="s">
        <v>877</v>
      </c>
      <c r="B79" s="488"/>
      <c r="C79" s="488"/>
      <c r="D79" s="488"/>
      <c r="E79" s="484">
        <v>1</v>
      </c>
      <c r="F79" s="448">
        <v>0.22</v>
      </c>
      <c r="G79" s="449">
        <v>3.67</v>
      </c>
      <c r="H79" s="449">
        <v>0.22</v>
      </c>
      <c r="I79" s="485">
        <v>2</v>
      </c>
      <c r="J79" s="436">
        <f t="shared" si="26"/>
        <v>0.6</v>
      </c>
      <c r="K79" s="439"/>
      <c r="L79" s="436">
        <f t="shared" si="27"/>
        <v>0.66206799999999988</v>
      </c>
      <c r="M79" s="436">
        <f t="shared" si="28"/>
        <v>0.80740000000000001</v>
      </c>
      <c r="N79" s="436">
        <f t="shared" si="29"/>
        <v>0.48443999999999987</v>
      </c>
      <c r="O79" s="436">
        <f t="shared" si="30"/>
        <v>0.23091640000000002</v>
      </c>
      <c r="P79" s="438">
        <v>0.05</v>
      </c>
      <c r="Q79" s="439"/>
      <c r="R79" s="436">
        <f t="shared" si="31"/>
        <v>4.0370000000000003E-2</v>
      </c>
      <c r="S79" s="436">
        <f t="shared" si="32"/>
        <v>1.6148</v>
      </c>
      <c r="T79" s="486">
        <f t="shared" si="33"/>
        <v>2.4222000000000001</v>
      </c>
      <c r="U79" s="436">
        <f t="shared" si="34"/>
        <v>0.17762799999999998</v>
      </c>
      <c r="V79" s="442" t="s">
        <v>783</v>
      </c>
    </row>
    <row r="80" spans="1:22" ht="11.25" customHeight="1" x14ac:dyDescent="0.2">
      <c r="A80" s="487" t="s">
        <v>878</v>
      </c>
      <c r="B80" s="488"/>
      <c r="C80" s="488"/>
      <c r="D80" s="488"/>
      <c r="E80" s="484">
        <v>1</v>
      </c>
      <c r="F80" s="448">
        <v>0.3</v>
      </c>
      <c r="G80" s="449">
        <v>25</v>
      </c>
      <c r="H80" s="449">
        <v>0.3</v>
      </c>
      <c r="I80" s="485">
        <v>2</v>
      </c>
      <c r="J80" s="436">
        <f t="shared" si="26"/>
        <v>0.6</v>
      </c>
      <c r="K80" s="439"/>
      <c r="L80" s="436">
        <f t="shared" si="27"/>
        <v>6.7499999999999991</v>
      </c>
      <c r="M80" s="436">
        <f t="shared" si="28"/>
        <v>7.5</v>
      </c>
      <c r="N80" s="436">
        <f t="shared" si="29"/>
        <v>4.4999999999999991</v>
      </c>
      <c r="O80" s="436">
        <f t="shared" si="30"/>
        <v>2.9250000000000003</v>
      </c>
      <c r="P80" s="438">
        <v>0.05</v>
      </c>
      <c r="Q80" s="439"/>
      <c r="R80" s="436">
        <f t="shared" si="31"/>
        <v>0.375</v>
      </c>
      <c r="S80" s="436">
        <f t="shared" si="32"/>
        <v>15</v>
      </c>
      <c r="T80" s="486">
        <f t="shared" si="33"/>
        <v>22.5</v>
      </c>
      <c r="U80" s="436">
        <f t="shared" si="34"/>
        <v>2.25</v>
      </c>
      <c r="V80" s="442" t="s">
        <v>783</v>
      </c>
    </row>
    <row r="81" spans="1:22" ht="11.25" customHeight="1" x14ac:dyDescent="0.2">
      <c r="A81" s="487" t="s">
        <v>879</v>
      </c>
      <c r="B81" s="488"/>
      <c r="C81" s="488"/>
      <c r="D81" s="488"/>
      <c r="E81" s="484">
        <v>1</v>
      </c>
      <c r="F81" s="448">
        <v>0.25</v>
      </c>
      <c r="G81" s="449">
        <f>2*3.58</f>
        <v>7.16</v>
      </c>
      <c r="H81" s="448">
        <v>1.1499999999999999</v>
      </c>
      <c r="I81" s="485">
        <v>2</v>
      </c>
      <c r="J81" s="436">
        <f t="shared" si="26"/>
        <v>1.2</v>
      </c>
      <c r="K81" s="439"/>
      <c r="L81" s="436">
        <f t="shared" si="27"/>
        <v>11.939299999999999</v>
      </c>
      <c r="M81" s="436">
        <f t="shared" si="28"/>
        <v>1.79</v>
      </c>
      <c r="N81" s="436">
        <f t="shared" si="29"/>
        <v>9.8807999999999989</v>
      </c>
      <c r="O81" s="436">
        <f t="shared" si="30"/>
        <v>2.6760500000000005</v>
      </c>
      <c r="P81" s="438">
        <v>0.05</v>
      </c>
      <c r="Q81" s="439"/>
      <c r="R81" s="436">
        <f t="shared" si="31"/>
        <v>8.950000000000001E-2</v>
      </c>
      <c r="S81" s="436">
        <f t="shared" si="32"/>
        <v>16.468</v>
      </c>
      <c r="T81" s="486">
        <f t="shared" si="33"/>
        <v>18.257999999999999</v>
      </c>
      <c r="U81" s="436">
        <f t="shared" si="34"/>
        <v>2.0585</v>
      </c>
      <c r="V81" s="442" t="s">
        <v>783</v>
      </c>
    </row>
    <row r="82" spans="1:22" ht="11.25" customHeight="1" x14ac:dyDescent="0.2">
      <c r="A82" s="488"/>
      <c r="B82" s="488"/>
      <c r="C82" s="488"/>
      <c r="D82" s="488"/>
      <c r="E82" s="489"/>
      <c r="F82" s="490"/>
      <c r="G82" s="470"/>
      <c r="H82" s="490"/>
      <c r="I82" s="485">
        <v>2</v>
      </c>
      <c r="J82" s="436">
        <f t="shared" si="26"/>
        <v>0.6</v>
      </c>
      <c r="K82" s="439"/>
      <c r="L82" s="436">
        <f t="shared" si="27"/>
        <v>0</v>
      </c>
      <c r="M82" s="436">
        <f t="shared" si="28"/>
        <v>0</v>
      </c>
      <c r="N82" s="436">
        <f t="shared" si="29"/>
        <v>0</v>
      </c>
      <c r="O82" s="436">
        <f t="shared" si="30"/>
        <v>0</v>
      </c>
      <c r="P82" s="438">
        <v>0.05</v>
      </c>
      <c r="Q82" s="439"/>
      <c r="R82" s="436">
        <f t="shared" si="31"/>
        <v>0</v>
      </c>
      <c r="S82" s="436">
        <f t="shared" si="32"/>
        <v>0</v>
      </c>
      <c r="T82" s="486">
        <f t="shared" si="33"/>
        <v>0</v>
      </c>
      <c r="U82" s="436">
        <f t="shared" si="34"/>
        <v>0</v>
      </c>
      <c r="V82" s="442" t="s">
        <v>783</v>
      </c>
    </row>
    <row r="83" spans="1:22" ht="11.25" customHeight="1" x14ac:dyDescent="0.2">
      <c r="A83" s="452" t="str">
        <f>"TOTAL GERAL - "&amp;A67</f>
        <v>TOTAL GERAL - VIGAS  FUNDAÇÃO</v>
      </c>
      <c r="B83" s="371"/>
      <c r="C83" s="372"/>
      <c r="D83" s="371"/>
      <c r="E83" s="370"/>
      <c r="F83" s="372"/>
      <c r="G83" s="491">
        <f>SUM(G72:G82)</f>
        <v>349.58000000000004</v>
      </c>
      <c r="H83" s="372"/>
      <c r="I83" s="372"/>
      <c r="J83" s="372"/>
      <c r="K83" s="372"/>
      <c r="L83" s="454">
        <f t="shared" ref="L83:O83" si="35">SUM(L71:L82)</f>
        <v>133.305003</v>
      </c>
      <c r="M83" s="454">
        <f t="shared" si="35"/>
        <v>70.671000000000006</v>
      </c>
      <c r="N83" s="454">
        <f t="shared" si="35"/>
        <v>103.43364</v>
      </c>
      <c r="O83" s="454">
        <f t="shared" si="35"/>
        <v>38.832771900000004</v>
      </c>
      <c r="P83" s="372"/>
      <c r="Q83" s="454">
        <f t="shared" ref="Q83:U83" si="36">SUM(Q71:Q82)</f>
        <v>0</v>
      </c>
      <c r="R83" s="454">
        <f t="shared" si="36"/>
        <v>3.5335500000000004</v>
      </c>
      <c r="S83" s="454">
        <f t="shared" si="36"/>
        <v>313.48779999999999</v>
      </c>
      <c r="T83" s="454">
        <f t="shared" si="36"/>
        <v>384.15879999999993</v>
      </c>
      <c r="U83" s="454">
        <f t="shared" si="36"/>
        <v>29.871362999999999</v>
      </c>
      <c r="V83" s="455"/>
    </row>
    <row r="84" spans="1:22" ht="11.25" customHeight="1" x14ac:dyDescent="0.2">
      <c r="A84" s="334"/>
      <c r="B84" s="334"/>
      <c r="C84" s="334"/>
      <c r="D84" s="334"/>
      <c r="E84" s="492"/>
      <c r="F84" s="493"/>
      <c r="G84" s="493"/>
      <c r="H84" s="493"/>
      <c r="I84" s="492"/>
      <c r="J84" s="493"/>
      <c r="K84" s="493"/>
      <c r="L84" s="493"/>
      <c r="M84" s="493"/>
      <c r="N84" s="493"/>
      <c r="O84" s="493"/>
      <c r="P84" s="493"/>
      <c r="Q84" s="493"/>
      <c r="R84" s="493"/>
      <c r="S84" s="493"/>
      <c r="T84" s="493"/>
      <c r="U84" s="493"/>
      <c r="V84" s="492"/>
    </row>
    <row r="85" spans="1:22" ht="11.25" customHeight="1" x14ac:dyDescent="0.2">
      <c r="A85" s="334"/>
      <c r="B85" s="334"/>
      <c r="C85" s="334"/>
      <c r="D85" s="334"/>
      <c r="E85" s="492"/>
      <c r="F85" s="493"/>
      <c r="G85" s="493"/>
      <c r="H85" s="493"/>
      <c r="I85" s="492"/>
      <c r="J85" s="493"/>
      <c r="K85" s="493"/>
      <c r="L85" s="493"/>
      <c r="M85" s="493"/>
      <c r="N85" s="493"/>
      <c r="O85" s="493"/>
      <c r="P85" s="493"/>
      <c r="Q85" s="493"/>
      <c r="R85" s="493"/>
      <c r="S85" s="493"/>
      <c r="T85" s="493"/>
      <c r="U85" s="493"/>
      <c r="V85" s="492"/>
    </row>
    <row r="86" spans="1:22" ht="11.25" customHeight="1" x14ac:dyDescent="0.2">
      <c r="A86" s="334"/>
      <c r="B86" s="334"/>
      <c r="C86" s="334"/>
      <c r="D86" s="334"/>
      <c r="E86" s="492"/>
      <c r="F86" s="493"/>
      <c r="G86" s="493"/>
      <c r="H86" s="493"/>
      <c r="I86" s="492"/>
      <c r="J86" s="493"/>
      <c r="K86" s="493"/>
      <c r="L86" s="493"/>
      <c r="M86" s="493"/>
      <c r="N86" s="493"/>
      <c r="O86" s="493"/>
      <c r="P86" s="493"/>
      <c r="Q86" s="493"/>
      <c r="R86" s="493"/>
      <c r="S86" s="493"/>
      <c r="T86" s="493"/>
      <c r="U86" s="493"/>
      <c r="V86" s="492"/>
    </row>
    <row r="87" spans="1:22" ht="11.25" customHeight="1" x14ac:dyDescent="0.2">
      <c r="A87" s="334"/>
      <c r="B87" s="334"/>
      <c r="C87" s="334"/>
      <c r="D87" s="334"/>
      <c r="E87" s="492"/>
      <c r="F87" s="493"/>
      <c r="G87" s="493"/>
      <c r="H87" s="493"/>
      <c r="I87" s="492"/>
      <c r="J87" s="493"/>
      <c r="K87" s="493"/>
      <c r="L87" s="493"/>
      <c r="M87" s="493"/>
      <c r="N87" s="493"/>
      <c r="O87" s="493"/>
      <c r="P87" s="493"/>
      <c r="Q87" s="493"/>
      <c r="R87" s="493"/>
      <c r="S87" s="493"/>
      <c r="T87" s="493"/>
      <c r="U87" s="493"/>
      <c r="V87" s="492"/>
    </row>
    <row r="88" spans="1:22" ht="11.25" customHeight="1" x14ac:dyDescent="0.3">
      <c r="A88" s="1119" t="s">
        <v>880</v>
      </c>
      <c r="B88" s="1120"/>
      <c r="C88" s="1120"/>
      <c r="D88" s="1120"/>
      <c r="E88" s="1120"/>
      <c r="F88" s="1120"/>
      <c r="G88" s="1120"/>
      <c r="H88" s="1120"/>
      <c r="I88" s="1120"/>
      <c r="J88" s="1120"/>
      <c r="K88" s="1120"/>
      <c r="L88" s="1120"/>
      <c r="M88" s="1120"/>
      <c r="N88" s="1120"/>
      <c r="O88" s="1120"/>
      <c r="P88" s="1120"/>
      <c r="Q88" s="1120"/>
      <c r="R88" s="1120"/>
      <c r="S88" s="1120"/>
      <c r="T88" s="1120"/>
      <c r="U88" s="1120"/>
      <c r="V88" s="1121"/>
    </row>
    <row r="89" spans="1:22" ht="11.25" customHeight="1" x14ac:dyDescent="0.2">
      <c r="A89" s="494" t="s">
        <v>735</v>
      </c>
      <c r="B89" s="495"/>
      <c r="C89" s="495"/>
      <c r="D89" s="456"/>
      <c r="E89" s="496" t="s">
        <v>789</v>
      </c>
      <c r="F89" s="497"/>
      <c r="G89" s="498"/>
      <c r="H89" s="498"/>
      <c r="I89" s="499" t="s">
        <v>881</v>
      </c>
      <c r="J89" s="1112" t="s">
        <v>790</v>
      </c>
      <c r="K89" s="1108"/>
      <c r="L89" s="464" t="s">
        <v>739</v>
      </c>
      <c r="M89" s="464" t="s">
        <v>882</v>
      </c>
      <c r="N89" s="464" t="s">
        <v>883</v>
      </c>
      <c r="O89" s="500" t="s">
        <v>884</v>
      </c>
      <c r="P89" s="501"/>
      <c r="Q89" s="464" t="s">
        <v>885</v>
      </c>
      <c r="R89" s="464" t="s">
        <v>885</v>
      </c>
      <c r="S89" s="502" t="s">
        <v>881</v>
      </c>
      <c r="T89" s="503" t="s">
        <v>886</v>
      </c>
      <c r="U89" s="504" t="s">
        <v>741</v>
      </c>
      <c r="V89" s="505"/>
    </row>
    <row r="90" spans="1:22" ht="11.25" customHeight="1" x14ac:dyDescent="0.2">
      <c r="A90" s="414"/>
      <c r="B90" s="414"/>
      <c r="C90" s="414"/>
      <c r="D90" s="425" t="s">
        <v>737</v>
      </c>
      <c r="E90" s="506" t="s">
        <v>887</v>
      </c>
      <c r="F90" s="500" t="s">
        <v>888</v>
      </c>
      <c r="G90" s="464" t="s">
        <v>868</v>
      </c>
      <c r="H90" s="500" t="s">
        <v>889</v>
      </c>
      <c r="I90" s="507"/>
      <c r="J90" s="508" t="s">
        <v>796</v>
      </c>
      <c r="K90" s="508" t="s">
        <v>797</v>
      </c>
      <c r="L90" s="463"/>
      <c r="M90" s="463"/>
      <c r="N90" s="463"/>
      <c r="O90" s="463"/>
      <c r="P90" s="1113" t="s">
        <v>801</v>
      </c>
      <c r="Q90" s="1098"/>
      <c r="R90" s="1099"/>
      <c r="S90" s="509"/>
      <c r="T90" s="463"/>
      <c r="U90" s="350"/>
      <c r="V90" s="510"/>
    </row>
    <row r="91" spans="1:22" ht="11.25" customHeight="1" x14ac:dyDescent="0.2">
      <c r="A91" s="414"/>
      <c r="B91" s="414"/>
      <c r="C91" s="414"/>
      <c r="D91" s="418"/>
      <c r="E91" s="511" t="s">
        <v>804</v>
      </c>
      <c r="F91" s="512" t="s">
        <v>806</v>
      </c>
      <c r="G91" s="512" t="s">
        <v>805</v>
      </c>
      <c r="H91" s="512" t="s">
        <v>890</v>
      </c>
      <c r="I91" s="513" t="s">
        <v>869</v>
      </c>
      <c r="J91" s="465" t="s">
        <v>79</v>
      </c>
      <c r="K91" s="465" t="s">
        <v>79</v>
      </c>
      <c r="L91" s="512" t="s">
        <v>365</v>
      </c>
      <c r="M91" s="512" t="s">
        <v>92</v>
      </c>
      <c r="N91" s="512" t="s">
        <v>365</v>
      </c>
      <c r="O91" s="512" t="s">
        <v>365</v>
      </c>
      <c r="P91" s="466" t="s">
        <v>807</v>
      </c>
      <c r="Q91" s="467" t="s">
        <v>365</v>
      </c>
      <c r="R91" s="467" t="s">
        <v>365</v>
      </c>
      <c r="S91" s="512" t="s">
        <v>92</v>
      </c>
      <c r="T91" s="503" t="s">
        <v>92</v>
      </c>
      <c r="U91" s="512" t="s">
        <v>365</v>
      </c>
      <c r="V91" s="513" t="s">
        <v>736</v>
      </c>
    </row>
    <row r="92" spans="1:22" ht="11.25" customHeight="1" x14ac:dyDescent="0.2">
      <c r="A92" s="479" t="s">
        <v>891</v>
      </c>
      <c r="B92" s="480"/>
      <c r="C92" s="480"/>
      <c r="D92" s="480"/>
      <c r="E92" s="480"/>
      <c r="F92" s="480"/>
      <c r="G92" s="480"/>
      <c r="H92" s="480"/>
      <c r="I92" s="480"/>
      <c r="J92" s="480"/>
      <c r="K92" s="480"/>
      <c r="L92" s="480"/>
      <c r="M92" s="480"/>
      <c r="N92" s="480"/>
      <c r="O92" s="480"/>
      <c r="P92" s="431"/>
      <c r="Q92" s="432" t="s">
        <v>809</v>
      </c>
      <c r="R92" s="432" t="s">
        <v>397</v>
      </c>
      <c r="S92" s="480"/>
      <c r="T92" s="481"/>
      <c r="U92" s="480"/>
      <c r="V92" s="480"/>
    </row>
    <row r="93" spans="1:22" ht="11.25" customHeight="1" x14ac:dyDescent="0.2">
      <c r="A93" s="487" t="s">
        <v>892</v>
      </c>
      <c r="B93" s="487" t="s">
        <v>893</v>
      </c>
      <c r="C93" s="488"/>
      <c r="D93" s="484">
        <v>1</v>
      </c>
      <c r="E93" s="448">
        <v>71.25</v>
      </c>
      <c r="F93" s="449">
        <v>82.68</v>
      </c>
      <c r="G93" s="448">
        <v>2.4</v>
      </c>
      <c r="H93" s="448">
        <v>0.17</v>
      </c>
      <c r="I93" s="485">
        <v>2</v>
      </c>
      <c r="J93" s="436">
        <f t="shared" ref="J93:J101" si="37">IF(G93&lt;=1,0.6,1.2)</f>
        <v>1.2</v>
      </c>
      <c r="K93" s="439"/>
      <c r="L93" s="436">
        <f t="shared" ref="L93" si="38">(F93*J93+E93)*G93*D93</f>
        <v>409.11840000000001</v>
      </c>
      <c r="M93" s="436">
        <f t="shared" ref="M93" si="39">E93*D93</f>
        <v>71.25</v>
      </c>
      <c r="N93" s="436">
        <f>L93-U93</f>
        <v>350.15996000000001</v>
      </c>
      <c r="O93" s="436">
        <f t="shared" ref="O93:O101" si="40">(L93-N93)*1.3</f>
        <v>76.645972</v>
      </c>
      <c r="P93" s="438">
        <v>0.05</v>
      </c>
      <c r="Q93" s="439"/>
      <c r="R93" s="436">
        <f t="shared" ref="R93:R101" si="41">M93*$P93</f>
        <v>3.5625</v>
      </c>
      <c r="S93" s="436">
        <f>((F93*G93*I93))*D93</f>
        <v>396.86400000000003</v>
      </c>
      <c r="T93" s="486">
        <f>(E93+F93*G93)*D93</f>
        <v>269.68200000000002</v>
      </c>
      <c r="U93" s="486">
        <f>F93*H93*G93*D93+E93*2*H93+D93</f>
        <v>58.958440000000003</v>
      </c>
      <c r="V93" s="442" t="s">
        <v>783</v>
      </c>
    </row>
    <row r="94" spans="1:22" ht="11.25" customHeight="1" x14ac:dyDescent="0.2">
      <c r="A94" s="488"/>
      <c r="B94" s="487" t="s">
        <v>894</v>
      </c>
      <c r="C94" s="488"/>
      <c r="D94" s="484">
        <v>1</v>
      </c>
      <c r="E94" s="448">
        <v>30.9</v>
      </c>
      <c r="F94" s="449">
        <f>SUM(F95:F97)</f>
        <v>20.490000000000002</v>
      </c>
      <c r="G94" s="448">
        <v>4.25</v>
      </c>
      <c r="H94" s="448">
        <v>0.22</v>
      </c>
      <c r="I94" s="485">
        <v>2</v>
      </c>
      <c r="J94" s="436">
        <f t="shared" si="37"/>
        <v>1.2</v>
      </c>
      <c r="K94" s="439"/>
      <c r="L94" s="436">
        <f>(E94*J94)*G94*D94</f>
        <v>157.59</v>
      </c>
      <c r="M94" s="436">
        <f>E94*D94</f>
        <v>30.9</v>
      </c>
      <c r="N94" s="436">
        <f>L94-E94*G94*D94</f>
        <v>26.265000000000015</v>
      </c>
      <c r="O94" s="436">
        <f>(L94-N94)*1.3</f>
        <v>170.7225</v>
      </c>
      <c r="P94" s="438">
        <v>0.05</v>
      </c>
      <c r="Q94" s="439"/>
      <c r="R94" s="436">
        <f t="shared" si="41"/>
        <v>1.5449999999999999</v>
      </c>
      <c r="S94" s="439"/>
      <c r="T94" s="514"/>
      <c r="U94" s="486"/>
      <c r="V94" s="442" t="s">
        <v>783</v>
      </c>
    </row>
    <row r="95" spans="1:22" ht="11.25" customHeight="1" x14ac:dyDescent="0.2">
      <c r="A95" s="487" t="s">
        <v>895</v>
      </c>
      <c r="B95" s="487" t="s">
        <v>894</v>
      </c>
      <c r="C95" s="488"/>
      <c r="D95" s="484">
        <v>1</v>
      </c>
      <c r="E95" s="448">
        <f t="shared" ref="E95:E101" si="42">F95*G95</f>
        <v>24.513999999999999</v>
      </c>
      <c r="F95" s="449">
        <v>7.21</v>
      </c>
      <c r="G95" s="448">
        <v>3.4</v>
      </c>
      <c r="H95" s="448">
        <v>0.22</v>
      </c>
      <c r="I95" s="485">
        <v>2</v>
      </c>
      <c r="J95" s="436">
        <f t="shared" si="37"/>
        <v>1.2</v>
      </c>
      <c r="K95" s="439"/>
      <c r="L95" s="439"/>
      <c r="M95" s="439"/>
      <c r="N95" s="439"/>
      <c r="O95" s="436">
        <f t="shared" si="40"/>
        <v>0</v>
      </c>
      <c r="P95" s="438">
        <v>0.05</v>
      </c>
      <c r="Q95" s="439"/>
      <c r="R95" s="436">
        <f t="shared" si="41"/>
        <v>0</v>
      </c>
      <c r="S95" s="436">
        <f t="shared" ref="S95:S101" si="43">((F95*G95*I95))*D95</f>
        <v>49.027999999999999</v>
      </c>
      <c r="T95" s="486">
        <f t="shared" ref="T95:T101" si="44">D95*F95*G95*2</f>
        <v>49.027999999999999</v>
      </c>
      <c r="U95" s="486">
        <f t="shared" ref="U95:U101" si="45">D95*F95*G95*H95</f>
        <v>5.3930800000000003</v>
      </c>
      <c r="V95" s="442" t="s">
        <v>783</v>
      </c>
    </row>
    <row r="96" spans="1:22" ht="11.25" customHeight="1" x14ac:dyDescent="0.2">
      <c r="A96" s="487" t="s">
        <v>896</v>
      </c>
      <c r="B96" s="487" t="s">
        <v>894</v>
      </c>
      <c r="C96" s="488"/>
      <c r="D96" s="484">
        <v>1</v>
      </c>
      <c r="E96" s="448">
        <f t="shared" si="42"/>
        <v>22.099999999999998</v>
      </c>
      <c r="F96" s="449">
        <v>6.5</v>
      </c>
      <c r="G96" s="448">
        <v>3.4</v>
      </c>
      <c r="H96" s="448">
        <v>0.22</v>
      </c>
      <c r="I96" s="485">
        <v>2</v>
      </c>
      <c r="J96" s="436">
        <f t="shared" si="37"/>
        <v>1.2</v>
      </c>
      <c r="K96" s="439"/>
      <c r="L96" s="439"/>
      <c r="M96" s="439"/>
      <c r="N96" s="439"/>
      <c r="O96" s="436">
        <f t="shared" si="40"/>
        <v>0</v>
      </c>
      <c r="P96" s="438">
        <v>0.05</v>
      </c>
      <c r="Q96" s="439"/>
      <c r="R96" s="436">
        <f t="shared" si="41"/>
        <v>0</v>
      </c>
      <c r="S96" s="436">
        <f t="shared" si="43"/>
        <v>44.199999999999996</v>
      </c>
      <c r="T96" s="486">
        <f t="shared" si="44"/>
        <v>44.199999999999996</v>
      </c>
      <c r="U96" s="486">
        <f t="shared" si="45"/>
        <v>4.8619999999999992</v>
      </c>
      <c r="V96" s="442" t="s">
        <v>783</v>
      </c>
    </row>
    <row r="97" spans="1:25" ht="11.25" customHeight="1" x14ac:dyDescent="0.2">
      <c r="A97" s="487" t="s">
        <v>897</v>
      </c>
      <c r="B97" s="487" t="s">
        <v>894</v>
      </c>
      <c r="C97" s="488"/>
      <c r="D97" s="484">
        <v>1</v>
      </c>
      <c r="E97" s="448">
        <f t="shared" si="42"/>
        <v>23.052</v>
      </c>
      <c r="F97" s="449">
        <v>6.78</v>
      </c>
      <c r="G97" s="448">
        <v>3.4</v>
      </c>
      <c r="H97" s="448">
        <v>0.22</v>
      </c>
      <c r="I97" s="485">
        <v>2</v>
      </c>
      <c r="J97" s="436">
        <f t="shared" si="37"/>
        <v>1.2</v>
      </c>
      <c r="K97" s="439"/>
      <c r="L97" s="439"/>
      <c r="M97" s="439"/>
      <c r="N97" s="439"/>
      <c r="O97" s="436">
        <f t="shared" si="40"/>
        <v>0</v>
      </c>
      <c r="P97" s="438">
        <v>0.05</v>
      </c>
      <c r="Q97" s="439"/>
      <c r="R97" s="436">
        <f t="shared" si="41"/>
        <v>0</v>
      </c>
      <c r="S97" s="436">
        <f t="shared" si="43"/>
        <v>46.103999999999999</v>
      </c>
      <c r="T97" s="486">
        <f t="shared" si="44"/>
        <v>46.103999999999999</v>
      </c>
      <c r="U97" s="486">
        <f t="shared" si="45"/>
        <v>5.0714399999999999</v>
      </c>
      <c r="V97" s="442" t="s">
        <v>783</v>
      </c>
      <c r="W97" s="334"/>
      <c r="X97" s="334"/>
      <c r="Y97" s="334"/>
    </row>
    <row r="98" spans="1:25" ht="11.25" customHeight="1" x14ac:dyDescent="0.2">
      <c r="A98" s="487" t="s">
        <v>898</v>
      </c>
      <c r="B98" s="487" t="s">
        <v>894</v>
      </c>
      <c r="C98" s="488"/>
      <c r="D98" s="484">
        <v>1</v>
      </c>
      <c r="E98" s="448">
        <f t="shared" si="42"/>
        <v>10.37</v>
      </c>
      <c r="F98" s="449">
        <v>2.44</v>
      </c>
      <c r="G98" s="448">
        <v>4.25</v>
      </c>
      <c r="H98" s="448">
        <v>0.17</v>
      </c>
      <c r="I98" s="485">
        <v>2</v>
      </c>
      <c r="J98" s="436">
        <f t="shared" si="37"/>
        <v>1.2</v>
      </c>
      <c r="K98" s="439"/>
      <c r="L98" s="439"/>
      <c r="M98" s="439"/>
      <c r="N98" s="439"/>
      <c r="O98" s="436">
        <f t="shared" si="40"/>
        <v>0</v>
      </c>
      <c r="P98" s="438">
        <v>0.05</v>
      </c>
      <c r="Q98" s="439"/>
      <c r="R98" s="436">
        <f t="shared" si="41"/>
        <v>0</v>
      </c>
      <c r="S98" s="436">
        <f t="shared" si="43"/>
        <v>20.74</v>
      </c>
      <c r="T98" s="486">
        <f t="shared" si="44"/>
        <v>20.74</v>
      </c>
      <c r="U98" s="486">
        <f t="shared" si="45"/>
        <v>1.7628999999999999</v>
      </c>
      <c r="V98" s="442" t="s">
        <v>783</v>
      </c>
      <c r="W98" s="334"/>
      <c r="X98" s="334"/>
      <c r="Y98" s="334"/>
    </row>
    <row r="99" spans="1:25" ht="11.25" customHeight="1" x14ac:dyDescent="0.2">
      <c r="A99" s="487" t="s">
        <v>899</v>
      </c>
      <c r="B99" s="487" t="s">
        <v>894</v>
      </c>
      <c r="C99" s="488"/>
      <c r="D99" s="484">
        <v>1</v>
      </c>
      <c r="E99" s="448">
        <f t="shared" si="42"/>
        <v>10.37</v>
      </c>
      <c r="F99" s="449">
        <v>2.44</v>
      </c>
      <c r="G99" s="448">
        <v>4.25</v>
      </c>
      <c r="H99" s="448">
        <v>0.17</v>
      </c>
      <c r="I99" s="485">
        <v>2</v>
      </c>
      <c r="J99" s="436">
        <f t="shared" si="37"/>
        <v>1.2</v>
      </c>
      <c r="K99" s="439"/>
      <c r="L99" s="439"/>
      <c r="M99" s="439"/>
      <c r="N99" s="439"/>
      <c r="O99" s="436">
        <f t="shared" si="40"/>
        <v>0</v>
      </c>
      <c r="P99" s="438">
        <v>0.05</v>
      </c>
      <c r="Q99" s="439"/>
      <c r="R99" s="436">
        <f t="shared" si="41"/>
        <v>0</v>
      </c>
      <c r="S99" s="436">
        <f t="shared" si="43"/>
        <v>20.74</v>
      </c>
      <c r="T99" s="486">
        <f t="shared" si="44"/>
        <v>20.74</v>
      </c>
      <c r="U99" s="486">
        <f t="shared" si="45"/>
        <v>1.7628999999999999</v>
      </c>
      <c r="V99" s="442" t="s">
        <v>783</v>
      </c>
      <c r="W99" s="334"/>
      <c r="X99" s="334"/>
      <c r="Y99" s="334"/>
    </row>
    <row r="100" spans="1:25" ht="11.25" customHeight="1" x14ac:dyDescent="0.2">
      <c r="A100" s="487" t="s">
        <v>900</v>
      </c>
      <c r="B100" s="487" t="s">
        <v>894</v>
      </c>
      <c r="C100" s="488"/>
      <c r="D100" s="484">
        <v>1</v>
      </c>
      <c r="E100" s="448">
        <f t="shared" si="42"/>
        <v>15.110999999999999</v>
      </c>
      <c r="F100" s="449">
        <v>4.1399999999999997</v>
      </c>
      <c r="G100" s="448">
        <v>3.65</v>
      </c>
      <c r="H100" s="448">
        <v>0.17</v>
      </c>
      <c r="I100" s="485">
        <v>2</v>
      </c>
      <c r="J100" s="436">
        <f t="shared" si="37"/>
        <v>1.2</v>
      </c>
      <c r="K100" s="439"/>
      <c r="L100" s="439"/>
      <c r="M100" s="439"/>
      <c r="N100" s="439"/>
      <c r="O100" s="436">
        <f t="shared" si="40"/>
        <v>0</v>
      </c>
      <c r="P100" s="438">
        <v>0.05</v>
      </c>
      <c r="Q100" s="439"/>
      <c r="R100" s="436">
        <f t="shared" si="41"/>
        <v>0</v>
      </c>
      <c r="S100" s="436">
        <f t="shared" si="43"/>
        <v>30.221999999999998</v>
      </c>
      <c r="T100" s="486">
        <f t="shared" si="44"/>
        <v>30.221999999999998</v>
      </c>
      <c r="U100" s="486">
        <f t="shared" si="45"/>
        <v>2.56887</v>
      </c>
      <c r="V100" s="442" t="s">
        <v>783</v>
      </c>
      <c r="W100" s="334"/>
      <c r="X100" s="334"/>
      <c r="Y100" s="334"/>
    </row>
    <row r="101" spans="1:25" ht="11.25" customHeight="1" x14ac:dyDescent="0.2">
      <c r="A101" s="487" t="s">
        <v>901</v>
      </c>
      <c r="B101" s="487" t="s">
        <v>894</v>
      </c>
      <c r="C101" s="488"/>
      <c r="D101" s="484">
        <v>1</v>
      </c>
      <c r="E101" s="448">
        <f t="shared" si="42"/>
        <v>15.110999999999999</v>
      </c>
      <c r="F101" s="449">
        <v>4.1399999999999997</v>
      </c>
      <c r="G101" s="448">
        <v>3.65</v>
      </c>
      <c r="H101" s="448">
        <v>0.17</v>
      </c>
      <c r="I101" s="485">
        <v>2</v>
      </c>
      <c r="J101" s="436">
        <f t="shared" si="37"/>
        <v>1.2</v>
      </c>
      <c r="K101" s="439"/>
      <c r="L101" s="439"/>
      <c r="M101" s="439"/>
      <c r="N101" s="439"/>
      <c r="O101" s="436">
        <f t="shared" si="40"/>
        <v>0</v>
      </c>
      <c r="P101" s="438">
        <v>0.05</v>
      </c>
      <c r="Q101" s="439"/>
      <c r="R101" s="436">
        <f t="shared" si="41"/>
        <v>0</v>
      </c>
      <c r="S101" s="436">
        <f t="shared" si="43"/>
        <v>30.221999999999998</v>
      </c>
      <c r="T101" s="486">
        <f t="shared" si="44"/>
        <v>30.221999999999998</v>
      </c>
      <c r="U101" s="486">
        <f t="shared" si="45"/>
        <v>2.56887</v>
      </c>
      <c r="V101" s="442" t="s">
        <v>783</v>
      </c>
      <c r="W101" s="334"/>
      <c r="X101" s="334"/>
      <c r="Y101" s="334"/>
    </row>
    <row r="102" spans="1:25" ht="11.25" customHeight="1" x14ac:dyDescent="0.2">
      <c r="A102" s="452" t="str">
        <f>"TOTAL GERAL - "&amp;A88</f>
        <v>TOTAL GERAL - DUTO E CISTERNA</v>
      </c>
      <c r="B102" s="371"/>
      <c r="C102" s="371"/>
      <c r="D102" s="371"/>
      <c r="E102" s="370"/>
      <c r="F102" s="372"/>
      <c r="G102" s="372"/>
      <c r="H102" s="372"/>
      <c r="I102" s="372"/>
      <c r="J102" s="372"/>
      <c r="K102" s="370"/>
      <c r="L102" s="454">
        <f>SUM(L92:L101)</f>
        <v>566.70839999999998</v>
      </c>
      <c r="M102" s="454">
        <f>SUM(M92:M101)</f>
        <v>102.15</v>
      </c>
      <c r="N102" s="454">
        <f>SUM(N92:N101)</f>
        <v>376.42496000000006</v>
      </c>
      <c r="O102" s="454">
        <f>SUM(O92:O101)</f>
        <v>247.368472</v>
      </c>
      <c r="P102" s="372"/>
      <c r="Q102" s="454">
        <f>SUM(Q92:Q101)</f>
        <v>0</v>
      </c>
      <c r="R102" s="454">
        <f>SUM(R92:R101)</f>
        <v>5.1074999999999999</v>
      </c>
      <c r="S102" s="454">
        <f>SUM(S92:S101)</f>
        <v>638.12</v>
      </c>
      <c r="T102" s="515">
        <f>SUM(T92:T101)</f>
        <v>510.93799999999999</v>
      </c>
      <c r="U102" s="515">
        <f>SUM(U92:U101)</f>
        <v>82.94850000000001</v>
      </c>
      <c r="V102" s="455"/>
      <c r="W102" s="334"/>
      <c r="X102" s="334"/>
      <c r="Y102" s="334"/>
    </row>
    <row r="103" spans="1:25" ht="11.25" customHeight="1" x14ac:dyDescent="0.2">
      <c r="A103" s="334"/>
      <c r="B103" s="334"/>
      <c r="C103" s="334"/>
      <c r="D103" s="334"/>
      <c r="E103" s="492"/>
      <c r="F103" s="493"/>
      <c r="G103" s="493"/>
      <c r="H103" s="493"/>
      <c r="I103" s="492"/>
      <c r="J103" s="493"/>
      <c r="K103" s="493"/>
      <c r="L103" s="493"/>
      <c r="M103" s="493"/>
      <c r="N103" s="493"/>
      <c r="O103" s="493"/>
      <c r="P103" s="493"/>
      <c r="Q103" s="493"/>
      <c r="R103" s="493"/>
      <c r="S103" s="493"/>
      <c r="T103" s="493"/>
      <c r="U103" s="493"/>
      <c r="V103" s="492"/>
      <c r="W103" s="334"/>
      <c r="X103" s="334"/>
      <c r="Y103" s="334"/>
    </row>
    <row r="104" spans="1:25" ht="11.25" customHeight="1" x14ac:dyDescent="0.2">
      <c r="A104" s="334"/>
      <c r="B104" s="334"/>
      <c r="C104" s="334"/>
      <c r="D104" s="334"/>
      <c r="E104" s="492"/>
      <c r="F104" s="493"/>
      <c r="G104" s="493"/>
      <c r="H104" s="493"/>
      <c r="I104" s="492"/>
      <c r="J104" s="493"/>
      <c r="K104" s="493"/>
      <c r="L104" s="493"/>
      <c r="M104" s="493"/>
      <c r="N104" s="493"/>
      <c r="O104" s="493"/>
      <c r="P104" s="493"/>
      <c r="Q104" s="493"/>
      <c r="R104" s="493"/>
      <c r="S104" s="493"/>
      <c r="T104" s="493"/>
      <c r="U104" s="493"/>
      <c r="V104" s="492"/>
      <c r="W104" s="334"/>
      <c r="X104" s="334"/>
      <c r="Y104" s="334"/>
    </row>
    <row r="105" spans="1:25" ht="11.25" customHeight="1" x14ac:dyDescent="0.2">
      <c r="A105" s="334"/>
      <c r="B105" s="334"/>
      <c r="C105" s="334"/>
      <c r="D105" s="334"/>
      <c r="E105" s="492"/>
      <c r="F105" s="493"/>
      <c r="G105" s="493"/>
      <c r="H105" s="493"/>
      <c r="I105" s="492"/>
      <c r="J105" s="493"/>
      <c r="K105" s="493"/>
      <c r="L105" s="493"/>
      <c r="M105" s="493"/>
      <c r="N105" s="493"/>
      <c r="O105" s="493"/>
      <c r="P105" s="493"/>
      <c r="Q105" s="493"/>
      <c r="R105" s="493"/>
      <c r="S105" s="493"/>
      <c r="T105" s="493"/>
      <c r="U105" s="493"/>
      <c r="V105" s="492"/>
      <c r="W105" s="334"/>
      <c r="X105" s="334"/>
      <c r="Y105" s="334"/>
    </row>
    <row r="106" spans="1:25" ht="11.25" customHeight="1" x14ac:dyDescent="0.3">
      <c r="A106" s="1114" t="s">
        <v>902</v>
      </c>
      <c r="B106" s="1088"/>
      <c r="C106" s="1088"/>
      <c r="D106" s="1088"/>
      <c r="E106" s="1088"/>
      <c r="F106" s="1088"/>
      <c r="G106" s="1088"/>
      <c r="H106" s="1088"/>
      <c r="I106" s="1088"/>
      <c r="J106" s="1088"/>
      <c r="K106" s="1088"/>
      <c r="L106" s="1088"/>
      <c r="M106" s="1088"/>
      <c r="N106" s="1088"/>
      <c r="O106" s="1088"/>
      <c r="P106" s="1088"/>
      <c r="Q106" s="1088"/>
      <c r="R106" s="1088"/>
      <c r="S106" s="1088"/>
      <c r="T106" s="1088"/>
      <c r="U106" s="1088"/>
      <c r="V106" s="1088"/>
      <c r="W106" s="1088"/>
      <c r="X106" s="1088"/>
      <c r="Y106" s="1089"/>
    </row>
    <row r="107" spans="1:25" ht="11.25" customHeight="1" x14ac:dyDescent="0.2">
      <c r="A107" s="456"/>
      <c r="B107" s="419" t="s">
        <v>735</v>
      </c>
      <c r="C107" s="456"/>
      <c r="D107" s="456"/>
      <c r="E107" s="516"/>
      <c r="F107" s="517" t="s">
        <v>789</v>
      </c>
      <c r="G107" s="350"/>
      <c r="H107" s="518"/>
      <c r="I107" s="519"/>
      <c r="J107" s="512" t="s">
        <v>881</v>
      </c>
      <c r="K107" s="520" t="s">
        <v>772</v>
      </c>
      <c r="L107" s="520" t="s">
        <v>798</v>
      </c>
      <c r="M107" s="520" t="s">
        <v>799</v>
      </c>
      <c r="N107" s="520" t="s">
        <v>775</v>
      </c>
      <c r="O107" s="520" t="s">
        <v>800</v>
      </c>
      <c r="P107" s="1113" t="s">
        <v>801</v>
      </c>
      <c r="Q107" s="1098"/>
      <c r="R107" s="1099"/>
      <c r="S107" s="512" t="s">
        <v>881</v>
      </c>
      <c r="T107" s="520" t="s">
        <v>803</v>
      </c>
      <c r="U107" s="512" t="s">
        <v>741</v>
      </c>
      <c r="V107" s="521" t="s">
        <v>583</v>
      </c>
      <c r="W107" s="522" t="s">
        <v>903</v>
      </c>
      <c r="X107" s="523"/>
      <c r="Y107" s="523"/>
    </row>
    <row r="108" spans="1:25" ht="11.25" customHeight="1" x14ac:dyDescent="0.2">
      <c r="A108" s="418"/>
      <c r="B108" s="478"/>
      <c r="C108" s="524"/>
      <c r="D108" s="418"/>
      <c r="E108" s="525" t="s">
        <v>904</v>
      </c>
      <c r="F108" s="425" t="s">
        <v>737</v>
      </c>
      <c r="G108" s="525" t="s">
        <v>904</v>
      </c>
      <c r="H108" s="424" t="s">
        <v>905</v>
      </c>
      <c r="I108" s="526" t="s">
        <v>868</v>
      </c>
      <c r="J108" s="419" t="s">
        <v>906</v>
      </c>
      <c r="K108" s="426" t="s">
        <v>92</v>
      </c>
      <c r="L108" s="465" t="s">
        <v>365</v>
      </c>
      <c r="M108" s="465" t="s">
        <v>92</v>
      </c>
      <c r="N108" s="465" t="s">
        <v>365</v>
      </c>
      <c r="O108" s="465" t="s">
        <v>365</v>
      </c>
      <c r="P108" s="466" t="s">
        <v>807</v>
      </c>
      <c r="Q108" s="467" t="s">
        <v>365</v>
      </c>
      <c r="R108" s="467" t="s">
        <v>365</v>
      </c>
      <c r="S108" s="467" t="s">
        <v>907</v>
      </c>
      <c r="T108" s="465" t="s">
        <v>92</v>
      </c>
      <c r="U108" s="467" t="s">
        <v>365</v>
      </c>
      <c r="V108" s="463"/>
      <c r="W108" s="412" t="s">
        <v>736</v>
      </c>
      <c r="X108" s="412" t="s">
        <v>907</v>
      </c>
      <c r="Y108" s="527" t="s">
        <v>59</v>
      </c>
    </row>
    <row r="109" spans="1:25" ht="11.25" customHeight="1" x14ac:dyDescent="0.2">
      <c r="A109" s="479" t="s">
        <v>858</v>
      </c>
      <c r="B109" s="480"/>
      <c r="C109" s="480"/>
      <c r="D109" s="480"/>
      <c r="E109" s="480"/>
      <c r="F109" s="528"/>
      <c r="G109" s="528"/>
      <c r="H109" s="528"/>
      <c r="I109" s="528"/>
      <c r="J109" s="528"/>
      <c r="K109" s="480"/>
      <c r="L109" s="480"/>
      <c r="M109" s="480"/>
      <c r="N109" s="480"/>
      <c r="O109" s="480"/>
      <c r="P109" s="431"/>
      <c r="Q109" s="432" t="s">
        <v>809</v>
      </c>
      <c r="R109" s="432" t="s">
        <v>397</v>
      </c>
      <c r="S109" s="528"/>
      <c r="T109" s="528"/>
      <c r="U109" s="528"/>
      <c r="V109" s="480"/>
      <c r="W109" s="528"/>
      <c r="X109" s="528"/>
      <c r="Y109" s="529"/>
    </row>
    <row r="110" spans="1:25" ht="11.25" customHeight="1" x14ac:dyDescent="0.2">
      <c r="A110" s="488"/>
      <c r="B110" s="487" t="s">
        <v>908</v>
      </c>
      <c r="C110" s="488"/>
      <c r="D110" s="488"/>
      <c r="E110" s="488"/>
      <c r="F110" s="530">
        <v>1</v>
      </c>
      <c r="G110" s="531">
        <v>21.3</v>
      </c>
      <c r="H110" s="531">
        <v>18.52</v>
      </c>
      <c r="I110" s="531">
        <v>0.12</v>
      </c>
      <c r="J110" s="531">
        <v>1</v>
      </c>
      <c r="K110" s="532">
        <f t="shared" ref="K110:K145" si="46">G110</f>
        <v>21.3</v>
      </c>
      <c r="L110" s="532">
        <f t="shared" ref="L110:L144" si="47">F110*G110*I110</f>
        <v>2.556</v>
      </c>
      <c r="M110" s="532">
        <f t="shared" ref="M110:M144" si="48">F110*G110</f>
        <v>21.3</v>
      </c>
      <c r="N110" s="533"/>
      <c r="O110" s="532">
        <f t="shared" ref="O110:O144" si="49">(L110-N110)*1.3</f>
        <v>3.3228</v>
      </c>
      <c r="P110" s="438"/>
      <c r="Q110" s="533"/>
      <c r="R110" s="532">
        <f t="shared" ref="R110:R144" si="50">F110*G110*P110</f>
        <v>0</v>
      </c>
      <c r="S110" s="533"/>
      <c r="T110" s="532">
        <f t="shared" ref="T110:T145" si="51">(G110+H110*I110)*F110</f>
        <v>23.522400000000001</v>
      </c>
      <c r="U110" s="532">
        <f t="shared" ref="U110:U145" si="52">I110*G110</f>
        <v>2.556</v>
      </c>
      <c r="V110" s="442" t="s">
        <v>783</v>
      </c>
      <c r="W110" s="534" t="s">
        <v>909</v>
      </c>
      <c r="X110" s="533"/>
      <c r="Y110" s="535"/>
    </row>
    <row r="111" spans="1:25" ht="23.25" customHeight="1" x14ac:dyDescent="0.2">
      <c r="A111" s="536"/>
      <c r="B111" s="537" t="s">
        <v>910</v>
      </c>
      <c r="C111" s="536"/>
      <c r="D111" s="536"/>
      <c r="E111" s="536"/>
      <c r="F111" s="530">
        <v>1</v>
      </c>
      <c r="G111" s="531">
        <v>30.3</v>
      </c>
      <c r="H111" s="531">
        <v>23.54</v>
      </c>
      <c r="I111" s="531">
        <v>0.12</v>
      </c>
      <c r="J111" s="531">
        <v>1</v>
      </c>
      <c r="K111" s="532">
        <f t="shared" si="46"/>
        <v>30.3</v>
      </c>
      <c r="L111" s="532">
        <f t="shared" si="47"/>
        <v>3.6360000000000001</v>
      </c>
      <c r="M111" s="532">
        <f t="shared" si="48"/>
        <v>30.3</v>
      </c>
      <c r="N111" s="533"/>
      <c r="O111" s="532">
        <f t="shared" si="49"/>
        <v>4.7267999999999999</v>
      </c>
      <c r="P111" s="438"/>
      <c r="Q111" s="533"/>
      <c r="R111" s="532">
        <f t="shared" si="50"/>
        <v>0</v>
      </c>
      <c r="S111" s="533"/>
      <c r="T111" s="532">
        <f t="shared" si="51"/>
        <v>33.1248</v>
      </c>
      <c r="U111" s="532">
        <f t="shared" si="52"/>
        <v>3.6360000000000001</v>
      </c>
      <c r="V111" s="442" t="s">
        <v>783</v>
      </c>
      <c r="W111" s="534" t="s">
        <v>909</v>
      </c>
      <c r="X111" s="533"/>
      <c r="Y111" s="535"/>
    </row>
    <row r="112" spans="1:25" ht="11.25" customHeight="1" x14ac:dyDescent="0.2">
      <c r="A112" s="488"/>
      <c r="B112" s="487" t="s">
        <v>911</v>
      </c>
      <c r="C112" s="488"/>
      <c r="D112" s="488"/>
      <c r="E112" s="488"/>
      <c r="F112" s="530">
        <v>1</v>
      </c>
      <c r="G112" s="531">
        <v>26.12</v>
      </c>
      <c r="H112" s="531">
        <v>20.61</v>
      </c>
      <c r="I112" s="531">
        <v>0.12</v>
      </c>
      <c r="J112" s="531">
        <v>1</v>
      </c>
      <c r="K112" s="532">
        <f t="shared" si="46"/>
        <v>26.12</v>
      </c>
      <c r="L112" s="532">
        <f t="shared" si="47"/>
        <v>3.1343999999999999</v>
      </c>
      <c r="M112" s="532">
        <f t="shared" si="48"/>
        <v>26.12</v>
      </c>
      <c r="N112" s="533"/>
      <c r="O112" s="532">
        <f t="shared" si="49"/>
        <v>4.0747200000000001</v>
      </c>
      <c r="P112" s="438"/>
      <c r="Q112" s="533"/>
      <c r="R112" s="532">
        <f t="shared" si="50"/>
        <v>0</v>
      </c>
      <c r="S112" s="533"/>
      <c r="T112" s="532">
        <f t="shared" si="51"/>
        <v>28.5932</v>
      </c>
      <c r="U112" s="532">
        <f t="shared" si="52"/>
        <v>3.1343999999999999</v>
      </c>
      <c r="V112" s="442" t="s">
        <v>783</v>
      </c>
      <c r="W112" s="534" t="s">
        <v>909</v>
      </c>
      <c r="X112" s="533"/>
      <c r="Y112" s="535"/>
    </row>
    <row r="113" spans="1:25" ht="11.25" customHeight="1" x14ac:dyDescent="0.2">
      <c r="A113" s="488"/>
      <c r="B113" s="487" t="s">
        <v>912</v>
      </c>
      <c r="C113" s="488"/>
      <c r="D113" s="488"/>
      <c r="E113" s="488"/>
      <c r="F113" s="530">
        <v>1</v>
      </c>
      <c r="G113" s="531">
        <v>25.67</v>
      </c>
      <c r="H113" s="531">
        <v>20.38</v>
      </c>
      <c r="I113" s="531">
        <v>0.12</v>
      </c>
      <c r="J113" s="531">
        <v>1</v>
      </c>
      <c r="K113" s="532">
        <f t="shared" si="46"/>
        <v>25.67</v>
      </c>
      <c r="L113" s="532">
        <f t="shared" si="47"/>
        <v>3.0804</v>
      </c>
      <c r="M113" s="532">
        <f t="shared" si="48"/>
        <v>25.67</v>
      </c>
      <c r="N113" s="533"/>
      <c r="O113" s="532">
        <f t="shared" si="49"/>
        <v>4.0045200000000003</v>
      </c>
      <c r="P113" s="438"/>
      <c r="Q113" s="533"/>
      <c r="R113" s="532">
        <f t="shared" si="50"/>
        <v>0</v>
      </c>
      <c r="S113" s="533"/>
      <c r="T113" s="532">
        <f t="shared" si="51"/>
        <v>28.115600000000001</v>
      </c>
      <c r="U113" s="532">
        <f t="shared" si="52"/>
        <v>3.0804</v>
      </c>
      <c r="V113" s="442" t="s">
        <v>783</v>
      </c>
      <c r="W113" s="534" t="s">
        <v>909</v>
      </c>
      <c r="X113" s="533"/>
      <c r="Y113" s="535"/>
    </row>
    <row r="114" spans="1:25" ht="11.25" customHeight="1" x14ac:dyDescent="0.2">
      <c r="A114" s="488"/>
      <c r="B114" s="487" t="s">
        <v>913</v>
      </c>
      <c r="C114" s="488"/>
      <c r="D114" s="488"/>
      <c r="E114" s="488"/>
      <c r="F114" s="530">
        <v>1</v>
      </c>
      <c r="G114" s="531">
        <v>17.82</v>
      </c>
      <c r="H114" s="531">
        <v>17.579999999999998</v>
      </c>
      <c r="I114" s="531">
        <v>0.12</v>
      </c>
      <c r="J114" s="531">
        <v>1</v>
      </c>
      <c r="K114" s="532">
        <f t="shared" si="46"/>
        <v>17.82</v>
      </c>
      <c r="L114" s="532">
        <f t="shared" si="47"/>
        <v>2.1383999999999999</v>
      </c>
      <c r="M114" s="532">
        <f t="shared" si="48"/>
        <v>17.82</v>
      </c>
      <c r="N114" s="533"/>
      <c r="O114" s="532">
        <f t="shared" si="49"/>
        <v>2.7799199999999997</v>
      </c>
      <c r="P114" s="438"/>
      <c r="Q114" s="533"/>
      <c r="R114" s="532">
        <f t="shared" si="50"/>
        <v>0</v>
      </c>
      <c r="S114" s="533"/>
      <c r="T114" s="532">
        <f t="shared" si="51"/>
        <v>19.929600000000001</v>
      </c>
      <c r="U114" s="532">
        <f t="shared" si="52"/>
        <v>2.1383999999999999</v>
      </c>
      <c r="V114" s="442" t="s">
        <v>783</v>
      </c>
      <c r="W114" s="534" t="s">
        <v>909</v>
      </c>
      <c r="X114" s="533"/>
      <c r="Y114" s="535"/>
    </row>
    <row r="115" spans="1:25" ht="11.25" customHeight="1" x14ac:dyDescent="0.2">
      <c r="A115" s="483"/>
      <c r="B115" s="482" t="s">
        <v>914</v>
      </c>
      <c r="C115" s="483"/>
      <c r="D115" s="483"/>
      <c r="E115" s="483"/>
      <c r="F115" s="530">
        <v>1</v>
      </c>
      <c r="G115" s="531">
        <v>17.940000000000001</v>
      </c>
      <c r="H115" s="531">
        <v>17.64</v>
      </c>
      <c r="I115" s="531">
        <v>0.12</v>
      </c>
      <c r="J115" s="531">
        <v>1</v>
      </c>
      <c r="K115" s="532">
        <f t="shared" si="46"/>
        <v>17.940000000000001</v>
      </c>
      <c r="L115" s="532">
        <f t="shared" si="47"/>
        <v>2.1528</v>
      </c>
      <c r="M115" s="532">
        <f t="shared" si="48"/>
        <v>17.940000000000001</v>
      </c>
      <c r="N115" s="533"/>
      <c r="O115" s="532">
        <f t="shared" si="49"/>
        <v>2.7986400000000002</v>
      </c>
      <c r="P115" s="438"/>
      <c r="Q115" s="533"/>
      <c r="R115" s="532">
        <f t="shared" si="50"/>
        <v>0</v>
      </c>
      <c r="S115" s="533"/>
      <c r="T115" s="532">
        <f t="shared" si="51"/>
        <v>20.056800000000003</v>
      </c>
      <c r="U115" s="532">
        <f t="shared" si="52"/>
        <v>2.1528</v>
      </c>
      <c r="V115" s="442" t="s">
        <v>783</v>
      </c>
      <c r="W115" s="534" t="s">
        <v>909</v>
      </c>
      <c r="X115" s="533"/>
      <c r="Y115" s="535"/>
    </row>
    <row r="116" spans="1:25" ht="11.25" customHeight="1" x14ac:dyDescent="0.2">
      <c r="A116" s="488"/>
      <c r="B116" s="487" t="s">
        <v>915</v>
      </c>
      <c r="C116" s="488"/>
      <c r="D116" s="488"/>
      <c r="E116" s="538"/>
      <c r="F116" s="530">
        <v>1</v>
      </c>
      <c r="G116" s="531">
        <v>21.36</v>
      </c>
      <c r="H116" s="531">
        <v>18.989999999999998</v>
      </c>
      <c r="I116" s="531">
        <v>0.12</v>
      </c>
      <c r="J116" s="531">
        <v>1</v>
      </c>
      <c r="K116" s="532">
        <f t="shared" si="46"/>
        <v>21.36</v>
      </c>
      <c r="L116" s="532">
        <f t="shared" si="47"/>
        <v>2.5631999999999997</v>
      </c>
      <c r="M116" s="532">
        <f t="shared" si="48"/>
        <v>21.36</v>
      </c>
      <c r="N116" s="533"/>
      <c r="O116" s="532">
        <f t="shared" si="49"/>
        <v>3.3321599999999996</v>
      </c>
      <c r="P116" s="438"/>
      <c r="Q116" s="533"/>
      <c r="R116" s="532">
        <f t="shared" si="50"/>
        <v>0</v>
      </c>
      <c r="S116" s="533"/>
      <c r="T116" s="532">
        <f t="shared" si="51"/>
        <v>23.6388</v>
      </c>
      <c r="U116" s="532">
        <f t="shared" si="52"/>
        <v>2.5631999999999997</v>
      </c>
      <c r="V116" s="442" t="s">
        <v>783</v>
      </c>
      <c r="W116" s="534" t="s">
        <v>909</v>
      </c>
      <c r="X116" s="533"/>
      <c r="Y116" s="535"/>
    </row>
    <row r="117" spans="1:25" ht="11.25" customHeight="1" x14ac:dyDescent="0.2">
      <c r="A117" s="488"/>
      <c r="B117" s="487" t="s">
        <v>916</v>
      </c>
      <c r="C117" s="488"/>
      <c r="D117" s="488"/>
      <c r="E117" s="538"/>
      <c r="F117" s="530">
        <v>1</v>
      </c>
      <c r="G117" s="531">
        <v>20.97</v>
      </c>
      <c r="H117" s="531">
        <v>18.79</v>
      </c>
      <c r="I117" s="531">
        <v>0.12</v>
      </c>
      <c r="J117" s="531">
        <v>1</v>
      </c>
      <c r="K117" s="532">
        <f t="shared" si="46"/>
        <v>20.97</v>
      </c>
      <c r="L117" s="532">
        <f t="shared" si="47"/>
        <v>2.5164</v>
      </c>
      <c r="M117" s="532">
        <f t="shared" si="48"/>
        <v>20.97</v>
      </c>
      <c r="N117" s="533"/>
      <c r="O117" s="532">
        <f t="shared" si="49"/>
        <v>3.2713200000000002</v>
      </c>
      <c r="P117" s="438"/>
      <c r="Q117" s="533"/>
      <c r="R117" s="532">
        <f t="shared" si="50"/>
        <v>0</v>
      </c>
      <c r="S117" s="533"/>
      <c r="T117" s="532">
        <f t="shared" si="51"/>
        <v>23.224799999999998</v>
      </c>
      <c r="U117" s="532">
        <f t="shared" si="52"/>
        <v>2.5164</v>
      </c>
      <c r="V117" s="442" t="s">
        <v>783</v>
      </c>
      <c r="W117" s="534" t="s">
        <v>909</v>
      </c>
      <c r="X117" s="533"/>
      <c r="Y117" s="535"/>
    </row>
    <row r="118" spans="1:25" ht="11.25" customHeight="1" x14ac:dyDescent="0.2">
      <c r="A118" s="488"/>
      <c r="B118" s="487" t="s">
        <v>917</v>
      </c>
      <c r="C118" s="488"/>
      <c r="D118" s="488"/>
      <c r="E118" s="538"/>
      <c r="F118" s="530">
        <v>1</v>
      </c>
      <c r="G118" s="531">
        <v>30.53</v>
      </c>
      <c r="H118" s="531">
        <v>22.24</v>
      </c>
      <c r="I118" s="531">
        <v>0.12</v>
      </c>
      <c r="J118" s="531">
        <v>1</v>
      </c>
      <c r="K118" s="532">
        <f t="shared" si="46"/>
        <v>30.53</v>
      </c>
      <c r="L118" s="532">
        <f t="shared" si="47"/>
        <v>3.6636000000000002</v>
      </c>
      <c r="M118" s="532">
        <f t="shared" si="48"/>
        <v>30.53</v>
      </c>
      <c r="N118" s="533"/>
      <c r="O118" s="532">
        <f t="shared" si="49"/>
        <v>4.7626800000000005</v>
      </c>
      <c r="P118" s="438"/>
      <c r="Q118" s="533"/>
      <c r="R118" s="532">
        <f t="shared" si="50"/>
        <v>0</v>
      </c>
      <c r="S118" s="533"/>
      <c r="T118" s="532">
        <f t="shared" si="51"/>
        <v>33.198799999999999</v>
      </c>
      <c r="U118" s="532">
        <f t="shared" si="52"/>
        <v>3.6636000000000002</v>
      </c>
      <c r="V118" s="442" t="s">
        <v>783</v>
      </c>
      <c r="W118" s="534" t="s">
        <v>909</v>
      </c>
      <c r="X118" s="533"/>
      <c r="Y118" s="535"/>
    </row>
    <row r="119" spans="1:25" ht="11.25" customHeight="1" x14ac:dyDescent="0.2">
      <c r="A119" s="488"/>
      <c r="B119" s="487" t="s">
        <v>918</v>
      </c>
      <c r="C119" s="488"/>
      <c r="D119" s="488"/>
      <c r="E119" s="538"/>
      <c r="F119" s="530">
        <v>1</v>
      </c>
      <c r="G119" s="531">
        <v>26.72</v>
      </c>
      <c r="H119" s="531">
        <v>20.72</v>
      </c>
      <c r="I119" s="531">
        <v>0.12</v>
      </c>
      <c r="J119" s="531">
        <v>1</v>
      </c>
      <c r="K119" s="532">
        <f t="shared" si="46"/>
        <v>26.72</v>
      </c>
      <c r="L119" s="532">
        <f t="shared" si="47"/>
        <v>3.2063999999999999</v>
      </c>
      <c r="M119" s="532">
        <f t="shared" si="48"/>
        <v>26.72</v>
      </c>
      <c r="N119" s="533"/>
      <c r="O119" s="532">
        <f t="shared" si="49"/>
        <v>4.1683200000000005</v>
      </c>
      <c r="P119" s="438"/>
      <c r="Q119" s="533"/>
      <c r="R119" s="532">
        <f t="shared" si="50"/>
        <v>0</v>
      </c>
      <c r="S119" s="533"/>
      <c r="T119" s="532">
        <f t="shared" si="51"/>
        <v>29.206399999999999</v>
      </c>
      <c r="U119" s="532">
        <f t="shared" si="52"/>
        <v>3.2063999999999999</v>
      </c>
      <c r="V119" s="442" t="s">
        <v>783</v>
      </c>
      <c r="W119" s="534" t="s">
        <v>909</v>
      </c>
      <c r="X119" s="533"/>
      <c r="Y119" s="535"/>
    </row>
    <row r="120" spans="1:25" ht="11.25" customHeight="1" x14ac:dyDescent="0.2">
      <c r="A120" s="488"/>
      <c r="B120" s="487" t="s">
        <v>919</v>
      </c>
      <c r="C120" s="488"/>
      <c r="D120" s="488"/>
      <c r="E120" s="538"/>
      <c r="F120" s="530">
        <v>1</v>
      </c>
      <c r="G120" s="531">
        <v>25.23</v>
      </c>
      <c r="H120" s="531">
        <v>20.32</v>
      </c>
      <c r="I120" s="531">
        <v>0.12</v>
      </c>
      <c r="J120" s="531">
        <v>1</v>
      </c>
      <c r="K120" s="532">
        <f t="shared" si="46"/>
        <v>25.23</v>
      </c>
      <c r="L120" s="532">
        <f t="shared" si="47"/>
        <v>3.0276000000000001</v>
      </c>
      <c r="M120" s="532">
        <f t="shared" si="48"/>
        <v>25.23</v>
      </c>
      <c r="N120" s="533"/>
      <c r="O120" s="532">
        <f t="shared" si="49"/>
        <v>3.93588</v>
      </c>
      <c r="P120" s="438"/>
      <c r="Q120" s="533"/>
      <c r="R120" s="532">
        <f t="shared" si="50"/>
        <v>0</v>
      </c>
      <c r="S120" s="533"/>
      <c r="T120" s="532">
        <f t="shared" si="51"/>
        <v>27.668400000000002</v>
      </c>
      <c r="U120" s="532">
        <f t="shared" si="52"/>
        <v>3.0276000000000001</v>
      </c>
      <c r="V120" s="442" t="s">
        <v>783</v>
      </c>
      <c r="W120" s="534" t="s">
        <v>909</v>
      </c>
      <c r="X120" s="533"/>
      <c r="Y120" s="535"/>
    </row>
    <row r="121" spans="1:25" ht="11.25" customHeight="1" x14ac:dyDescent="0.2">
      <c r="A121" s="488"/>
      <c r="B121" s="487" t="s">
        <v>920</v>
      </c>
      <c r="C121" s="488"/>
      <c r="D121" s="488"/>
      <c r="E121" s="538"/>
      <c r="F121" s="530">
        <v>1</v>
      </c>
      <c r="G121" s="531">
        <v>24.86</v>
      </c>
      <c r="H121" s="531">
        <v>20.2</v>
      </c>
      <c r="I121" s="531">
        <v>0.12</v>
      </c>
      <c r="J121" s="531">
        <v>1</v>
      </c>
      <c r="K121" s="532">
        <f t="shared" si="46"/>
        <v>24.86</v>
      </c>
      <c r="L121" s="532">
        <f t="shared" si="47"/>
        <v>2.9831999999999996</v>
      </c>
      <c r="M121" s="532">
        <f t="shared" si="48"/>
        <v>24.86</v>
      </c>
      <c r="N121" s="533"/>
      <c r="O121" s="532">
        <f t="shared" si="49"/>
        <v>3.8781599999999998</v>
      </c>
      <c r="P121" s="438"/>
      <c r="Q121" s="533"/>
      <c r="R121" s="532">
        <f t="shared" si="50"/>
        <v>0</v>
      </c>
      <c r="S121" s="533"/>
      <c r="T121" s="532">
        <f t="shared" si="51"/>
        <v>27.283999999999999</v>
      </c>
      <c r="U121" s="532">
        <f t="shared" si="52"/>
        <v>2.9831999999999996</v>
      </c>
      <c r="V121" s="442" t="s">
        <v>783</v>
      </c>
      <c r="W121" s="534" t="s">
        <v>909</v>
      </c>
      <c r="X121" s="533"/>
      <c r="Y121" s="535"/>
    </row>
    <row r="122" spans="1:25" ht="11.25" customHeight="1" x14ac:dyDescent="0.2">
      <c r="A122" s="488"/>
      <c r="B122" s="487" t="s">
        <v>921</v>
      </c>
      <c r="C122" s="488"/>
      <c r="D122" s="488"/>
      <c r="E122" s="538"/>
      <c r="F122" s="530">
        <v>1</v>
      </c>
      <c r="G122" s="531">
        <v>23.37</v>
      </c>
      <c r="H122" s="531">
        <v>19.45</v>
      </c>
      <c r="I122" s="531">
        <v>0.12</v>
      </c>
      <c r="J122" s="531">
        <v>1</v>
      </c>
      <c r="K122" s="532">
        <f t="shared" si="46"/>
        <v>23.37</v>
      </c>
      <c r="L122" s="532">
        <f t="shared" si="47"/>
        <v>2.8044000000000002</v>
      </c>
      <c r="M122" s="532">
        <f t="shared" si="48"/>
        <v>23.37</v>
      </c>
      <c r="N122" s="533"/>
      <c r="O122" s="532">
        <f t="shared" si="49"/>
        <v>3.6457200000000003</v>
      </c>
      <c r="P122" s="438"/>
      <c r="Q122" s="533"/>
      <c r="R122" s="532">
        <f t="shared" si="50"/>
        <v>0</v>
      </c>
      <c r="S122" s="533"/>
      <c r="T122" s="532">
        <f t="shared" si="51"/>
        <v>25.704000000000001</v>
      </c>
      <c r="U122" s="532">
        <f t="shared" si="52"/>
        <v>2.8044000000000002</v>
      </c>
      <c r="V122" s="442" t="s">
        <v>783</v>
      </c>
      <c r="W122" s="534" t="s">
        <v>909</v>
      </c>
      <c r="X122" s="533"/>
      <c r="Y122" s="535"/>
    </row>
    <row r="123" spans="1:25" ht="11.25" customHeight="1" x14ac:dyDescent="0.2">
      <c r="A123" s="488"/>
      <c r="B123" s="487" t="s">
        <v>922</v>
      </c>
      <c r="C123" s="488"/>
      <c r="D123" s="488"/>
      <c r="E123" s="538"/>
      <c r="F123" s="530">
        <v>1</v>
      </c>
      <c r="G123" s="531">
        <v>17.88</v>
      </c>
      <c r="H123" s="531">
        <v>17.420000000000002</v>
      </c>
      <c r="I123" s="531">
        <v>0.12</v>
      </c>
      <c r="J123" s="531">
        <v>1</v>
      </c>
      <c r="K123" s="532">
        <f t="shared" si="46"/>
        <v>17.88</v>
      </c>
      <c r="L123" s="532">
        <f t="shared" si="47"/>
        <v>2.1456</v>
      </c>
      <c r="M123" s="532">
        <f t="shared" si="48"/>
        <v>17.88</v>
      </c>
      <c r="N123" s="533"/>
      <c r="O123" s="532">
        <f t="shared" si="49"/>
        <v>2.7892800000000002</v>
      </c>
      <c r="P123" s="438"/>
      <c r="Q123" s="533"/>
      <c r="R123" s="532">
        <f t="shared" si="50"/>
        <v>0</v>
      </c>
      <c r="S123" s="533"/>
      <c r="T123" s="532">
        <f t="shared" si="51"/>
        <v>19.970399999999998</v>
      </c>
      <c r="U123" s="532">
        <f t="shared" si="52"/>
        <v>2.1456</v>
      </c>
      <c r="V123" s="442" t="s">
        <v>783</v>
      </c>
      <c r="W123" s="534" t="s">
        <v>909</v>
      </c>
      <c r="X123" s="533"/>
      <c r="Y123" s="535"/>
    </row>
    <row r="124" spans="1:25" ht="11.25" customHeight="1" x14ac:dyDescent="0.2">
      <c r="A124" s="488"/>
      <c r="B124" s="487" t="s">
        <v>923</v>
      </c>
      <c r="C124" s="488"/>
      <c r="D124" s="488"/>
      <c r="E124" s="538"/>
      <c r="F124" s="530">
        <v>1</v>
      </c>
      <c r="G124" s="531">
        <v>6.07</v>
      </c>
      <c r="H124" s="531">
        <v>10.71</v>
      </c>
      <c r="I124" s="531">
        <v>0.12</v>
      </c>
      <c r="J124" s="531">
        <v>1</v>
      </c>
      <c r="K124" s="532">
        <f t="shared" si="46"/>
        <v>6.07</v>
      </c>
      <c r="L124" s="532">
        <f t="shared" si="47"/>
        <v>0.72840000000000005</v>
      </c>
      <c r="M124" s="532">
        <f t="shared" si="48"/>
        <v>6.07</v>
      </c>
      <c r="N124" s="533"/>
      <c r="O124" s="532">
        <f t="shared" si="49"/>
        <v>0.94692000000000009</v>
      </c>
      <c r="P124" s="438"/>
      <c r="Q124" s="533"/>
      <c r="R124" s="532">
        <f t="shared" si="50"/>
        <v>0</v>
      </c>
      <c r="S124" s="533"/>
      <c r="T124" s="532">
        <f t="shared" si="51"/>
        <v>7.3552</v>
      </c>
      <c r="U124" s="532">
        <f t="shared" si="52"/>
        <v>0.72840000000000005</v>
      </c>
      <c r="V124" s="442" t="s">
        <v>783</v>
      </c>
      <c r="W124" s="534" t="s">
        <v>909</v>
      </c>
      <c r="X124" s="533"/>
      <c r="Y124" s="535"/>
    </row>
    <row r="125" spans="1:25" ht="11.25" customHeight="1" x14ac:dyDescent="0.2">
      <c r="A125" s="488"/>
      <c r="B125" s="487" t="s">
        <v>924</v>
      </c>
      <c r="C125" s="488"/>
      <c r="D125" s="488"/>
      <c r="E125" s="539" t="s">
        <v>925</v>
      </c>
      <c r="F125" s="530">
        <v>1</v>
      </c>
      <c r="G125" s="531">
        <v>3.17</v>
      </c>
      <c r="H125" s="531">
        <v>7.13</v>
      </c>
      <c r="I125" s="531">
        <v>0.15</v>
      </c>
      <c r="J125" s="531">
        <v>1</v>
      </c>
      <c r="K125" s="532">
        <f t="shared" si="46"/>
        <v>3.17</v>
      </c>
      <c r="L125" s="532">
        <f t="shared" si="47"/>
        <v>0.47549999999999998</v>
      </c>
      <c r="M125" s="532">
        <f t="shared" si="48"/>
        <v>3.17</v>
      </c>
      <c r="N125" s="533"/>
      <c r="O125" s="532">
        <f t="shared" si="49"/>
        <v>0.61814999999999998</v>
      </c>
      <c r="P125" s="438"/>
      <c r="Q125" s="533"/>
      <c r="R125" s="532">
        <f t="shared" si="50"/>
        <v>0</v>
      </c>
      <c r="S125" s="533"/>
      <c r="T125" s="532">
        <f t="shared" si="51"/>
        <v>4.2394999999999996</v>
      </c>
      <c r="U125" s="532">
        <f t="shared" si="52"/>
        <v>0.47549999999999998</v>
      </c>
      <c r="V125" s="442" t="s">
        <v>783</v>
      </c>
      <c r="W125" s="534" t="s">
        <v>909</v>
      </c>
      <c r="X125" s="533"/>
      <c r="Y125" s="535"/>
    </row>
    <row r="126" spans="1:25" ht="11.25" customHeight="1" x14ac:dyDescent="0.2">
      <c r="A126" s="488"/>
      <c r="B126" s="487" t="s">
        <v>926</v>
      </c>
      <c r="C126" s="488"/>
      <c r="D126" s="488"/>
      <c r="E126" s="538"/>
      <c r="F126" s="530">
        <v>1</v>
      </c>
      <c r="G126" s="531">
        <v>9.5399999999999991</v>
      </c>
      <c r="H126" s="531">
        <v>12.61</v>
      </c>
      <c r="I126" s="531">
        <v>0.12</v>
      </c>
      <c r="J126" s="531">
        <v>1</v>
      </c>
      <c r="K126" s="532">
        <f t="shared" si="46"/>
        <v>9.5399999999999991</v>
      </c>
      <c r="L126" s="532">
        <f t="shared" si="47"/>
        <v>1.1447999999999998</v>
      </c>
      <c r="M126" s="532">
        <f t="shared" si="48"/>
        <v>9.5399999999999991</v>
      </c>
      <c r="N126" s="533"/>
      <c r="O126" s="532">
        <f t="shared" si="49"/>
        <v>1.4882399999999998</v>
      </c>
      <c r="P126" s="438"/>
      <c r="Q126" s="533"/>
      <c r="R126" s="532">
        <f t="shared" si="50"/>
        <v>0</v>
      </c>
      <c r="S126" s="533"/>
      <c r="T126" s="532">
        <f t="shared" si="51"/>
        <v>11.053199999999999</v>
      </c>
      <c r="U126" s="532">
        <f t="shared" si="52"/>
        <v>1.1447999999999998</v>
      </c>
      <c r="V126" s="442" t="s">
        <v>783</v>
      </c>
      <c r="W126" s="534" t="s">
        <v>909</v>
      </c>
      <c r="X126" s="533"/>
      <c r="Y126" s="535"/>
    </row>
    <row r="127" spans="1:25" ht="11.25" customHeight="1" x14ac:dyDescent="0.2">
      <c r="A127" s="488"/>
      <c r="B127" s="487" t="s">
        <v>927</v>
      </c>
      <c r="C127" s="488"/>
      <c r="D127" s="488"/>
      <c r="E127" s="538"/>
      <c r="F127" s="530">
        <v>1</v>
      </c>
      <c r="G127" s="531">
        <v>34.07</v>
      </c>
      <c r="H127" s="531">
        <v>23.74</v>
      </c>
      <c r="I127" s="531">
        <v>0.14000000000000001</v>
      </c>
      <c r="J127" s="531">
        <v>1</v>
      </c>
      <c r="K127" s="532">
        <f t="shared" si="46"/>
        <v>34.07</v>
      </c>
      <c r="L127" s="532">
        <f t="shared" si="47"/>
        <v>4.7698000000000009</v>
      </c>
      <c r="M127" s="532">
        <f t="shared" si="48"/>
        <v>34.07</v>
      </c>
      <c r="N127" s="533"/>
      <c r="O127" s="532">
        <f t="shared" si="49"/>
        <v>6.2007400000000015</v>
      </c>
      <c r="P127" s="438"/>
      <c r="Q127" s="533"/>
      <c r="R127" s="532">
        <f t="shared" si="50"/>
        <v>0</v>
      </c>
      <c r="S127" s="533"/>
      <c r="T127" s="532">
        <f t="shared" si="51"/>
        <v>37.393599999999999</v>
      </c>
      <c r="U127" s="532">
        <f t="shared" si="52"/>
        <v>4.7698000000000009</v>
      </c>
      <c r="V127" s="442" t="s">
        <v>783</v>
      </c>
      <c r="W127" s="534" t="s">
        <v>909</v>
      </c>
      <c r="X127" s="533"/>
      <c r="Y127" s="535"/>
    </row>
    <row r="128" spans="1:25" ht="11.25" customHeight="1" x14ac:dyDescent="0.2">
      <c r="A128" s="488"/>
      <c r="B128" s="487" t="s">
        <v>928</v>
      </c>
      <c r="C128" s="488"/>
      <c r="D128" s="488"/>
      <c r="E128" s="538"/>
      <c r="F128" s="530">
        <v>1</v>
      </c>
      <c r="G128" s="531">
        <v>30.81</v>
      </c>
      <c r="H128" s="531">
        <v>22.55</v>
      </c>
      <c r="I128" s="531">
        <v>0.12</v>
      </c>
      <c r="J128" s="531">
        <v>1</v>
      </c>
      <c r="K128" s="532">
        <f t="shared" si="46"/>
        <v>30.81</v>
      </c>
      <c r="L128" s="532">
        <f t="shared" si="47"/>
        <v>3.6971999999999996</v>
      </c>
      <c r="M128" s="532">
        <f t="shared" si="48"/>
        <v>30.81</v>
      </c>
      <c r="N128" s="533"/>
      <c r="O128" s="532">
        <f t="shared" si="49"/>
        <v>4.8063599999999997</v>
      </c>
      <c r="P128" s="438"/>
      <c r="Q128" s="533"/>
      <c r="R128" s="532">
        <f t="shared" si="50"/>
        <v>0</v>
      </c>
      <c r="S128" s="533"/>
      <c r="T128" s="532">
        <f t="shared" si="51"/>
        <v>33.515999999999998</v>
      </c>
      <c r="U128" s="532">
        <f t="shared" si="52"/>
        <v>3.6971999999999996</v>
      </c>
      <c r="V128" s="442" t="s">
        <v>783</v>
      </c>
      <c r="W128" s="534" t="s">
        <v>909</v>
      </c>
      <c r="X128" s="533"/>
      <c r="Y128" s="535"/>
    </row>
    <row r="129" spans="1:25" ht="11.25" customHeight="1" x14ac:dyDescent="0.2">
      <c r="A129" s="488"/>
      <c r="B129" s="487" t="s">
        <v>929</v>
      </c>
      <c r="C129" s="488"/>
      <c r="D129" s="488"/>
      <c r="E129" s="538"/>
      <c r="F129" s="530">
        <v>1</v>
      </c>
      <c r="G129" s="531">
        <v>27.47</v>
      </c>
      <c r="H129" s="531">
        <v>21.23</v>
      </c>
      <c r="I129" s="531">
        <v>0.12</v>
      </c>
      <c r="J129" s="531">
        <v>1</v>
      </c>
      <c r="K129" s="532">
        <f t="shared" si="46"/>
        <v>27.47</v>
      </c>
      <c r="L129" s="532">
        <f t="shared" si="47"/>
        <v>3.2963999999999998</v>
      </c>
      <c r="M129" s="532">
        <f t="shared" si="48"/>
        <v>27.47</v>
      </c>
      <c r="N129" s="533"/>
      <c r="O129" s="532">
        <f t="shared" si="49"/>
        <v>4.2853199999999996</v>
      </c>
      <c r="P129" s="438"/>
      <c r="Q129" s="533"/>
      <c r="R129" s="532">
        <f t="shared" si="50"/>
        <v>0</v>
      </c>
      <c r="S129" s="533"/>
      <c r="T129" s="532">
        <f t="shared" si="51"/>
        <v>30.017599999999998</v>
      </c>
      <c r="U129" s="532">
        <f t="shared" si="52"/>
        <v>3.2963999999999998</v>
      </c>
      <c r="V129" s="442" t="s">
        <v>783</v>
      </c>
      <c r="W129" s="534" t="s">
        <v>909</v>
      </c>
      <c r="X129" s="533"/>
      <c r="Y129" s="535"/>
    </row>
    <row r="130" spans="1:25" ht="11.25" customHeight="1" x14ac:dyDescent="0.2">
      <c r="A130" s="488"/>
      <c r="B130" s="487" t="s">
        <v>930</v>
      </c>
      <c r="C130" s="488"/>
      <c r="D130" s="488"/>
      <c r="E130" s="538"/>
      <c r="F130" s="530">
        <v>1</v>
      </c>
      <c r="G130" s="531">
        <v>19.399999999999999</v>
      </c>
      <c r="H130" s="531">
        <v>18.04</v>
      </c>
      <c r="I130" s="531">
        <v>0.12</v>
      </c>
      <c r="J130" s="531">
        <v>1</v>
      </c>
      <c r="K130" s="532">
        <f t="shared" si="46"/>
        <v>19.399999999999999</v>
      </c>
      <c r="L130" s="532">
        <f t="shared" si="47"/>
        <v>2.3279999999999998</v>
      </c>
      <c r="M130" s="532">
        <f t="shared" si="48"/>
        <v>19.399999999999999</v>
      </c>
      <c r="N130" s="533"/>
      <c r="O130" s="532">
        <f t="shared" si="49"/>
        <v>3.0263999999999998</v>
      </c>
      <c r="P130" s="438"/>
      <c r="Q130" s="533"/>
      <c r="R130" s="532">
        <f t="shared" si="50"/>
        <v>0</v>
      </c>
      <c r="S130" s="533"/>
      <c r="T130" s="532">
        <f t="shared" si="51"/>
        <v>21.564799999999998</v>
      </c>
      <c r="U130" s="532">
        <f t="shared" si="52"/>
        <v>2.3279999999999998</v>
      </c>
      <c r="V130" s="442" t="s">
        <v>783</v>
      </c>
      <c r="W130" s="534" t="s">
        <v>909</v>
      </c>
      <c r="X130" s="533"/>
      <c r="Y130" s="535"/>
    </row>
    <row r="131" spans="1:25" ht="11.25" customHeight="1" x14ac:dyDescent="0.2">
      <c r="A131" s="488"/>
      <c r="B131" s="487" t="s">
        <v>931</v>
      </c>
      <c r="C131" s="488"/>
      <c r="D131" s="488"/>
      <c r="E131" s="538"/>
      <c r="F131" s="530">
        <v>1</v>
      </c>
      <c r="G131" s="531">
        <v>20.75</v>
      </c>
      <c r="H131" s="531">
        <v>18.66</v>
      </c>
      <c r="I131" s="531">
        <v>0.12</v>
      </c>
      <c r="J131" s="531">
        <v>1</v>
      </c>
      <c r="K131" s="532">
        <f t="shared" si="46"/>
        <v>20.75</v>
      </c>
      <c r="L131" s="532">
        <f t="shared" si="47"/>
        <v>2.4899999999999998</v>
      </c>
      <c r="M131" s="532">
        <f t="shared" si="48"/>
        <v>20.75</v>
      </c>
      <c r="N131" s="533"/>
      <c r="O131" s="532">
        <f t="shared" si="49"/>
        <v>3.2369999999999997</v>
      </c>
      <c r="P131" s="438"/>
      <c r="Q131" s="533"/>
      <c r="R131" s="532">
        <f t="shared" si="50"/>
        <v>0</v>
      </c>
      <c r="S131" s="533"/>
      <c r="T131" s="532">
        <f t="shared" si="51"/>
        <v>22.9892</v>
      </c>
      <c r="U131" s="532">
        <f t="shared" si="52"/>
        <v>2.4899999999999998</v>
      </c>
      <c r="V131" s="442" t="s">
        <v>783</v>
      </c>
      <c r="W131" s="534" t="s">
        <v>909</v>
      </c>
      <c r="X131" s="533"/>
      <c r="Y131" s="535"/>
    </row>
    <row r="132" spans="1:25" ht="11.25" customHeight="1" x14ac:dyDescent="0.2">
      <c r="A132" s="488"/>
      <c r="B132" s="487" t="s">
        <v>932</v>
      </c>
      <c r="C132" s="488"/>
      <c r="D132" s="488"/>
      <c r="E132" s="538"/>
      <c r="F132" s="530">
        <v>1</v>
      </c>
      <c r="G132" s="531">
        <v>21.19</v>
      </c>
      <c r="H132" s="531">
        <v>18.510000000000002</v>
      </c>
      <c r="I132" s="531">
        <v>0.12</v>
      </c>
      <c r="J132" s="531">
        <v>1</v>
      </c>
      <c r="K132" s="532">
        <f t="shared" si="46"/>
        <v>21.19</v>
      </c>
      <c r="L132" s="532">
        <f t="shared" si="47"/>
        <v>2.5428000000000002</v>
      </c>
      <c r="M132" s="532">
        <f t="shared" si="48"/>
        <v>21.19</v>
      </c>
      <c r="N132" s="533"/>
      <c r="O132" s="532">
        <f t="shared" si="49"/>
        <v>3.3056400000000004</v>
      </c>
      <c r="P132" s="438"/>
      <c r="Q132" s="533"/>
      <c r="R132" s="532">
        <f t="shared" si="50"/>
        <v>0</v>
      </c>
      <c r="S132" s="533"/>
      <c r="T132" s="532">
        <f t="shared" si="51"/>
        <v>23.411200000000001</v>
      </c>
      <c r="U132" s="532">
        <f t="shared" si="52"/>
        <v>2.5428000000000002</v>
      </c>
      <c r="V132" s="442" t="s">
        <v>783</v>
      </c>
      <c r="W132" s="534" t="s">
        <v>909</v>
      </c>
      <c r="X132" s="533"/>
      <c r="Y132" s="535"/>
    </row>
    <row r="133" spans="1:25" ht="11.25" customHeight="1" x14ac:dyDescent="0.2">
      <c r="A133" s="488"/>
      <c r="B133" s="487" t="s">
        <v>933</v>
      </c>
      <c r="C133" s="488"/>
      <c r="D133" s="488"/>
      <c r="E133" s="539" t="s">
        <v>925</v>
      </c>
      <c r="F133" s="530">
        <v>1</v>
      </c>
      <c r="G133" s="531">
        <v>3.26</v>
      </c>
      <c r="H133" s="531">
        <v>7.23</v>
      </c>
      <c r="I133" s="531">
        <v>0.15</v>
      </c>
      <c r="J133" s="531">
        <v>1</v>
      </c>
      <c r="K133" s="532">
        <f t="shared" si="46"/>
        <v>3.26</v>
      </c>
      <c r="L133" s="532">
        <f t="shared" si="47"/>
        <v>0.48899999999999993</v>
      </c>
      <c r="M133" s="532">
        <f t="shared" si="48"/>
        <v>3.26</v>
      </c>
      <c r="N133" s="533"/>
      <c r="O133" s="532">
        <f t="shared" si="49"/>
        <v>0.63569999999999993</v>
      </c>
      <c r="P133" s="438"/>
      <c r="Q133" s="533"/>
      <c r="R133" s="532">
        <f t="shared" si="50"/>
        <v>0</v>
      </c>
      <c r="S133" s="533"/>
      <c r="T133" s="532">
        <f t="shared" si="51"/>
        <v>4.3445</v>
      </c>
      <c r="U133" s="532">
        <f t="shared" si="52"/>
        <v>0.48899999999999993</v>
      </c>
      <c r="V133" s="442" t="s">
        <v>783</v>
      </c>
      <c r="W133" s="534" t="s">
        <v>909</v>
      </c>
      <c r="X133" s="533"/>
      <c r="Y133" s="535"/>
    </row>
    <row r="134" spans="1:25" ht="11.25" customHeight="1" x14ac:dyDescent="0.2">
      <c r="A134" s="488"/>
      <c r="B134" s="487" t="s">
        <v>934</v>
      </c>
      <c r="C134" s="488"/>
      <c r="D134" s="488"/>
      <c r="E134" s="538"/>
      <c r="F134" s="530">
        <v>1</v>
      </c>
      <c r="G134" s="531">
        <v>3.99</v>
      </c>
      <c r="H134" s="531">
        <v>9.4600000000000009</v>
      </c>
      <c r="I134" s="531">
        <v>0.12</v>
      </c>
      <c r="J134" s="531">
        <v>1</v>
      </c>
      <c r="K134" s="532">
        <f t="shared" si="46"/>
        <v>3.99</v>
      </c>
      <c r="L134" s="532">
        <f t="shared" si="47"/>
        <v>0.4788</v>
      </c>
      <c r="M134" s="532">
        <f t="shared" si="48"/>
        <v>3.99</v>
      </c>
      <c r="N134" s="533"/>
      <c r="O134" s="532">
        <f t="shared" si="49"/>
        <v>0.62243999999999999</v>
      </c>
      <c r="P134" s="438"/>
      <c r="Q134" s="533"/>
      <c r="R134" s="532">
        <f t="shared" si="50"/>
        <v>0</v>
      </c>
      <c r="S134" s="533"/>
      <c r="T134" s="532">
        <f t="shared" si="51"/>
        <v>5.1252000000000004</v>
      </c>
      <c r="U134" s="532">
        <f t="shared" si="52"/>
        <v>0.4788</v>
      </c>
      <c r="V134" s="442" t="s">
        <v>783</v>
      </c>
      <c r="W134" s="534" t="s">
        <v>909</v>
      </c>
      <c r="X134" s="533"/>
      <c r="Y134" s="535"/>
    </row>
    <row r="135" spans="1:25" ht="11.25" customHeight="1" x14ac:dyDescent="0.2">
      <c r="A135" s="488"/>
      <c r="B135" s="487" t="s">
        <v>935</v>
      </c>
      <c r="C135" s="488"/>
      <c r="D135" s="488"/>
      <c r="E135" s="538"/>
      <c r="F135" s="530">
        <v>1</v>
      </c>
      <c r="G135" s="531">
        <v>5.65</v>
      </c>
      <c r="H135" s="531">
        <v>9.64</v>
      </c>
      <c r="I135" s="531">
        <v>0.12</v>
      </c>
      <c r="J135" s="531">
        <v>1</v>
      </c>
      <c r="K135" s="532">
        <f t="shared" si="46"/>
        <v>5.65</v>
      </c>
      <c r="L135" s="532">
        <f t="shared" si="47"/>
        <v>0.67800000000000005</v>
      </c>
      <c r="M135" s="532">
        <f t="shared" si="48"/>
        <v>5.65</v>
      </c>
      <c r="N135" s="533"/>
      <c r="O135" s="532">
        <f t="shared" si="49"/>
        <v>0.88140000000000007</v>
      </c>
      <c r="P135" s="438"/>
      <c r="Q135" s="533"/>
      <c r="R135" s="532">
        <f t="shared" si="50"/>
        <v>0</v>
      </c>
      <c r="S135" s="533"/>
      <c r="T135" s="532">
        <f t="shared" si="51"/>
        <v>6.8068000000000008</v>
      </c>
      <c r="U135" s="532">
        <f t="shared" si="52"/>
        <v>0.67800000000000005</v>
      </c>
      <c r="V135" s="442" t="s">
        <v>783</v>
      </c>
      <c r="W135" s="534" t="s">
        <v>909</v>
      </c>
      <c r="X135" s="533"/>
      <c r="Y135" s="535"/>
    </row>
    <row r="136" spans="1:25" ht="11.25" customHeight="1" x14ac:dyDescent="0.2">
      <c r="A136" s="488"/>
      <c r="B136" s="487" t="s">
        <v>936</v>
      </c>
      <c r="C136" s="488"/>
      <c r="D136" s="488"/>
      <c r="E136" s="538"/>
      <c r="F136" s="530">
        <v>1</v>
      </c>
      <c r="G136" s="531">
        <v>0.28999999999999998</v>
      </c>
      <c r="H136" s="531">
        <v>0.25600000000000001</v>
      </c>
      <c r="I136" s="531">
        <v>0.12</v>
      </c>
      <c r="J136" s="531">
        <v>1</v>
      </c>
      <c r="K136" s="532">
        <f t="shared" si="46"/>
        <v>0.28999999999999998</v>
      </c>
      <c r="L136" s="532">
        <f t="shared" si="47"/>
        <v>3.4799999999999998E-2</v>
      </c>
      <c r="M136" s="532">
        <f t="shared" si="48"/>
        <v>0.28999999999999998</v>
      </c>
      <c r="N136" s="533"/>
      <c r="O136" s="532">
        <f t="shared" si="49"/>
        <v>4.5239999999999995E-2</v>
      </c>
      <c r="P136" s="438"/>
      <c r="Q136" s="533"/>
      <c r="R136" s="532">
        <f t="shared" si="50"/>
        <v>0</v>
      </c>
      <c r="S136" s="533"/>
      <c r="T136" s="532">
        <f t="shared" si="51"/>
        <v>0.32072000000000001</v>
      </c>
      <c r="U136" s="532">
        <f t="shared" si="52"/>
        <v>3.4799999999999998E-2</v>
      </c>
      <c r="V136" s="442" t="s">
        <v>783</v>
      </c>
      <c r="W136" s="534" t="s">
        <v>909</v>
      </c>
      <c r="X136" s="533"/>
      <c r="Y136" s="535"/>
    </row>
    <row r="137" spans="1:25" ht="11.25" customHeight="1" x14ac:dyDescent="0.2">
      <c r="A137" s="488"/>
      <c r="B137" s="487" t="s">
        <v>937</v>
      </c>
      <c r="C137" s="488"/>
      <c r="D137" s="488"/>
      <c r="E137" s="538"/>
      <c r="F137" s="530">
        <v>1</v>
      </c>
      <c r="G137" s="531">
        <v>1.47</v>
      </c>
      <c r="H137" s="531">
        <v>5.01</v>
      </c>
      <c r="I137" s="531">
        <v>0.12</v>
      </c>
      <c r="J137" s="531">
        <v>1</v>
      </c>
      <c r="K137" s="532">
        <f t="shared" si="46"/>
        <v>1.47</v>
      </c>
      <c r="L137" s="532">
        <f t="shared" si="47"/>
        <v>0.1764</v>
      </c>
      <c r="M137" s="532">
        <f t="shared" si="48"/>
        <v>1.47</v>
      </c>
      <c r="N137" s="533"/>
      <c r="O137" s="532">
        <f t="shared" si="49"/>
        <v>0.22932</v>
      </c>
      <c r="P137" s="438"/>
      <c r="Q137" s="533"/>
      <c r="R137" s="532">
        <f t="shared" si="50"/>
        <v>0</v>
      </c>
      <c r="S137" s="533"/>
      <c r="T137" s="532">
        <f t="shared" si="51"/>
        <v>2.0712000000000002</v>
      </c>
      <c r="U137" s="532">
        <f t="shared" si="52"/>
        <v>0.1764</v>
      </c>
      <c r="V137" s="442" t="s">
        <v>783</v>
      </c>
      <c r="W137" s="534" t="s">
        <v>909</v>
      </c>
      <c r="X137" s="533"/>
      <c r="Y137" s="535"/>
    </row>
    <row r="138" spans="1:25" ht="11.25" customHeight="1" x14ac:dyDescent="0.2">
      <c r="A138" s="488"/>
      <c r="B138" s="487" t="s">
        <v>938</v>
      </c>
      <c r="C138" s="488"/>
      <c r="D138" s="488"/>
      <c r="E138" s="538"/>
      <c r="F138" s="530">
        <v>1</v>
      </c>
      <c r="G138" s="531">
        <v>43.68</v>
      </c>
      <c r="H138" s="531">
        <v>26.56</v>
      </c>
      <c r="I138" s="531">
        <v>0.14000000000000001</v>
      </c>
      <c r="J138" s="531">
        <v>1</v>
      </c>
      <c r="K138" s="532">
        <f t="shared" si="46"/>
        <v>43.68</v>
      </c>
      <c r="L138" s="532">
        <f t="shared" si="47"/>
        <v>6.1152000000000006</v>
      </c>
      <c r="M138" s="532">
        <f t="shared" si="48"/>
        <v>43.68</v>
      </c>
      <c r="N138" s="533"/>
      <c r="O138" s="532">
        <f t="shared" si="49"/>
        <v>7.9497600000000013</v>
      </c>
      <c r="P138" s="438"/>
      <c r="Q138" s="533"/>
      <c r="R138" s="532">
        <f t="shared" si="50"/>
        <v>0</v>
      </c>
      <c r="S138" s="533"/>
      <c r="T138" s="532">
        <f t="shared" si="51"/>
        <v>47.398400000000002</v>
      </c>
      <c r="U138" s="532">
        <f t="shared" si="52"/>
        <v>6.1152000000000006</v>
      </c>
      <c r="V138" s="442" t="s">
        <v>783</v>
      </c>
      <c r="W138" s="534" t="s">
        <v>909</v>
      </c>
      <c r="X138" s="533"/>
      <c r="Y138" s="535"/>
    </row>
    <row r="139" spans="1:25" ht="11.25" customHeight="1" x14ac:dyDescent="0.2">
      <c r="A139" s="488"/>
      <c r="B139" s="487" t="s">
        <v>939</v>
      </c>
      <c r="C139" s="488"/>
      <c r="D139" s="488"/>
      <c r="E139" s="538"/>
      <c r="F139" s="530">
        <v>1</v>
      </c>
      <c r="G139" s="531">
        <v>34.340000000000003</v>
      </c>
      <c r="H139" s="531">
        <v>24.04</v>
      </c>
      <c r="I139" s="531">
        <v>0.12</v>
      </c>
      <c r="J139" s="531">
        <v>1</v>
      </c>
      <c r="K139" s="532">
        <f t="shared" si="46"/>
        <v>34.340000000000003</v>
      </c>
      <c r="L139" s="532">
        <f t="shared" si="47"/>
        <v>4.1208</v>
      </c>
      <c r="M139" s="532">
        <f t="shared" si="48"/>
        <v>34.340000000000003</v>
      </c>
      <c r="N139" s="533"/>
      <c r="O139" s="532">
        <f t="shared" si="49"/>
        <v>5.3570400000000005</v>
      </c>
      <c r="P139" s="438"/>
      <c r="Q139" s="533"/>
      <c r="R139" s="532">
        <f t="shared" si="50"/>
        <v>0</v>
      </c>
      <c r="S139" s="533"/>
      <c r="T139" s="532">
        <f t="shared" si="51"/>
        <v>37.224800000000002</v>
      </c>
      <c r="U139" s="532">
        <f t="shared" si="52"/>
        <v>4.1208</v>
      </c>
      <c r="V139" s="442" t="s">
        <v>783</v>
      </c>
      <c r="W139" s="534" t="s">
        <v>909</v>
      </c>
      <c r="X139" s="533"/>
      <c r="Y139" s="535"/>
    </row>
    <row r="140" spans="1:25" ht="11.25" customHeight="1" x14ac:dyDescent="0.2">
      <c r="A140" s="488"/>
      <c r="B140" s="487" t="s">
        <v>940</v>
      </c>
      <c r="C140" s="488"/>
      <c r="D140" s="488"/>
      <c r="E140" s="538"/>
      <c r="F140" s="530">
        <v>1</v>
      </c>
      <c r="G140" s="531">
        <v>32.47</v>
      </c>
      <c r="H140" s="531">
        <v>23.82</v>
      </c>
      <c r="I140" s="531">
        <v>0.14000000000000001</v>
      </c>
      <c r="J140" s="531">
        <v>1</v>
      </c>
      <c r="K140" s="532">
        <f t="shared" si="46"/>
        <v>32.47</v>
      </c>
      <c r="L140" s="532">
        <f t="shared" si="47"/>
        <v>4.5457999999999998</v>
      </c>
      <c r="M140" s="532">
        <f t="shared" si="48"/>
        <v>32.47</v>
      </c>
      <c r="N140" s="533"/>
      <c r="O140" s="532">
        <f t="shared" si="49"/>
        <v>5.9095399999999998</v>
      </c>
      <c r="P140" s="438"/>
      <c r="Q140" s="533"/>
      <c r="R140" s="532">
        <f t="shared" si="50"/>
        <v>0</v>
      </c>
      <c r="S140" s="533"/>
      <c r="T140" s="532">
        <f t="shared" si="51"/>
        <v>35.8048</v>
      </c>
      <c r="U140" s="532">
        <f t="shared" si="52"/>
        <v>4.5457999999999998</v>
      </c>
      <c r="V140" s="442" t="s">
        <v>783</v>
      </c>
      <c r="W140" s="534" t="s">
        <v>909</v>
      </c>
      <c r="X140" s="533"/>
      <c r="Y140" s="535"/>
    </row>
    <row r="141" spans="1:25" ht="11.25" customHeight="1" x14ac:dyDescent="0.2">
      <c r="A141" s="488"/>
      <c r="B141" s="487" t="s">
        <v>941</v>
      </c>
      <c r="C141" s="488"/>
      <c r="D141" s="488"/>
      <c r="E141" s="538"/>
      <c r="F141" s="530">
        <v>1</v>
      </c>
      <c r="G141" s="531">
        <v>8.66</v>
      </c>
      <c r="H141" s="531">
        <v>12.08</v>
      </c>
      <c r="I141" s="531">
        <v>0.14000000000000001</v>
      </c>
      <c r="J141" s="531">
        <v>1</v>
      </c>
      <c r="K141" s="532">
        <f t="shared" si="46"/>
        <v>8.66</v>
      </c>
      <c r="L141" s="532">
        <f t="shared" si="47"/>
        <v>1.2124000000000001</v>
      </c>
      <c r="M141" s="532">
        <f t="shared" si="48"/>
        <v>8.66</v>
      </c>
      <c r="N141" s="533"/>
      <c r="O141" s="532">
        <f t="shared" si="49"/>
        <v>1.5761200000000002</v>
      </c>
      <c r="P141" s="438"/>
      <c r="Q141" s="533"/>
      <c r="R141" s="532">
        <f t="shared" si="50"/>
        <v>0</v>
      </c>
      <c r="S141" s="533"/>
      <c r="T141" s="532">
        <f t="shared" si="51"/>
        <v>10.3512</v>
      </c>
      <c r="U141" s="532">
        <f t="shared" si="52"/>
        <v>1.2124000000000001</v>
      </c>
      <c r="V141" s="442" t="s">
        <v>783</v>
      </c>
      <c r="W141" s="534" t="s">
        <v>909</v>
      </c>
      <c r="X141" s="533"/>
      <c r="Y141" s="535"/>
    </row>
    <row r="142" spans="1:25" ht="11.25" customHeight="1" x14ac:dyDescent="0.2">
      <c r="A142" s="488"/>
      <c r="B142" s="487" t="s">
        <v>942</v>
      </c>
      <c r="C142" s="488"/>
      <c r="D142" s="488"/>
      <c r="E142" s="538"/>
      <c r="F142" s="530">
        <v>1</v>
      </c>
      <c r="G142" s="531">
        <v>43.3</v>
      </c>
      <c r="H142" s="531">
        <v>26.33</v>
      </c>
      <c r="I142" s="531">
        <v>0.14000000000000001</v>
      </c>
      <c r="J142" s="531">
        <v>1</v>
      </c>
      <c r="K142" s="532">
        <f t="shared" si="46"/>
        <v>43.3</v>
      </c>
      <c r="L142" s="532">
        <f t="shared" si="47"/>
        <v>6.0620000000000003</v>
      </c>
      <c r="M142" s="532">
        <f t="shared" si="48"/>
        <v>43.3</v>
      </c>
      <c r="N142" s="533"/>
      <c r="O142" s="532">
        <f t="shared" si="49"/>
        <v>7.8806000000000003</v>
      </c>
      <c r="P142" s="438"/>
      <c r="Q142" s="533"/>
      <c r="R142" s="532">
        <f t="shared" si="50"/>
        <v>0</v>
      </c>
      <c r="S142" s="533"/>
      <c r="T142" s="532">
        <f t="shared" si="51"/>
        <v>46.986199999999997</v>
      </c>
      <c r="U142" s="532">
        <f t="shared" si="52"/>
        <v>6.0620000000000003</v>
      </c>
      <c r="V142" s="442" t="s">
        <v>783</v>
      </c>
      <c r="W142" s="534" t="s">
        <v>909</v>
      </c>
      <c r="X142" s="533"/>
      <c r="Y142" s="535"/>
    </row>
    <row r="143" spans="1:25" ht="11.25" customHeight="1" x14ac:dyDescent="0.2">
      <c r="A143" s="488"/>
      <c r="B143" s="487" t="s">
        <v>943</v>
      </c>
      <c r="C143" s="488"/>
      <c r="D143" s="488"/>
      <c r="E143" s="538"/>
      <c r="F143" s="530">
        <v>1</v>
      </c>
      <c r="G143" s="531">
        <v>37.25</v>
      </c>
      <c r="H143" s="531">
        <v>24.46</v>
      </c>
      <c r="I143" s="531">
        <v>0.14000000000000001</v>
      </c>
      <c r="J143" s="531">
        <v>1</v>
      </c>
      <c r="K143" s="532">
        <f t="shared" si="46"/>
        <v>37.25</v>
      </c>
      <c r="L143" s="532">
        <f t="shared" si="47"/>
        <v>5.2150000000000007</v>
      </c>
      <c r="M143" s="532">
        <f t="shared" si="48"/>
        <v>37.25</v>
      </c>
      <c r="N143" s="533"/>
      <c r="O143" s="532">
        <f t="shared" si="49"/>
        <v>6.7795000000000014</v>
      </c>
      <c r="P143" s="438"/>
      <c r="Q143" s="533"/>
      <c r="R143" s="532">
        <f t="shared" si="50"/>
        <v>0</v>
      </c>
      <c r="S143" s="533"/>
      <c r="T143" s="532">
        <f t="shared" si="51"/>
        <v>40.674399999999999</v>
      </c>
      <c r="U143" s="532">
        <f t="shared" si="52"/>
        <v>5.2150000000000007</v>
      </c>
      <c r="V143" s="442" t="s">
        <v>783</v>
      </c>
      <c r="W143" s="534" t="s">
        <v>909</v>
      </c>
      <c r="X143" s="533"/>
      <c r="Y143" s="535"/>
    </row>
    <row r="144" spans="1:25" ht="11.25" customHeight="1" x14ac:dyDescent="0.2">
      <c r="A144" s="488"/>
      <c r="B144" s="487" t="s">
        <v>944</v>
      </c>
      <c r="C144" s="488"/>
      <c r="D144" s="488"/>
      <c r="E144" s="538"/>
      <c r="F144" s="530">
        <v>1</v>
      </c>
      <c r="G144" s="531">
        <v>31.43</v>
      </c>
      <c r="H144" s="531">
        <v>22.68</v>
      </c>
      <c r="I144" s="531">
        <v>0.12</v>
      </c>
      <c r="J144" s="531">
        <v>1</v>
      </c>
      <c r="K144" s="532">
        <f t="shared" si="46"/>
        <v>31.43</v>
      </c>
      <c r="L144" s="532">
        <f t="shared" si="47"/>
        <v>3.7715999999999998</v>
      </c>
      <c r="M144" s="532">
        <f t="shared" si="48"/>
        <v>31.43</v>
      </c>
      <c r="N144" s="533"/>
      <c r="O144" s="532">
        <f t="shared" si="49"/>
        <v>4.9030800000000001</v>
      </c>
      <c r="P144" s="438"/>
      <c r="Q144" s="533"/>
      <c r="R144" s="532">
        <f t="shared" si="50"/>
        <v>0</v>
      </c>
      <c r="S144" s="533"/>
      <c r="T144" s="532">
        <f t="shared" si="51"/>
        <v>34.151600000000002</v>
      </c>
      <c r="U144" s="532">
        <f t="shared" si="52"/>
        <v>3.7715999999999998</v>
      </c>
      <c r="V144" s="442" t="s">
        <v>783</v>
      </c>
      <c r="W144" s="534" t="s">
        <v>909</v>
      </c>
      <c r="X144" s="533"/>
      <c r="Y144" s="535"/>
    </row>
    <row r="145" spans="1:25" ht="11.25" customHeight="1" x14ac:dyDescent="0.2">
      <c r="A145" s="488"/>
      <c r="B145" s="488"/>
      <c r="C145" s="488"/>
      <c r="D145" s="488"/>
      <c r="E145" s="538"/>
      <c r="F145" s="530">
        <v>1</v>
      </c>
      <c r="G145" s="540"/>
      <c r="H145" s="540"/>
      <c r="I145" s="540"/>
      <c r="J145" s="531">
        <v>1</v>
      </c>
      <c r="K145" s="533">
        <f t="shared" si="46"/>
        <v>0</v>
      </c>
      <c r="L145" s="533"/>
      <c r="M145" s="533"/>
      <c r="N145" s="533"/>
      <c r="O145" s="533"/>
      <c r="P145" s="438"/>
      <c r="Q145" s="533"/>
      <c r="R145" s="533"/>
      <c r="S145" s="533"/>
      <c r="T145" s="532">
        <f t="shared" si="51"/>
        <v>0</v>
      </c>
      <c r="U145" s="532">
        <f t="shared" si="52"/>
        <v>0</v>
      </c>
      <c r="V145" s="442" t="s">
        <v>783</v>
      </c>
      <c r="W145" s="534" t="s">
        <v>909</v>
      </c>
      <c r="X145" s="533"/>
      <c r="Y145" s="535"/>
    </row>
    <row r="146" spans="1:25" ht="11.25" customHeight="1" x14ac:dyDescent="0.2">
      <c r="A146" s="452" t="str">
        <f>"TOTAL GERAL - "&amp;A106</f>
        <v>TOTAL GERAL - LAJE  FUNDAÇÃO</v>
      </c>
      <c r="B146" s="371"/>
      <c r="C146" s="372"/>
      <c r="D146" s="371"/>
      <c r="E146" s="370"/>
      <c r="F146" s="372"/>
      <c r="G146" s="541"/>
      <c r="H146" s="541"/>
      <c r="I146" s="541"/>
      <c r="J146" s="541"/>
      <c r="K146" s="542">
        <f t="shared" ref="K146:O146" si="53">SUM(K110:K145)</f>
        <v>748.32999999999993</v>
      </c>
      <c r="L146" s="542">
        <f t="shared" si="53"/>
        <v>93.981099999999998</v>
      </c>
      <c r="M146" s="542">
        <f t="shared" si="53"/>
        <v>748.32999999999993</v>
      </c>
      <c r="N146" s="542">
        <f t="shared" si="53"/>
        <v>0</v>
      </c>
      <c r="O146" s="542">
        <f t="shared" si="53"/>
        <v>122.17542999999999</v>
      </c>
      <c r="P146" s="541"/>
      <c r="Q146" s="542">
        <f t="shared" ref="Q146:U146" si="54">SUM(Q110:Q145)</f>
        <v>0</v>
      </c>
      <c r="R146" s="542">
        <f t="shared" si="54"/>
        <v>0</v>
      </c>
      <c r="S146" s="542">
        <f t="shared" si="54"/>
        <v>0</v>
      </c>
      <c r="T146" s="542">
        <f t="shared" si="54"/>
        <v>826.03811999999994</v>
      </c>
      <c r="U146" s="542">
        <f t="shared" si="54"/>
        <v>93.981099999999998</v>
      </c>
      <c r="V146" s="541"/>
      <c r="W146" s="541"/>
      <c r="X146" s="542">
        <f t="shared" ref="X146:Y146" si="55">SUM(X109:X111)</f>
        <v>0</v>
      </c>
      <c r="Y146" s="542">
        <f t="shared" si="55"/>
        <v>0</v>
      </c>
    </row>
    <row r="147" spans="1:25" ht="12.75" x14ac:dyDescent="0.2">
      <c r="V147" s="334"/>
    </row>
    <row r="148" spans="1:25" ht="12.75" x14ac:dyDescent="0.2">
      <c r="V148" s="334"/>
    </row>
    <row r="149" spans="1:25" ht="12.75" x14ac:dyDescent="0.2">
      <c r="V149" s="334"/>
    </row>
    <row r="150" spans="1:25" ht="12.75" x14ac:dyDescent="0.2">
      <c r="V150" s="334"/>
    </row>
    <row r="151" spans="1:25" ht="12.75" x14ac:dyDescent="0.2">
      <c r="V151" s="334"/>
    </row>
  </sheetData>
  <autoFilter ref="A9:Y151" xr:uid="{00000000-0009-0000-0000-00000A000000}"/>
  <mergeCells count="18">
    <mergeCell ref="P107:R107"/>
    <mergeCell ref="J53:K53"/>
    <mergeCell ref="P54:R54"/>
    <mergeCell ref="F68:H68"/>
    <mergeCell ref="J68:K68"/>
    <mergeCell ref="L68:V68"/>
    <mergeCell ref="P69:R69"/>
    <mergeCell ref="A88:V88"/>
    <mergeCell ref="P12:R12"/>
    <mergeCell ref="A52:V52"/>
    <mergeCell ref="J89:K89"/>
    <mergeCell ref="P90:R90"/>
    <mergeCell ref="A106:Y106"/>
    <mergeCell ref="E5:E6"/>
    <mergeCell ref="T5:T6"/>
    <mergeCell ref="A10:V10"/>
    <mergeCell ref="J11:K11"/>
    <mergeCell ref="L11:V11"/>
  </mergeCells>
  <dataValidations disablePrompts="1" count="4">
    <dataValidation type="list" allowBlank="1" showErrorMessage="1" sqref="V15:V49 V57:V62 V72:V87 V107 V110:V151 V89:V105" xr:uid="{00000000-0002-0000-0A00-000000000000}">
      <formula1>$O$5:$S$5</formula1>
    </dataValidation>
    <dataValidation type="list" allowBlank="1" showErrorMessage="1" sqref="V56" xr:uid="{00000000-0002-0000-0A00-000001000000}">
      <formula1>$Y$14:$Y$17</formula1>
    </dataValidation>
    <dataValidation type="list" allowBlank="1" showErrorMessage="1" sqref="V55" xr:uid="{00000000-0002-0000-0A00-000002000000}">
      <formula1>$Y$14:$Y$16</formula1>
    </dataValidation>
    <dataValidation type="list" allowBlank="1" showErrorMessage="1" sqref="V14" xr:uid="{00000000-0002-0000-0A00-000003000000}">
      <formula1>$Y$15:$Y$17</formula1>
    </dataValidation>
  </dataValidations>
  <printOptions horizontalCentered="1"/>
  <pageMargins left="0.39370078740157483" right="0" top="0.39370078740157483" bottom="0.39370078740157483" header="0" footer="0"/>
  <pageSetup paperSize="9" orientation="portrait"/>
  <headerFooter>
    <oddFooter>&amp;L&amp;F - &amp;A&amp;R&amp;P /</oddFooter>
  </headerFooter>
  <drawing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851D6"/>
    <pageSetUpPr fitToPage="1"/>
  </sheetPr>
  <dimension ref="A1:R1000"/>
  <sheetViews>
    <sheetView showGridLines="0" workbookViewId="0">
      <pane ySplit="6" topLeftCell="A7" activePane="bottomLeft" state="frozen"/>
      <selection pane="bottomLeft" activeCell="C2" sqref="C2"/>
    </sheetView>
  </sheetViews>
  <sheetFormatPr defaultColWidth="12.5703125" defaultRowHeight="15" customHeight="1" x14ac:dyDescent="0.2"/>
  <cols>
    <col min="1" max="1" width="28.85546875" customWidth="1"/>
    <col min="2" max="2" width="10.28515625" customWidth="1"/>
    <col min="3" max="3" width="9.28515625" customWidth="1"/>
    <col min="4" max="7" width="8.140625" customWidth="1"/>
    <col min="8" max="9" width="8.28515625" customWidth="1"/>
    <col min="10" max="15" width="8.140625" customWidth="1"/>
    <col min="16" max="16" width="9.140625" customWidth="1"/>
    <col min="17" max="17" width="10" customWidth="1"/>
    <col min="18" max="18" width="7.28515625" customWidth="1"/>
    <col min="19" max="19" width="21.28515625" customWidth="1"/>
    <col min="20" max="20" width="10.28515625" customWidth="1"/>
    <col min="21" max="25" width="9.140625" customWidth="1"/>
    <col min="26" max="26" width="8.7109375" customWidth="1"/>
  </cols>
  <sheetData>
    <row r="1" spans="1:18" ht="15" customHeight="1" x14ac:dyDescent="0.2">
      <c r="A1" s="337"/>
      <c r="B1" s="543" t="s">
        <v>0</v>
      </c>
      <c r="C1" s="544" t="str">
        <f>'Obra '!D1</f>
        <v>Mosaico</v>
      </c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545"/>
      <c r="O1" s="546"/>
      <c r="P1" s="334"/>
      <c r="Q1" s="547"/>
      <c r="R1" s="334"/>
    </row>
    <row r="2" spans="1:18" ht="15" customHeight="1" x14ac:dyDescent="0.2">
      <c r="A2" s="341"/>
      <c r="B2" s="543" t="s">
        <v>2</v>
      </c>
      <c r="C2" s="548" t="s">
        <v>3</v>
      </c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545"/>
      <c r="O2" s="549"/>
      <c r="P2" s="334"/>
      <c r="Q2" s="550"/>
      <c r="R2" s="334"/>
    </row>
    <row r="3" spans="1:18" ht="15" customHeight="1" x14ac:dyDescent="0.2">
      <c r="A3" s="344"/>
      <c r="B3" s="543" t="s">
        <v>4</v>
      </c>
      <c r="C3" s="544" t="s">
        <v>5</v>
      </c>
      <c r="D3" s="339"/>
      <c r="E3" s="339"/>
      <c r="F3" s="339"/>
      <c r="G3" s="339"/>
      <c r="H3" s="339"/>
      <c r="I3" s="339"/>
      <c r="J3" s="339"/>
      <c r="K3" s="345"/>
      <c r="L3" s="345"/>
      <c r="M3" s="339"/>
      <c r="N3" s="545"/>
      <c r="O3" s="551"/>
      <c r="P3" s="334"/>
      <c r="Q3" s="552"/>
      <c r="R3" s="334"/>
    </row>
    <row r="4" spans="1:18" ht="21" customHeight="1" x14ac:dyDescent="0.3">
      <c r="A4" s="1123" t="s">
        <v>945</v>
      </c>
      <c r="B4" s="1120"/>
      <c r="C4" s="1120"/>
      <c r="D4" s="1120"/>
      <c r="E4" s="1120"/>
      <c r="F4" s="1120"/>
      <c r="G4" s="1120"/>
      <c r="H4" s="1120"/>
      <c r="I4" s="1120"/>
      <c r="J4" s="1120"/>
      <c r="K4" s="1120"/>
      <c r="L4" s="1120"/>
      <c r="M4" s="1120"/>
      <c r="N4" s="1120"/>
      <c r="O4" s="1120"/>
      <c r="P4" s="1121"/>
      <c r="Q4" s="553"/>
      <c r="R4" s="334"/>
    </row>
    <row r="5" spans="1:18" ht="15" customHeight="1" x14ac:dyDescent="0.2">
      <c r="A5" s="1124" t="s">
        <v>735</v>
      </c>
      <c r="B5" s="1125"/>
      <c r="C5" s="1128" t="s">
        <v>737</v>
      </c>
      <c r="D5" s="1129" t="s">
        <v>742</v>
      </c>
      <c r="E5" s="1063"/>
      <c r="F5" s="1063"/>
      <c r="G5" s="1063"/>
      <c r="H5" s="1063"/>
      <c r="I5" s="1063"/>
      <c r="J5" s="1064"/>
      <c r="K5" s="554" t="s">
        <v>946</v>
      </c>
      <c r="L5" s="1129" t="s">
        <v>946</v>
      </c>
      <c r="M5" s="1063"/>
      <c r="N5" s="1064"/>
      <c r="O5" s="555" t="s">
        <v>947</v>
      </c>
      <c r="P5" s="556" t="s">
        <v>397</v>
      </c>
      <c r="Q5" s="1122" t="s">
        <v>736</v>
      </c>
      <c r="R5" s="334"/>
    </row>
    <row r="6" spans="1:18" ht="16.5" customHeight="1" x14ac:dyDescent="0.2">
      <c r="A6" s="1126"/>
      <c r="B6" s="1127"/>
      <c r="C6" s="1096"/>
      <c r="D6" s="355">
        <v>6.3</v>
      </c>
      <c r="E6" s="355">
        <v>8</v>
      </c>
      <c r="F6" s="355">
        <v>10</v>
      </c>
      <c r="G6" s="355">
        <v>12.5</v>
      </c>
      <c r="H6" s="355">
        <v>16</v>
      </c>
      <c r="I6" s="355">
        <v>20</v>
      </c>
      <c r="J6" s="355">
        <v>25</v>
      </c>
      <c r="K6" s="355">
        <v>5</v>
      </c>
      <c r="L6" s="355">
        <v>4.2</v>
      </c>
      <c r="M6" s="355" t="s">
        <v>948</v>
      </c>
      <c r="N6" s="355">
        <v>0</v>
      </c>
      <c r="O6" s="557" t="s">
        <v>100</v>
      </c>
      <c r="P6" s="558" t="s">
        <v>949</v>
      </c>
      <c r="Q6" s="1082"/>
      <c r="R6" s="334"/>
    </row>
    <row r="7" spans="1:18" ht="13.5" customHeight="1" x14ac:dyDescent="0.2">
      <c r="A7" s="559" t="s">
        <v>808</v>
      </c>
      <c r="B7" s="187"/>
      <c r="C7" s="187"/>
      <c r="D7" s="187"/>
      <c r="E7" s="187"/>
      <c r="F7" s="187"/>
      <c r="G7" s="187"/>
      <c r="H7" s="187"/>
      <c r="I7" s="187"/>
      <c r="J7" s="187"/>
      <c r="K7" s="187"/>
      <c r="L7" s="187"/>
      <c r="M7" s="187"/>
      <c r="N7" s="187"/>
      <c r="O7" s="560">
        <f t="shared" ref="O7:P7" si="0">SUM(O8)</f>
        <v>321.92</v>
      </c>
      <c r="P7" s="560">
        <f t="shared" si="0"/>
        <v>143.27000000000001</v>
      </c>
      <c r="Q7" s="561"/>
      <c r="R7" s="562">
        <f>SUM(D8:L8)/P7</f>
        <v>76.477978641725414</v>
      </c>
    </row>
    <row r="8" spans="1:18" ht="13.5" customHeight="1" x14ac:dyDescent="0.2">
      <c r="A8" s="433" t="s">
        <v>950</v>
      </c>
      <c r="B8" s="563" t="s">
        <v>891</v>
      </c>
      <c r="C8" s="444">
        <v>1</v>
      </c>
      <c r="D8" s="445">
        <v>517</v>
      </c>
      <c r="E8" s="445">
        <v>927</v>
      </c>
      <c r="F8" s="445">
        <v>1736</v>
      </c>
      <c r="G8" s="445">
        <v>1644</v>
      </c>
      <c r="H8" s="445">
        <v>1682</v>
      </c>
      <c r="I8" s="445">
        <v>3999</v>
      </c>
      <c r="J8" s="445">
        <v>382</v>
      </c>
      <c r="K8" s="444">
        <v>61</v>
      </c>
      <c r="L8" s="444">
        <v>9</v>
      </c>
      <c r="M8" s="362"/>
      <c r="N8" s="362"/>
      <c r="O8" s="445">
        <v>321.92</v>
      </c>
      <c r="P8" s="445">
        <v>143.27000000000001</v>
      </c>
      <c r="Q8" s="442" t="s">
        <v>951</v>
      </c>
      <c r="R8" s="334"/>
    </row>
    <row r="9" spans="1:18" ht="13.5" customHeight="1" x14ac:dyDescent="0.2">
      <c r="A9" s="952" t="s">
        <v>5064</v>
      </c>
      <c r="B9" s="187"/>
      <c r="C9" s="187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560">
        <f>SUM(O10:O11)</f>
        <v>638.12000000000012</v>
      </c>
      <c r="P9" s="560">
        <f>SUM(P10:P11)</f>
        <v>82.948499999999996</v>
      </c>
      <c r="Q9" s="564"/>
      <c r="R9" s="562">
        <f>SUM(D10:L11)/P9</f>
        <v>59.815427644863988</v>
      </c>
    </row>
    <row r="10" spans="1:18" ht="13.5" customHeight="1" x14ac:dyDescent="0.2">
      <c r="A10" s="953" t="s">
        <v>952</v>
      </c>
      <c r="B10" s="954" t="s">
        <v>891</v>
      </c>
      <c r="C10" s="955">
        <v>1</v>
      </c>
      <c r="D10" s="956">
        <v>2433</v>
      </c>
      <c r="E10" s="957"/>
      <c r="F10" s="957"/>
      <c r="G10" s="957"/>
      <c r="H10" s="957"/>
      <c r="I10" s="957"/>
      <c r="J10" s="957"/>
      <c r="K10" s="955">
        <v>140.5</v>
      </c>
      <c r="L10" s="958"/>
      <c r="M10" s="957"/>
      <c r="N10" s="957"/>
      <c r="O10" s="956">
        <f>'Fundação Rasa'!S93</f>
        <v>396.86400000000003</v>
      </c>
      <c r="P10" s="956">
        <f>'Fundação Rasa'!U93</f>
        <v>58.958440000000003</v>
      </c>
      <c r="Q10" s="442" t="s">
        <v>951</v>
      </c>
      <c r="R10" s="959" t="s">
        <v>5065</v>
      </c>
    </row>
    <row r="11" spans="1:18" ht="13.5" customHeight="1" x14ac:dyDescent="0.2">
      <c r="A11" s="953" t="s">
        <v>894</v>
      </c>
      <c r="B11" s="954" t="s">
        <v>891</v>
      </c>
      <c r="C11" s="955">
        <v>1</v>
      </c>
      <c r="D11" s="956">
        <v>690.7</v>
      </c>
      <c r="E11" s="957"/>
      <c r="F11" s="956">
        <v>1606.9</v>
      </c>
      <c r="G11" s="956">
        <v>90.5</v>
      </c>
      <c r="H11" s="957"/>
      <c r="I11" s="957"/>
      <c r="J11" s="957"/>
      <c r="K11" s="958"/>
      <c r="L11" s="958"/>
      <c r="M11" s="957"/>
      <c r="N11" s="957"/>
      <c r="O11" s="956">
        <f>SUM('Fundação Rasa'!S95:S101)</f>
        <v>241.25600000000003</v>
      </c>
      <c r="P11" s="956">
        <f>SUM('Fundação Rasa'!U94:U101)</f>
        <v>23.990059999999996</v>
      </c>
      <c r="Q11" s="442" t="s">
        <v>951</v>
      </c>
      <c r="R11" s="334"/>
    </row>
    <row r="12" spans="1:18" ht="13.5" customHeight="1" x14ac:dyDescent="0.2">
      <c r="A12" s="559" t="s">
        <v>953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560">
        <f t="shared" ref="O12:P12" si="1">SUM(O13:O16)</f>
        <v>748.68</v>
      </c>
      <c r="P12" s="560">
        <f t="shared" si="1"/>
        <v>94.54</v>
      </c>
      <c r="Q12" s="564"/>
      <c r="R12" s="562">
        <f>SUM(D13:L16)/P12</f>
        <v>54.400253860799658</v>
      </c>
    </row>
    <row r="13" spans="1:18" ht="13.5" customHeight="1" x14ac:dyDescent="0.2">
      <c r="A13" s="433" t="s">
        <v>954</v>
      </c>
      <c r="B13" s="563" t="s">
        <v>891</v>
      </c>
      <c r="C13" s="565">
        <v>1</v>
      </c>
      <c r="D13" s="566">
        <v>268</v>
      </c>
      <c r="E13" s="567"/>
      <c r="F13" s="567"/>
      <c r="G13" s="567"/>
      <c r="H13" s="567"/>
      <c r="I13" s="567"/>
      <c r="J13" s="567"/>
      <c r="K13" s="567"/>
      <c r="L13" s="567"/>
      <c r="M13" s="567"/>
      <c r="N13" s="567"/>
      <c r="O13" s="568"/>
      <c r="P13" s="568"/>
      <c r="Q13" s="442" t="s">
        <v>951</v>
      </c>
      <c r="R13" s="334"/>
    </row>
    <row r="14" spans="1:18" ht="13.5" customHeight="1" x14ac:dyDescent="0.2">
      <c r="A14" s="433" t="s">
        <v>954</v>
      </c>
      <c r="B14" s="563" t="s">
        <v>891</v>
      </c>
      <c r="C14" s="565">
        <v>1</v>
      </c>
      <c r="D14" s="566">
        <v>325</v>
      </c>
      <c r="E14" s="567"/>
      <c r="F14" s="567"/>
      <c r="G14" s="567"/>
      <c r="H14" s="567"/>
      <c r="I14" s="567"/>
      <c r="J14" s="567"/>
      <c r="K14" s="567"/>
      <c r="L14" s="567"/>
      <c r="M14" s="567"/>
      <c r="N14" s="567"/>
      <c r="O14" s="569">
        <v>748.68</v>
      </c>
      <c r="P14" s="569">
        <v>94.54</v>
      </c>
      <c r="Q14" s="442" t="s">
        <v>951</v>
      </c>
      <c r="R14" s="334"/>
    </row>
    <row r="15" spans="1:18" ht="13.5" customHeight="1" x14ac:dyDescent="0.2">
      <c r="A15" s="433" t="s">
        <v>954</v>
      </c>
      <c r="B15" s="563" t="s">
        <v>891</v>
      </c>
      <c r="C15" s="565">
        <v>1</v>
      </c>
      <c r="D15" s="567"/>
      <c r="E15" s="566">
        <v>897</v>
      </c>
      <c r="F15" s="566">
        <v>1532</v>
      </c>
      <c r="G15" s="567"/>
      <c r="H15" s="567"/>
      <c r="I15" s="567"/>
      <c r="J15" s="567"/>
      <c r="K15" s="567"/>
      <c r="L15" s="567"/>
      <c r="M15" s="567"/>
      <c r="N15" s="567"/>
      <c r="O15" s="570"/>
      <c r="P15" s="570"/>
      <c r="Q15" s="442" t="s">
        <v>951</v>
      </c>
      <c r="R15" s="334"/>
    </row>
    <row r="16" spans="1:18" ht="13.5" customHeight="1" x14ac:dyDescent="0.2">
      <c r="A16" s="433" t="s">
        <v>954</v>
      </c>
      <c r="B16" s="563" t="s">
        <v>891</v>
      </c>
      <c r="C16" s="565">
        <v>1</v>
      </c>
      <c r="D16" s="567"/>
      <c r="E16" s="566">
        <v>1163</v>
      </c>
      <c r="F16" s="566">
        <v>958</v>
      </c>
      <c r="G16" s="567"/>
      <c r="H16" s="567"/>
      <c r="I16" s="567"/>
      <c r="J16" s="567"/>
      <c r="K16" s="567"/>
      <c r="L16" s="567"/>
      <c r="M16" s="567"/>
      <c r="N16" s="567"/>
      <c r="O16" s="571"/>
      <c r="P16" s="571"/>
      <c r="Q16" s="442" t="s">
        <v>951</v>
      </c>
      <c r="R16" s="334"/>
    </row>
    <row r="17" spans="1:18" ht="13.5" customHeight="1" x14ac:dyDescent="0.2">
      <c r="A17" s="559" t="s">
        <v>955</v>
      </c>
      <c r="B17" s="187"/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  <c r="N17" s="187"/>
      <c r="O17" s="560">
        <f t="shared" ref="O17:P17" si="2">SUM(O18:O22)</f>
        <v>425.78999999999996</v>
      </c>
      <c r="P17" s="560">
        <f t="shared" si="2"/>
        <v>49.97</v>
      </c>
      <c r="Q17" s="564"/>
      <c r="R17" s="562">
        <f>SUM(D18:L22)/P17</f>
        <v>76.678006804082457</v>
      </c>
    </row>
    <row r="18" spans="1:18" ht="13.5" customHeight="1" x14ac:dyDescent="0.2">
      <c r="A18" s="433" t="s">
        <v>956</v>
      </c>
      <c r="B18" s="563" t="s">
        <v>891</v>
      </c>
      <c r="C18" s="444">
        <v>1</v>
      </c>
      <c r="D18" s="445">
        <v>169.3</v>
      </c>
      <c r="E18" s="445">
        <v>18.399999999999999</v>
      </c>
      <c r="F18" s="445">
        <v>85.3</v>
      </c>
      <c r="G18" s="445">
        <v>490.6</v>
      </c>
      <c r="H18" s="445">
        <v>22.6</v>
      </c>
      <c r="I18" s="362"/>
      <c r="J18" s="362"/>
      <c r="K18" s="362"/>
      <c r="L18" s="362"/>
      <c r="M18" s="362"/>
      <c r="N18" s="362"/>
      <c r="O18" s="572"/>
      <c r="P18" s="572"/>
      <c r="Q18" s="442" t="s">
        <v>951</v>
      </c>
      <c r="R18" s="334"/>
    </row>
    <row r="19" spans="1:18" ht="13.5" customHeight="1" x14ac:dyDescent="0.2">
      <c r="A19" s="433" t="s">
        <v>956</v>
      </c>
      <c r="B19" s="563" t="s">
        <v>891</v>
      </c>
      <c r="C19" s="444">
        <v>1</v>
      </c>
      <c r="D19" s="445">
        <v>145.9</v>
      </c>
      <c r="E19" s="445">
        <v>26</v>
      </c>
      <c r="F19" s="445">
        <v>34.200000000000003</v>
      </c>
      <c r="G19" s="445">
        <v>253.5</v>
      </c>
      <c r="H19" s="445">
        <v>88.5</v>
      </c>
      <c r="I19" s="362"/>
      <c r="J19" s="362"/>
      <c r="K19" s="445">
        <v>61.3</v>
      </c>
      <c r="L19" s="362"/>
      <c r="M19" s="362"/>
      <c r="N19" s="362"/>
      <c r="O19" s="573"/>
      <c r="P19" s="573"/>
      <c r="Q19" s="442" t="s">
        <v>951</v>
      </c>
      <c r="R19" s="334"/>
    </row>
    <row r="20" spans="1:18" ht="13.5" customHeight="1" x14ac:dyDescent="0.2">
      <c r="A20" s="433" t="s">
        <v>956</v>
      </c>
      <c r="B20" s="563" t="s">
        <v>891</v>
      </c>
      <c r="C20" s="444">
        <v>1</v>
      </c>
      <c r="D20" s="445">
        <v>101.8</v>
      </c>
      <c r="E20" s="445">
        <v>8.8000000000000007</v>
      </c>
      <c r="F20" s="445">
        <v>25.6</v>
      </c>
      <c r="G20" s="445">
        <v>452</v>
      </c>
      <c r="H20" s="445">
        <v>278</v>
      </c>
      <c r="I20" s="362"/>
      <c r="J20" s="362"/>
      <c r="K20" s="445">
        <v>151.4</v>
      </c>
      <c r="L20" s="362"/>
      <c r="M20" s="362"/>
      <c r="N20" s="362"/>
      <c r="O20" s="435">
        <f>356.07+69.72</f>
        <v>425.78999999999996</v>
      </c>
      <c r="P20" s="435">
        <v>49.97</v>
      </c>
      <c r="Q20" s="442" t="s">
        <v>951</v>
      </c>
      <c r="R20" s="334"/>
    </row>
    <row r="21" spans="1:18" ht="13.5" customHeight="1" x14ac:dyDescent="0.2">
      <c r="A21" s="433" t="s">
        <v>956</v>
      </c>
      <c r="B21" s="563" t="s">
        <v>891</v>
      </c>
      <c r="C21" s="444">
        <v>1</v>
      </c>
      <c r="D21" s="445">
        <v>123.5</v>
      </c>
      <c r="E21" s="445">
        <v>21.8</v>
      </c>
      <c r="F21" s="445">
        <v>8.8000000000000007</v>
      </c>
      <c r="G21" s="445">
        <v>266.60000000000002</v>
      </c>
      <c r="H21" s="445">
        <v>428.7</v>
      </c>
      <c r="I21" s="362"/>
      <c r="J21" s="362"/>
      <c r="K21" s="445">
        <v>114.6</v>
      </c>
      <c r="L21" s="362"/>
      <c r="M21" s="362"/>
      <c r="N21" s="362"/>
      <c r="O21" s="573"/>
      <c r="P21" s="573"/>
      <c r="Q21" s="442" t="s">
        <v>951</v>
      </c>
      <c r="R21" s="334"/>
    </row>
    <row r="22" spans="1:18" ht="13.5" customHeight="1" x14ac:dyDescent="0.2">
      <c r="A22" s="433" t="s">
        <v>956</v>
      </c>
      <c r="B22" s="563" t="s">
        <v>891</v>
      </c>
      <c r="C22" s="444">
        <v>1</v>
      </c>
      <c r="D22" s="445">
        <v>10.3</v>
      </c>
      <c r="E22" s="445">
        <v>7.6</v>
      </c>
      <c r="F22" s="445">
        <v>5.5</v>
      </c>
      <c r="G22" s="445">
        <v>290.39999999999998</v>
      </c>
      <c r="H22" s="445">
        <v>58.1</v>
      </c>
      <c r="I22" s="362"/>
      <c r="J22" s="362"/>
      <c r="K22" s="445">
        <v>82.5</v>
      </c>
      <c r="L22" s="362"/>
      <c r="M22" s="362"/>
      <c r="N22" s="362"/>
      <c r="O22" s="574"/>
      <c r="P22" s="574"/>
      <c r="Q22" s="442" t="s">
        <v>951</v>
      </c>
      <c r="R22" s="334"/>
    </row>
    <row r="23" spans="1:18" ht="13.5" customHeight="1" x14ac:dyDescent="0.2">
      <c r="A23" s="371"/>
      <c r="B23" s="452" t="s">
        <v>59</v>
      </c>
      <c r="C23" s="575">
        <f>SUM(D23:N23)</f>
        <v>24893.200000000001</v>
      </c>
      <c r="D23" s="575">
        <f t="shared" ref="D23:N23" si="3">SUMPRODUCT(D8:D22,$C$8:$C$22)</f>
        <v>4784.5</v>
      </c>
      <c r="E23" s="575">
        <f t="shared" si="3"/>
        <v>3069.6000000000004</v>
      </c>
      <c r="F23" s="575">
        <f t="shared" si="3"/>
        <v>5992.3</v>
      </c>
      <c r="G23" s="575">
        <f t="shared" si="3"/>
        <v>3487.6</v>
      </c>
      <c r="H23" s="575">
        <f t="shared" si="3"/>
        <v>2557.8999999999996</v>
      </c>
      <c r="I23" s="575">
        <f t="shared" si="3"/>
        <v>3999</v>
      </c>
      <c r="J23" s="575">
        <f t="shared" si="3"/>
        <v>382</v>
      </c>
      <c r="K23" s="575">
        <f t="shared" si="3"/>
        <v>611.30000000000007</v>
      </c>
      <c r="L23" s="575">
        <f t="shared" si="3"/>
        <v>9</v>
      </c>
      <c r="M23" s="575">
        <f t="shared" si="3"/>
        <v>0</v>
      </c>
      <c r="N23" s="575">
        <f t="shared" si="3"/>
        <v>0</v>
      </c>
      <c r="O23" s="575">
        <f>+O17+O12+O9+O7</f>
        <v>2134.5099999999998</v>
      </c>
      <c r="P23" s="575">
        <f>+P17+P12+P9+P7</f>
        <v>370.7285</v>
      </c>
      <c r="Q23" s="372"/>
      <c r="R23" s="334"/>
    </row>
    <row r="24" spans="1:18" ht="13.5" customHeight="1" x14ac:dyDescent="0.2">
      <c r="A24" s="334"/>
      <c r="B24" s="378"/>
      <c r="C24" s="576"/>
      <c r="D24" s="577">
        <f t="shared" ref="D24:L24" si="4">D23/$C$23</f>
        <v>0.19220108302669001</v>
      </c>
      <c r="E24" s="577">
        <f t="shared" si="4"/>
        <v>0.12331078366782898</v>
      </c>
      <c r="F24" s="577">
        <f t="shared" si="4"/>
        <v>0.24072035736667041</v>
      </c>
      <c r="G24" s="577">
        <f t="shared" si="4"/>
        <v>0.14010251795671105</v>
      </c>
      <c r="H24" s="577">
        <f t="shared" si="4"/>
        <v>0.10275496922854432</v>
      </c>
      <c r="I24" s="577">
        <f t="shared" si="4"/>
        <v>0.16064628091205629</v>
      </c>
      <c r="J24" s="577">
        <f t="shared" si="4"/>
        <v>1.5345556216155416E-2</v>
      </c>
      <c r="K24" s="577">
        <f t="shared" si="4"/>
        <v>2.4556907107161796E-2</v>
      </c>
      <c r="L24" s="577">
        <f t="shared" si="4"/>
        <v>3.615445181816721E-4</v>
      </c>
      <c r="M24" s="493"/>
      <c r="N24" s="493"/>
      <c r="O24" s="493"/>
      <c r="P24" s="578">
        <f>SUMIF($Q$7:$Q$22,Q24,$P$7:$P$22)</f>
        <v>0</v>
      </c>
      <c r="Q24" s="579" t="s">
        <v>957</v>
      </c>
      <c r="R24" s="334"/>
    </row>
    <row r="25" spans="1:18" ht="13.5" customHeight="1" x14ac:dyDescent="0.2">
      <c r="A25" s="334"/>
      <c r="B25" s="334"/>
      <c r="C25" s="492"/>
      <c r="D25" s="493"/>
      <c r="E25" s="493"/>
      <c r="F25" s="493"/>
      <c r="G25" s="493"/>
      <c r="H25" s="493"/>
      <c r="I25" s="493"/>
      <c r="J25" s="493"/>
      <c r="K25" s="493"/>
      <c r="L25" s="492"/>
      <c r="M25" s="493"/>
      <c r="N25" s="493"/>
      <c r="O25" s="493"/>
      <c r="P25" s="578">
        <f>SUMIF($Q$7:$Q$22,Q25,$P$7:$P$22)</f>
        <v>370.72850000000005</v>
      </c>
      <c r="Q25" s="579" t="s">
        <v>951</v>
      </c>
      <c r="R25" s="334"/>
    </row>
    <row r="26" spans="1:18" ht="13.5" customHeight="1" x14ac:dyDescent="0.2">
      <c r="A26" s="580" t="s">
        <v>954</v>
      </c>
      <c r="B26" s="493"/>
      <c r="C26" s="493"/>
      <c r="D26" s="493"/>
      <c r="E26" s="493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3"/>
      <c r="Q26" s="493"/>
      <c r="R26" s="334"/>
    </row>
    <row r="27" spans="1:18" ht="12.75" x14ac:dyDescent="0.2">
      <c r="Q27" s="334"/>
    </row>
    <row r="28" spans="1:18" ht="12.75" x14ac:dyDescent="0.2">
      <c r="Q28" s="334"/>
    </row>
    <row r="29" spans="1:18" ht="12.75" x14ac:dyDescent="0.2">
      <c r="Q29" s="334"/>
    </row>
    <row r="30" spans="1:18" ht="12.75" x14ac:dyDescent="0.2">
      <c r="Q30" s="334"/>
    </row>
    <row r="31" spans="1:18" ht="12.75" x14ac:dyDescent="0.2">
      <c r="Q31" s="334"/>
    </row>
    <row r="32" spans="1:18" ht="12.75" x14ac:dyDescent="0.2">
      <c r="Q32" s="334"/>
    </row>
    <row r="33" spans="15:17" ht="12.75" x14ac:dyDescent="0.2">
      <c r="Q33" s="334"/>
    </row>
    <row r="34" spans="15:17" ht="12.75" x14ac:dyDescent="0.2">
      <c r="Q34" s="334"/>
    </row>
    <row r="35" spans="15:17" ht="12.75" x14ac:dyDescent="0.2">
      <c r="Q35" s="334"/>
    </row>
    <row r="36" spans="15:17" ht="12.75" x14ac:dyDescent="0.2">
      <c r="Q36" s="334"/>
    </row>
    <row r="37" spans="15:17" ht="12.75" x14ac:dyDescent="0.2">
      <c r="Q37" s="334"/>
    </row>
    <row r="38" spans="15:17" ht="12.75" x14ac:dyDescent="0.2">
      <c r="Q38" s="334"/>
    </row>
    <row r="39" spans="15:17" ht="12.75" x14ac:dyDescent="0.2">
      <c r="Q39" s="334"/>
    </row>
    <row r="40" spans="15:17" ht="12.75" x14ac:dyDescent="0.2">
      <c r="Q40" s="334"/>
    </row>
    <row r="41" spans="15:17" ht="12.75" x14ac:dyDescent="0.2">
      <c r="Q41" s="334"/>
    </row>
    <row r="42" spans="15:17" ht="12.75" x14ac:dyDescent="0.2">
      <c r="Q42" s="334"/>
    </row>
    <row r="43" spans="15:17" ht="12.75" x14ac:dyDescent="0.2">
      <c r="Q43" s="334"/>
    </row>
    <row r="44" spans="15:17" ht="15" customHeight="1" x14ac:dyDescent="0.2">
      <c r="Q44" s="334"/>
    </row>
    <row r="45" spans="15:17" ht="12.75" x14ac:dyDescent="0.2">
      <c r="Q45" s="334"/>
    </row>
    <row r="46" spans="15:17" ht="12.75" x14ac:dyDescent="0.2">
      <c r="Q46" s="334"/>
    </row>
    <row r="47" spans="15:17" ht="12.75" x14ac:dyDescent="0.2">
      <c r="Q47" s="334"/>
    </row>
    <row r="48" spans="15:17" ht="12.75" x14ac:dyDescent="0.2">
      <c r="Q48" s="334"/>
    </row>
    <row r="49" spans="17:17" ht="12.75" x14ac:dyDescent="0.2">
      <c r="Q49" s="334"/>
    </row>
    <row r="50" spans="17:17" ht="12.75" x14ac:dyDescent="0.2">
      <c r="Q50" s="334"/>
    </row>
    <row r="51" spans="17:17" ht="12.75" x14ac:dyDescent="0.2">
      <c r="Q51" s="334"/>
    </row>
    <row r="52" spans="17:17" ht="12.75" x14ac:dyDescent="0.2">
      <c r="Q52" s="334"/>
    </row>
    <row r="53" spans="17:17" ht="12.75" x14ac:dyDescent="0.2">
      <c r="Q53" s="334"/>
    </row>
    <row r="54" spans="17:17" ht="12.75" x14ac:dyDescent="0.2">
      <c r="Q54" s="334"/>
    </row>
    <row r="55" spans="17:17" ht="12.75" x14ac:dyDescent="0.2">
      <c r="Q55" s="334"/>
    </row>
    <row r="56" spans="17:17" ht="12.75" x14ac:dyDescent="0.2">
      <c r="Q56" s="334"/>
    </row>
    <row r="57" spans="17:17" ht="12.75" x14ac:dyDescent="0.2">
      <c r="Q57" s="334"/>
    </row>
    <row r="58" spans="17:17" ht="12.75" x14ac:dyDescent="0.2">
      <c r="Q58" s="334"/>
    </row>
    <row r="59" spans="17:17" ht="12.75" x14ac:dyDescent="0.2">
      <c r="Q59" s="334"/>
    </row>
    <row r="60" spans="17:17" ht="12.75" x14ac:dyDescent="0.2">
      <c r="Q60" s="334"/>
    </row>
    <row r="61" spans="17:17" ht="12.75" x14ac:dyDescent="0.2">
      <c r="Q61" s="334"/>
    </row>
    <row r="62" spans="17:17" ht="12.75" x14ac:dyDescent="0.2">
      <c r="Q62" s="334"/>
    </row>
    <row r="63" spans="17:17" ht="12.75" x14ac:dyDescent="0.2">
      <c r="Q63" s="334"/>
    </row>
    <row r="64" spans="17:17" ht="12.75" x14ac:dyDescent="0.2">
      <c r="Q64" s="334"/>
    </row>
    <row r="65" spans="17:17" ht="12.75" x14ac:dyDescent="0.2">
      <c r="Q65" s="334"/>
    </row>
    <row r="66" spans="17:17" ht="12.75" x14ac:dyDescent="0.2">
      <c r="Q66" s="334"/>
    </row>
    <row r="67" spans="17:17" ht="12.75" x14ac:dyDescent="0.2">
      <c r="Q67" s="334"/>
    </row>
    <row r="68" spans="17:17" ht="12.75" x14ac:dyDescent="0.2">
      <c r="Q68" s="334"/>
    </row>
    <row r="69" spans="17:17" ht="12.75" x14ac:dyDescent="0.2">
      <c r="Q69" s="334"/>
    </row>
    <row r="70" spans="17:17" ht="12.75" x14ac:dyDescent="0.2">
      <c r="Q70" s="334"/>
    </row>
    <row r="71" spans="17:17" ht="12.75" x14ac:dyDescent="0.2">
      <c r="Q71" s="334"/>
    </row>
    <row r="72" spans="17:17" ht="12.75" x14ac:dyDescent="0.2">
      <c r="Q72" s="334"/>
    </row>
    <row r="73" spans="17:17" ht="12.75" x14ac:dyDescent="0.2">
      <c r="Q73" s="334"/>
    </row>
    <row r="74" spans="17:17" ht="12.75" x14ac:dyDescent="0.2">
      <c r="Q74" s="334"/>
    </row>
    <row r="75" spans="17:17" ht="12.75" x14ac:dyDescent="0.2">
      <c r="Q75" s="334"/>
    </row>
    <row r="76" spans="17:17" ht="12.75" x14ac:dyDescent="0.2">
      <c r="Q76" s="334"/>
    </row>
    <row r="77" spans="17:17" ht="12.75" x14ac:dyDescent="0.2">
      <c r="Q77" s="334"/>
    </row>
    <row r="78" spans="17:17" ht="12.75" x14ac:dyDescent="0.2">
      <c r="Q78" s="334"/>
    </row>
    <row r="79" spans="17:17" ht="12.75" x14ac:dyDescent="0.2">
      <c r="Q79" s="334"/>
    </row>
    <row r="80" spans="17:17" ht="12.75" x14ac:dyDescent="0.2">
      <c r="Q80" s="334"/>
    </row>
    <row r="81" spans="17:17" ht="12.75" x14ac:dyDescent="0.2">
      <c r="Q81" s="334"/>
    </row>
    <row r="82" spans="17:17" ht="12.75" x14ac:dyDescent="0.2">
      <c r="Q82" s="334"/>
    </row>
    <row r="83" spans="17:17" ht="12.75" x14ac:dyDescent="0.2">
      <c r="Q83" s="334"/>
    </row>
    <row r="84" spans="17:17" ht="12.75" x14ac:dyDescent="0.2">
      <c r="Q84" s="334"/>
    </row>
    <row r="85" spans="17:17" ht="12.75" x14ac:dyDescent="0.2">
      <c r="Q85" s="334"/>
    </row>
    <row r="86" spans="17:17" ht="12.75" x14ac:dyDescent="0.2">
      <c r="Q86" s="334"/>
    </row>
    <row r="87" spans="17:17" ht="12.75" x14ac:dyDescent="0.2">
      <c r="Q87" s="334"/>
    </row>
    <row r="88" spans="17:17" ht="12.75" x14ac:dyDescent="0.2">
      <c r="Q88" s="334"/>
    </row>
    <row r="89" spans="17:17" ht="12.75" x14ac:dyDescent="0.2">
      <c r="Q89" s="334"/>
    </row>
    <row r="90" spans="17:17" ht="12.75" x14ac:dyDescent="0.2">
      <c r="Q90" s="334"/>
    </row>
    <row r="91" spans="17:17" ht="12.75" x14ac:dyDescent="0.2">
      <c r="Q91" s="334"/>
    </row>
    <row r="92" spans="17:17" ht="12.75" x14ac:dyDescent="0.2">
      <c r="Q92" s="334"/>
    </row>
    <row r="93" spans="17:17" ht="12.75" x14ac:dyDescent="0.2">
      <c r="Q93" s="334"/>
    </row>
    <row r="94" spans="17:17" ht="12.75" x14ac:dyDescent="0.2">
      <c r="Q94" s="334"/>
    </row>
    <row r="95" spans="17:17" ht="12.75" x14ac:dyDescent="0.2">
      <c r="Q95" s="334"/>
    </row>
    <row r="96" spans="17:17" ht="12.75" x14ac:dyDescent="0.2">
      <c r="Q96" s="334"/>
    </row>
    <row r="97" spans="17:17" ht="12.75" x14ac:dyDescent="0.2">
      <c r="Q97" s="334"/>
    </row>
    <row r="98" spans="17:17" ht="12.75" x14ac:dyDescent="0.2">
      <c r="Q98" s="334"/>
    </row>
    <row r="99" spans="17:17" ht="12.75" x14ac:dyDescent="0.2">
      <c r="Q99" s="334"/>
    </row>
    <row r="100" spans="17:17" ht="12.75" x14ac:dyDescent="0.2">
      <c r="Q100" s="334"/>
    </row>
    <row r="101" spans="17:17" ht="12.75" x14ac:dyDescent="0.2">
      <c r="Q101" s="334"/>
    </row>
    <row r="102" spans="17:17" ht="12.75" x14ac:dyDescent="0.2">
      <c r="Q102" s="334"/>
    </row>
    <row r="103" spans="17:17" ht="12.75" x14ac:dyDescent="0.2">
      <c r="Q103" s="334"/>
    </row>
    <row r="104" spans="17:17" ht="12.75" x14ac:dyDescent="0.2">
      <c r="Q104" s="334"/>
    </row>
    <row r="105" spans="17:17" ht="12.75" x14ac:dyDescent="0.2">
      <c r="Q105" s="334"/>
    </row>
    <row r="106" spans="17:17" ht="12.75" x14ac:dyDescent="0.2">
      <c r="Q106" s="334"/>
    </row>
    <row r="107" spans="17:17" ht="12.75" x14ac:dyDescent="0.2">
      <c r="Q107" s="334"/>
    </row>
    <row r="108" spans="17:17" ht="12.75" x14ac:dyDescent="0.2">
      <c r="Q108" s="334"/>
    </row>
    <row r="109" spans="17:17" ht="12.75" x14ac:dyDescent="0.2">
      <c r="Q109" s="334"/>
    </row>
    <row r="110" spans="17:17" ht="12.75" x14ac:dyDescent="0.2">
      <c r="Q110" s="334"/>
    </row>
    <row r="111" spans="17:17" ht="12.75" x14ac:dyDescent="0.2">
      <c r="Q111" s="334"/>
    </row>
    <row r="112" spans="17:17" ht="12.75" x14ac:dyDescent="0.2">
      <c r="Q112" s="334"/>
    </row>
    <row r="113" spans="17:17" ht="12.75" x14ac:dyDescent="0.2">
      <c r="Q113" s="334"/>
    </row>
    <row r="114" spans="17:17" ht="12.75" x14ac:dyDescent="0.2">
      <c r="Q114" s="334"/>
    </row>
    <row r="115" spans="17:17" ht="12.75" x14ac:dyDescent="0.2">
      <c r="Q115" s="334"/>
    </row>
    <row r="116" spans="17:17" ht="12.75" x14ac:dyDescent="0.2">
      <c r="Q116" s="334"/>
    </row>
    <row r="117" spans="17:17" ht="12.75" x14ac:dyDescent="0.2">
      <c r="Q117" s="334"/>
    </row>
    <row r="118" spans="17:17" ht="12.75" x14ac:dyDescent="0.2">
      <c r="Q118" s="334"/>
    </row>
    <row r="119" spans="17:17" ht="12.75" x14ac:dyDescent="0.2">
      <c r="Q119" s="334"/>
    </row>
    <row r="120" spans="17:17" ht="12.75" x14ac:dyDescent="0.2">
      <c r="Q120" s="334"/>
    </row>
    <row r="121" spans="17:17" ht="12.75" x14ac:dyDescent="0.2">
      <c r="Q121" s="334"/>
    </row>
    <row r="122" spans="17:17" ht="12.75" x14ac:dyDescent="0.2">
      <c r="Q122" s="334"/>
    </row>
    <row r="123" spans="17:17" ht="12.75" x14ac:dyDescent="0.2">
      <c r="Q123" s="334"/>
    </row>
    <row r="124" spans="17:17" ht="12.75" x14ac:dyDescent="0.2">
      <c r="Q124" s="334"/>
    </row>
    <row r="125" spans="17:17" ht="12.75" x14ac:dyDescent="0.2">
      <c r="Q125" s="334"/>
    </row>
    <row r="126" spans="17:17" ht="12.75" x14ac:dyDescent="0.2">
      <c r="Q126" s="334"/>
    </row>
    <row r="127" spans="17:17" ht="12.75" x14ac:dyDescent="0.2">
      <c r="Q127" s="334"/>
    </row>
    <row r="128" spans="17:17" ht="12.75" x14ac:dyDescent="0.2">
      <c r="Q128" s="334"/>
    </row>
    <row r="129" spans="17:17" ht="12.75" x14ac:dyDescent="0.2">
      <c r="Q129" s="334"/>
    </row>
    <row r="130" spans="17:17" ht="12.75" x14ac:dyDescent="0.2">
      <c r="Q130" s="334"/>
    </row>
    <row r="131" spans="17:17" ht="12.75" x14ac:dyDescent="0.2">
      <c r="Q131" s="334"/>
    </row>
    <row r="132" spans="17:17" ht="12.75" x14ac:dyDescent="0.2">
      <c r="Q132" s="334"/>
    </row>
    <row r="133" spans="17:17" ht="12.75" x14ac:dyDescent="0.2">
      <c r="Q133" s="334"/>
    </row>
    <row r="134" spans="17:17" ht="12.75" x14ac:dyDescent="0.2">
      <c r="Q134" s="334"/>
    </row>
    <row r="135" spans="17:17" ht="12.75" x14ac:dyDescent="0.2">
      <c r="Q135" s="334"/>
    </row>
    <row r="136" spans="17:17" ht="12.75" x14ac:dyDescent="0.2">
      <c r="Q136" s="334"/>
    </row>
    <row r="137" spans="17:17" ht="12.75" x14ac:dyDescent="0.2">
      <c r="Q137" s="334"/>
    </row>
    <row r="138" spans="17:17" ht="12.75" x14ac:dyDescent="0.2">
      <c r="Q138" s="334"/>
    </row>
    <row r="139" spans="17:17" ht="12.75" x14ac:dyDescent="0.2">
      <c r="Q139" s="334"/>
    </row>
    <row r="140" spans="17:17" ht="12.75" x14ac:dyDescent="0.2">
      <c r="Q140" s="334"/>
    </row>
    <row r="141" spans="17:17" ht="12.75" x14ac:dyDescent="0.2">
      <c r="Q141" s="334"/>
    </row>
    <row r="142" spans="17:17" ht="12.75" x14ac:dyDescent="0.2">
      <c r="Q142" s="334"/>
    </row>
    <row r="143" spans="17:17" ht="12.75" x14ac:dyDescent="0.2">
      <c r="Q143" s="334"/>
    </row>
    <row r="144" spans="17:17" ht="12.75" x14ac:dyDescent="0.2">
      <c r="Q144" s="334"/>
    </row>
    <row r="145" spans="17:17" ht="12.75" x14ac:dyDescent="0.2">
      <c r="Q145" s="334"/>
    </row>
    <row r="146" spans="17:17" ht="12.75" x14ac:dyDescent="0.2">
      <c r="Q146" s="334"/>
    </row>
    <row r="147" spans="17:17" ht="12.75" x14ac:dyDescent="0.2">
      <c r="Q147" s="334"/>
    </row>
    <row r="148" spans="17:17" ht="12.75" x14ac:dyDescent="0.2">
      <c r="Q148" s="334"/>
    </row>
    <row r="149" spans="17:17" ht="12.75" x14ac:dyDescent="0.2">
      <c r="Q149" s="334"/>
    </row>
    <row r="150" spans="17:17" ht="12.75" x14ac:dyDescent="0.2">
      <c r="Q150" s="334"/>
    </row>
    <row r="151" spans="17:17" ht="12.75" x14ac:dyDescent="0.2">
      <c r="Q151" s="334"/>
    </row>
    <row r="152" spans="17:17" ht="12.75" x14ac:dyDescent="0.2">
      <c r="Q152" s="334"/>
    </row>
    <row r="153" spans="17:17" ht="12.75" x14ac:dyDescent="0.2">
      <c r="Q153" s="334"/>
    </row>
    <row r="154" spans="17:17" ht="12.75" x14ac:dyDescent="0.2">
      <c r="Q154" s="334"/>
    </row>
    <row r="155" spans="17:17" ht="12.75" x14ac:dyDescent="0.2">
      <c r="Q155" s="334"/>
    </row>
    <row r="156" spans="17:17" ht="12.75" x14ac:dyDescent="0.2">
      <c r="Q156" s="334"/>
    </row>
    <row r="157" spans="17:17" ht="12.75" x14ac:dyDescent="0.2">
      <c r="Q157" s="334"/>
    </row>
    <row r="158" spans="17:17" ht="12.75" x14ac:dyDescent="0.2">
      <c r="Q158" s="334"/>
    </row>
    <row r="159" spans="17:17" ht="12.75" x14ac:dyDescent="0.2">
      <c r="Q159" s="334"/>
    </row>
    <row r="160" spans="17:17" ht="12.75" x14ac:dyDescent="0.2">
      <c r="Q160" s="334"/>
    </row>
    <row r="161" spans="17:17" ht="12.75" x14ac:dyDescent="0.2">
      <c r="Q161" s="334"/>
    </row>
    <row r="162" spans="17:17" ht="12.75" x14ac:dyDescent="0.2">
      <c r="Q162" s="334"/>
    </row>
    <row r="163" spans="17:17" ht="12.75" x14ac:dyDescent="0.2">
      <c r="Q163" s="334"/>
    </row>
    <row r="164" spans="17:17" ht="12.75" x14ac:dyDescent="0.2">
      <c r="Q164" s="334"/>
    </row>
    <row r="165" spans="17:17" ht="12.75" x14ac:dyDescent="0.2">
      <c r="Q165" s="334"/>
    </row>
    <row r="166" spans="17:17" ht="12.75" x14ac:dyDescent="0.2">
      <c r="Q166" s="334"/>
    </row>
    <row r="167" spans="17:17" ht="12.75" x14ac:dyDescent="0.2">
      <c r="Q167" s="334"/>
    </row>
    <row r="168" spans="17:17" ht="12.75" x14ac:dyDescent="0.2">
      <c r="Q168" s="334"/>
    </row>
    <row r="169" spans="17:17" ht="12.75" x14ac:dyDescent="0.2">
      <c r="Q169" s="334"/>
    </row>
    <row r="170" spans="17:17" ht="12.75" x14ac:dyDescent="0.2">
      <c r="Q170" s="334"/>
    </row>
    <row r="171" spans="17:17" ht="12.75" x14ac:dyDescent="0.2">
      <c r="Q171" s="334"/>
    </row>
    <row r="172" spans="17:17" ht="12.75" x14ac:dyDescent="0.2">
      <c r="Q172" s="334"/>
    </row>
    <row r="173" spans="17:17" ht="12.75" x14ac:dyDescent="0.2">
      <c r="Q173" s="334"/>
    </row>
    <row r="174" spans="17:17" ht="12.75" x14ac:dyDescent="0.2">
      <c r="Q174" s="334"/>
    </row>
    <row r="175" spans="17:17" ht="12.75" x14ac:dyDescent="0.2">
      <c r="Q175" s="334"/>
    </row>
    <row r="176" spans="17:17" ht="12.75" x14ac:dyDescent="0.2">
      <c r="Q176" s="334"/>
    </row>
    <row r="177" spans="17:17" ht="12.75" x14ac:dyDescent="0.2">
      <c r="Q177" s="334"/>
    </row>
    <row r="178" spans="17:17" ht="12.75" x14ac:dyDescent="0.2">
      <c r="Q178" s="334"/>
    </row>
    <row r="179" spans="17:17" ht="12.75" x14ac:dyDescent="0.2">
      <c r="Q179" s="334"/>
    </row>
    <row r="180" spans="17:17" ht="12.75" x14ac:dyDescent="0.2">
      <c r="Q180" s="334"/>
    </row>
    <row r="181" spans="17:17" ht="12.75" x14ac:dyDescent="0.2">
      <c r="Q181" s="334"/>
    </row>
    <row r="182" spans="17:17" ht="12.75" x14ac:dyDescent="0.2">
      <c r="Q182" s="334"/>
    </row>
    <row r="183" spans="17:17" ht="12.75" x14ac:dyDescent="0.2">
      <c r="Q183" s="334"/>
    </row>
    <row r="184" spans="17:17" ht="12.75" x14ac:dyDescent="0.2">
      <c r="Q184" s="334"/>
    </row>
    <row r="185" spans="17:17" ht="12.75" x14ac:dyDescent="0.2">
      <c r="Q185" s="334"/>
    </row>
    <row r="186" spans="17:17" ht="12.75" x14ac:dyDescent="0.2">
      <c r="Q186" s="334"/>
    </row>
    <row r="187" spans="17:17" ht="12.75" x14ac:dyDescent="0.2">
      <c r="Q187" s="334"/>
    </row>
    <row r="188" spans="17:17" ht="12.75" x14ac:dyDescent="0.2">
      <c r="Q188" s="334"/>
    </row>
    <row r="189" spans="17:17" ht="12.75" x14ac:dyDescent="0.2">
      <c r="Q189" s="334"/>
    </row>
    <row r="190" spans="17:17" ht="12.75" x14ac:dyDescent="0.2">
      <c r="Q190" s="334"/>
    </row>
    <row r="191" spans="17:17" ht="12.75" x14ac:dyDescent="0.2">
      <c r="Q191" s="334"/>
    </row>
    <row r="192" spans="17:17" ht="12.75" x14ac:dyDescent="0.2">
      <c r="Q192" s="334"/>
    </row>
    <row r="193" spans="17:17" ht="12.75" x14ac:dyDescent="0.2">
      <c r="Q193" s="334"/>
    </row>
    <row r="194" spans="17:17" ht="12.75" x14ac:dyDescent="0.2">
      <c r="Q194" s="334"/>
    </row>
    <row r="195" spans="17:17" ht="12.75" x14ac:dyDescent="0.2">
      <c r="Q195" s="334"/>
    </row>
    <row r="196" spans="17:17" ht="12.75" x14ac:dyDescent="0.2">
      <c r="Q196" s="334"/>
    </row>
    <row r="197" spans="17:17" ht="12.75" x14ac:dyDescent="0.2">
      <c r="Q197" s="334"/>
    </row>
    <row r="198" spans="17:17" ht="12.75" x14ac:dyDescent="0.2">
      <c r="Q198" s="334"/>
    </row>
    <row r="199" spans="17:17" ht="12.75" x14ac:dyDescent="0.2">
      <c r="Q199" s="334"/>
    </row>
    <row r="200" spans="17:17" ht="12.75" x14ac:dyDescent="0.2">
      <c r="Q200" s="334"/>
    </row>
    <row r="201" spans="17:17" ht="12.75" x14ac:dyDescent="0.2">
      <c r="Q201" s="334"/>
    </row>
    <row r="202" spans="17:17" ht="12.75" x14ac:dyDescent="0.2">
      <c r="Q202" s="334"/>
    </row>
    <row r="203" spans="17:17" ht="12.75" x14ac:dyDescent="0.2">
      <c r="Q203" s="334"/>
    </row>
    <row r="204" spans="17:17" ht="12.75" x14ac:dyDescent="0.2">
      <c r="Q204" s="334"/>
    </row>
    <row r="205" spans="17:17" ht="12.75" x14ac:dyDescent="0.2">
      <c r="Q205" s="334"/>
    </row>
    <row r="206" spans="17:17" ht="12.75" x14ac:dyDescent="0.2">
      <c r="Q206" s="334"/>
    </row>
    <row r="207" spans="17:17" ht="12.75" x14ac:dyDescent="0.2">
      <c r="Q207" s="334"/>
    </row>
    <row r="208" spans="17:17" ht="12.75" x14ac:dyDescent="0.2">
      <c r="Q208" s="334"/>
    </row>
    <row r="209" spans="17:17" ht="12.75" x14ac:dyDescent="0.2">
      <c r="Q209" s="334"/>
    </row>
    <row r="210" spans="17:17" ht="12.75" x14ac:dyDescent="0.2">
      <c r="Q210" s="334"/>
    </row>
    <row r="211" spans="17:17" ht="12.75" x14ac:dyDescent="0.2">
      <c r="Q211" s="334"/>
    </row>
    <row r="212" spans="17:17" ht="12.75" x14ac:dyDescent="0.2">
      <c r="Q212" s="334"/>
    </row>
    <row r="213" spans="17:17" ht="12.75" x14ac:dyDescent="0.2">
      <c r="Q213" s="334"/>
    </row>
    <row r="214" spans="17:17" ht="12.75" x14ac:dyDescent="0.2">
      <c r="Q214" s="334"/>
    </row>
    <row r="215" spans="17:17" ht="12.75" x14ac:dyDescent="0.2">
      <c r="Q215" s="334"/>
    </row>
    <row r="216" spans="17:17" ht="12.75" x14ac:dyDescent="0.2">
      <c r="Q216" s="334"/>
    </row>
    <row r="217" spans="17:17" ht="12.75" x14ac:dyDescent="0.2">
      <c r="Q217" s="334"/>
    </row>
    <row r="218" spans="17:17" ht="12.75" x14ac:dyDescent="0.2">
      <c r="Q218" s="334"/>
    </row>
    <row r="219" spans="17:17" ht="12.75" x14ac:dyDescent="0.2">
      <c r="Q219" s="334"/>
    </row>
    <row r="220" spans="17:17" ht="12.75" x14ac:dyDescent="0.2">
      <c r="Q220" s="334"/>
    </row>
    <row r="221" spans="17:17" ht="12.75" x14ac:dyDescent="0.2">
      <c r="Q221" s="334"/>
    </row>
    <row r="222" spans="17:17" ht="12.75" x14ac:dyDescent="0.2">
      <c r="Q222" s="334"/>
    </row>
    <row r="223" spans="17:17" ht="12.75" x14ac:dyDescent="0.2">
      <c r="Q223" s="334"/>
    </row>
    <row r="224" spans="17:17" ht="12.75" x14ac:dyDescent="0.2">
      <c r="Q224" s="334"/>
    </row>
    <row r="225" spans="17:17" ht="12.75" x14ac:dyDescent="0.2">
      <c r="Q225" s="334"/>
    </row>
    <row r="226" spans="17:17" ht="12.75" x14ac:dyDescent="0.2">
      <c r="Q226" s="334"/>
    </row>
    <row r="227" spans="17:17" ht="12.75" x14ac:dyDescent="0.2">
      <c r="Q227" s="334"/>
    </row>
    <row r="228" spans="17:17" ht="12.75" x14ac:dyDescent="0.2">
      <c r="Q228" s="334"/>
    </row>
    <row r="229" spans="17:17" ht="12.75" x14ac:dyDescent="0.2">
      <c r="Q229" s="334"/>
    </row>
    <row r="230" spans="17:17" ht="12.75" x14ac:dyDescent="0.2">
      <c r="Q230" s="334"/>
    </row>
    <row r="231" spans="17:17" ht="12.75" x14ac:dyDescent="0.2">
      <c r="Q231" s="334"/>
    </row>
    <row r="232" spans="17:17" ht="12.75" x14ac:dyDescent="0.2">
      <c r="Q232" s="334"/>
    </row>
    <row r="233" spans="17:17" ht="12.75" x14ac:dyDescent="0.2">
      <c r="Q233" s="334"/>
    </row>
    <row r="234" spans="17:17" ht="12.75" x14ac:dyDescent="0.2">
      <c r="Q234" s="334"/>
    </row>
    <row r="235" spans="17:17" ht="12.75" x14ac:dyDescent="0.2">
      <c r="Q235" s="334"/>
    </row>
    <row r="236" spans="17:17" ht="12.75" x14ac:dyDescent="0.2">
      <c r="Q236" s="334"/>
    </row>
    <row r="237" spans="17:17" ht="12.75" x14ac:dyDescent="0.2">
      <c r="Q237" s="334"/>
    </row>
    <row r="238" spans="17:17" ht="12.75" x14ac:dyDescent="0.2">
      <c r="Q238" s="334"/>
    </row>
    <row r="239" spans="17:17" ht="12.75" x14ac:dyDescent="0.2">
      <c r="Q239" s="334"/>
    </row>
    <row r="240" spans="17:17" ht="12.75" x14ac:dyDescent="0.2">
      <c r="Q240" s="334"/>
    </row>
    <row r="241" spans="17:17" ht="12.75" x14ac:dyDescent="0.2">
      <c r="Q241" s="334"/>
    </row>
    <row r="242" spans="17:17" ht="12.75" x14ac:dyDescent="0.2">
      <c r="Q242" s="334"/>
    </row>
    <row r="243" spans="17:17" ht="12.75" x14ac:dyDescent="0.2">
      <c r="Q243" s="334"/>
    </row>
    <row r="244" spans="17:17" ht="12.75" x14ac:dyDescent="0.2">
      <c r="Q244" s="334"/>
    </row>
    <row r="245" spans="17:17" ht="12.75" x14ac:dyDescent="0.2">
      <c r="Q245" s="334"/>
    </row>
    <row r="246" spans="17:17" ht="12.75" x14ac:dyDescent="0.2">
      <c r="Q246" s="334"/>
    </row>
    <row r="247" spans="17:17" ht="12.75" x14ac:dyDescent="0.2">
      <c r="Q247" s="334"/>
    </row>
    <row r="248" spans="17:17" ht="12.75" x14ac:dyDescent="0.2">
      <c r="Q248" s="334"/>
    </row>
    <row r="249" spans="17:17" ht="12.75" x14ac:dyDescent="0.2">
      <c r="Q249" s="334"/>
    </row>
    <row r="250" spans="17:17" ht="12.75" x14ac:dyDescent="0.2">
      <c r="Q250" s="334"/>
    </row>
    <row r="251" spans="17:17" ht="12.75" x14ac:dyDescent="0.2">
      <c r="Q251" s="334"/>
    </row>
    <row r="252" spans="17:17" ht="12.75" x14ac:dyDescent="0.2">
      <c r="Q252" s="334"/>
    </row>
    <row r="253" spans="17:17" ht="12.75" x14ac:dyDescent="0.2">
      <c r="Q253" s="334"/>
    </row>
    <row r="254" spans="17:17" ht="12.75" x14ac:dyDescent="0.2">
      <c r="Q254" s="334"/>
    </row>
    <row r="255" spans="17:17" ht="12.75" x14ac:dyDescent="0.2">
      <c r="Q255" s="334"/>
    </row>
    <row r="256" spans="17:17" ht="12.75" x14ac:dyDescent="0.2">
      <c r="Q256" s="334"/>
    </row>
    <row r="257" spans="17:17" ht="12.75" x14ac:dyDescent="0.2">
      <c r="Q257" s="334"/>
    </row>
    <row r="258" spans="17:17" ht="12.75" x14ac:dyDescent="0.2">
      <c r="Q258" s="334"/>
    </row>
    <row r="259" spans="17:17" ht="12.75" x14ac:dyDescent="0.2">
      <c r="Q259" s="334"/>
    </row>
    <row r="260" spans="17:17" ht="12.75" x14ac:dyDescent="0.2">
      <c r="Q260" s="334"/>
    </row>
    <row r="261" spans="17:17" ht="12.75" x14ac:dyDescent="0.2">
      <c r="Q261" s="334"/>
    </row>
    <row r="262" spans="17:17" ht="12.75" x14ac:dyDescent="0.2">
      <c r="Q262" s="334"/>
    </row>
    <row r="263" spans="17:17" ht="12.75" x14ac:dyDescent="0.2">
      <c r="Q263" s="334"/>
    </row>
    <row r="264" spans="17:17" ht="12.75" x14ac:dyDescent="0.2">
      <c r="Q264" s="334"/>
    </row>
    <row r="265" spans="17:17" ht="12.75" x14ac:dyDescent="0.2">
      <c r="Q265" s="334"/>
    </row>
    <row r="266" spans="17:17" ht="12.75" x14ac:dyDescent="0.2">
      <c r="Q266" s="334"/>
    </row>
    <row r="267" spans="17:17" ht="12.75" x14ac:dyDescent="0.2">
      <c r="Q267" s="334"/>
    </row>
    <row r="268" spans="17:17" ht="12.75" x14ac:dyDescent="0.2">
      <c r="Q268" s="334"/>
    </row>
    <row r="269" spans="17:17" ht="12.75" x14ac:dyDescent="0.2">
      <c r="Q269" s="334"/>
    </row>
    <row r="270" spans="17:17" ht="12.75" x14ac:dyDescent="0.2">
      <c r="Q270" s="334"/>
    </row>
    <row r="271" spans="17:17" ht="12.75" x14ac:dyDescent="0.2">
      <c r="Q271" s="334"/>
    </row>
    <row r="272" spans="17:17" ht="12.75" x14ac:dyDescent="0.2">
      <c r="Q272" s="334"/>
    </row>
    <row r="273" spans="17:17" ht="12.75" x14ac:dyDescent="0.2">
      <c r="Q273" s="334"/>
    </row>
    <row r="274" spans="17:17" ht="12.75" x14ac:dyDescent="0.2">
      <c r="Q274" s="334"/>
    </row>
    <row r="275" spans="17:17" ht="12.75" x14ac:dyDescent="0.2">
      <c r="Q275" s="334"/>
    </row>
    <row r="276" spans="17:17" ht="12.75" x14ac:dyDescent="0.2">
      <c r="Q276" s="334"/>
    </row>
    <row r="277" spans="17:17" ht="12.75" x14ac:dyDescent="0.2">
      <c r="Q277" s="334"/>
    </row>
    <row r="278" spans="17:17" ht="12.75" x14ac:dyDescent="0.2">
      <c r="Q278" s="334"/>
    </row>
    <row r="279" spans="17:17" ht="12.75" x14ac:dyDescent="0.2">
      <c r="Q279" s="334"/>
    </row>
    <row r="280" spans="17:17" ht="12.75" x14ac:dyDescent="0.2">
      <c r="Q280" s="334"/>
    </row>
    <row r="281" spans="17:17" ht="12.75" x14ac:dyDescent="0.2">
      <c r="Q281" s="334"/>
    </row>
    <row r="282" spans="17:17" ht="12.75" x14ac:dyDescent="0.2">
      <c r="Q282" s="334"/>
    </row>
    <row r="283" spans="17:17" ht="12.75" x14ac:dyDescent="0.2">
      <c r="Q283" s="334"/>
    </row>
    <row r="284" spans="17:17" ht="12.75" x14ac:dyDescent="0.2">
      <c r="Q284" s="334"/>
    </row>
    <row r="285" spans="17:17" ht="12.75" x14ac:dyDescent="0.2">
      <c r="Q285" s="334"/>
    </row>
    <row r="286" spans="17:17" ht="12.75" x14ac:dyDescent="0.2">
      <c r="Q286" s="334"/>
    </row>
    <row r="287" spans="17:17" ht="12.75" x14ac:dyDescent="0.2">
      <c r="Q287" s="334"/>
    </row>
    <row r="288" spans="17:17" ht="12.75" x14ac:dyDescent="0.2">
      <c r="Q288" s="334"/>
    </row>
    <row r="289" spans="17:17" ht="12.75" x14ac:dyDescent="0.2">
      <c r="Q289" s="334"/>
    </row>
    <row r="290" spans="17:17" ht="12.75" x14ac:dyDescent="0.2">
      <c r="Q290" s="334"/>
    </row>
    <row r="291" spans="17:17" ht="12.75" x14ac:dyDescent="0.2">
      <c r="Q291" s="334"/>
    </row>
    <row r="292" spans="17:17" ht="12.75" x14ac:dyDescent="0.2">
      <c r="Q292" s="334"/>
    </row>
    <row r="293" spans="17:17" ht="12.75" x14ac:dyDescent="0.2">
      <c r="Q293" s="334"/>
    </row>
    <row r="294" spans="17:17" ht="12.75" x14ac:dyDescent="0.2">
      <c r="Q294" s="334"/>
    </row>
    <row r="295" spans="17:17" ht="12.75" x14ac:dyDescent="0.2">
      <c r="Q295" s="334"/>
    </row>
    <row r="296" spans="17:17" ht="12.75" x14ac:dyDescent="0.2">
      <c r="Q296" s="334"/>
    </row>
    <row r="297" spans="17:17" ht="12.75" x14ac:dyDescent="0.2">
      <c r="Q297" s="334"/>
    </row>
    <row r="298" spans="17:17" ht="12.75" x14ac:dyDescent="0.2">
      <c r="Q298" s="334"/>
    </row>
    <row r="299" spans="17:17" ht="12.75" x14ac:dyDescent="0.2">
      <c r="Q299" s="334"/>
    </row>
    <row r="300" spans="17:17" ht="12.75" x14ac:dyDescent="0.2">
      <c r="Q300" s="334"/>
    </row>
    <row r="301" spans="17:17" ht="12.75" x14ac:dyDescent="0.2">
      <c r="Q301" s="334"/>
    </row>
    <row r="302" spans="17:17" ht="12.75" x14ac:dyDescent="0.2">
      <c r="Q302" s="334"/>
    </row>
    <row r="303" spans="17:17" ht="12.75" x14ac:dyDescent="0.2">
      <c r="Q303" s="334"/>
    </row>
    <row r="304" spans="17:17" ht="12.75" x14ac:dyDescent="0.2">
      <c r="Q304" s="334"/>
    </row>
    <row r="305" spans="17:17" ht="12.75" x14ac:dyDescent="0.2">
      <c r="Q305" s="334"/>
    </row>
    <row r="306" spans="17:17" ht="12.75" x14ac:dyDescent="0.2">
      <c r="Q306" s="334"/>
    </row>
    <row r="307" spans="17:17" ht="12.75" x14ac:dyDescent="0.2">
      <c r="Q307" s="334"/>
    </row>
    <row r="308" spans="17:17" ht="12.75" x14ac:dyDescent="0.2">
      <c r="Q308" s="334"/>
    </row>
    <row r="309" spans="17:17" ht="12.75" x14ac:dyDescent="0.2">
      <c r="Q309" s="334"/>
    </row>
    <row r="310" spans="17:17" ht="12.75" x14ac:dyDescent="0.2">
      <c r="Q310" s="334"/>
    </row>
    <row r="311" spans="17:17" ht="12.75" x14ac:dyDescent="0.2">
      <c r="Q311" s="334"/>
    </row>
    <row r="312" spans="17:17" ht="12.75" x14ac:dyDescent="0.2">
      <c r="Q312" s="334"/>
    </row>
    <row r="313" spans="17:17" ht="12.75" x14ac:dyDescent="0.2">
      <c r="Q313" s="334"/>
    </row>
    <row r="314" spans="17:17" ht="12.75" x14ac:dyDescent="0.2">
      <c r="Q314" s="334"/>
    </row>
    <row r="315" spans="17:17" ht="12.75" x14ac:dyDescent="0.2">
      <c r="Q315" s="334"/>
    </row>
    <row r="316" spans="17:17" ht="12.75" x14ac:dyDescent="0.2">
      <c r="Q316" s="334"/>
    </row>
    <row r="317" spans="17:17" ht="12.75" x14ac:dyDescent="0.2">
      <c r="Q317" s="334"/>
    </row>
    <row r="318" spans="17:17" ht="12.75" x14ac:dyDescent="0.2">
      <c r="Q318" s="334"/>
    </row>
    <row r="319" spans="17:17" ht="12.75" x14ac:dyDescent="0.2">
      <c r="Q319" s="334"/>
    </row>
    <row r="320" spans="17:17" ht="12.75" x14ac:dyDescent="0.2">
      <c r="Q320" s="334"/>
    </row>
    <row r="321" spans="17:17" ht="12.75" x14ac:dyDescent="0.2">
      <c r="Q321" s="334"/>
    </row>
    <row r="322" spans="17:17" ht="12.75" x14ac:dyDescent="0.2">
      <c r="Q322" s="334"/>
    </row>
    <row r="323" spans="17:17" ht="12.75" x14ac:dyDescent="0.2">
      <c r="Q323" s="334"/>
    </row>
    <row r="324" spans="17:17" ht="12.75" x14ac:dyDescent="0.2">
      <c r="Q324" s="334"/>
    </row>
    <row r="325" spans="17:17" ht="12.75" x14ac:dyDescent="0.2">
      <c r="Q325" s="334"/>
    </row>
    <row r="326" spans="17:17" ht="12.75" x14ac:dyDescent="0.2">
      <c r="Q326" s="334"/>
    </row>
    <row r="327" spans="17:17" ht="12.75" x14ac:dyDescent="0.2">
      <c r="Q327" s="334"/>
    </row>
    <row r="328" spans="17:17" ht="12.75" x14ac:dyDescent="0.2">
      <c r="Q328" s="334"/>
    </row>
    <row r="329" spans="17:17" ht="12.75" x14ac:dyDescent="0.2">
      <c r="Q329" s="334"/>
    </row>
    <row r="330" spans="17:17" ht="12.75" x14ac:dyDescent="0.2">
      <c r="Q330" s="334"/>
    </row>
    <row r="331" spans="17:17" ht="12.75" x14ac:dyDescent="0.2">
      <c r="Q331" s="334"/>
    </row>
    <row r="332" spans="17:17" ht="12.75" x14ac:dyDescent="0.2">
      <c r="Q332" s="334"/>
    </row>
    <row r="333" spans="17:17" ht="12.75" x14ac:dyDescent="0.2">
      <c r="Q333" s="334"/>
    </row>
    <row r="334" spans="17:17" ht="12.75" x14ac:dyDescent="0.2">
      <c r="Q334" s="334"/>
    </row>
    <row r="335" spans="17:17" ht="12.75" x14ac:dyDescent="0.2">
      <c r="Q335" s="334"/>
    </row>
    <row r="336" spans="17:17" ht="12.75" x14ac:dyDescent="0.2">
      <c r="Q336" s="334"/>
    </row>
    <row r="337" spans="17:17" ht="12.75" x14ac:dyDescent="0.2">
      <c r="Q337" s="334"/>
    </row>
    <row r="338" spans="17:17" ht="12.75" x14ac:dyDescent="0.2">
      <c r="Q338" s="334"/>
    </row>
    <row r="339" spans="17:17" ht="12.75" x14ac:dyDescent="0.2">
      <c r="Q339" s="334"/>
    </row>
    <row r="340" spans="17:17" ht="12.75" x14ac:dyDescent="0.2">
      <c r="Q340" s="334"/>
    </row>
    <row r="341" spans="17:17" ht="12.75" x14ac:dyDescent="0.2">
      <c r="Q341" s="334"/>
    </row>
    <row r="342" spans="17:17" ht="12.75" x14ac:dyDescent="0.2">
      <c r="Q342" s="334"/>
    </row>
    <row r="343" spans="17:17" ht="12.75" x14ac:dyDescent="0.2">
      <c r="Q343" s="334"/>
    </row>
    <row r="344" spans="17:17" ht="12.75" x14ac:dyDescent="0.2">
      <c r="Q344" s="334"/>
    </row>
    <row r="345" spans="17:17" ht="12.75" x14ac:dyDescent="0.2">
      <c r="Q345" s="334"/>
    </row>
    <row r="346" spans="17:17" ht="12.75" x14ac:dyDescent="0.2">
      <c r="Q346" s="334"/>
    </row>
    <row r="347" spans="17:17" ht="12.75" x14ac:dyDescent="0.2">
      <c r="Q347" s="334"/>
    </row>
    <row r="348" spans="17:17" ht="12.75" x14ac:dyDescent="0.2">
      <c r="Q348" s="334"/>
    </row>
    <row r="349" spans="17:17" ht="12.75" x14ac:dyDescent="0.2">
      <c r="Q349" s="334"/>
    </row>
    <row r="350" spans="17:17" ht="12.75" x14ac:dyDescent="0.2">
      <c r="Q350" s="334"/>
    </row>
    <row r="351" spans="17:17" ht="12.75" x14ac:dyDescent="0.2">
      <c r="Q351" s="334"/>
    </row>
    <row r="352" spans="17:17" ht="12.75" x14ac:dyDescent="0.2">
      <c r="Q352" s="334"/>
    </row>
    <row r="353" spans="17:17" ht="12.75" x14ac:dyDescent="0.2">
      <c r="Q353" s="334"/>
    </row>
    <row r="354" spans="17:17" ht="12.75" x14ac:dyDescent="0.2">
      <c r="Q354" s="334"/>
    </row>
    <row r="355" spans="17:17" ht="12.75" x14ac:dyDescent="0.2">
      <c r="Q355" s="334"/>
    </row>
    <row r="356" spans="17:17" ht="12.75" x14ac:dyDescent="0.2">
      <c r="Q356" s="334"/>
    </row>
    <row r="357" spans="17:17" ht="12.75" x14ac:dyDescent="0.2">
      <c r="Q357" s="334"/>
    </row>
    <row r="358" spans="17:17" ht="12.75" x14ac:dyDescent="0.2">
      <c r="Q358" s="334"/>
    </row>
    <row r="359" spans="17:17" ht="12.75" x14ac:dyDescent="0.2">
      <c r="Q359" s="334"/>
    </row>
    <row r="360" spans="17:17" ht="12.75" x14ac:dyDescent="0.2">
      <c r="Q360" s="334"/>
    </row>
    <row r="361" spans="17:17" ht="12.75" x14ac:dyDescent="0.2">
      <c r="Q361" s="334"/>
    </row>
    <row r="362" spans="17:17" ht="12.75" x14ac:dyDescent="0.2">
      <c r="Q362" s="334"/>
    </row>
    <row r="363" spans="17:17" ht="12.75" x14ac:dyDescent="0.2">
      <c r="Q363" s="334"/>
    </row>
    <row r="364" spans="17:17" ht="12.75" x14ac:dyDescent="0.2">
      <c r="Q364" s="334"/>
    </row>
    <row r="365" spans="17:17" ht="12.75" x14ac:dyDescent="0.2">
      <c r="Q365" s="334"/>
    </row>
    <row r="366" spans="17:17" ht="12.75" x14ac:dyDescent="0.2">
      <c r="Q366" s="334"/>
    </row>
    <row r="367" spans="17:17" ht="12.75" x14ac:dyDescent="0.2">
      <c r="Q367" s="334"/>
    </row>
    <row r="368" spans="17:17" ht="12.75" x14ac:dyDescent="0.2">
      <c r="Q368" s="334"/>
    </row>
    <row r="369" spans="17:17" ht="12.75" x14ac:dyDescent="0.2">
      <c r="Q369" s="334"/>
    </row>
    <row r="370" spans="17:17" ht="12.75" x14ac:dyDescent="0.2">
      <c r="Q370" s="334"/>
    </row>
    <row r="371" spans="17:17" ht="12.75" x14ac:dyDescent="0.2">
      <c r="Q371" s="334"/>
    </row>
    <row r="372" spans="17:17" ht="12.75" x14ac:dyDescent="0.2">
      <c r="Q372" s="334"/>
    </row>
    <row r="373" spans="17:17" ht="12.75" x14ac:dyDescent="0.2">
      <c r="Q373" s="334"/>
    </row>
    <row r="374" spans="17:17" ht="12.75" x14ac:dyDescent="0.2">
      <c r="Q374" s="334"/>
    </row>
    <row r="375" spans="17:17" ht="12.75" x14ac:dyDescent="0.2">
      <c r="Q375" s="334"/>
    </row>
    <row r="376" spans="17:17" ht="12.75" x14ac:dyDescent="0.2">
      <c r="Q376" s="334"/>
    </row>
    <row r="377" spans="17:17" ht="12.75" x14ac:dyDescent="0.2">
      <c r="Q377" s="334"/>
    </row>
    <row r="378" spans="17:17" ht="12.75" x14ac:dyDescent="0.2">
      <c r="Q378" s="334"/>
    </row>
    <row r="379" spans="17:17" ht="12.75" x14ac:dyDescent="0.2">
      <c r="Q379" s="334"/>
    </row>
    <row r="380" spans="17:17" ht="12.75" x14ac:dyDescent="0.2">
      <c r="Q380" s="334"/>
    </row>
    <row r="381" spans="17:17" ht="12.75" x14ac:dyDescent="0.2">
      <c r="Q381" s="334"/>
    </row>
    <row r="382" spans="17:17" ht="12.75" x14ac:dyDescent="0.2">
      <c r="Q382" s="334"/>
    </row>
    <row r="383" spans="17:17" ht="12.75" x14ac:dyDescent="0.2">
      <c r="Q383" s="334"/>
    </row>
    <row r="384" spans="17:17" ht="12.75" x14ac:dyDescent="0.2">
      <c r="Q384" s="334"/>
    </row>
    <row r="385" spans="17:17" ht="12.75" x14ac:dyDescent="0.2">
      <c r="Q385" s="334"/>
    </row>
    <row r="386" spans="17:17" ht="12.75" x14ac:dyDescent="0.2">
      <c r="Q386" s="334"/>
    </row>
    <row r="387" spans="17:17" ht="12.75" x14ac:dyDescent="0.2">
      <c r="Q387" s="334"/>
    </row>
    <row r="388" spans="17:17" ht="12.75" x14ac:dyDescent="0.2">
      <c r="Q388" s="334"/>
    </row>
    <row r="389" spans="17:17" ht="12.75" x14ac:dyDescent="0.2">
      <c r="Q389" s="334"/>
    </row>
    <row r="390" spans="17:17" ht="12.75" x14ac:dyDescent="0.2">
      <c r="Q390" s="334"/>
    </row>
    <row r="391" spans="17:17" ht="12.75" x14ac:dyDescent="0.2">
      <c r="Q391" s="334"/>
    </row>
    <row r="392" spans="17:17" ht="12.75" x14ac:dyDescent="0.2">
      <c r="Q392" s="334"/>
    </row>
    <row r="393" spans="17:17" ht="12.75" x14ac:dyDescent="0.2">
      <c r="Q393" s="334"/>
    </row>
    <row r="394" spans="17:17" ht="12.75" x14ac:dyDescent="0.2">
      <c r="Q394" s="334"/>
    </row>
    <row r="395" spans="17:17" ht="12.75" x14ac:dyDescent="0.2">
      <c r="Q395" s="334"/>
    </row>
    <row r="396" spans="17:17" ht="12.75" x14ac:dyDescent="0.2">
      <c r="Q396" s="334"/>
    </row>
    <row r="397" spans="17:17" ht="12.75" x14ac:dyDescent="0.2">
      <c r="Q397" s="334"/>
    </row>
    <row r="398" spans="17:17" ht="12.75" x14ac:dyDescent="0.2">
      <c r="Q398" s="334"/>
    </row>
    <row r="399" spans="17:17" ht="12.75" x14ac:dyDescent="0.2">
      <c r="Q399" s="334"/>
    </row>
    <row r="400" spans="17:17" ht="12.75" x14ac:dyDescent="0.2">
      <c r="Q400" s="334"/>
    </row>
    <row r="401" spans="17:17" ht="12.75" x14ac:dyDescent="0.2">
      <c r="Q401" s="334"/>
    </row>
    <row r="402" spans="17:17" ht="12.75" x14ac:dyDescent="0.2">
      <c r="Q402" s="334"/>
    </row>
    <row r="403" spans="17:17" ht="12.75" x14ac:dyDescent="0.2">
      <c r="Q403" s="334"/>
    </row>
    <row r="404" spans="17:17" ht="12.75" x14ac:dyDescent="0.2">
      <c r="Q404" s="334"/>
    </row>
    <row r="405" spans="17:17" ht="12.75" x14ac:dyDescent="0.2">
      <c r="Q405" s="334"/>
    </row>
    <row r="406" spans="17:17" ht="12.75" x14ac:dyDescent="0.2">
      <c r="Q406" s="334"/>
    </row>
    <row r="407" spans="17:17" ht="12.75" x14ac:dyDescent="0.2">
      <c r="Q407" s="334"/>
    </row>
    <row r="408" spans="17:17" ht="12.75" x14ac:dyDescent="0.2">
      <c r="Q408" s="334"/>
    </row>
    <row r="409" spans="17:17" ht="12.75" x14ac:dyDescent="0.2">
      <c r="Q409" s="334"/>
    </row>
    <row r="410" spans="17:17" ht="12.75" x14ac:dyDescent="0.2">
      <c r="Q410" s="334"/>
    </row>
    <row r="411" spans="17:17" ht="12.75" x14ac:dyDescent="0.2">
      <c r="Q411" s="334"/>
    </row>
    <row r="412" spans="17:17" ht="12.75" x14ac:dyDescent="0.2">
      <c r="Q412" s="334"/>
    </row>
    <row r="413" spans="17:17" ht="12.75" x14ac:dyDescent="0.2">
      <c r="Q413" s="334"/>
    </row>
    <row r="414" spans="17:17" ht="12.75" x14ac:dyDescent="0.2">
      <c r="Q414" s="334"/>
    </row>
    <row r="415" spans="17:17" ht="12.75" x14ac:dyDescent="0.2">
      <c r="Q415" s="334"/>
    </row>
    <row r="416" spans="17:17" ht="12.75" x14ac:dyDescent="0.2">
      <c r="Q416" s="334"/>
    </row>
    <row r="417" spans="17:17" ht="12.75" x14ac:dyDescent="0.2">
      <c r="Q417" s="334"/>
    </row>
    <row r="418" spans="17:17" ht="12.75" x14ac:dyDescent="0.2">
      <c r="Q418" s="334"/>
    </row>
    <row r="419" spans="17:17" ht="12.75" x14ac:dyDescent="0.2">
      <c r="Q419" s="334"/>
    </row>
    <row r="420" spans="17:17" ht="12.75" x14ac:dyDescent="0.2">
      <c r="Q420" s="334"/>
    </row>
    <row r="421" spans="17:17" ht="12.75" x14ac:dyDescent="0.2">
      <c r="Q421" s="334"/>
    </row>
    <row r="422" spans="17:17" ht="12.75" x14ac:dyDescent="0.2">
      <c r="Q422" s="334"/>
    </row>
    <row r="423" spans="17:17" ht="12.75" x14ac:dyDescent="0.2">
      <c r="Q423" s="334"/>
    </row>
    <row r="424" spans="17:17" ht="12.75" x14ac:dyDescent="0.2">
      <c r="Q424" s="334"/>
    </row>
    <row r="425" spans="17:17" ht="12.75" x14ac:dyDescent="0.2">
      <c r="Q425" s="334"/>
    </row>
    <row r="426" spans="17:17" ht="12.75" x14ac:dyDescent="0.2">
      <c r="Q426" s="334"/>
    </row>
    <row r="427" spans="17:17" ht="12.75" x14ac:dyDescent="0.2">
      <c r="Q427" s="334"/>
    </row>
    <row r="428" spans="17:17" ht="12.75" x14ac:dyDescent="0.2">
      <c r="Q428" s="334"/>
    </row>
    <row r="429" spans="17:17" ht="12.75" x14ac:dyDescent="0.2">
      <c r="Q429" s="334"/>
    </row>
    <row r="430" spans="17:17" ht="12.75" x14ac:dyDescent="0.2">
      <c r="Q430" s="334"/>
    </row>
    <row r="431" spans="17:17" ht="12.75" x14ac:dyDescent="0.2">
      <c r="Q431" s="334"/>
    </row>
    <row r="432" spans="17:17" ht="12.75" x14ac:dyDescent="0.2">
      <c r="Q432" s="334"/>
    </row>
    <row r="433" spans="17:17" ht="12.75" x14ac:dyDescent="0.2">
      <c r="Q433" s="334"/>
    </row>
    <row r="434" spans="17:17" ht="12.75" x14ac:dyDescent="0.2">
      <c r="Q434" s="334"/>
    </row>
    <row r="435" spans="17:17" ht="12.75" x14ac:dyDescent="0.2">
      <c r="Q435" s="334"/>
    </row>
    <row r="436" spans="17:17" ht="12.75" x14ac:dyDescent="0.2">
      <c r="Q436" s="334"/>
    </row>
    <row r="437" spans="17:17" ht="12.75" x14ac:dyDescent="0.2">
      <c r="Q437" s="334"/>
    </row>
    <row r="438" spans="17:17" ht="12.75" x14ac:dyDescent="0.2">
      <c r="Q438" s="334"/>
    </row>
    <row r="439" spans="17:17" ht="12.75" x14ac:dyDescent="0.2">
      <c r="Q439" s="334"/>
    </row>
    <row r="440" spans="17:17" ht="12.75" x14ac:dyDescent="0.2">
      <c r="Q440" s="334"/>
    </row>
    <row r="441" spans="17:17" ht="12.75" x14ac:dyDescent="0.2">
      <c r="Q441" s="334"/>
    </row>
    <row r="442" spans="17:17" ht="12.75" x14ac:dyDescent="0.2">
      <c r="Q442" s="334"/>
    </row>
    <row r="443" spans="17:17" ht="12.75" x14ac:dyDescent="0.2">
      <c r="Q443" s="334"/>
    </row>
    <row r="444" spans="17:17" ht="12.75" x14ac:dyDescent="0.2">
      <c r="Q444" s="334"/>
    </row>
    <row r="445" spans="17:17" ht="12.75" x14ac:dyDescent="0.2">
      <c r="Q445" s="334"/>
    </row>
    <row r="446" spans="17:17" ht="12.75" x14ac:dyDescent="0.2">
      <c r="Q446" s="334"/>
    </row>
    <row r="447" spans="17:17" ht="12.75" x14ac:dyDescent="0.2">
      <c r="Q447" s="334"/>
    </row>
    <row r="448" spans="17:17" ht="12.75" x14ac:dyDescent="0.2">
      <c r="Q448" s="334"/>
    </row>
    <row r="449" spans="17:17" ht="12.75" x14ac:dyDescent="0.2">
      <c r="Q449" s="334"/>
    </row>
    <row r="450" spans="17:17" ht="12.75" x14ac:dyDescent="0.2">
      <c r="Q450" s="334"/>
    </row>
    <row r="451" spans="17:17" ht="12.75" x14ac:dyDescent="0.2">
      <c r="Q451" s="334"/>
    </row>
    <row r="452" spans="17:17" ht="12.75" x14ac:dyDescent="0.2">
      <c r="Q452" s="334"/>
    </row>
    <row r="453" spans="17:17" ht="12.75" x14ac:dyDescent="0.2">
      <c r="Q453" s="334"/>
    </row>
    <row r="454" spans="17:17" ht="12.75" x14ac:dyDescent="0.2">
      <c r="Q454" s="334"/>
    </row>
    <row r="455" spans="17:17" ht="12.75" x14ac:dyDescent="0.2">
      <c r="Q455" s="334"/>
    </row>
    <row r="456" spans="17:17" ht="12.75" x14ac:dyDescent="0.2">
      <c r="Q456" s="334"/>
    </row>
    <row r="457" spans="17:17" ht="12.75" x14ac:dyDescent="0.2">
      <c r="Q457" s="334"/>
    </row>
    <row r="458" spans="17:17" ht="12.75" x14ac:dyDescent="0.2">
      <c r="Q458" s="334"/>
    </row>
    <row r="459" spans="17:17" ht="12.75" x14ac:dyDescent="0.2">
      <c r="Q459" s="334"/>
    </row>
    <row r="460" spans="17:17" ht="12.75" x14ac:dyDescent="0.2">
      <c r="Q460" s="334"/>
    </row>
    <row r="461" spans="17:17" ht="12.75" x14ac:dyDescent="0.2">
      <c r="Q461" s="334"/>
    </row>
    <row r="462" spans="17:17" ht="12.75" x14ac:dyDescent="0.2">
      <c r="Q462" s="334"/>
    </row>
    <row r="463" spans="17:17" ht="12.75" x14ac:dyDescent="0.2">
      <c r="Q463" s="334"/>
    </row>
    <row r="464" spans="17:17" ht="12.75" x14ac:dyDescent="0.2">
      <c r="Q464" s="334"/>
    </row>
    <row r="465" spans="17:17" ht="12.75" x14ac:dyDescent="0.2">
      <c r="Q465" s="334"/>
    </row>
    <row r="466" spans="17:17" ht="12.75" x14ac:dyDescent="0.2">
      <c r="Q466" s="334"/>
    </row>
    <row r="467" spans="17:17" ht="12.75" x14ac:dyDescent="0.2">
      <c r="Q467" s="334"/>
    </row>
    <row r="468" spans="17:17" ht="12.75" x14ac:dyDescent="0.2">
      <c r="Q468" s="334"/>
    </row>
    <row r="469" spans="17:17" ht="12.75" x14ac:dyDescent="0.2">
      <c r="Q469" s="334"/>
    </row>
    <row r="470" spans="17:17" ht="12.75" x14ac:dyDescent="0.2">
      <c r="Q470" s="334"/>
    </row>
    <row r="471" spans="17:17" ht="12.75" x14ac:dyDescent="0.2">
      <c r="Q471" s="334"/>
    </row>
    <row r="472" spans="17:17" ht="12.75" x14ac:dyDescent="0.2">
      <c r="Q472" s="334"/>
    </row>
    <row r="473" spans="17:17" ht="12.75" x14ac:dyDescent="0.2">
      <c r="Q473" s="334"/>
    </row>
    <row r="474" spans="17:17" ht="12.75" x14ac:dyDescent="0.2">
      <c r="Q474" s="334"/>
    </row>
    <row r="475" spans="17:17" ht="12.75" x14ac:dyDescent="0.2">
      <c r="Q475" s="334"/>
    </row>
    <row r="476" spans="17:17" ht="12.75" x14ac:dyDescent="0.2">
      <c r="Q476" s="334"/>
    </row>
    <row r="477" spans="17:17" ht="12.75" x14ac:dyDescent="0.2">
      <c r="Q477" s="334"/>
    </row>
    <row r="478" spans="17:17" ht="12.75" x14ac:dyDescent="0.2">
      <c r="Q478" s="334"/>
    </row>
    <row r="479" spans="17:17" ht="12.75" x14ac:dyDescent="0.2">
      <c r="Q479" s="334"/>
    </row>
    <row r="480" spans="17:17" ht="12.75" x14ac:dyDescent="0.2">
      <c r="Q480" s="334"/>
    </row>
    <row r="481" spans="17:17" ht="12.75" x14ac:dyDescent="0.2">
      <c r="Q481" s="334"/>
    </row>
    <row r="482" spans="17:17" ht="12.75" x14ac:dyDescent="0.2">
      <c r="Q482" s="334"/>
    </row>
    <row r="483" spans="17:17" ht="12.75" x14ac:dyDescent="0.2">
      <c r="Q483" s="334"/>
    </row>
    <row r="484" spans="17:17" ht="12.75" x14ac:dyDescent="0.2">
      <c r="Q484" s="334"/>
    </row>
    <row r="485" spans="17:17" ht="12.75" x14ac:dyDescent="0.2">
      <c r="Q485" s="334"/>
    </row>
    <row r="486" spans="17:17" ht="12.75" x14ac:dyDescent="0.2">
      <c r="Q486" s="334"/>
    </row>
    <row r="487" spans="17:17" ht="12.75" x14ac:dyDescent="0.2">
      <c r="Q487" s="334"/>
    </row>
    <row r="488" spans="17:17" ht="12.75" x14ac:dyDescent="0.2">
      <c r="Q488" s="334"/>
    </row>
    <row r="489" spans="17:17" ht="12.75" x14ac:dyDescent="0.2">
      <c r="Q489" s="334"/>
    </row>
    <row r="490" spans="17:17" ht="12.75" x14ac:dyDescent="0.2">
      <c r="Q490" s="334"/>
    </row>
    <row r="491" spans="17:17" ht="12.75" x14ac:dyDescent="0.2">
      <c r="Q491" s="334"/>
    </row>
    <row r="492" spans="17:17" ht="12.75" x14ac:dyDescent="0.2">
      <c r="Q492" s="334"/>
    </row>
    <row r="493" spans="17:17" ht="12.75" x14ac:dyDescent="0.2">
      <c r="Q493" s="334"/>
    </row>
    <row r="494" spans="17:17" ht="12.75" x14ac:dyDescent="0.2">
      <c r="Q494" s="334"/>
    </row>
    <row r="495" spans="17:17" ht="12.75" x14ac:dyDescent="0.2">
      <c r="Q495" s="334"/>
    </row>
    <row r="496" spans="17:17" ht="12.75" x14ac:dyDescent="0.2">
      <c r="Q496" s="334"/>
    </row>
    <row r="497" spans="17:17" ht="12.75" x14ac:dyDescent="0.2">
      <c r="Q497" s="334"/>
    </row>
    <row r="498" spans="17:17" ht="12.75" x14ac:dyDescent="0.2">
      <c r="Q498" s="334"/>
    </row>
    <row r="499" spans="17:17" ht="12.75" x14ac:dyDescent="0.2">
      <c r="Q499" s="334"/>
    </row>
    <row r="500" spans="17:17" ht="12.75" x14ac:dyDescent="0.2">
      <c r="Q500" s="334"/>
    </row>
    <row r="501" spans="17:17" ht="12.75" x14ac:dyDescent="0.2">
      <c r="Q501" s="334"/>
    </row>
    <row r="502" spans="17:17" ht="12.75" x14ac:dyDescent="0.2">
      <c r="Q502" s="334"/>
    </row>
    <row r="503" spans="17:17" ht="12.75" x14ac:dyDescent="0.2">
      <c r="Q503" s="334"/>
    </row>
    <row r="504" spans="17:17" ht="12.75" x14ac:dyDescent="0.2">
      <c r="Q504" s="334"/>
    </row>
    <row r="505" spans="17:17" ht="12.75" x14ac:dyDescent="0.2">
      <c r="Q505" s="334"/>
    </row>
    <row r="506" spans="17:17" ht="12.75" x14ac:dyDescent="0.2">
      <c r="Q506" s="334"/>
    </row>
    <row r="507" spans="17:17" ht="12.75" x14ac:dyDescent="0.2">
      <c r="Q507" s="334"/>
    </row>
    <row r="508" spans="17:17" ht="12.75" x14ac:dyDescent="0.2">
      <c r="Q508" s="334"/>
    </row>
    <row r="509" spans="17:17" ht="12.75" x14ac:dyDescent="0.2">
      <c r="Q509" s="334"/>
    </row>
    <row r="510" spans="17:17" ht="12.75" x14ac:dyDescent="0.2">
      <c r="Q510" s="334"/>
    </row>
    <row r="511" spans="17:17" ht="12.75" x14ac:dyDescent="0.2">
      <c r="Q511" s="334"/>
    </row>
    <row r="512" spans="17:17" ht="12.75" x14ac:dyDescent="0.2">
      <c r="Q512" s="334"/>
    </row>
    <row r="513" spans="17:17" ht="12.75" x14ac:dyDescent="0.2">
      <c r="Q513" s="334"/>
    </row>
    <row r="514" spans="17:17" ht="12.75" x14ac:dyDescent="0.2">
      <c r="Q514" s="334"/>
    </row>
    <row r="515" spans="17:17" ht="12.75" x14ac:dyDescent="0.2">
      <c r="Q515" s="334"/>
    </row>
    <row r="516" spans="17:17" ht="12.75" x14ac:dyDescent="0.2">
      <c r="Q516" s="334"/>
    </row>
    <row r="517" spans="17:17" ht="12.75" x14ac:dyDescent="0.2">
      <c r="Q517" s="334"/>
    </row>
    <row r="518" spans="17:17" ht="12.75" x14ac:dyDescent="0.2">
      <c r="Q518" s="334"/>
    </row>
    <row r="519" spans="17:17" ht="12.75" x14ac:dyDescent="0.2">
      <c r="Q519" s="334"/>
    </row>
    <row r="520" spans="17:17" ht="12.75" x14ac:dyDescent="0.2">
      <c r="Q520" s="334"/>
    </row>
    <row r="521" spans="17:17" ht="12.75" x14ac:dyDescent="0.2">
      <c r="Q521" s="334"/>
    </row>
    <row r="522" spans="17:17" ht="12.75" x14ac:dyDescent="0.2">
      <c r="Q522" s="334"/>
    </row>
    <row r="523" spans="17:17" ht="12.75" x14ac:dyDescent="0.2">
      <c r="Q523" s="334"/>
    </row>
    <row r="524" spans="17:17" ht="12.75" x14ac:dyDescent="0.2">
      <c r="Q524" s="334"/>
    </row>
    <row r="525" spans="17:17" ht="12.75" x14ac:dyDescent="0.2">
      <c r="Q525" s="334"/>
    </row>
    <row r="526" spans="17:17" ht="12.75" x14ac:dyDescent="0.2">
      <c r="Q526" s="334"/>
    </row>
    <row r="527" spans="17:17" ht="12.75" x14ac:dyDescent="0.2">
      <c r="Q527" s="334"/>
    </row>
    <row r="528" spans="17:17" ht="12.75" x14ac:dyDescent="0.2">
      <c r="Q528" s="334"/>
    </row>
    <row r="529" spans="17:17" ht="12.75" x14ac:dyDescent="0.2">
      <c r="Q529" s="334"/>
    </row>
    <row r="530" spans="17:17" ht="12.75" x14ac:dyDescent="0.2">
      <c r="Q530" s="334"/>
    </row>
    <row r="531" spans="17:17" ht="12.75" x14ac:dyDescent="0.2">
      <c r="Q531" s="334"/>
    </row>
    <row r="532" spans="17:17" ht="12.75" x14ac:dyDescent="0.2">
      <c r="Q532" s="334"/>
    </row>
    <row r="533" spans="17:17" ht="12.75" x14ac:dyDescent="0.2">
      <c r="Q533" s="334"/>
    </row>
    <row r="534" spans="17:17" ht="12.75" x14ac:dyDescent="0.2">
      <c r="Q534" s="334"/>
    </row>
    <row r="535" spans="17:17" ht="12.75" x14ac:dyDescent="0.2">
      <c r="Q535" s="334"/>
    </row>
    <row r="536" spans="17:17" ht="12.75" x14ac:dyDescent="0.2">
      <c r="Q536" s="334"/>
    </row>
    <row r="537" spans="17:17" ht="12.75" x14ac:dyDescent="0.2">
      <c r="Q537" s="334"/>
    </row>
    <row r="538" spans="17:17" ht="12.75" x14ac:dyDescent="0.2">
      <c r="Q538" s="334"/>
    </row>
    <row r="539" spans="17:17" ht="12.75" x14ac:dyDescent="0.2">
      <c r="Q539" s="334"/>
    </row>
    <row r="540" spans="17:17" ht="12.75" x14ac:dyDescent="0.2">
      <c r="Q540" s="334"/>
    </row>
    <row r="541" spans="17:17" ht="12.75" x14ac:dyDescent="0.2">
      <c r="Q541" s="334"/>
    </row>
    <row r="542" spans="17:17" ht="12.75" x14ac:dyDescent="0.2">
      <c r="Q542" s="334"/>
    </row>
    <row r="543" spans="17:17" ht="12.75" x14ac:dyDescent="0.2">
      <c r="Q543" s="334"/>
    </row>
    <row r="544" spans="17:17" ht="12.75" x14ac:dyDescent="0.2">
      <c r="Q544" s="334"/>
    </row>
    <row r="545" spans="17:17" ht="12.75" x14ac:dyDescent="0.2">
      <c r="Q545" s="334"/>
    </row>
    <row r="546" spans="17:17" ht="12.75" x14ac:dyDescent="0.2">
      <c r="Q546" s="334"/>
    </row>
    <row r="547" spans="17:17" ht="12.75" x14ac:dyDescent="0.2">
      <c r="Q547" s="334"/>
    </row>
    <row r="548" spans="17:17" ht="12.75" x14ac:dyDescent="0.2">
      <c r="Q548" s="334"/>
    </row>
    <row r="549" spans="17:17" ht="12.75" x14ac:dyDescent="0.2">
      <c r="Q549" s="334"/>
    </row>
    <row r="550" spans="17:17" ht="12.75" x14ac:dyDescent="0.2">
      <c r="Q550" s="334"/>
    </row>
    <row r="551" spans="17:17" ht="12.75" x14ac:dyDescent="0.2">
      <c r="Q551" s="334"/>
    </row>
    <row r="552" spans="17:17" ht="12.75" x14ac:dyDescent="0.2">
      <c r="Q552" s="334"/>
    </row>
    <row r="553" spans="17:17" ht="12.75" x14ac:dyDescent="0.2">
      <c r="Q553" s="334"/>
    </row>
    <row r="554" spans="17:17" ht="12.75" x14ac:dyDescent="0.2">
      <c r="Q554" s="334"/>
    </row>
    <row r="555" spans="17:17" ht="12.75" x14ac:dyDescent="0.2">
      <c r="Q555" s="334"/>
    </row>
    <row r="556" spans="17:17" ht="12.75" x14ac:dyDescent="0.2">
      <c r="Q556" s="334"/>
    </row>
    <row r="557" spans="17:17" ht="12.75" x14ac:dyDescent="0.2">
      <c r="Q557" s="334"/>
    </row>
    <row r="558" spans="17:17" ht="12.75" x14ac:dyDescent="0.2">
      <c r="Q558" s="334"/>
    </row>
    <row r="559" spans="17:17" ht="12.75" x14ac:dyDescent="0.2">
      <c r="Q559" s="334"/>
    </row>
    <row r="560" spans="17:17" ht="12.75" x14ac:dyDescent="0.2">
      <c r="Q560" s="334"/>
    </row>
    <row r="561" spans="17:17" ht="12.75" x14ac:dyDescent="0.2">
      <c r="Q561" s="334"/>
    </row>
    <row r="562" spans="17:17" ht="12.75" x14ac:dyDescent="0.2">
      <c r="Q562" s="334"/>
    </row>
    <row r="563" spans="17:17" ht="12.75" x14ac:dyDescent="0.2">
      <c r="Q563" s="334"/>
    </row>
    <row r="564" spans="17:17" ht="12.75" x14ac:dyDescent="0.2">
      <c r="Q564" s="334"/>
    </row>
    <row r="565" spans="17:17" ht="12.75" x14ac:dyDescent="0.2">
      <c r="Q565" s="334"/>
    </row>
    <row r="566" spans="17:17" ht="12.75" x14ac:dyDescent="0.2">
      <c r="Q566" s="334"/>
    </row>
    <row r="567" spans="17:17" ht="12.75" x14ac:dyDescent="0.2">
      <c r="Q567" s="334"/>
    </row>
    <row r="568" spans="17:17" ht="12.75" x14ac:dyDescent="0.2">
      <c r="Q568" s="334"/>
    </row>
    <row r="569" spans="17:17" ht="12.75" x14ac:dyDescent="0.2">
      <c r="Q569" s="334"/>
    </row>
    <row r="570" spans="17:17" ht="12.75" x14ac:dyDescent="0.2">
      <c r="Q570" s="334"/>
    </row>
    <row r="571" spans="17:17" ht="12.75" x14ac:dyDescent="0.2">
      <c r="Q571" s="334"/>
    </row>
    <row r="572" spans="17:17" ht="12.75" x14ac:dyDescent="0.2">
      <c r="Q572" s="334"/>
    </row>
    <row r="573" spans="17:17" ht="12.75" x14ac:dyDescent="0.2">
      <c r="Q573" s="334"/>
    </row>
    <row r="574" spans="17:17" ht="12.75" x14ac:dyDescent="0.2">
      <c r="Q574" s="334"/>
    </row>
    <row r="575" spans="17:17" ht="12.75" x14ac:dyDescent="0.2">
      <c r="Q575" s="334"/>
    </row>
    <row r="576" spans="17:17" ht="12.75" x14ac:dyDescent="0.2">
      <c r="Q576" s="334"/>
    </row>
    <row r="577" spans="17:17" ht="12.75" x14ac:dyDescent="0.2">
      <c r="Q577" s="334"/>
    </row>
    <row r="578" spans="17:17" ht="12.75" x14ac:dyDescent="0.2">
      <c r="Q578" s="334"/>
    </row>
    <row r="579" spans="17:17" ht="12.75" x14ac:dyDescent="0.2">
      <c r="Q579" s="334"/>
    </row>
    <row r="580" spans="17:17" ht="12.75" x14ac:dyDescent="0.2">
      <c r="Q580" s="334"/>
    </row>
    <row r="581" spans="17:17" ht="12.75" x14ac:dyDescent="0.2">
      <c r="Q581" s="334"/>
    </row>
    <row r="582" spans="17:17" ht="12.75" x14ac:dyDescent="0.2">
      <c r="Q582" s="334"/>
    </row>
    <row r="583" spans="17:17" ht="12.75" x14ac:dyDescent="0.2">
      <c r="Q583" s="334"/>
    </row>
    <row r="584" spans="17:17" ht="12.75" x14ac:dyDescent="0.2">
      <c r="Q584" s="334"/>
    </row>
    <row r="585" spans="17:17" ht="12.75" x14ac:dyDescent="0.2">
      <c r="Q585" s="334"/>
    </row>
    <row r="586" spans="17:17" ht="12.75" x14ac:dyDescent="0.2">
      <c r="Q586" s="334"/>
    </row>
    <row r="587" spans="17:17" ht="12.75" x14ac:dyDescent="0.2">
      <c r="Q587" s="334"/>
    </row>
    <row r="588" spans="17:17" ht="12.75" x14ac:dyDescent="0.2">
      <c r="Q588" s="334"/>
    </row>
    <row r="589" spans="17:17" ht="12.75" x14ac:dyDescent="0.2">
      <c r="Q589" s="334"/>
    </row>
    <row r="590" spans="17:17" ht="12.75" x14ac:dyDescent="0.2">
      <c r="Q590" s="334"/>
    </row>
    <row r="591" spans="17:17" ht="12.75" x14ac:dyDescent="0.2">
      <c r="Q591" s="334"/>
    </row>
    <row r="592" spans="17:17" ht="12.75" x14ac:dyDescent="0.2">
      <c r="Q592" s="334"/>
    </row>
    <row r="593" spans="17:17" ht="12.75" x14ac:dyDescent="0.2">
      <c r="Q593" s="334"/>
    </row>
    <row r="594" spans="17:17" ht="12.75" x14ac:dyDescent="0.2">
      <c r="Q594" s="334"/>
    </row>
    <row r="595" spans="17:17" ht="12.75" x14ac:dyDescent="0.2">
      <c r="Q595" s="334"/>
    </row>
    <row r="596" spans="17:17" ht="12.75" x14ac:dyDescent="0.2">
      <c r="Q596" s="334"/>
    </row>
    <row r="597" spans="17:17" ht="12.75" x14ac:dyDescent="0.2">
      <c r="Q597" s="334"/>
    </row>
    <row r="598" spans="17:17" ht="12.75" x14ac:dyDescent="0.2">
      <c r="Q598" s="334"/>
    </row>
    <row r="599" spans="17:17" ht="12.75" x14ac:dyDescent="0.2">
      <c r="Q599" s="334"/>
    </row>
    <row r="600" spans="17:17" ht="12.75" x14ac:dyDescent="0.2">
      <c r="Q600" s="334"/>
    </row>
    <row r="601" spans="17:17" ht="12.75" x14ac:dyDescent="0.2">
      <c r="Q601" s="334"/>
    </row>
    <row r="602" spans="17:17" ht="12.75" x14ac:dyDescent="0.2">
      <c r="Q602" s="334"/>
    </row>
    <row r="603" spans="17:17" ht="12.75" x14ac:dyDescent="0.2">
      <c r="Q603" s="334"/>
    </row>
    <row r="604" spans="17:17" ht="12.75" x14ac:dyDescent="0.2">
      <c r="Q604" s="334"/>
    </row>
    <row r="605" spans="17:17" ht="12.75" x14ac:dyDescent="0.2">
      <c r="Q605" s="334"/>
    </row>
    <row r="606" spans="17:17" ht="12.75" x14ac:dyDescent="0.2">
      <c r="Q606" s="334"/>
    </row>
    <row r="607" spans="17:17" ht="12.75" x14ac:dyDescent="0.2">
      <c r="Q607" s="334"/>
    </row>
    <row r="608" spans="17:17" ht="12.75" x14ac:dyDescent="0.2">
      <c r="Q608" s="334"/>
    </row>
    <row r="609" spans="17:17" ht="12.75" x14ac:dyDescent="0.2">
      <c r="Q609" s="334"/>
    </row>
    <row r="610" spans="17:17" ht="12.75" x14ac:dyDescent="0.2">
      <c r="Q610" s="334"/>
    </row>
    <row r="611" spans="17:17" ht="12.75" x14ac:dyDescent="0.2">
      <c r="Q611" s="334"/>
    </row>
    <row r="612" spans="17:17" ht="12.75" x14ac:dyDescent="0.2">
      <c r="Q612" s="334"/>
    </row>
    <row r="613" spans="17:17" ht="12.75" x14ac:dyDescent="0.2">
      <c r="Q613" s="334"/>
    </row>
    <row r="614" spans="17:17" ht="12.75" x14ac:dyDescent="0.2">
      <c r="Q614" s="334"/>
    </row>
    <row r="615" spans="17:17" ht="12.75" x14ac:dyDescent="0.2">
      <c r="Q615" s="334"/>
    </row>
    <row r="616" spans="17:17" ht="12.75" x14ac:dyDescent="0.2">
      <c r="Q616" s="334"/>
    </row>
    <row r="617" spans="17:17" ht="12.75" x14ac:dyDescent="0.2">
      <c r="Q617" s="334"/>
    </row>
    <row r="618" spans="17:17" ht="12.75" x14ac:dyDescent="0.2">
      <c r="Q618" s="334"/>
    </row>
    <row r="619" spans="17:17" ht="12.75" x14ac:dyDescent="0.2">
      <c r="Q619" s="334"/>
    </row>
    <row r="620" spans="17:17" ht="12.75" x14ac:dyDescent="0.2">
      <c r="Q620" s="334"/>
    </row>
    <row r="621" spans="17:17" ht="12.75" x14ac:dyDescent="0.2">
      <c r="Q621" s="334"/>
    </row>
    <row r="622" spans="17:17" ht="12.75" x14ac:dyDescent="0.2">
      <c r="Q622" s="334"/>
    </row>
    <row r="623" spans="17:17" ht="12.75" x14ac:dyDescent="0.2">
      <c r="Q623" s="334"/>
    </row>
    <row r="624" spans="17:17" ht="12.75" x14ac:dyDescent="0.2">
      <c r="Q624" s="334"/>
    </row>
    <row r="625" spans="17:17" ht="12.75" x14ac:dyDescent="0.2">
      <c r="Q625" s="334"/>
    </row>
    <row r="626" spans="17:17" ht="12.75" x14ac:dyDescent="0.2">
      <c r="Q626" s="334"/>
    </row>
    <row r="627" spans="17:17" ht="12.75" x14ac:dyDescent="0.2">
      <c r="Q627" s="334"/>
    </row>
    <row r="628" spans="17:17" ht="12.75" x14ac:dyDescent="0.2">
      <c r="Q628" s="334"/>
    </row>
    <row r="629" spans="17:17" ht="12.75" x14ac:dyDescent="0.2">
      <c r="Q629" s="334"/>
    </row>
    <row r="630" spans="17:17" ht="12.75" x14ac:dyDescent="0.2">
      <c r="Q630" s="334"/>
    </row>
    <row r="631" spans="17:17" ht="12.75" x14ac:dyDescent="0.2">
      <c r="Q631" s="334"/>
    </row>
    <row r="632" spans="17:17" ht="12.75" x14ac:dyDescent="0.2">
      <c r="Q632" s="334"/>
    </row>
    <row r="633" spans="17:17" ht="12.75" x14ac:dyDescent="0.2">
      <c r="Q633" s="334"/>
    </row>
    <row r="634" spans="17:17" ht="12.75" x14ac:dyDescent="0.2">
      <c r="Q634" s="334"/>
    </row>
    <row r="635" spans="17:17" ht="12.75" x14ac:dyDescent="0.2">
      <c r="Q635" s="334"/>
    </row>
    <row r="636" spans="17:17" ht="12.75" x14ac:dyDescent="0.2">
      <c r="Q636" s="334"/>
    </row>
    <row r="637" spans="17:17" ht="12.75" x14ac:dyDescent="0.2">
      <c r="Q637" s="334"/>
    </row>
    <row r="638" spans="17:17" ht="12.75" x14ac:dyDescent="0.2">
      <c r="Q638" s="334"/>
    </row>
    <row r="639" spans="17:17" ht="12.75" x14ac:dyDescent="0.2">
      <c r="Q639" s="334"/>
    </row>
    <row r="640" spans="17:17" ht="12.75" x14ac:dyDescent="0.2">
      <c r="Q640" s="334"/>
    </row>
    <row r="641" spans="17:17" ht="12.75" x14ac:dyDescent="0.2">
      <c r="Q641" s="334"/>
    </row>
    <row r="642" spans="17:17" ht="12.75" x14ac:dyDescent="0.2">
      <c r="Q642" s="334"/>
    </row>
    <row r="643" spans="17:17" ht="12.75" x14ac:dyDescent="0.2">
      <c r="Q643" s="334"/>
    </row>
    <row r="644" spans="17:17" ht="12.75" x14ac:dyDescent="0.2">
      <c r="Q644" s="334"/>
    </row>
    <row r="645" spans="17:17" ht="12.75" x14ac:dyDescent="0.2">
      <c r="Q645" s="334"/>
    </row>
    <row r="646" spans="17:17" ht="12.75" x14ac:dyDescent="0.2">
      <c r="Q646" s="334"/>
    </row>
    <row r="647" spans="17:17" ht="12.75" x14ac:dyDescent="0.2">
      <c r="Q647" s="334"/>
    </row>
    <row r="648" spans="17:17" ht="12.75" x14ac:dyDescent="0.2">
      <c r="Q648" s="334"/>
    </row>
    <row r="649" spans="17:17" ht="12.75" x14ac:dyDescent="0.2">
      <c r="Q649" s="334"/>
    </row>
    <row r="650" spans="17:17" ht="12.75" x14ac:dyDescent="0.2">
      <c r="Q650" s="334"/>
    </row>
    <row r="651" spans="17:17" ht="12.75" x14ac:dyDescent="0.2">
      <c r="Q651" s="334"/>
    </row>
    <row r="652" spans="17:17" ht="12.75" x14ac:dyDescent="0.2">
      <c r="Q652" s="334"/>
    </row>
    <row r="653" spans="17:17" ht="12.75" x14ac:dyDescent="0.2">
      <c r="Q653" s="334"/>
    </row>
    <row r="654" spans="17:17" ht="12.75" x14ac:dyDescent="0.2">
      <c r="Q654" s="334"/>
    </row>
    <row r="655" spans="17:17" ht="12.75" x14ac:dyDescent="0.2">
      <c r="Q655" s="334"/>
    </row>
    <row r="656" spans="17:17" ht="12.75" x14ac:dyDescent="0.2">
      <c r="Q656" s="334"/>
    </row>
    <row r="657" spans="17:17" ht="12.75" x14ac:dyDescent="0.2">
      <c r="Q657" s="334"/>
    </row>
    <row r="658" spans="17:17" ht="12.75" x14ac:dyDescent="0.2">
      <c r="Q658" s="334"/>
    </row>
    <row r="659" spans="17:17" ht="12.75" x14ac:dyDescent="0.2">
      <c r="Q659" s="334"/>
    </row>
    <row r="660" spans="17:17" ht="12.75" x14ac:dyDescent="0.2">
      <c r="Q660" s="334"/>
    </row>
    <row r="661" spans="17:17" ht="12.75" x14ac:dyDescent="0.2">
      <c r="Q661" s="334"/>
    </row>
    <row r="662" spans="17:17" ht="12.75" x14ac:dyDescent="0.2">
      <c r="Q662" s="334"/>
    </row>
    <row r="663" spans="17:17" ht="12.75" x14ac:dyDescent="0.2">
      <c r="Q663" s="334"/>
    </row>
    <row r="664" spans="17:17" ht="12.75" x14ac:dyDescent="0.2">
      <c r="Q664" s="334"/>
    </row>
    <row r="665" spans="17:17" ht="12.75" x14ac:dyDescent="0.2">
      <c r="Q665" s="334"/>
    </row>
    <row r="666" spans="17:17" ht="12.75" x14ac:dyDescent="0.2">
      <c r="Q666" s="334"/>
    </row>
    <row r="667" spans="17:17" ht="12.75" x14ac:dyDescent="0.2">
      <c r="Q667" s="334"/>
    </row>
    <row r="668" spans="17:17" ht="12.75" x14ac:dyDescent="0.2">
      <c r="Q668" s="334"/>
    </row>
    <row r="669" spans="17:17" ht="12.75" x14ac:dyDescent="0.2">
      <c r="Q669" s="334"/>
    </row>
    <row r="670" spans="17:17" ht="12.75" x14ac:dyDescent="0.2">
      <c r="Q670" s="334"/>
    </row>
    <row r="671" spans="17:17" ht="12.75" x14ac:dyDescent="0.2">
      <c r="Q671" s="334"/>
    </row>
    <row r="672" spans="17:17" ht="12.75" x14ac:dyDescent="0.2">
      <c r="Q672" s="334"/>
    </row>
    <row r="673" spans="17:17" ht="12.75" x14ac:dyDescent="0.2">
      <c r="Q673" s="334"/>
    </row>
    <row r="674" spans="17:17" ht="12.75" x14ac:dyDescent="0.2">
      <c r="Q674" s="334"/>
    </row>
    <row r="675" spans="17:17" ht="12.75" x14ac:dyDescent="0.2">
      <c r="Q675" s="334"/>
    </row>
    <row r="676" spans="17:17" ht="12.75" x14ac:dyDescent="0.2">
      <c r="Q676" s="334"/>
    </row>
    <row r="677" spans="17:17" ht="12.75" x14ac:dyDescent="0.2">
      <c r="Q677" s="334"/>
    </row>
    <row r="678" spans="17:17" ht="12.75" x14ac:dyDescent="0.2">
      <c r="Q678" s="334"/>
    </row>
    <row r="679" spans="17:17" ht="12.75" x14ac:dyDescent="0.2">
      <c r="Q679" s="334"/>
    </row>
    <row r="680" spans="17:17" ht="12.75" x14ac:dyDescent="0.2">
      <c r="Q680" s="334"/>
    </row>
    <row r="681" spans="17:17" ht="12.75" x14ac:dyDescent="0.2">
      <c r="Q681" s="334"/>
    </row>
    <row r="682" spans="17:17" ht="12.75" x14ac:dyDescent="0.2">
      <c r="Q682" s="334"/>
    </row>
    <row r="683" spans="17:17" ht="12.75" x14ac:dyDescent="0.2">
      <c r="Q683" s="334"/>
    </row>
    <row r="684" spans="17:17" ht="12.75" x14ac:dyDescent="0.2">
      <c r="Q684" s="334"/>
    </row>
    <row r="685" spans="17:17" ht="12.75" x14ac:dyDescent="0.2">
      <c r="Q685" s="334"/>
    </row>
    <row r="686" spans="17:17" ht="12.75" x14ac:dyDescent="0.2">
      <c r="Q686" s="334"/>
    </row>
    <row r="687" spans="17:17" ht="12.75" x14ac:dyDescent="0.2">
      <c r="Q687" s="334"/>
    </row>
    <row r="688" spans="17:17" ht="12.75" x14ac:dyDescent="0.2">
      <c r="Q688" s="334"/>
    </row>
    <row r="689" spans="17:17" ht="12.75" x14ac:dyDescent="0.2">
      <c r="Q689" s="334"/>
    </row>
    <row r="690" spans="17:17" ht="12.75" x14ac:dyDescent="0.2">
      <c r="Q690" s="334"/>
    </row>
    <row r="691" spans="17:17" ht="12.75" x14ac:dyDescent="0.2">
      <c r="Q691" s="334"/>
    </row>
    <row r="692" spans="17:17" ht="12.75" x14ac:dyDescent="0.2">
      <c r="Q692" s="334"/>
    </row>
    <row r="693" spans="17:17" ht="12.75" x14ac:dyDescent="0.2">
      <c r="Q693" s="334"/>
    </row>
    <row r="694" spans="17:17" ht="12.75" x14ac:dyDescent="0.2">
      <c r="Q694" s="334"/>
    </row>
    <row r="695" spans="17:17" ht="12.75" x14ac:dyDescent="0.2">
      <c r="Q695" s="334"/>
    </row>
    <row r="696" spans="17:17" ht="12.75" x14ac:dyDescent="0.2">
      <c r="Q696" s="334"/>
    </row>
    <row r="697" spans="17:17" ht="12.75" x14ac:dyDescent="0.2">
      <c r="Q697" s="334"/>
    </row>
    <row r="698" spans="17:17" ht="12.75" x14ac:dyDescent="0.2">
      <c r="Q698" s="334"/>
    </row>
    <row r="699" spans="17:17" ht="12.75" x14ac:dyDescent="0.2">
      <c r="Q699" s="334"/>
    </row>
    <row r="700" spans="17:17" ht="12.75" x14ac:dyDescent="0.2">
      <c r="Q700" s="334"/>
    </row>
    <row r="701" spans="17:17" ht="12.75" x14ac:dyDescent="0.2">
      <c r="Q701" s="334"/>
    </row>
    <row r="702" spans="17:17" ht="12.75" x14ac:dyDescent="0.2">
      <c r="Q702" s="334"/>
    </row>
    <row r="703" spans="17:17" ht="12.75" x14ac:dyDescent="0.2">
      <c r="Q703" s="334"/>
    </row>
    <row r="704" spans="17:17" ht="12.75" x14ac:dyDescent="0.2">
      <c r="Q704" s="334"/>
    </row>
    <row r="705" spans="17:17" ht="12.75" x14ac:dyDescent="0.2">
      <c r="Q705" s="334"/>
    </row>
    <row r="706" spans="17:17" ht="12.75" x14ac:dyDescent="0.2">
      <c r="Q706" s="334"/>
    </row>
    <row r="707" spans="17:17" ht="12.75" x14ac:dyDescent="0.2">
      <c r="Q707" s="334"/>
    </row>
    <row r="708" spans="17:17" ht="12.75" x14ac:dyDescent="0.2">
      <c r="Q708" s="334"/>
    </row>
    <row r="709" spans="17:17" ht="12.75" x14ac:dyDescent="0.2">
      <c r="Q709" s="334"/>
    </row>
    <row r="710" spans="17:17" ht="12.75" x14ac:dyDescent="0.2">
      <c r="Q710" s="334"/>
    </row>
    <row r="711" spans="17:17" ht="12.75" x14ac:dyDescent="0.2">
      <c r="Q711" s="334"/>
    </row>
    <row r="712" spans="17:17" ht="12.75" x14ac:dyDescent="0.2">
      <c r="Q712" s="334"/>
    </row>
    <row r="713" spans="17:17" ht="12.75" x14ac:dyDescent="0.2">
      <c r="Q713" s="334"/>
    </row>
    <row r="714" spans="17:17" ht="12.75" x14ac:dyDescent="0.2">
      <c r="Q714" s="334"/>
    </row>
    <row r="715" spans="17:17" ht="12.75" x14ac:dyDescent="0.2">
      <c r="Q715" s="334"/>
    </row>
    <row r="716" spans="17:17" ht="12.75" x14ac:dyDescent="0.2">
      <c r="Q716" s="334"/>
    </row>
    <row r="717" spans="17:17" ht="12.75" x14ac:dyDescent="0.2">
      <c r="Q717" s="334"/>
    </row>
    <row r="718" spans="17:17" ht="12.75" x14ac:dyDescent="0.2">
      <c r="Q718" s="334"/>
    </row>
    <row r="719" spans="17:17" ht="12.75" x14ac:dyDescent="0.2">
      <c r="Q719" s="334"/>
    </row>
    <row r="720" spans="17:17" ht="12.75" x14ac:dyDescent="0.2">
      <c r="Q720" s="334"/>
    </row>
    <row r="721" spans="17:17" ht="12.75" x14ac:dyDescent="0.2">
      <c r="Q721" s="334"/>
    </row>
    <row r="722" spans="17:17" ht="12.75" x14ac:dyDescent="0.2">
      <c r="Q722" s="334"/>
    </row>
    <row r="723" spans="17:17" ht="12.75" x14ac:dyDescent="0.2">
      <c r="Q723" s="334"/>
    </row>
    <row r="724" spans="17:17" ht="12.75" x14ac:dyDescent="0.2">
      <c r="Q724" s="334"/>
    </row>
    <row r="725" spans="17:17" ht="12.75" x14ac:dyDescent="0.2">
      <c r="Q725" s="334"/>
    </row>
    <row r="726" spans="17:17" ht="12.75" x14ac:dyDescent="0.2">
      <c r="Q726" s="334"/>
    </row>
    <row r="727" spans="17:17" ht="12.75" x14ac:dyDescent="0.2">
      <c r="Q727" s="334"/>
    </row>
    <row r="728" spans="17:17" ht="12.75" x14ac:dyDescent="0.2">
      <c r="Q728" s="334"/>
    </row>
    <row r="729" spans="17:17" ht="12.75" x14ac:dyDescent="0.2">
      <c r="Q729" s="334"/>
    </row>
    <row r="730" spans="17:17" ht="12.75" x14ac:dyDescent="0.2">
      <c r="Q730" s="334"/>
    </row>
    <row r="731" spans="17:17" ht="12.75" x14ac:dyDescent="0.2">
      <c r="Q731" s="334"/>
    </row>
    <row r="732" spans="17:17" ht="12.75" x14ac:dyDescent="0.2">
      <c r="Q732" s="334"/>
    </row>
    <row r="733" spans="17:17" ht="12.75" x14ac:dyDescent="0.2">
      <c r="Q733" s="334"/>
    </row>
    <row r="734" spans="17:17" ht="12.75" x14ac:dyDescent="0.2">
      <c r="Q734" s="334"/>
    </row>
    <row r="735" spans="17:17" ht="12.75" x14ac:dyDescent="0.2">
      <c r="Q735" s="334"/>
    </row>
    <row r="736" spans="17:17" ht="12.75" x14ac:dyDescent="0.2">
      <c r="Q736" s="334"/>
    </row>
    <row r="737" spans="17:17" ht="12.75" x14ac:dyDescent="0.2">
      <c r="Q737" s="334"/>
    </row>
    <row r="738" spans="17:17" ht="12.75" x14ac:dyDescent="0.2">
      <c r="Q738" s="334"/>
    </row>
    <row r="739" spans="17:17" ht="12.75" x14ac:dyDescent="0.2">
      <c r="Q739" s="334"/>
    </row>
    <row r="740" spans="17:17" ht="12.75" x14ac:dyDescent="0.2">
      <c r="Q740" s="334"/>
    </row>
    <row r="741" spans="17:17" ht="12.75" x14ac:dyDescent="0.2">
      <c r="Q741" s="334"/>
    </row>
    <row r="742" spans="17:17" ht="12.75" x14ac:dyDescent="0.2">
      <c r="Q742" s="334"/>
    </row>
    <row r="743" spans="17:17" ht="12.75" x14ac:dyDescent="0.2">
      <c r="Q743" s="334"/>
    </row>
    <row r="744" spans="17:17" ht="12.75" x14ac:dyDescent="0.2">
      <c r="Q744" s="334"/>
    </row>
    <row r="745" spans="17:17" ht="12.75" x14ac:dyDescent="0.2">
      <c r="Q745" s="334"/>
    </row>
    <row r="746" spans="17:17" ht="12.75" x14ac:dyDescent="0.2">
      <c r="Q746" s="334"/>
    </row>
    <row r="747" spans="17:17" ht="12.75" x14ac:dyDescent="0.2">
      <c r="Q747" s="334"/>
    </row>
    <row r="748" spans="17:17" ht="12.75" x14ac:dyDescent="0.2">
      <c r="Q748" s="334"/>
    </row>
    <row r="749" spans="17:17" ht="12.75" x14ac:dyDescent="0.2">
      <c r="Q749" s="334"/>
    </row>
    <row r="750" spans="17:17" ht="12.75" x14ac:dyDescent="0.2">
      <c r="Q750" s="334"/>
    </row>
    <row r="751" spans="17:17" ht="12.75" x14ac:dyDescent="0.2">
      <c r="Q751" s="334"/>
    </row>
    <row r="752" spans="17:17" ht="12.75" x14ac:dyDescent="0.2">
      <c r="Q752" s="334"/>
    </row>
    <row r="753" spans="17:17" ht="12.75" x14ac:dyDescent="0.2">
      <c r="Q753" s="334"/>
    </row>
    <row r="754" spans="17:17" ht="12.75" x14ac:dyDescent="0.2">
      <c r="Q754" s="334"/>
    </row>
    <row r="755" spans="17:17" ht="12.75" x14ac:dyDescent="0.2">
      <c r="Q755" s="334"/>
    </row>
    <row r="756" spans="17:17" ht="12.75" x14ac:dyDescent="0.2">
      <c r="Q756" s="334"/>
    </row>
    <row r="757" spans="17:17" ht="12.75" x14ac:dyDescent="0.2">
      <c r="Q757" s="334"/>
    </row>
    <row r="758" spans="17:17" ht="12.75" x14ac:dyDescent="0.2">
      <c r="Q758" s="334"/>
    </row>
    <row r="759" spans="17:17" ht="12.75" x14ac:dyDescent="0.2">
      <c r="Q759" s="334"/>
    </row>
    <row r="760" spans="17:17" ht="12.75" x14ac:dyDescent="0.2">
      <c r="Q760" s="334"/>
    </row>
    <row r="761" spans="17:17" ht="12.75" x14ac:dyDescent="0.2">
      <c r="Q761" s="334"/>
    </row>
    <row r="762" spans="17:17" ht="12.75" x14ac:dyDescent="0.2">
      <c r="Q762" s="334"/>
    </row>
    <row r="763" spans="17:17" ht="12.75" x14ac:dyDescent="0.2">
      <c r="Q763" s="334"/>
    </row>
    <row r="764" spans="17:17" ht="12.75" x14ac:dyDescent="0.2">
      <c r="Q764" s="334"/>
    </row>
    <row r="765" spans="17:17" ht="12.75" x14ac:dyDescent="0.2">
      <c r="Q765" s="334"/>
    </row>
    <row r="766" spans="17:17" ht="12.75" x14ac:dyDescent="0.2">
      <c r="Q766" s="334"/>
    </row>
    <row r="767" spans="17:17" ht="12.75" x14ac:dyDescent="0.2">
      <c r="Q767" s="334"/>
    </row>
    <row r="768" spans="17:17" ht="12.75" x14ac:dyDescent="0.2">
      <c r="Q768" s="334"/>
    </row>
    <row r="769" spans="17:17" ht="12.75" x14ac:dyDescent="0.2">
      <c r="Q769" s="334"/>
    </row>
    <row r="770" spans="17:17" ht="12.75" x14ac:dyDescent="0.2">
      <c r="Q770" s="334"/>
    </row>
    <row r="771" spans="17:17" ht="12.75" x14ac:dyDescent="0.2">
      <c r="Q771" s="334"/>
    </row>
    <row r="772" spans="17:17" ht="12.75" x14ac:dyDescent="0.2">
      <c r="Q772" s="334"/>
    </row>
    <row r="773" spans="17:17" ht="12.75" x14ac:dyDescent="0.2">
      <c r="Q773" s="334"/>
    </row>
    <row r="774" spans="17:17" ht="12.75" x14ac:dyDescent="0.2">
      <c r="Q774" s="334"/>
    </row>
    <row r="775" spans="17:17" ht="12.75" x14ac:dyDescent="0.2">
      <c r="Q775" s="334"/>
    </row>
    <row r="776" spans="17:17" ht="12.75" x14ac:dyDescent="0.2">
      <c r="Q776" s="334"/>
    </row>
    <row r="777" spans="17:17" ht="12.75" x14ac:dyDescent="0.2">
      <c r="Q777" s="334"/>
    </row>
    <row r="778" spans="17:17" ht="12.75" x14ac:dyDescent="0.2">
      <c r="Q778" s="334"/>
    </row>
    <row r="779" spans="17:17" ht="12.75" x14ac:dyDescent="0.2">
      <c r="Q779" s="334"/>
    </row>
    <row r="780" spans="17:17" ht="12.75" x14ac:dyDescent="0.2">
      <c r="Q780" s="334"/>
    </row>
    <row r="781" spans="17:17" ht="12.75" x14ac:dyDescent="0.2">
      <c r="Q781" s="334"/>
    </row>
    <row r="782" spans="17:17" ht="12.75" x14ac:dyDescent="0.2">
      <c r="Q782" s="334"/>
    </row>
    <row r="783" spans="17:17" ht="12.75" x14ac:dyDescent="0.2">
      <c r="Q783" s="334"/>
    </row>
    <row r="784" spans="17:17" ht="12.75" x14ac:dyDescent="0.2">
      <c r="Q784" s="334"/>
    </row>
    <row r="785" spans="17:17" ht="12.75" x14ac:dyDescent="0.2">
      <c r="Q785" s="334"/>
    </row>
    <row r="786" spans="17:17" ht="12.75" x14ac:dyDescent="0.2">
      <c r="Q786" s="334"/>
    </row>
    <row r="787" spans="17:17" ht="12.75" x14ac:dyDescent="0.2">
      <c r="Q787" s="334"/>
    </row>
    <row r="788" spans="17:17" ht="12.75" x14ac:dyDescent="0.2">
      <c r="Q788" s="334"/>
    </row>
    <row r="789" spans="17:17" ht="12.75" x14ac:dyDescent="0.2">
      <c r="Q789" s="334"/>
    </row>
    <row r="790" spans="17:17" ht="12.75" x14ac:dyDescent="0.2">
      <c r="Q790" s="334"/>
    </row>
    <row r="791" spans="17:17" ht="12.75" x14ac:dyDescent="0.2">
      <c r="Q791" s="334"/>
    </row>
    <row r="792" spans="17:17" ht="12.75" x14ac:dyDescent="0.2">
      <c r="Q792" s="334"/>
    </row>
    <row r="793" spans="17:17" ht="12.75" x14ac:dyDescent="0.2">
      <c r="Q793" s="334"/>
    </row>
    <row r="794" spans="17:17" ht="12.75" x14ac:dyDescent="0.2">
      <c r="Q794" s="334"/>
    </row>
    <row r="795" spans="17:17" ht="12.75" x14ac:dyDescent="0.2">
      <c r="Q795" s="334"/>
    </row>
    <row r="796" spans="17:17" ht="12.75" x14ac:dyDescent="0.2">
      <c r="Q796" s="334"/>
    </row>
    <row r="797" spans="17:17" ht="12.75" x14ac:dyDescent="0.2">
      <c r="Q797" s="334"/>
    </row>
    <row r="798" spans="17:17" ht="12.75" x14ac:dyDescent="0.2">
      <c r="Q798" s="334"/>
    </row>
    <row r="799" spans="17:17" ht="12.75" x14ac:dyDescent="0.2">
      <c r="Q799" s="334"/>
    </row>
    <row r="800" spans="17:17" ht="12.75" x14ac:dyDescent="0.2">
      <c r="Q800" s="334"/>
    </row>
    <row r="801" spans="17:17" ht="12.75" x14ac:dyDescent="0.2">
      <c r="Q801" s="334"/>
    </row>
    <row r="802" spans="17:17" ht="12.75" x14ac:dyDescent="0.2">
      <c r="Q802" s="334"/>
    </row>
    <row r="803" spans="17:17" ht="12.75" x14ac:dyDescent="0.2">
      <c r="Q803" s="334"/>
    </row>
    <row r="804" spans="17:17" ht="12.75" x14ac:dyDescent="0.2">
      <c r="Q804" s="334"/>
    </row>
    <row r="805" spans="17:17" ht="12.75" x14ac:dyDescent="0.2">
      <c r="Q805" s="334"/>
    </row>
    <row r="806" spans="17:17" ht="12.75" x14ac:dyDescent="0.2">
      <c r="Q806" s="334"/>
    </row>
    <row r="807" spans="17:17" ht="12.75" x14ac:dyDescent="0.2">
      <c r="Q807" s="334"/>
    </row>
    <row r="808" spans="17:17" ht="12.75" x14ac:dyDescent="0.2">
      <c r="Q808" s="334"/>
    </row>
    <row r="809" spans="17:17" ht="12.75" x14ac:dyDescent="0.2">
      <c r="Q809" s="334"/>
    </row>
    <row r="810" spans="17:17" ht="12.75" x14ac:dyDescent="0.2">
      <c r="Q810" s="334"/>
    </row>
    <row r="811" spans="17:17" ht="12.75" x14ac:dyDescent="0.2">
      <c r="Q811" s="334"/>
    </row>
    <row r="812" spans="17:17" ht="12.75" x14ac:dyDescent="0.2">
      <c r="Q812" s="334"/>
    </row>
    <row r="813" spans="17:17" ht="12.75" x14ac:dyDescent="0.2">
      <c r="Q813" s="334"/>
    </row>
    <row r="814" spans="17:17" ht="12.75" x14ac:dyDescent="0.2">
      <c r="Q814" s="334"/>
    </row>
    <row r="815" spans="17:17" ht="12.75" x14ac:dyDescent="0.2">
      <c r="Q815" s="334"/>
    </row>
    <row r="816" spans="17:17" ht="12.75" x14ac:dyDescent="0.2">
      <c r="Q816" s="334"/>
    </row>
    <row r="817" spans="17:17" ht="12.75" x14ac:dyDescent="0.2">
      <c r="Q817" s="334"/>
    </row>
    <row r="818" spans="17:17" ht="12.75" x14ac:dyDescent="0.2">
      <c r="Q818" s="334"/>
    </row>
    <row r="819" spans="17:17" ht="12.75" x14ac:dyDescent="0.2">
      <c r="Q819" s="334"/>
    </row>
    <row r="820" spans="17:17" ht="12.75" x14ac:dyDescent="0.2">
      <c r="Q820" s="334"/>
    </row>
    <row r="821" spans="17:17" ht="12.75" x14ac:dyDescent="0.2">
      <c r="Q821" s="334"/>
    </row>
    <row r="822" spans="17:17" ht="12.75" x14ac:dyDescent="0.2">
      <c r="Q822" s="334"/>
    </row>
    <row r="823" spans="17:17" ht="12.75" x14ac:dyDescent="0.2">
      <c r="Q823" s="334"/>
    </row>
    <row r="824" spans="17:17" ht="12.75" x14ac:dyDescent="0.2">
      <c r="Q824" s="334"/>
    </row>
    <row r="825" spans="17:17" ht="12.75" x14ac:dyDescent="0.2">
      <c r="Q825" s="334"/>
    </row>
    <row r="826" spans="17:17" ht="12.75" x14ac:dyDescent="0.2">
      <c r="Q826" s="334"/>
    </row>
    <row r="827" spans="17:17" ht="12.75" x14ac:dyDescent="0.2">
      <c r="Q827" s="334"/>
    </row>
    <row r="828" spans="17:17" ht="12.75" x14ac:dyDescent="0.2">
      <c r="Q828" s="334"/>
    </row>
    <row r="829" spans="17:17" ht="12.75" x14ac:dyDescent="0.2">
      <c r="Q829" s="334"/>
    </row>
    <row r="830" spans="17:17" ht="12.75" x14ac:dyDescent="0.2">
      <c r="Q830" s="334"/>
    </row>
    <row r="831" spans="17:17" ht="12.75" x14ac:dyDescent="0.2">
      <c r="Q831" s="334"/>
    </row>
    <row r="832" spans="17:17" ht="12.75" x14ac:dyDescent="0.2">
      <c r="Q832" s="334"/>
    </row>
    <row r="833" spans="17:17" ht="12.75" x14ac:dyDescent="0.2">
      <c r="Q833" s="334"/>
    </row>
    <row r="834" spans="17:17" ht="12.75" x14ac:dyDescent="0.2">
      <c r="Q834" s="334"/>
    </row>
    <row r="835" spans="17:17" ht="12.75" x14ac:dyDescent="0.2">
      <c r="Q835" s="334"/>
    </row>
    <row r="836" spans="17:17" ht="12.75" x14ac:dyDescent="0.2">
      <c r="Q836" s="334"/>
    </row>
    <row r="837" spans="17:17" ht="12.75" x14ac:dyDescent="0.2">
      <c r="Q837" s="334"/>
    </row>
    <row r="838" spans="17:17" ht="12.75" x14ac:dyDescent="0.2">
      <c r="Q838" s="334"/>
    </row>
    <row r="839" spans="17:17" ht="12.75" x14ac:dyDescent="0.2">
      <c r="Q839" s="334"/>
    </row>
    <row r="840" spans="17:17" ht="12.75" x14ac:dyDescent="0.2">
      <c r="Q840" s="334"/>
    </row>
    <row r="841" spans="17:17" ht="12.75" x14ac:dyDescent="0.2">
      <c r="Q841" s="334"/>
    </row>
    <row r="842" spans="17:17" ht="12.75" x14ac:dyDescent="0.2">
      <c r="Q842" s="334"/>
    </row>
    <row r="843" spans="17:17" ht="12.75" x14ac:dyDescent="0.2">
      <c r="Q843" s="334"/>
    </row>
    <row r="844" spans="17:17" ht="12.75" x14ac:dyDescent="0.2">
      <c r="Q844" s="334"/>
    </row>
    <row r="845" spans="17:17" ht="12.75" x14ac:dyDescent="0.2">
      <c r="Q845" s="334"/>
    </row>
    <row r="846" spans="17:17" ht="12.75" x14ac:dyDescent="0.2">
      <c r="Q846" s="334"/>
    </row>
    <row r="847" spans="17:17" ht="12.75" x14ac:dyDescent="0.2">
      <c r="Q847" s="334"/>
    </row>
    <row r="848" spans="17:17" ht="12.75" x14ac:dyDescent="0.2">
      <c r="Q848" s="334"/>
    </row>
    <row r="849" spans="17:17" ht="12.75" x14ac:dyDescent="0.2">
      <c r="Q849" s="334"/>
    </row>
    <row r="850" spans="17:17" ht="12.75" x14ac:dyDescent="0.2">
      <c r="Q850" s="334"/>
    </row>
    <row r="851" spans="17:17" ht="12.75" x14ac:dyDescent="0.2">
      <c r="Q851" s="334"/>
    </row>
    <row r="852" spans="17:17" ht="12.75" x14ac:dyDescent="0.2">
      <c r="Q852" s="334"/>
    </row>
    <row r="853" spans="17:17" ht="12.75" x14ac:dyDescent="0.2">
      <c r="Q853" s="334"/>
    </row>
    <row r="854" spans="17:17" ht="12.75" x14ac:dyDescent="0.2">
      <c r="Q854" s="334"/>
    </row>
    <row r="855" spans="17:17" ht="12.75" x14ac:dyDescent="0.2">
      <c r="Q855" s="334"/>
    </row>
    <row r="856" spans="17:17" ht="12.75" x14ac:dyDescent="0.2">
      <c r="Q856" s="334"/>
    </row>
    <row r="857" spans="17:17" ht="12.75" x14ac:dyDescent="0.2">
      <c r="Q857" s="334"/>
    </row>
    <row r="858" spans="17:17" ht="12.75" x14ac:dyDescent="0.2">
      <c r="Q858" s="334"/>
    </row>
    <row r="859" spans="17:17" ht="12.75" x14ac:dyDescent="0.2">
      <c r="Q859" s="334"/>
    </row>
    <row r="860" spans="17:17" ht="12.75" x14ac:dyDescent="0.2">
      <c r="Q860" s="334"/>
    </row>
    <row r="861" spans="17:17" ht="12.75" x14ac:dyDescent="0.2">
      <c r="Q861" s="334"/>
    </row>
    <row r="862" spans="17:17" ht="12.75" x14ac:dyDescent="0.2">
      <c r="Q862" s="334"/>
    </row>
    <row r="863" spans="17:17" ht="12.75" x14ac:dyDescent="0.2">
      <c r="Q863" s="334"/>
    </row>
    <row r="864" spans="17:17" ht="12.75" x14ac:dyDescent="0.2">
      <c r="Q864" s="334"/>
    </row>
    <row r="865" spans="17:17" ht="12.75" x14ac:dyDescent="0.2">
      <c r="Q865" s="334"/>
    </row>
    <row r="866" spans="17:17" ht="12.75" x14ac:dyDescent="0.2">
      <c r="Q866" s="334"/>
    </row>
    <row r="867" spans="17:17" ht="12.75" x14ac:dyDescent="0.2">
      <c r="Q867" s="334"/>
    </row>
    <row r="868" spans="17:17" ht="12.75" x14ac:dyDescent="0.2">
      <c r="Q868" s="334"/>
    </row>
    <row r="869" spans="17:17" ht="12.75" x14ac:dyDescent="0.2">
      <c r="Q869" s="334"/>
    </row>
    <row r="870" spans="17:17" ht="12.75" x14ac:dyDescent="0.2">
      <c r="Q870" s="334"/>
    </row>
    <row r="871" spans="17:17" ht="12.75" x14ac:dyDescent="0.2">
      <c r="Q871" s="334"/>
    </row>
    <row r="872" spans="17:17" ht="12.75" x14ac:dyDescent="0.2">
      <c r="Q872" s="334"/>
    </row>
    <row r="873" spans="17:17" ht="12.75" x14ac:dyDescent="0.2">
      <c r="Q873" s="334"/>
    </row>
    <row r="874" spans="17:17" ht="12.75" x14ac:dyDescent="0.2">
      <c r="Q874" s="334"/>
    </row>
    <row r="875" spans="17:17" ht="12.75" x14ac:dyDescent="0.2">
      <c r="Q875" s="334"/>
    </row>
    <row r="876" spans="17:17" ht="12.75" x14ac:dyDescent="0.2">
      <c r="Q876" s="334"/>
    </row>
    <row r="877" spans="17:17" ht="12.75" x14ac:dyDescent="0.2">
      <c r="Q877" s="334"/>
    </row>
    <row r="878" spans="17:17" ht="12.75" x14ac:dyDescent="0.2">
      <c r="Q878" s="334"/>
    </row>
    <row r="879" spans="17:17" ht="12.75" x14ac:dyDescent="0.2">
      <c r="Q879" s="334"/>
    </row>
    <row r="880" spans="17:17" ht="12.75" x14ac:dyDescent="0.2">
      <c r="Q880" s="334"/>
    </row>
    <row r="881" spans="17:17" ht="12.75" x14ac:dyDescent="0.2">
      <c r="Q881" s="334"/>
    </row>
    <row r="882" spans="17:17" ht="12.75" x14ac:dyDescent="0.2">
      <c r="Q882" s="334"/>
    </row>
    <row r="883" spans="17:17" ht="12.75" x14ac:dyDescent="0.2">
      <c r="Q883" s="334"/>
    </row>
    <row r="884" spans="17:17" ht="12.75" x14ac:dyDescent="0.2">
      <c r="Q884" s="334"/>
    </row>
    <row r="885" spans="17:17" ht="12.75" x14ac:dyDescent="0.2">
      <c r="Q885" s="334"/>
    </row>
    <row r="886" spans="17:17" ht="12.75" x14ac:dyDescent="0.2">
      <c r="Q886" s="334"/>
    </row>
    <row r="887" spans="17:17" ht="12.75" x14ac:dyDescent="0.2">
      <c r="Q887" s="334"/>
    </row>
    <row r="888" spans="17:17" ht="12.75" x14ac:dyDescent="0.2">
      <c r="Q888" s="334"/>
    </row>
    <row r="889" spans="17:17" ht="12.75" x14ac:dyDescent="0.2">
      <c r="Q889" s="334"/>
    </row>
    <row r="890" spans="17:17" ht="12.75" x14ac:dyDescent="0.2">
      <c r="Q890" s="334"/>
    </row>
    <row r="891" spans="17:17" ht="12.75" x14ac:dyDescent="0.2">
      <c r="Q891" s="334"/>
    </row>
    <row r="892" spans="17:17" ht="12.75" x14ac:dyDescent="0.2">
      <c r="Q892" s="334"/>
    </row>
    <row r="893" spans="17:17" ht="12.75" x14ac:dyDescent="0.2">
      <c r="Q893" s="334"/>
    </row>
    <row r="894" spans="17:17" ht="12.75" x14ac:dyDescent="0.2">
      <c r="Q894" s="334"/>
    </row>
    <row r="895" spans="17:17" ht="12.75" x14ac:dyDescent="0.2">
      <c r="Q895" s="334"/>
    </row>
    <row r="896" spans="17:17" ht="12.75" x14ac:dyDescent="0.2">
      <c r="Q896" s="334"/>
    </row>
    <row r="897" spans="17:17" ht="12.75" x14ac:dyDescent="0.2">
      <c r="Q897" s="334"/>
    </row>
    <row r="898" spans="17:17" ht="12.75" x14ac:dyDescent="0.2">
      <c r="Q898" s="334"/>
    </row>
    <row r="899" spans="17:17" ht="12.75" x14ac:dyDescent="0.2">
      <c r="Q899" s="334"/>
    </row>
    <row r="900" spans="17:17" ht="12.75" x14ac:dyDescent="0.2">
      <c r="Q900" s="334"/>
    </row>
    <row r="901" spans="17:17" ht="12.75" x14ac:dyDescent="0.2">
      <c r="Q901" s="334"/>
    </row>
    <row r="902" spans="17:17" ht="12.75" x14ac:dyDescent="0.2">
      <c r="Q902" s="334"/>
    </row>
    <row r="903" spans="17:17" ht="12.75" x14ac:dyDescent="0.2">
      <c r="Q903" s="334"/>
    </row>
    <row r="904" spans="17:17" ht="12.75" x14ac:dyDescent="0.2">
      <c r="Q904" s="334"/>
    </row>
    <row r="905" spans="17:17" ht="12.75" x14ac:dyDescent="0.2">
      <c r="Q905" s="334"/>
    </row>
    <row r="906" spans="17:17" ht="12.75" x14ac:dyDescent="0.2">
      <c r="Q906" s="334"/>
    </row>
    <row r="907" spans="17:17" ht="12.75" x14ac:dyDescent="0.2">
      <c r="Q907" s="334"/>
    </row>
    <row r="908" spans="17:17" ht="12.75" x14ac:dyDescent="0.2">
      <c r="Q908" s="334"/>
    </row>
    <row r="909" spans="17:17" ht="12.75" x14ac:dyDescent="0.2">
      <c r="Q909" s="334"/>
    </row>
    <row r="910" spans="17:17" ht="12.75" x14ac:dyDescent="0.2">
      <c r="Q910" s="334"/>
    </row>
    <row r="911" spans="17:17" ht="12.75" x14ac:dyDescent="0.2">
      <c r="Q911" s="334"/>
    </row>
    <row r="912" spans="17:17" ht="12.75" x14ac:dyDescent="0.2">
      <c r="Q912" s="334"/>
    </row>
    <row r="913" spans="17:17" ht="12.75" x14ac:dyDescent="0.2">
      <c r="Q913" s="334"/>
    </row>
    <row r="914" spans="17:17" ht="12.75" x14ac:dyDescent="0.2">
      <c r="Q914" s="334"/>
    </row>
    <row r="915" spans="17:17" ht="12.75" x14ac:dyDescent="0.2">
      <c r="Q915" s="334"/>
    </row>
    <row r="916" spans="17:17" ht="12.75" x14ac:dyDescent="0.2">
      <c r="Q916" s="334"/>
    </row>
    <row r="917" spans="17:17" ht="12.75" x14ac:dyDescent="0.2">
      <c r="Q917" s="334"/>
    </row>
    <row r="918" spans="17:17" ht="12.75" x14ac:dyDescent="0.2">
      <c r="Q918" s="334"/>
    </row>
    <row r="919" spans="17:17" ht="12.75" x14ac:dyDescent="0.2">
      <c r="Q919" s="334"/>
    </row>
    <row r="920" spans="17:17" ht="12.75" x14ac:dyDescent="0.2">
      <c r="Q920" s="334"/>
    </row>
    <row r="921" spans="17:17" ht="12.75" x14ac:dyDescent="0.2">
      <c r="Q921" s="334"/>
    </row>
    <row r="922" spans="17:17" ht="12.75" x14ac:dyDescent="0.2">
      <c r="Q922" s="334"/>
    </row>
    <row r="923" spans="17:17" ht="12.75" x14ac:dyDescent="0.2">
      <c r="Q923" s="334"/>
    </row>
    <row r="924" spans="17:17" ht="12.75" x14ac:dyDescent="0.2">
      <c r="Q924" s="334"/>
    </row>
    <row r="925" spans="17:17" ht="12.75" x14ac:dyDescent="0.2">
      <c r="Q925" s="334"/>
    </row>
    <row r="926" spans="17:17" ht="12.75" x14ac:dyDescent="0.2">
      <c r="Q926" s="334"/>
    </row>
    <row r="927" spans="17:17" ht="12.75" x14ac:dyDescent="0.2">
      <c r="Q927" s="334"/>
    </row>
    <row r="928" spans="17:17" ht="12.75" x14ac:dyDescent="0.2">
      <c r="Q928" s="334"/>
    </row>
    <row r="929" spans="17:17" ht="12.75" x14ac:dyDescent="0.2">
      <c r="Q929" s="334"/>
    </row>
    <row r="930" spans="17:17" ht="12.75" x14ac:dyDescent="0.2">
      <c r="Q930" s="334"/>
    </row>
    <row r="931" spans="17:17" ht="12.75" x14ac:dyDescent="0.2">
      <c r="Q931" s="334"/>
    </row>
    <row r="932" spans="17:17" ht="12.75" x14ac:dyDescent="0.2">
      <c r="Q932" s="334"/>
    </row>
    <row r="933" spans="17:17" ht="12.75" x14ac:dyDescent="0.2">
      <c r="Q933" s="334"/>
    </row>
    <row r="934" spans="17:17" ht="12.75" x14ac:dyDescent="0.2">
      <c r="Q934" s="334"/>
    </row>
    <row r="935" spans="17:17" ht="12.75" x14ac:dyDescent="0.2">
      <c r="Q935" s="334"/>
    </row>
    <row r="936" spans="17:17" ht="12.75" x14ac:dyDescent="0.2">
      <c r="Q936" s="334"/>
    </row>
    <row r="937" spans="17:17" ht="12.75" x14ac:dyDescent="0.2">
      <c r="Q937" s="334"/>
    </row>
    <row r="938" spans="17:17" ht="12.75" x14ac:dyDescent="0.2">
      <c r="Q938" s="334"/>
    </row>
    <row r="939" spans="17:17" ht="12.75" x14ac:dyDescent="0.2">
      <c r="Q939" s="334"/>
    </row>
    <row r="940" spans="17:17" ht="12.75" x14ac:dyDescent="0.2">
      <c r="Q940" s="334"/>
    </row>
    <row r="941" spans="17:17" ht="12.75" x14ac:dyDescent="0.2">
      <c r="Q941" s="334"/>
    </row>
    <row r="942" spans="17:17" ht="12.75" x14ac:dyDescent="0.2">
      <c r="Q942" s="334"/>
    </row>
    <row r="943" spans="17:17" ht="12.75" x14ac:dyDescent="0.2">
      <c r="Q943" s="334"/>
    </row>
    <row r="944" spans="17:17" ht="12.75" x14ac:dyDescent="0.2">
      <c r="Q944" s="334"/>
    </row>
    <row r="945" spans="17:17" ht="12.75" x14ac:dyDescent="0.2">
      <c r="Q945" s="334"/>
    </row>
    <row r="946" spans="17:17" ht="12.75" x14ac:dyDescent="0.2">
      <c r="Q946" s="334"/>
    </row>
    <row r="947" spans="17:17" ht="12.75" x14ac:dyDescent="0.2">
      <c r="Q947" s="334"/>
    </row>
    <row r="948" spans="17:17" ht="12.75" x14ac:dyDescent="0.2">
      <c r="Q948" s="334"/>
    </row>
    <row r="949" spans="17:17" ht="12.75" x14ac:dyDescent="0.2">
      <c r="Q949" s="334"/>
    </row>
    <row r="950" spans="17:17" ht="12.75" x14ac:dyDescent="0.2">
      <c r="Q950" s="334"/>
    </row>
    <row r="951" spans="17:17" ht="12.75" x14ac:dyDescent="0.2">
      <c r="Q951" s="334"/>
    </row>
    <row r="952" spans="17:17" ht="12.75" x14ac:dyDescent="0.2">
      <c r="Q952" s="334"/>
    </row>
    <row r="953" spans="17:17" ht="12.75" x14ac:dyDescent="0.2">
      <c r="Q953" s="334"/>
    </row>
    <row r="954" spans="17:17" ht="12.75" x14ac:dyDescent="0.2">
      <c r="Q954" s="334"/>
    </row>
    <row r="955" spans="17:17" ht="12.75" x14ac:dyDescent="0.2">
      <c r="Q955" s="334"/>
    </row>
    <row r="956" spans="17:17" ht="12.75" x14ac:dyDescent="0.2">
      <c r="Q956" s="334"/>
    </row>
    <row r="957" spans="17:17" ht="12.75" x14ac:dyDescent="0.2">
      <c r="Q957" s="334"/>
    </row>
    <row r="958" spans="17:17" ht="12.75" x14ac:dyDescent="0.2">
      <c r="Q958" s="334"/>
    </row>
    <row r="959" spans="17:17" ht="12.75" x14ac:dyDescent="0.2">
      <c r="Q959" s="334"/>
    </row>
    <row r="960" spans="17:17" ht="12.75" x14ac:dyDescent="0.2">
      <c r="Q960" s="334"/>
    </row>
    <row r="961" spans="17:17" ht="12.75" x14ac:dyDescent="0.2">
      <c r="Q961" s="334"/>
    </row>
    <row r="962" spans="17:17" ht="12.75" x14ac:dyDescent="0.2">
      <c r="Q962" s="334"/>
    </row>
    <row r="963" spans="17:17" ht="12.75" x14ac:dyDescent="0.2">
      <c r="Q963" s="334"/>
    </row>
    <row r="964" spans="17:17" ht="12.75" x14ac:dyDescent="0.2">
      <c r="Q964" s="334"/>
    </row>
    <row r="965" spans="17:17" ht="12.75" x14ac:dyDescent="0.2">
      <c r="Q965" s="334"/>
    </row>
    <row r="966" spans="17:17" ht="12.75" x14ac:dyDescent="0.2">
      <c r="Q966" s="334"/>
    </row>
    <row r="967" spans="17:17" ht="12.75" x14ac:dyDescent="0.2">
      <c r="Q967" s="334"/>
    </row>
    <row r="968" spans="17:17" ht="12.75" x14ac:dyDescent="0.2">
      <c r="Q968" s="334"/>
    </row>
    <row r="969" spans="17:17" ht="12.75" x14ac:dyDescent="0.2">
      <c r="Q969" s="334"/>
    </row>
    <row r="970" spans="17:17" ht="12.75" x14ac:dyDescent="0.2">
      <c r="Q970" s="334"/>
    </row>
    <row r="971" spans="17:17" ht="12.75" x14ac:dyDescent="0.2">
      <c r="Q971" s="334"/>
    </row>
    <row r="972" spans="17:17" ht="12.75" x14ac:dyDescent="0.2">
      <c r="Q972" s="334"/>
    </row>
    <row r="973" spans="17:17" ht="12.75" x14ac:dyDescent="0.2">
      <c r="Q973" s="334"/>
    </row>
    <row r="974" spans="17:17" ht="12.75" x14ac:dyDescent="0.2">
      <c r="Q974" s="334"/>
    </row>
    <row r="975" spans="17:17" ht="12.75" x14ac:dyDescent="0.2">
      <c r="Q975" s="334"/>
    </row>
    <row r="976" spans="17:17" ht="12.75" x14ac:dyDescent="0.2">
      <c r="Q976" s="334"/>
    </row>
    <row r="977" spans="17:17" ht="12.75" x14ac:dyDescent="0.2">
      <c r="Q977" s="334"/>
    </row>
    <row r="978" spans="17:17" ht="12.75" x14ac:dyDescent="0.2">
      <c r="Q978" s="334"/>
    </row>
    <row r="979" spans="17:17" ht="12.75" x14ac:dyDescent="0.2">
      <c r="Q979" s="334"/>
    </row>
    <row r="980" spans="17:17" ht="12.75" x14ac:dyDescent="0.2">
      <c r="Q980" s="334"/>
    </row>
    <row r="981" spans="17:17" ht="12.75" x14ac:dyDescent="0.2">
      <c r="Q981" s="334"/>
    </row>
    <row r="982" spans="17:17" ht="12.75" x14ac:dyDescent="0.2">
      <c r="Q982" s="334"/>
    </row>
    <row r="983" spans="17:17" ht="12.75" x14ac:dyDescent="0.2">
      <c r="Q983" s="334"/>
    </row>
    <row r="984" spans="17:17" ht="12.75" x14ac:dyDescent="0.2">
      <c r="Q984" s="334"/>
    </row>
    <row r="985" spans="17:17" ht="12.75" x14ac:dyDescent="0.2">
      <c r="Q985" s="334"/>
    </row>
    <row r="986" spans="17:17" ht="12.75" x14ac:dyDescent="0.2">
      <c r="Q986" s="334"/>
    </row>
    <row r="987" spans="17:17" ht="12.75" x14ac:dyDescent="0.2">
      <c r="Q987" s="334"/>
    </row>
    <row r="988" spans="17:17" ht="12.75" x14ac:dyDescent="0.2">
      <c r="Q988" s="334"/>
    </row>
    <row r="989" spans="17:17" ht="12.75" x14ac:dyDescent="0.2">
      <c r="Q989" s="334"/>
    </row>
    <row r="990" spans="17:17" ht="12.75" x14ac:dyDescent="0.2">
      <c r="Q990" s="334"/>
    </row>
    <row r="991" spans="17:17" ht="12.75" x14ac:dyDescent="0.2">
      <c r="Q991" s="334"/>
    </row>
    <row r="992" spans="17:17" ht="12.75" x14ac:dyDescent="0.2">
      <c r="Q992" s="334"/>
    </row>
    <row r="993" spans="17:17" ht="12.75" x14ac:dyDescent="0.2">
      <c r="Q993" s="334"/>
    </row>
    <row r="994" spans="17:17" ht="12.75" x14ac:dyDescent="0.2">
      <c r="Q994" s="334"/>
    </row>
    <row r="995" spans="17:17" ht="12.75" x14ac:dyDescent="0.2">
      <c r="Q995" s="334"/>
    </row>
    <row r="996" spans="17:17" ht="12.75" x14ac:dyDescent="0.2">
      <c r="Q996" s="334"/>
    </row>
    <row r="997" spans="17:17" ht="12.75" x14ac:dyDescent="0.2">
      <c r="Q997" s="334"/>
    </row>
    <row r="998" spans="17:17" ht="12.75" x14ac:dyDescent="0.2">
      <c r="Q998" s="334"/>
    </row>
    <row r="999" spans="17:17" ht="12.75" x14ac:dyDescent="0.2">
      <c r="Q999" s="334"/>
    </row>
    <row r="1000" spans="17:17" ht="12.75" x14ac:dyDescent="0.2">
      <c r="Q1000" s="334"/>
    </row>
  </sheetData>
  <mergeCells count="6">
    <mergeCell ref="Q5:Q6"/>
    <mergeCell ref="A4:P4"/>
    <mergeCell ref="A5:B6"/>
    <mergeCell ref="C5:C6"/>
    <mergeCell ref="D5:J5"/>
    <mergeCell ref="L5:N5"/>
  </mergeCells>
  <dataValidations disablePrompts="1" count="1">
    <dataValidation type="list" allowBlank="1" showErrorMessage="1" sqref="Q1:Q5 Q7:Q1000" xr:uid="{00000000-0002-0000-0B00-000000000000}">
      <formula1>"35 MPa,40MPa"</formula1>
    </dataValidation>
  </dataValidations>
  <printOptions horizontalCentered="1"/>
  <pageMargins left="0.19685039370078741" right="0.19685039370078741" top="0.39370078740157483" bottom="0.39370078740157483" header="0" footer="0"/>
  <pageSetup paperSize="9" orientation="landscape"/>
  <headerFooter>
    <oddFooter>&amp;L&amp;F  - &amp;A&amp;R&amp;P /</oddFooter>
  </headerFooter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851D6"/>
    <pageSetUpPr fitToPage="1"/>
  </sheetPr>
  <dimension ref="A1:U107"/>
  <sheetViews>
    <sheetView showGridLines="0" zoomScale="87" zoomScaleNormal="87" workbookViewId="0">
      <pane ySplit="7" topLeftCell="A8" activePane="bottomLeft" state="frozen"/>
      <selection pane="bottomLeft" activeCell="A5" sqref="A5:T5"/>
    </sheetView>
  </sheetViews>
  <sheetFormatPr defaultColWidth="12.5703125" defaultRowHeight="15" customHeight="1" x14ac:dyDescent="0.2"/>
  <cols>
    <col min="1" max="1" width="39.140625" customWidth="1"/>
    <col min="2" max="2" width="10.28515625" bestFit="1" customWidth="1"/>
    <col min="3" max="4" width="11.42578125" bestFit="1" customWidth="1"/>
    <col min="5" max="5" width="23.42578125" bestFit="1" customWidth="1"/>
    <col min="6" max="8" width="11.42578125" bestFit="1" customWidth="1"/>
    <col min="9" max="9" width="12.5703125" bestFit="1" customWidth="1"/>
    <col min="10" max="10" width="11.42578125" bestFit="1" customWidth="1"/>
    <col min="11" max="11" width="11.5703125" bestFit="1" customWidth="1"/>
    <col min="12" max="12" width="10.140625" customWidth="1"/>
    <col min="13" max="13" width="14.28515625" customWidth="1"/>
    <col min="14" max="15" width="10.140625" customWidth="1"/>
    <col min="16" max="16" width="18.85546875" customWidth="1"/>
    <col min="17" max="17" width="17.7109375" customWidth="1"/>
    <col min="18" max="18" width="9.7109375" bestFit="1" customWidth="1"/>
    <col min="19" max="19" width="18.7109375" customWidth="1"/>
    <col min="20" max="20" width="16.7109375" customWidth="1"/>
    <col min="21" max="24" width="8.7109375" customWidth="1"/>
  </cols>
  <sheetData>
    <row r="1" spans="1:20" ht="15" customHeight="1" x14ac:dyDescent="0.2">
      <c r="A1" s="546"/>
      <c r="B1" s="581"/>
      <c r="C1" s="547"/>
      <c r="D1" s="338" t="s">
        <v>0</v>
      </c>
      <c r="E1" s="339" t="s">
        <v>731</v>
      </c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546"/>
      <c r="T1" s="547"/>
    </row>
    <row r="2" spans="1:20" ht="15" customHeight="1" x14ac:dyDescent="0.2">
      <c r="A2" s="549"/>
      <c r="B2" s="334"/>
      <c r="C2" s="550"/>
      <c r="D2" s="338" t="s">
        <v>2</v>
      </c>
      <c r="E2" s="342" t="s">
        <v>958</v>
      </c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549"/>
      <c r="T2" s="550"/>
    </row>
    <row r="3" spans="1:20" ht="15" customHeight="1" x14ac:dyDescent="0.2">
      <c r="A3" s="549"/>
      <c r="B3" s="334"/>
      <c r="C3" s="550"/>
      <c r="D3" s="338" t="s">
        <v>959</v>
      </c>
      <c r="E3" s="582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549"/>
      <c r="T3" s="550"/>
    </row>
    <row r="4" spans="1:20" ht="15" customHeight="1" x14ac:dyDescent="0.2">
      <c r="A4" s="583"/>
      <c r="B4" s="584"/>
      <c r="C4" s="585"/>
      <c r="D4" s="338" t="s">
        <v>4</v>
      </c>
      <c r="E4" s="339" t="s">
        <v>4441</v>
      </c>
      <c r="F4" s="339"/>
      <c r="G4" s="339"/>
      <c r="H4" s="339"/>
      <c r="I4" s="339"/>
      <c r="J4" s="339"/>
      <c r="K4" s="339"/>
      <c r="L4" s="339"/>
      <c r="M4" s="345"/>
      <c r="N4" s="586"/>
      <c r="O4" s="586"/>
      <c r="P4" s="345"/>
      <c r="Q4" s="586"/>
      <c r="R4" s="586"/>
      <c r="S4" s="587"/>
      <c r="T4" s="585"/>
    </row>
    <row r="5" spans="1:20" ht="21.75" customHeight="1" x14ac:dyDescent="0.25">
      <c r="A5" s="1133" t="s">
        <v>44</v>
      </c>
      <c r="B5" s="1063"/>
      <c r="C5" s="1063"/>
      <c r="D5" s="1063"/>
      <c r="E5" s="1063"/>
      <c r="F5" s="1063"/>
      <c r="G5" s="1063"/>
      <c r="H5" s="1063"/>
      <c r="I5" s="1063"/>
      <c r="J5" s="1063"/>
      <c r="K5" s="1063"/>
      <c r="L5" s="1063"/>
      <c r="M5" s="1063"/>
      <c r="N5" s="1063"/>
      <c r="O5" s="1063"/>
      <c r="P5" s="1063"/>
      <c r="Q5" s="1063"/>
      <c r="R5" s="1063"/>
      <c r="S5" s="1063"/>
      <c r="T5" s="1064"/>
    </row>
    <row r="6" spans="1:20" ht="12.75" customHeight="1" x14ac:dyDescent="0.2">
      <c r="A6" s="1134" t="s">
        <v>735</v>
      </c>
      <c r="B6" s="588">
        <v>5</v>
      </c>
      <c r="C6" s="588" t="s">
        <v>960</v>
      </c>
      <c r="D6" s="588">
        <v>8</v>
      </c>
      <c r="E6" s="588">
        <v>10</v>
      </c>
      <c r="F6" s="588" t="s">
        <v>961</v>
      </c>
      <c r="G6" s="588">
        <v>16</v>
      </c>
      <c r="H6" s="588">
        <v>20</v>
      </c>
      <c r="I6" s="588">
        <v>25</v>
      </c>
      <c r="J6" s="588">
        <v>32</v>
      </c>
      <c r="K6" s="588" t="s">
        <v>728</v>
      </c>
      <c r="L6" s="589" t="s">
        <v>962</v>
      </c>
      <c r="M6" s="589" t="s">
        <v>962</v>
      </c>
      <c r="N6" s="589" t="s">
        <v>963</v>
      </c>
      <c r="O6" s="589" t="s">
        <v>964</v>
      </c>
      <c r="P6" s="589" t="s">
        <v>965</v>
      </c>
      <c r="Q6" s="588" t="s">
        <v>947</v>
      </c>
      <c r="R6" s="588" t="s">
        <v>966</v>
      </c>
      <c r="S6" s="1136" t="s">
        <v>967</v>
      </c>
      <c r="T6" s="1064"/>
    </row>
    <row r="7" spans="1:20" ht="12.75" customHeight="1" x14ac:dyDescent="0.2">
      <c r="A7" s="1135"/>
      <c r="B7" s="590" t="s">
        <v>968</v>
      </c>
      <c r="C7" s="590" t="s">
        <v>968</v>
      </c>
      <c r="D7" s="590" t="s">
        <v>968</v>
      </c>
      <c r="E7" s="590" t="s">
        <v>968</v>
      </c>
      <c r="F7" s="590" t="s">
        <v>968</v>
      </c>
      <c r="G7" s="590" t="s">
        <v>968</v>
      </c>
      <c r="H7" s="590" t="s">
        <v>968</v>
      </c>
      <c r="I7" s="590" t="s">
        <v>968</v>
      </c>
      <c r="J7" s="590" t="s">
        <v>968</v>
      </c>
      <c r="K7" s="590" t="s">
        <v>968</v>
      </c>
      <c r="L7" s="590" t="s">
        <v>969</v>
      </c>
      <c r="M7" s="590" t="s">
        <v>970</v>
      </c>
      <c r="N7" s="590" t="s">
        <v>968</v>
      </c>
      <c r="O7" s="590" t="s">
        <v>968</v>
      </c>
      <c r="P7" s="590" t="s">
        <v>971</v>
      </c>
      <c r="Q7" s="588" t="s">
        <v>972</v>
      </c>
      <c r="R7" s="588" t="s">
        <v>972</v>
      </c>
      <c r="S7" s="588" t="s">
        <v>973</v>
      </c>
      <c r="T7" s="588" t="s">
        <v>974</v>
      </c>
    </row>
    <row r="8" spans="1:20" ht="11.25" customHeight="1" x14ac:dyDescent="0.2">
      <c r="A8" s="591" t="s">
        <v>894</v>
      </c>
      <c r="B8" s="592">
        <f t="shared" ref="B8:P8" si="0">SUM(B9:B12)</f>
        <v>0</v>
      </c>
      <c r="C8" s="592">
        <f t="shared" si="0"/>
        <v>0</v>
      </c>
      <c r="D8" s="592">
        <f t="shared" si="0"/>
        <v>0</v>
      </c>
      <c r="E8" s="592">
        <f t="shared" si="0"/>
        <v>0</v>
      </c>
      <c r="F8" s="592">
        <f t="shared" si="0"/>
        <v>0</v>
      </c>
      <c r="G8" s="592">
        <f t="shared" si="0"/>
        <v>0</v>
      </c>
      <c r="H8" s="592">
        <f t="shared" si="0"/>
        <v>0</v>
      </c>
      <c r="I8" s="592">
        <f t="shared" si="0"/>
        <v>0</v>
      </c>
      <c r="J8" s="592">
        <f t="shared" si="0"/>
        <v>0</v>
      </c>
      <c r="K8" s="592">
        <f t="shared" si="0"/>
        <v>7527</v>
      </c>
      <c r="L8" s="592">
        <f t="shared" si="0"/>
        <v>0</v>
      </c>
      <c r="M8" s="592">
        <f t="shared" si="0"/>
        <v>0</v>
      </c>
      <c r="N8" s="592">
        <f t="shared" si="0"/>
        <v>0</v>
      </c>
      <c r="O8" s="592">
        <f t="shared" si="0"/>
        <v>0</v>
      </c>
      <c r="P8" s="592">
        <f t="shared" si="0"/>
        <v>39.729999999999997</v>
      </c>
      <c r="Q8" s="592">
        <f>SUM(Q9:Q12)</f>
        <v>352.59</v>
      </c>
      <c r="R8" s="592">
        <v>40.479999999999997</v>
      </c>
      <c r="S8" s="480"/>
      <c r="T8" s="481"/>
    </row>
    <row r="9" spans="1:20" ht="15" customHeight="1" x14ac:dyDescent="0.2">
      <c r="A9" s="593" t="s">
        <v>975</v>
      </c>
      <c r="B9" s="594"/>
      <c r="C9" s="594"/>
      <c r="D9" s="594"/>
      <c r="E9" s="594"/>
      <c r="F9" s="594"/>
      <c r="G9" s="594"/>
      <c r="H9" s="594"/>
      <c r="I9" s="594"/>
      <c r="J9" s="594"/>
      <c r="K9" s="595">
        <v>7141</v>
      </c>
      <c r="L9" s="594"/>
      <c r="M9" s="594"/>
      <c r="N9" s="594"/>
      <c r="O9" s="594"/>
      <c r="P9" s="596">
        <v>36.15</v>
      </c>
      <c r="Q9" s="596">
        <v>328.71</v>
      </c>
      <c r="R9" s="594"/>
      <c r="S9" s="596">
        <v>0</v>
      </c>
      <c r="T9" s="596">
        <v>0</v>
      </c>
    </row>
    <row r="10" spans="1:20" ht="15" customHeight="1" x14ac:dyDescent="0.2">
      <c r="A10" s="593" t="s">
        <v>976</v>
      </c>
      <c r="B10" s="1130" t="s">
        <v>977</v>
      </c>
      <c r="C10" s="1131"/>
      <c r="D10" s="1131"/>
      <c r="E10" s="1131"/>
      <c r="F10" s="1131"/>
      <c r="G10" s="1131"/>
      <c r="H10" s="1131"/>
      <c r="I10" s="1131"/>
      <c r="J10" s="1132"/>
      <c r="K10" s="595">
        <v>0</v>
      </c>
      <c r="L10" s="594"/>
      <c r="M10" s="594"/>
      <c r="N10" s="594"/>
      <c r="O10" s="594"/>
      <c r="P10" s="596">
        <v>0</v>
      </c>
      <c r="Q10" s="596">
        <v>0</v>
      </c>
      <c r="R10" s="594"/>
      <c r="S10" s="594"/>
      <c r="T10" s="594"/>
    </row>
    <row r="11" spans="1:20" ht="15" customHeight="1" x14ac:dyDescent="0.2">
      <c r="A11" s="593" t="s">
        <v>986</v>
      </c>
      <c r="B11" s="594"/>
      <c r="C11" s="594"/>
      <c r="D11" s="594"/>
      <c r="E11" s="594"/>
      <c r="F11" s="594"/>
      <c r="G11" s="594"/>
      <c r="H11" s="594"/>
      <c r="I11" s="594"/>
      <c r="J11" s="594"/>
      <c r="K11" s="595">
        <v>386</v>
      </c>
      <c r="L11" s="594"/>
      <c r="M11" s="594"/>
      <c r="N11" s="594"/>
      <c r="O11" s="594"/>
      <c r="P11" s="596">
        <v>3.58</v>
      </c>
      <c r="Q11" s="596">
        <v>23.88</v>
      </c>
      <c r="R11" s="594"/>
      <c r="S11" s="596">
        <v>0</v>
      </c>
      <c r="T11" s="596">
        <v>0</v>
      </c>
    </row>
    <row r="12" spans="1:20" ht="15" customHeight="1" x14ac:dyDescent="0.2">
      <c r="A12" s="593" t="s">
        <v>978</v>
      </c>
      <c r="B12" s="594"/>
      <c r="C12" s="594"/>
      <c r="D12" s="594"/>
      <c r="E12" s="594"/>
      <c r="F12" s="594"/>
      <c r="G12" s="594"/>
      <c r="H12" s="594"/>
      <c r="I12" s="594"/>
      <c r="J12" s="594"/>
      <c r="K12" s="595">
        <f>SUM(B12:J12)</f>
        <v>0</v>
      </c>
      <c r="L12" s="594"/>
      <c r="M12" s="594"/>
      <c r="N12" s="594"/>
      <c r="O12" s="594"/>
      <c r="P12" s="594"/>
      <c r="Q12" s="594"/>
      <c r="R12" s="594"/>
      <c r="S12" s="596">
        <v>0</v>
      </c>
      <c r="T12" s="596">
        <v>0</v>
      </c>
    </row>
    <row r="13" spans="1:20" ht="15" customHeight="1" x14ac:dyDescent="0.2">
      <c r="A13" s="591" t="s">
        <v>979</v>
      </c>
      <c r="B13" s="592">
        <f t="shared" ref="B13:P13" si="1">SUM(B14:B18)</f>
        <v>0</v>
      </c>
      <c r="C13" s="592">
        <f t="shared" si="1"/>
        <v>0</v>
      </c>
      <c r="D13" s="592">
        <f t="shared" si="1"/>
        <v>0</v>
      </c>
      <c r="E13" s="592">
        <f t="shared" si="1"/>
        <v>0</v>
      </c>
      <c r="F13" s="592">
        <f t="shared" si="1"/>
        <v>0</v>
      </c>
      <c r="G13" s="592">
        <f t="shared" si="1"/>
        <v>0</v>
      </c>
      <c r="H13" s="592">
        <f t="shared" si="1"/>
        <v>0</v>
      </c>
      <c r="I13" s="592">
        <f t="shared" si="1"/>
        <v>0</v>
      </c>
      <c r="J13" s="592">
        <f t="shared" si="1"/>
        <v>0</v>
      </c>
      <c r="K13" s="592">
        <f t="shared" si="1"/>
        <v>1528</v>
      </c>
      <c r="L13" s="592">
        <f t="shared" si="1"/>
        <v>0</v>
      </c>
      <c r="M13" s="592">
        <f t="shared" si="1"/>
        <v>0</v>
      </c>
      <c r="N13" s="592">
        <f t="shared" si="1"/>
        <v>0</v>
      </c>
      <c r="O13" s="592">
        <f t="shared" si="1"/>
        <v>0</v>
      </c>
      <c r="P13" s="592">
        <f t="shared" si="1"/>
        <v>16.422000000000001</v>
      </c>
      <c r="Q13" s="592">
        <f>SUM(Q14:Q18)</f>
        <v>150.77000000000001</v>
      </c>
      <c r="R13" s="597">
        <v>829.59</v>
      </c>
      <c r="S13" s="480"/>
      <c r="T13" s="481"/>
    </row>
    <row r="14" spans="1:20" ht="15" customHeight="1" x14ac:dyDescent="0.2">
      <c r="A14" s="593" t="s">
        <v>975</v>
      </c>
      <c r="B14" s="594"/>
      <c r="C14" s="594"/>
      <c r="D14" s="594"/>
      <c r="E14" s="594"/>
      <c r="F14" s="594"/>
      <c r="G14" s="594"/>
      <c r="H14" s="594"/>
      <c r="I14" s="594"/>
      <c r="J14" s="594"/>
      <c r="K14" s="595">
        <v>133</v>
      </c>
      <c r="L14" s="594"/>
      <c r="M14" s="594"/>
      <c r="N14" s="594"/>
      <c r="O14" s="594"/>
      <c r="P14" s="596">
        <v>0.84</v>
      </c>
      <c r="Q14" s="596">
        <v>9.1199999999999992</v>
      </c>
      <c r="R14" s="594"/>
      <c r="S14" s="594"/>
      <c r="T14" s="594"/>
    </row>
    <row r="15" spans="1:20" ht="15" customHeight="1" x14ac:dyDescent="0.2">
      <c r="A15" s="593" t="s">
        <v>980</v>
      </c>
      <c r="B15" s="1130" t="s">
        <v>977</v>
      </c>
      <c r="C15" s="1131"/>
      <c r="D15" s="1131"/>
      <c r="E15" s="1131"/>
      <c r="F15" s="1131"/>
      <c r="G15" s="1131"/>
      <c r="H15" s="1131"/>
      <c r="I15" s="1131"/>
      <c r="J15" s="1132"/>
      <c r="K15" s="480"/>
      <c r="L15" s="594"/>
      <c r="M15" s="594"/>
      <c r="N15" s="594"/>
      <c r="O15" s="594"/>
      <c r="P15" s="594"/>
      <c r="Q15" s="594"/>
      <c r="R15" s="594"/>
      <c r="S15" s="594"/>
      <c r="T15" s="594"/>
    </row>
    <row r="16" spans="1:20" ht="15" customHeight="1" x14ac:dyDescent="0.2">
      <c r="A16" s="593" t="s">
        <v>986</v>
      </c>
      <c r="B16" s="1130" t="s">
        <v>977</v>
      </c>
      <c r="C16" s="1131"/>
      <c r="D16" s="1131"/>
      <c r="E16" s="1131"/>
      <c r="F16" s="1131"/>
      <c r="G16" s="1131"/>
      <c r="H16" s="1131"/>
      <c r="I16" s="1131"/>
      <c r="J16" s="1132"/>
      <c r="K16" s="595"/>
      <c r="L16" s="594"/>
      <c r="M16" s="594"/>
      <c r="N16" s="594"/>
      <c r="O16" s="594"/>
      <c r="P16" s="596"/>
      <c r="Q16" s="596"/>
      <c r="R16" s="594"/>
      <c r="S16" s="594"/>
      <c r="T16" s="594"/>
    </row>
    <row r="17" spans="1:21" ht="15" customHeight="1" x14ac:dyDescent="0.2">
      <c r="A17" s="593" t="s">
        <v>981</v>
      </c>
      <c r="B17" s="594"/>
      <c r="C17" s="594"/>
      <c r="D17" s="594"/>
      <c r="E17" s="594"/>
      <c r="F17" s="594"/>
      <c r="G17" s="594"/>
      <c r="H17" s="598" t="s">
        <v>640</v>
      </c>
      <c r="I17" s="594"/>
      <c r="J17" s="594"/>
      <c r="K17" s="595">
        <v>1395</v>
      </c>
      <c r="L17" s="594"/>
      <c r="M17" s="594"/>
      <c r="N17" s="594"/>
      <c r="O17" s="594"/>
      <c r="P17" s="596">
        <v>15.582000000000001</v>
      </c>
      <c r="Q17" s="596">
        <v>141.65</v>
      </c>
      <c r="R17" s="594"/>
      <c r="S17" s="594"/>
      <c r="T17" s="594"/>
    </row>
    <row r="18" spans="1:21" ht="15" customHeight="1" x14ac:dyDescent="0.2">
      <c r="A18" s="593" t="s">
        <v>978</v>
      </c>
      <c r="B18" s="594"/>
      <c r="C18" s="594"/>
      <c r="D18" s="594"/>
      <c r="E18" s="594"/>
      <c r="F18" s="594"/>
      <c r="G18" s="594"/>
      <c r="H18" s="594"/>
      <c r="I18" s="594"/>
      <c r="J18" s="594"/>
      <c r="K18" s="595">
        <f>SUM(B18:J18)</f>
        <v>0</v>
      </c>
      <c r="L18" s="594"/>
      <c r="M18" s="594"/>
      <c r="N18" s="594"/>
      <c r="O18" s="594"/>
      <c r="P18" s="594"/>
      <c r="Q18" s="594"/>
      <c r="R18" s="594"/>
      <c r="S18" s="594"/>
      <c r="T18" s="594"/>
    </row>
    <row r="19" spans="1:21" ht="15" customHeight="1" x14ac:dyDescent="0.2">
      <c r="A19" s="591" t="s">
        <v>982</v>
      </c>
      <c r="B19" s="592">
        <f t="shared" ref="B19:P19" si="2">SUM(B20:B23)</f>
        <v>0</v>
      </c>
      <c r="C19" s="592">
        <f t="shared" si="2"/>
        <v>0</v>
      </c>
      <c r="D19" s="592">
        <f t="shared" si="2"/>
        <v>0</v>
      </c>
      <c r="E19" s="592">
        <f t="shared" si="2"/>
        <v>0</v>
      </c>
      <c r="F19" s="592">
        <f t="shared" si="2"/>
        <v>0</v>
      </c>
      <c r="G19" s="592">
        <f t="shared" si="2"/>
        <v>0</v>
      </c>
      <c r="H19" s="592">
        <f t="shared" si="2"/>
        <v>0</v>
      </c>
      <c r="I19" s="592">
        <f t="shared" si="2"/>
        <v>0</v>
      </c>
      <c r="J19" s="592">
        <f t="shared" si="2"/>
        <v>0</v>
      </c>
      <c r="K19" s="592">
        <f t="shared" si="2"/>
        <v>15314</v>
      </c>
      <c r="L19" s="592">
        <f t="shared" si="2"/>
        <v>0</v>
      </c>
      <c r="M19" s="592">
        <f t="shared" si="2"/>
        <v>0</v>
      </c>
      <c r="N19" s="592">
        <f t="shared" si="2"/>
        <v>0</v>
      </c>
      <c r="O19" s="592">
        <f t="shared" si="2"/>
        <v>0</v>
      </c>
      <c r="P19" s="592">
        <f t="shared" si="2"/>
        <v>173.48</v>
      </c>
      <c r="Q19" s="592">
        <f>SUM(Q20:Q23)</f>
        <v>1259.6600000000001</v>
      </c>
      <c r="R19" s="592">
        <v>797.84</v>
      </c>
      <c r="S19" s="480"/>
      <c r="T19" s="481"/>
    </row>
    <row r="20" spans="1:21" ht="15" customHeight="1" x14ac:dyDescent="0.2">
      <c r="A20" s="599" t="s">
        <v>975</v>
      </c>
      <c r="B20" s="594"/>
      <c r="C20" s="594"/>
      <c r="D20" s="594"/>
      <c r="E20" s="594"/>
      <c r="F20" s="594"/>
      <c r="G20" s="594"/>
      <c r="H20" s="594"/>
      <c r="I20" s="594"/>
      <c r="J20" s="594"/>
      <c r="K20" s="595">
        <v>4158</v>
      </c>
      <c r="L20" s="594"/>
      <c r="M20" s="594"/>
      <c r="N20" s="594"/>
      <c r="O20" s="594"/>
      <c r="P20" s="596">
        <v>25.73</v>
      </c>
      <c r="Q20" s="596">
        <v>253.14</v>
      </c>
      <c r="R20" s="594"/>
      <c r="S20" s="594"/>
      <c r="T20" s="594"/>
    </row>
    <row r="21" spans="1:21" ht="15" customHeight="1" x14ac:dyDescent="0.2">
      <c r="A21" s="593" t="s">
        <v>976</v>
      </c>
      <c r="B21" s="594"/>
      <c r="C21" s="594"/>
      <c r="D21" s="594"/>
      <c r="E21" s="594"/>
      <c r="F21" s="594"/>
      <c r="G21" s="594"/>
      <c r="H21" s="594"/>
      <c r="I21" s="594"/>
      <c r="J21" s="594"/>
      <c r="K21" s="595">
        <v>2578</v>
      </c>
      <c r="L21" s="594"/>
      <c r="M21" s="594"/>
      <c r="N21" s="594"/>
      <c r="O21" s="594"/>
      <c r="P21" s="596">
        <v>30.45</v>
      </c>
      <c r="Q21" s="596">
        <v>258.69</v>
      </c>
      <c r="R21" s="594"/>
      <c r="S21" s="594"/>
      <c r="T21" s="594"/>
    </row>
    <row r="22" spans="1:21" ht="15" customHeight="1" x14ac:dyDescent="0.2">
      <c r="A22" s="593" t="s">
        <v>983</v>
      </c>
      <c r="B22" s="594"/>
      <c r="C22" s="594"/>
      <c r="D22" s="594"/>
      <c r="E22" s="594"/>
      <c r="F22" s="594"/>
      <c r="G22" s="594"/>
      <c r="H22" s="594"/>
      <c r="I22" s="594"/>
      <c r="J22" s="594"/>
      <c r="K22" s="595">
        <f>1137+3308+4133</f>
        <v>8578</v>
      </c>
      <c r="L22" s="594"/>
      <c r="M22" s="594"/>
      <c r="N22" s="594"/>
      <c r="O22" s="594"/>
      <c r="P22" s="596">
        <v>117.3</v>
      </c>
      <c r="Q22" s="596">
        <v>747.83</v>
      </c>
      <c r="R22" s="594"/>
      <c r="S22" s="596">
        <f>7+1369</f>
        <v>1376</v>
      </c>
      <c r="T22" s="596">
        <v>35</v>
      </c>
      <c r="U22" s="964" t="s">
        <v>5068</v>
      </c>
    </row>
    <row r="23" spans="1:21" ht="15" customHeight="1" x14ac:dyDescent="0.2">
      <c r="A23" s="593" t="s">
        <v>984</v>
      </c>
      <c r="B23" s="594"/>
      <c r="C23" s="594"/>
      <c r="D23" s="594"/>
      <c r="E23" s="594"/>
      <c r="F23" s="594"/>
      <c r="G23" s="594"/>
      <c r="H23" s="594"/>
      <c r="I23" s="594"/>
      <c r="J23" s="594"/>
      <c r="K23" s="595">
        <f>SUM(B23:J23)</f>
        <v>0</v>
      </c>
      <c r="L23" s="594"/>
      <c r="M23" s="594"/>
      <c r="N23" s="594"/>
      <c r="O23" s="594"/>
      <c r="P23" s="594"/>
      <c r="Q23" s="594"/>
      <c r="R23" s="594"/>
      <c r="S23" s="594"/>
      <c r="T23" s="594"/>
    </row>
    <row r="24" spans="1:21" ht="15" customHeight="1" x14ac:dyDescent="0.2">
      <c r="A24" s="591" t="s">
        <v>985</v>
      </c>
      <c r="B24" s="592">
        <f t="shared" ref="B24:P24" si="3">SUM(B25:B29)</f>
        <v>0</v>
      </c>
      <c r="C24" s="592">
        <f t="shared" si="3"/>
        <v>0</v>
      </c>
      <c r="D24" s="592">
        <f t="shared" si="3"/>
        <v>0</v>
      </c>
      <c r="E24" s="592">
        <f t="shared" si="3"/>
        <v>0</v>
      </c>
      <c r="F24" s="592">
        <f t="shared" si="3"/>
        <v>0</v>
      </c>
      <c r="G24" s="592">
        <f t="shared" si="3"/>
        <v>0</v>
      </c>
      <c r="H24" s="592">
        <f t="shared" si="3"/>
        <v>0</v>
      </c>
      <c r="I24" s="592">
        <f t="shared" si="3"/>
        <v>0</v>
      </c>
      <c r="J24" s="592">
        <f t="shared" si="3"/>
        <v>0</v>
      </c>
      <c r="K24" s="592">
        <f t="shared" si="3"/>
        <v>27946</v>
      </c>
      <c r="L24" s="592">
        <f t="shared" si="3"/>
        <v>0</v>
      </c>
      <c r="M24" s="592">
        <f t="shared" si="3"/>
        <v>0</v>
      </c>
      <c r="N24" s="592">
        <f t="shared" si="3"/>
        <v>0</v>
      </c>
      <c r="O24" s="592">
        <f t="shared" si="3"/>
        <v>0</v>
      </c>
      <c r="P24" s="592">
        <f t="shared" si="3"/>
        <v>274.81</v>
      </c>
      <c r="Q24" s="592">
        <f>SUM(Q25:Q29)</f>
        <v>1727.9500000000003</v>
      </c>
      <c r="R24" s="592">
        <v>907.5</v>
      </c>
      <c r="S24" s="592">
        <f t="shared" ref="S24:T24" si="4">SUM(S25:S29)</f>
        <v>1131</v>
      </c>
      <c r="T24" s="592">
        <f t="shared" si="4"/>
        <v>190</v>
      </c>
    </row>
    <row r="25" spans="1:21" ht="15" customHeight="1" x14ac:dyDescent="0.2">
      <c r="A25" s="593" t="s">
        <v>975</v>
      </c>
      <c r="B25" s="594"/>
      <c r="C25" s="594"/>
      <c r="D25" s="594"/>
      <c r="E25" s="594"/>
      <c r="F25" s="594"/>
      <c r="G25" s="594"/>
      <c r="H25" s="594"/>
      <c r="I25" s="594"/>
      <c r="J25" s="594"/>
      <c r="K25" s="595">
        <v>3985</v>
      </c>
      <c r="L25" s="594"/>
      <c r="M25" s="594"/>
      <c r="N25" s="594"/>
      <c r="O25" s="594"/>
      <c r="P25" s="596">
        <v>25.46</v>
      </c>
      <c r="Q25" s="596">
        <f>254.86</f>
        <v>254.86</v>
      </c>
      <c r="R25" s="594"/>
      <c r="S25" s="594"/>
      <c r="T25" s="594"/>
    </row>
    <row r="26" spans="1:21" ht="15" customHeight="1" x14ac:dyDescent="0.2">
      <c r="A26" s="593" t="s">
        <v>976</v>
      </c>
      <c r="B26" s="594"/>
      <c r="C26" s="594"/>
      <c r="D26" s="594"/>
      <c r="E26" s="594"/>
      <c r="F26" s="594"/>
      <c r="G26" s="594"/>
      <c r="H26" s="594"/>
      <c r="I26" s="594"/>
      <c r="J26" s="594"/>
      <c r="K26" s="595">
        <v>15144</v>
      </c>
      <c r="L26" s="594"/>
      <c r="M26" s="594"/>
      <c r="N26" s="594"/>
      <c r="O26" s="594"/>
      <c r="P26" s="596">
        <v>131.06</v>
      </c>
      <c r="Q26" s="596">
        <f>576.86+107.1</f>
        <v>683.96</v>
      </c>
      <c r="R26" s="594"/>
      <c r="S26" s="594"/>
      <c r="T26" s="594"/>
    </row>
    <row r="27" spans="1:21" ht="15" customHeight="1" x14ac:dyDescent="0.2">
      <c r="A27" s="593" t="s">
        <v>986</v>
      </c>
      <c r="B27" s="594"/>
      <c r="C27" s="594"/>
      <c r="D27" s="594"/>
      <c r="E27" s="594"/>
      <c r="F27" s="594"/>
      <c r="G27" s="594"/>
      <c r="H27" s="594"/>
      <c r="I27" s="594"/>
      <c r="J27" s="594"/>
      <c r="K27" s="595">
        <v>1933</v>
      </c>
      <c r="L27" s="594"/>
      <c r="M27" s="594"/>
      <c r="N27" s="594"/>
      <c r="O27" s="594"/>
      <c r="P27" s="596">
        <v>21.48</v>
      </c>
      <c r="Q27" s="596">
        <v>150.25</v>
      </c>
      <c r="R27" s="594"/>
      <c r="S27" s="594"/>
      <c r="T27" s="594"/>
    </row>
    <row r="28" spans="1:21" ht="15" customHeight="1" x14ac:dyDescent="0.2">
      <c r="A28" s="593" t="s">
        <v>983</v>
      </c>
      <c r="B28" s="594"/>
      <c r="C28" s="594"/>
      <c r="D28" s="594"/>
      <c r="E28" s="594"/>
      <c r="F28" s="594"/>
      <c r="G28" s="594"/>
      <c r="H28" s="594"/>
      <c r="I28" s="594"/>
      <c r="J28" s="594"/>
      <c r="K28" s="595">
        <f>1086+2776+3022</f>
        <v>6884</v>
      </c>
      <c r="L28" s="594"/>
      <c r="M28" s="594"/>
      <c r="N28" s="594"/>
      <c r="O28" s="594"/>
      <c r="P28" s="596">
        <v>96.81</v>
      </c>
      <c r="Q28" s="596">
        <v>638.88</v>
      </c>
      <c r="R28" s="594"/>
      <c r="S28" s="596">
        <v>1131</v>
      </c>
      <c r="T28" s="596">
        <v>190</v>
      </c>
      <c r="U28" s="964" t="s">
        <v>5068</v>
      </c>
    </row>
    <row r="29" spans="1:21" ht="15" customHeight="1" x14ac:dyDescent="0.2">
      <c r="A29" s="593" t="s">
        <v>984</v>
      </c>
      <c r="B29" s="594"/>
      <c r="C29" s="594"/>
      <c r="D29" s="594"/>
      <c r="E29" s="594"/>
      <c r="F29" s="594"/>
      <c r="G29" s="594"/>
      <c r="H29" s="594"/>
      <c r="I29" s="594"/>
      <c r="J29" s="594"/>
      <c r="K29" s="595">
        <f>SUM(B29:J29)</f>
        <v>0</v>
      </c>
      <c r="L29" s="594"/>
      <c r="M29" s="594"/>
      <c r="N29" s="594"/>
      <c r="O29" s="594"/>
      <c r="P29" s="594"/>
      <c r="Q29" s="594"/>
      <c r="R29" s="594"/>
      <c r="S29" s="594"/>
      <c r="T29" s="594"/>
    </row>
    <row r="30" spans="1:21" ht="15" customHeight="1" x14ac:dyDescent="0.2">
      <c r="A30" s="591" t="s">
        <v>987</v>
      </c>
      <c r="B30" s="592">
        <f t="shared" ref="B30:Q30" si="5">SUM(B31:B35)</f>
        <v>0</v>
      </c>
      <c r="C30" s="592">
        <f t="shared" si="5"/>
        <v>0</v>
      </c>
      <c r="D30" s="592">
        <f t="shared" si="5"/>
        <v>0</v>
      </c>
      <c r="E30" s="592">
        <f t="shared" si="5"/>
        <v>0</v>
      </c>
      <c r="F30" s="592">
        <f t="shared" si="5"/>
        <v>0</v>
      </c>
      <c r="G30" s="592">
        <f t="shared" si="5"/>
        <v>0</v>
      </c>
      <c r="H30" s="592">
        <f t="shared" si="5"/>
        <v>0</v>
      </c>
      <c r="I30" s="592">
        <f t="shared" si="5"/>
        <v>0</v>
      </c>
      <c r="J30" s="592">
        <f t="shared" si="5"/>
        <v>0</v>
      </c>
      <c r="K30" s="592">
        <f t="shared" si="5"/>
        <v>10553</v>
      </c>
      <c r="L30" s="592">
        <f t="shared" si="5"/>
        <v>0</v>
      </c>
      <c r="M30" s="592">
        <f t="shared" si="5"/>
        <v>0</v>
      </c>
      <c r="N30" s="592">
        <f t="shared" si="5"/>
        <v>0</v>
      </c>
      <c r="O30" s="592">
        <f t="shared" si="5"/>
        <v>0</v>
      </c>
      <c r="P30" s="592">
        <f t="shared" si="5"/>
        <v>104.31</v>
      </c>
      <c r="Q30" s="592">
        <f t="shared" si="5"/>
        <v>779.31</v>
      </c>
      <c r="R30" s="592">
        <v>493.75</v>
      </c>
      <c r="S30" s="592">
        <f t="shared" ref="S30:T30" si="6">SUM(S31:S35)</f>
        <v>737</v>
      </c>
      <c r="T30" s="592">
        <f t="shared" si="6"/>
        <v>71</v>
      </c>
    </row>
    <row r="31" spans="1:21" ht="15" customHeight="1" x14ac:dyDescent="0.2">
      <c r="A31" s="593" t="s">
        <v>975</v>
      </c>
      <c r="B31" s="594"/>
      <c r="C31" s="594"/>
      <c r="D31" s="594"/>
      <c r="E31" s="594"/>
      <c r="F31" s="594"/>
      <c r="G31" s="594"/>
      <c r="H31" s="594"/>
      <c r="I31" s="594"/>
      <c r="J31" s="594"/>
      <c r="K31" s="595">
        <v>3781</v>
      </c>
      <c r="L31" s="594"/>
      <c r="M31" s="594"/>
      <c r="N31" s="594"/>
      <c r="O31" s="594"/>
      <c r="P31" s="596">
        <v>15.81</v>
      </c>
      <c r="Q31" s="596">
        <v>163.11000000000001</v>
      </c>
      <c r="R31" s="594"/>
      <c r="S31" s="594"/>
      <c r="T31" s="594"/>
    </row>
    <row r="32" spans="1:21" ht="15" customHeight="1" x14ac:dyDescent="0.2">
      <c r="A32" s="593" t="s">
        <v>976</v>
      </c>
      <c r="B32" s="594"/>
      <c r="C32" s="594"/>
      <c r="D32" s="594"/>
      <c r="E32" s="594"/>
      <c r="F32" s="594"/>
      <c r="G32" s="594"/>
      <c r="H32" s="594"/>
      <c r="I32" s="594"/>
      <c r="J32" s="594"/>
      <c r="K32" s="595">
        <v>1483</v>
      </c>
      <c r="L32" s="594"/>
      <c r="M32" s="594"/>
      <c r="N32" s="594"/>
      <c r="O32" s="594"/>
      <c r="P32" s="596">
        <v>17.850000000000001</v>
      </c>
      <c r="Q32" s="596">
        <f>128.14+26.3</f>
        <v>154.44</v>
      </c>
      <c r="R32" s="594"/>
      <c r="S32" s="594"/>
      <c r="T32" s="594"/>
    </row>
    <row r="33" spans="1:20" ht="15" customHeight="1" x14ac:dyDescent="0.2">
      <c r="A33" s="593" t="s">
        <v>986</v>
      </c>
      <c r="B33" s="594"/>
      <c r="C33" s="594"/>
      <c r="D33" s="594"/>
      <c r="E33" s="594"/>
      <c r="F33" s="594"/>
      <c r="G33" s="594"/>
      <c r="H33" s="594"/>
      <c r="I33" s="594"/>
      <c r="J33" s="594"/>
      <c r="K33" s="595">
        <v>373</v>
      </c>
      <c r="L33" s="594"/>
      <c r="M33" s="594"/>
      <c r="N33" s="594"/>
      <c r="O33" s="594"/>
      <c r="P33" s="596">
        <v>5.23</v>
      </c>
      <c r="Q33" s="596">
        <v>43.61</v>
      </c>
      <c r="R33" s="594"/>
      <c r="S33" s="594"/>
      <c r="T33" s="594"/>
    </row>
    <row r="34" spans="1:20" ht="15" customHeight="1" x14ac:dyDescent="0.2">
      <c r="A34" s="593" t="s">
        <v>983</v>
      </c>
      <c r="B34" s="594"/>
      <c r="C34" s="594"/>
      <c r="D34" s="594"/>
      <c r="E34" s="594"/>
      <c r="F34" s="594"/>
      <c r="G34" s="594"/>
      <c r="H34" s="594"/>
      <c r="I34" s="594"/>
      <c r="J34" s="594"/>
      <c r="K34" s="595">
        <f>716+1892+2308</f>
        <v>4916</v>
      </c>
      <c r="L34" s="594"/>
      <c r="M34" s="594"/>
      <c r="N34" s="594"/>
      <c r="O34" s="594"/>
      <c r="P34" s="596">
        <v>65.42</v>
      </c>
      <c r="Q34" s="596">
        <v>418.15</v>
      </c>
      <c r="R34" s="594"/>
      <c r="S34" s="596">
        <v>737</v>
      </c>
      <c r="T34" s="596">
        <v>71</v>
      </c>
    </row>
    <row r="35" spans="1:20" ht="15" customHeight="1" x14ac:dyDescent="0.2">
      <c r="A35" s="593" t="s">
        <v>984</v>
      </c>
      <c r="B35" s="594"/>
      <c r="C35" s="594"/>
      <c r="D35" s="594"/>
      <c r="E35" s="594"/>
      <c r="F35" s="594"/>
      <c r="G35" s="594"/>
      <c r="H35" s="594"/>
      <c r="I35" s="594"/>
      <c r="J35" s="594"/>
      <c r="K35" s="595">
        <f>SUM(B35:J35)</f>
        <v>0</v>
      </c>
      <c r="L35" s="594"/>
      <c r="M35" s="594"/>
      <c r="N35" s="594"/>
      <c r="O35" s="594"/>
      <c r="P35" s="594"/>
      <c r="Q35" s="594"/>
      <c r="R35" s="594"/>
      <c r="S35" s="594"/>
      <c r="T35" s="594"/>
    </row>
    <row r="36" spans="1:20" ht="15" customHeight="1" x14ac:dyDescent="0.2">
      <c r="A36" s="591" t="s">
        <v>988</v>
      </c>
      <c r="B36" s="592">
        <f t="shared" ref="B36:Q36" si="7">SUM(B37:B41)</f>
        <v>0</v>
      </c>
      <c r="C36" s="592">
        <f t="shared" si="7"/>
        <v>0</v>
      </c>
      <c r="D36" s="592">
        <f t="shared" si="7"/>
        <v>0</v>
      </c>
      <c r="E36" s="592">
        <f t="shared" si="7"/>
        <v>0</v>
      </c>
      <c r="F36" s="592">
        <f t="shared" si="7"/>
        <v>0</v>
      </c>
      <c r="G36" s="592">
        <f t="shared" si="7"/>
        <v>0</v>
      </c>
      <c r="H36" s="592">
        <f t="shared" si="7"/>
        <v>0</v>
      </c>
      <c r="I36" s="592">
        <f t="shared" si="7"/>
        <v>0</v>
      </c>
      <c r="J36" s="592">
        <f t="shared" si="7"/>
        <v>0</v>
      </c>
      <c r="K36" s="592">
        <f t="shared" si="7"/>
        <v>26660</v>
      </c>
      <c r="L36" s="592">
        <f t="shared" si="7"/>
        <v>0</v>
      </c>
      <c r="M36" s="592">
        <f t="shared" si="7"/>
        <v>0</v>
      </c>
      <c r="N36" s="592">
        <f t="shared" si="7"/>
        <v>0</v>
      </c>
      <c r="O36" s="592">
        <f t="shared" si="7"/>
        <v>0</v>
      </c>
      <c r="P36" s="592">
        <f t="shared" si="7"/>
        <v>309.53000000000003</v>
      </c>
      <c r="Q36" s="592">
        <f t="shared" si="7"/>
        <v>2312.7399999999998</v>
      </c>
      <c r="R36" s="592">
        <f>493.75*3</f>
        <v>1481.25</v>
      </c>
      <c r="S36" s="592">
        <f t="shared" ref="S36:T36" si="8">SUM(S37:S41)</f>
        <v>737</v>
      </c>
      <c r="T36" s="592">
        <f t="shared" si="8"/>
        <v>71</v>
      </c>
    </row>
    <row r="37" spans="1:20" ht="15" customHeight="1" x14ac:dyDescent="0.2">
      <c r="A37" s="593" t="s">
        <v>975</v>
      </c>
      <c r="B37" s="594"/>
      <c r="C37" s="594"/>
      <c r="D37" s="594"/>
      <c r="E37" s="594"/>
      <c r="F37" s="594"/>
      <c r="G37" s="594"/>
      <c r="H37" s="594"/>
      <c r="I37" s="594"/>
      <c r="J37" s="594"/>
      <c r="K37" s="595">
        <v>5930</v>
      </c>
      <c r="L37" s="594"/>
      <c r="M37" s="594"/>
      <c r="N37" s="594"/>
      <c r="O37" s="594"/>
      <c r="P37" s="596">
        <f>43.7</f>
        <v>43.7</v>
      </c>
      <c r="Q37" s="596">
        <v>462.25</v>
      </c>
      <c r="R37" s="594"/>
      <c r="S37" s="594"/>
      <c r="T37" s="594"/>
    </row>
    <row r="38" spans="1:20" ht="15" customHeight="1" x14ac:dyDescent="0.2">
      <c r="A38" s="593" t="s">
        <v>976</v>
      </c>
      <c r="B38" s="594"/>
      <c r="C38" s="594"/>
      <c r="D38" s="594"/>
      <c r="E38" s="594"/>
      <c r="F38" s="594"/>
      <c r="G38" s="594"/>
      <c r="H38" s="594"/>
      <c r="I38" s="594"/>
      <c r="J38" s="594"/>
      <c r="K38" s="595">
        <f>3*1557</f>
        <v>4671</v>
      </c>
      <c r="L38" s="594"/>
      <c r="M38" s="594"/>
      <c r="N38" s="594"/>
      <c r="O38" s="594"/>
      <c r="P38" s="596">
        <f>3*17.95</f>
        <v>53.849999999999994</v>
      </c>
      <c r="Q38" s="596">
        <f>3*128.49+3*26.55</f>
        <v>465.12</v>
      </c>
      <c r="R38" s="594"/>
      <c r="S38" s="594"/>
      <c r="T38" s="594"/>
    </row>
    <row r="39" spans="1:20" ht="15" customHeight="1" x14ac:dyDescent="0.2">
      <c r="A39" s="593" t="s">
        <v>986</v>
      </c>
      <c r="B39" s="594"/>
      <c r="C39" s="594"/>
      <c r="D39" s="594"/>
      <c r="E39" s="594"/>
      <c r="F39" s="594"/>
      <c r="G39" s="594"/>
      <c r="H39" s="594"/>
      <c r="I39" s="594"/>
      <c r="J39" s="594"/>
      <c r="K39" s="595">
        <f>3*373</f>
        <v>1119</v>
      </c>
      <c r="L39" s="594"/>
      <c r="M39" s="594"/>
      <c r="N39" s="594"/>
      <c r="O39" s="594"/>
      <c r="P39" s="596">
        <f>3*5.23</f>
        <v>15.690000000000001</v>
      </c>
      <c r="Q39" s="596">
        <f>3*43.61</f>
        <v>130.82999999999998</v>
      </c>
      <c r="R39" s="594"/>
      <c r="S39" s="594"/>
      <c r="T39" s="594"/>
    </row>
    <row r="40" spans="1:20" ht="15" customHeight="1" x14ac:dyDescent="0.2">
      <c r="A40" s="593" t="s">
        <v>983</v>
      </c>
      <c r="B40" s="594"/>
      <c r="C40" s="594"/>
      <c r="D40" s="594"/>
      <c r="E40" s="594"/>
      <c r="F40" s="594"/>
      <c r="G40" s="594"/>
      <c r="H40" s="594"/>
      <c r="I40" s="594"/>
      <c r="J40" s="594"/>
      <c r="K40" s="595">
        <f>3*(780+1892+2308)</f>
        <v>14940</v>
      </c>
      <c r="L40" s="594"/>
      <c r="M40" s="594"/>
      <c r="N40" s="594"/>
      <c r="O40" s="594"/>
      <c r="P40" s="596">
        <f>3*65.43</f>
        <v>196.29000000000002</v>
      </c>
      <c r="Q40" s="596">
        <f>3*418.18</f>
        <v>1254.54</v>
      </c>
      <c r="R40" s="594"/>
      <c r="S40" s="596">
        <v>737</v>
      </c>
      <c r="T40" s="596">
        <v>71</v>
      </c>
    </row>
    <row r="41" spans="1:20" ht="15" customHeight="1" x14ac:dyDescent="0.2">
      <c r="A41" s="593" t="s">
        <v>978</v>
      </c>
      <c r="B41" s="594"/>
      <c r="C41" s="594"/>
      <c r="D41" s="594"/>
      <c r="E41" s="594"/>
      <c r="F41" s="594"/>
      <c r="G41" s="594"/>
      <c r="H41" s="594"/>
      <c r="I41" s="594"/>
      <c r="J41" s="594"/>
      <c r="K41" s="595">
        <f>SUM(B41:J41)</f>
        <v>0</v>
      </c>
      <c r="L41" s="594"/>
      <c r="M41" s="594"/>
      <c r="N41" s="594"/>
      <c r="O41" s="594"/>
      <c r="P41" s="594"/>
      <c r="Q41" s="594"/>
      <c r="R41" s="594"/>
      <c r="S41" s="594"/>
      <c r="T41" s="594"/>
    </row>
    <row r="42" spans="1:20" ht="15" customHeight="1" x14ac:dyDescent="0.2">
      <c r="A42" s="591" t="s">
        <v>989</v>
      </c>
      <c r="B42" s="592">
        <f t="shared" ref="B42:Q42" si="9">SUM(B43:B47)</f>
        <v>0</v>
      </c>
      <c r="C42" s="592">
        <f t="shared" si="9"/>
        <v>0</v>
      </c>
      <c r="D42" s="592">
        <f t="shared" si="9"/>
        <v>0</v>
      </c>
      <c r="E42" s="592">
        <f t="shared" si="9"/>
        <v>0</v>
      </c>
      <c r="F42" s="592">
        <f t="shared" si="9"/>
        <v>0</v>
      </c>
      <c r="G42" s="592">
        <f t="shared" si="9"/>
        <v>0</v>
      </c>
      <c r="H42" s="592">
        <f t="shared" si="9"/>
        <v>0</v>
      </c>
      <c r="I42" s="592">
        <f t="shared" si="9"/>
        <v>0</v>
      </c>
      <c r="J42" s="592">
        <f t="shared" si="9"/>
        <v>0</v>
      </c>
      <c r="K42" s="592">
        <f t="shared" si="9"/>
        <v>32613</v>
      </c>
      <c r="L42" s="592">
        <f t="shared" si="9"/>
        <v>0</v>
      </c>
      <c r="M42" s="592">
        <f t="shared" si="9"/>
        <v>0</v>
      </c>
      <c r="N42" s="592">
        <f t="shared" si="9"/>
        <v>0</v>
      </c>
      <c r="O42" s="592">
        <f t="shared" si="9"/>
        <v>0</v>
      </c>
      <c r="P42" s="592">
        <f t="shared" si="9"/>
        <v>408.11</v>
      </c>
      <c r="Q42" s="592">
        <f t="shared" si="9"/>
        <v>3068.36</v>
      </c>
      <c r="R42" s="592">
        <f>493.62*4</f>
        <v>1974.48</v>
      </c>
      <c r="S42" s="592">
        <f t="shared" ref="S42:T42" si="10">SUM(S43:S47)</f>
        <v>737</v>
      </c>
      <c r="T42" s="592">
        <f t="shared" si="10"/>
        <v>71</v>
      </c>
    </row>
    <row r="43" spans="1:20" ht="15" customHeight="1" x14ac:dyDescent="0.2">
      <c r="A43" s="593" t="s">
        <v>975</v>
      </c>
      <c r="B43" s="594"/>
      <c r="C43" s="594"/>
      <c r="D43" s="594"/>
      <c r="E43" s="594"/>
      <c r="F43" s="594"/>
      <c r="G43" s="594"/>
      <c r="H43" s="594"/>
      <c r="I43" s="594"/>
      <c r="J43" s="594"/>
      <c r="K43" s="595">
        <v>5973</v>
      </c>
      <c r="L43" s="594"/>
      <c r="M43" s="594"/>
      <c r="N43" s="594"/>
      <c r="O43" s="594"/>
      <c r="P43" s="596">
        <v>53.39</v>
      </c>
      <c r="Q43" s="596">
        <v>600</v>
      </c>
      <c r="R43" s="594"/>
      <c r="S43" s="594"/>
      <c r="T43" s="596">
        <v>0</v>
      </c>
    </row>
    <row r="44" spans="1:20" ht="15" customHeight="1" x14ac:dyDescent="0.2">
      <c r="A44" s="593" t="s">
        <v>976</v>
      </c>
      <c r="B44" s="594"/>
      <c r="C44" s="594"/>
      <c r="D44" s="594"/>
      <c r="E44" s="594"/>
      <c r="F44" s="594"/>
      <c r="G44" s="594"/>
      <c r="H44" s="594"/>
      <c r="I44" s="594"/>
      <c r="J44" s="594"/>
      <c r="K44" s="595">
        <f>4*1346</f>
        <v>5384</v>
      </c>
      <c r="L44" s="594"/>
      <c r="M44" s="594"/>
      <c r="N44" s="594"/>
      <c r="O44" s="594"/>
      <c r="P44" s="596">
        <f>4*17.95</f>
        <v>71.8</v>
      </c>
      <c r="Q44" s="596">
        <f>4*(128.49+26.55)</f>
        <v>620.16000000000008</v>
      </c>
      <c r="R44" s="594"/>
      <c r="S44" s="594"/>
      <c r="T44" s="596">
        <v>0</v>
      </c>
    </row>
    <row r="45" spans="1:20" ht="15" customHeight="1" x14ac:dyDescent="0.2">
      <c r="A45" s="593" t="s">
        <v>986</v>
      </c>
      <c r="B45" s="594"/>
      <c r="C45" s="594"/>
      <c r="D45" s="594"/>
      <c r="E45" s="594"/>
      <c r="F45" s="594"/>
      <c r="G45" s="594"/>
      <c r="H45" s="594"/>
      <c r="I45" s="594"/>
      <c r="J45" s="594"/>
      <c r="K45" s="595">
        <f>4*373</f>
        <v>1492</v>
      </c>
      <c r="L45" s="594"/>
      <c r="M45" s="594"/>
      <c r="N45" s="594"/>
      <c r="O45" s="594"/>
      <c r="P45" s="596">
        <f>4*5.23</f>
        <v>20.92</v>
      </c>
      <c r="Q45" s="596">
        <f>4*43.61</f>
        <v>174.44</v>
      </c>
      <c r="R45" s="594"/>
      <c r="S45" s="594"/>
      <c r="T45" s="596">
        <v>0</v>
      </c>
    </row>
    <row r="46" spans="1:20" ht="15" customHeight="1" x14ac:dyDescent="0.2">
      <c r="A46" s="593" t="s">
        <v>983</v>
      </c>
      <c r="B46" s="594"/>
      <c r="C46" s="594"/>
      <c r="D46" s="594"/>
      <c r="E46" s="594"/>
      <c r="F46" s="594"/>
      <c r="G46" s="594"/>
      <c r="H46" s="594"/>
      <c r="I46" s="594"/>
      <c r="J46" s="594"/>
      <c r="K46" s="595">
        <f>4*(738+1892+2311)</f>
        <v>19764</v>
      </c>
      <c r="L46" s="594"/>
      <c r="M46" s="594"/>
      <c r="N46" s="594"/>
      <c r="O46" s="594"/>
      <c r="P46" s="596">
        <f>4*65.5</f>
        <v>262</v>
      </c>
      <c r="Q46" s="596">
        <f>4*418.44</f>
        <v>1673.76</v>
      </c>
      <c r="R46" s="594"/>
      <c r="S46" s="596">
        <v>737</v>
      </c>
      <c r="T46" s="596">
        <v>71</v>
      </c>
    </row>
    <row r="47" spans="1:20" ht="15" customHeight="1" x14ac:dyDescent="0.2">
      <c r="A47" s="593" t="s">
        <v>978</v>
      </c>
      <c r="B47" s="594"/>
      <c r="C47" s="594"/>
      <c r="D47" s="594"/>
      <c r="E47" s="594"/>
      <c r="F47" s="594"/>
      <c r="G47" s="594"/>
      <c r="H47" s="594"/>
      <c r="I47" s="594"/>
      <c r="J47" s="594"/>
      <c r="K47" s="595">
        <f>SUM(B47:J47)</f>
        <v>0</v>
      </c>
      <c r="L47" s="594"/>
      <c r="M47" s="594"/>
      <c r="N47" s="594"/>
      <c r="O47" s="594"/>
      <c r="P47" s="594"/>
      <c r="Q47" s="594"/>
      <c r="R47" s="594"/>
      <c r="S47" s="594"/>
      <c r="T47" s="596">
        <v>0</v>
      </c>
    </row>
    <row r="48" spans="1:20" ht="15" customHeight="1" x14ac:dyDescent="0.2">
      <c r="A48" s="591" t="s">
        <v>990</v>
      </c>
      <c r="B48" s="592">
        <f t="shared" ref="B48:Q48" si="11">SUM(B49:B53)</f>
        <v>0</v>
      </c>
      <c r="C48" s="592">
        <f t="shared" si="11"/>
        <v>0</v>
      </c>
      <c r="D48" s="592">
        <f t="shared" si="11"/>
        <v>0</v>
      </c>
      <c r="E48" s="592">
        <f t="shared" si="11"/>
        <v>0</v>
      </c>
      <c r="F48" s="592">
        <f t="shared" si="11"/>
        <v>0</v>
      </c>
      <c r="G48" s="592">
        <f t="shared" si="11"/>
        <v>0</v>
      </c>
      <c r="H48" s="592">
        <f t="shared" si="11"/>
        <v>0</v>
      </c>
      <c r="I48" s="592">
        <f t="shared" si="11"/>
        <v>0</v>
      </c>
      <c r="J48" s="592">
        <f t="shared" si="11"/>
        <v>0</v>
      </c>
      <c r="K48" s="592">
        <f t="shared" si="11"/>
        <v>10434</v>
      </c>
      <c r="L48" s="592">
        <f t="shared" si="11"/>
        <v>0</v>
      </c>
      <c r="M48" s="592">
        <f t="shared" si="11"/>
        <v>0</v>
      </c>
      <c r="N48" s="592">
        <f t="shared" si="11"/>
        <v>0</v>
      </c>
      <c r="O48" s="592">
        <f t="shared" si="11"/>
        <v>0</v>
      </c>
      <c r="P48" s="592">
        <f t="shared" si="11"/>
        <v>109.35</v>
      </c>
      <c r="Q48" s="592">
        <f t="shared" si="11"/>
        <v>863.77</v>
      </c>
      <c r="R48" s="592">
        <v>492.74</v>
      </c>
      <c r="S48" s="592">
        <f t="shared" ref="S48:T48" si="12">SUM(S49:S53)</f>
        <v>2549</v>
      </c>
      <c r="T48" s="592">
        <f t="shared" si="12"/>
        <v>0</v>
      </c>
    </row>
    <row r="49" spans="1:20" ht="15" customHeight="1" x14ac:dyDescent="0.2">
      <c r="A49" s="593" t="s">
        <v>975</v>
      </c>
      <c r="B49" s="594"/>
      <c r="C49" s="594"/>
      <c r="D49" s="594"/>
      <c r="E49" s="594"/>
      <c r="F49" s="594"/>
      <c r="G49" s="594"/>
      <c r="H49" s="594"/>
      <c r="I49" s="594"/>
      <c r="J49" s="594"/>
      <c r="K49" s="595">
        <v>1368</v>
      </c>
      <c r="L49" s="594"/>
      <c r="M49" s="594"/>
      <c r="N49" s="594"/>
      <c r="O49" s="594"/>
      <c r="P49" s="596">
        <v>12.57</v>
      </c>
      <c r="Q49" s="596">
        <v>141.38999999999999</v>
      </c>
      <c r="R49" s="594"/>
      <c r="S49" s="596">
        <v>0</v>
      </c>
      <c r="T49" s="596">
        <v>0</v>
      </c>
    </row>
    <row r="50" spans="1:20" ht="15" customHeight="1" x14ac:dyDescent="0.2">
      <c r="A50" s="593" t="s">
        <v>976</v>
      </c>
      <c r="B50" s="594"/>
      <c r="C50" s="594"/>
      <c r="D50" s="594"/>
      <c r="E50" s="594"/>
      <c r="F50" s="594"/>
      <c r="G50" s="594"/>
      <c r="H50" s="594"/>
      <c r="I50" s="594"/>
      <c r="J50" s="594"/>
      <c r="K50" s="595">
        <v>4662</v>
      </c>
      <c r="L50" s="594"/>
      <c r="M50" s="594"/>
      <c r="N50" s="594"/>
      <c r="O50" s="594"/>
      <c r="P50" s="596">
        <v>41.48</v>
      </c>
      <c r="Q50" s="596">
        <f>237.28+61.01</f>
        <v>298.29000000000002</v>
      </c>
      <c r="R50" s="594"/>
      <c r="S50" s="596">
        <v>0</v>
      </c>
      <c r="T50" s="596">
        <v>0</v>
      </c>
    </row>
    <row r="51" spans="1:20" ht="15" customHeight="1" x14ac:dyDescent="0.2">
      <c r="A51" s="593" t="s">
        <v>986</v>
      </c>
      <c r="B51" s="594"/>
      <c r="C51" s="594"/>
      <c r="D51" s="594"/>
      <c r="E51" s="594"/>
      <c r="F51" s="594"/>
      <c r="G51" s="594"/>
      <c r="H51" s="594"/>
      <c r="I51" s="594"/>
      <c r="J51" s="594"/>
      <c r="K51" s="595">
        <v>360</v>
      </c>
      <c r="L51" s="594"/>
      <c r="M51" s="594"/>
      <c r="N51" s="594"/>
      <c r="O51" s="594"/>
      <c r="P51" s="596">
        <v>5.04</v>
      </c>
      <c r="Q51" s="596">
        <v>42.04</v>
      </c>
      <c r="R51" s="594"/>
      <c r="S51" s="596">
        <v>0</v>
      </c>
      <c r="T51" s="596">
        <v>0</v>
      </c>
    </row>
    <row r="52" spans="1:20" ht="15" customHeight="1" x14ac:dyDescent="0.2">
      <c r="A52" s="593" t="s">
        <v>983</v>
      </c>
      <c r="B52" s="594"/>
      <c r="C52" s="594"/>
      <c r="D52" s="594"/>
      <c r="E52" s="594"/>
      <c r="F52" s="594"/>
      <c r="G52" s="594"/>
      <c r="H52" s="594"/>
      <c r="I52" s="594"/>
      <c r="J52" s="594"/>
      <c r="K52" s="595">
        <f>1357+1499+1188</f>
        <v>4044</v>
      </c>
      <c r="L52" s="594"/>
      <c r="M52" s="594"/>
      <c r="N52" s="594"/>
      <c r="O52" s="594"/>
      <c r="P52" s="596">
        <v>50.26</v>
      </c>
      <c r="Q52" s="596">
        <v>382.05</v>
      </c>
      <c r="R52" s="594"/>
      <c r="S52" s="596">
        <v>2549</v>
      </c>
      <c r="T52" s="596">
        <v>0</v>
      </c>
    </row>
    <row r="53" spans="1:20" ht="15" customHeight="1" x14ac:dyDescent="0.2">
      <c r="A53" s="593" t="s">
        <v>978</v>
      </c>
      <c r="B53" s="594"/>
      <c r="C53" s="594"/>
      <c r="D53" s="594"/>
      <c r="E53" s="594"/>
      <c r="F53" s="594"/>
      <c r="G53" s="594"/>
      <c r="H53" s="594"/>
      <c r="I53" s="594"/>
      <c r="J53" s="594"/>
      <c r="K53" s="595">
        <f>SUM(B53:J53)</f>
        <v>0</v>
      </c>
      <c r="L53" s="594"/>
      <c r="M53" s="594"/>
      <c r="N53" s="594"/>
      <c r="O53" s="594"/>
      <c r="P53" s="594"/>
      <c r="Q53" s="594"/>
      <c r="R53" s="594"/>
      <c r="S53" s="596">
        <v>0</v>
      </c>
      <c r="T53" s="596">
        <v>0</v>
      </c>
    </row>
    <row r="54" spans="1:20" ht="15" customHeight="1" x14ac:dyDescent="0.2">
      <c r="A54" s="591" t="s">
        <v>991</v>
      </c>
      <c r="B54" s="592">
        <f t="shared" ref="B54:Q54" si="13">SUM(B55:B58)</f>
        <v>0</v>
      </c>
      <c r="C54" s="592">
        <f t="shared" si="13"/>
        <v>0</v>
      </c>
      <c r="D54" s="592">
        <f t="shared" si="13"/>
        <v>0</v>
      </c>
      <c r="E54" s="592">
        <f t="shared" si="13"/>
        <v>0</v>
      </c>
      <c r="F54" s="592">
        <f t="shared" si="13"/>
        <v>0</v>
      </c>
      <c r="G54" s="592">
        <f t="shared" si="13"/>
        <v>0</v>
      </c>
      <c r="H54" s="592">
        <f t="shared" si="13"/>
        <v>0</v>
      </c>
      <c r="I54" s="592">
        <f t="shared" si="13"/>
        <v>0</v>
      </c>
      <c r="J54" s="592">
        <f t="shared" si="13"/>
        <v>0</v>
      </c>
      <c r="K54" s="592">
        <f t="shared" si="13"/>
        <v>5726</v>
      </c>
      <c r="L54" s="592">
        <f t="shared" si="13"/>
        <v>0</v>
      </c>
      <c r="M54" s="592">
        <f t="shared" si="13"/>
        <v>0</v>
      </c>
      <c r="N54" s="592">
        <f t="shared" si="13"/>
        <v>0</v>
      </c>
      <c r="O54" s="592">
        <f t="shared" si="13"/>
        <v>0</v>
      </c>
      <c r="P54" s="592">
        <f t="shared" si="13"/>
        <v>48.94</v>
      </c>
      <c r="Q54" s="592">
        <f t="shared" si="13"/>
        <v>481.81000000000006</v>
      </c>
      <c r="R54" s="592">
        <v>180.27</v>
      </c>
      <c r="S54" s="592">
        <f t="shared" ref="S54:T54" si="14">SUM(S55:S58)</f>
        <v>0</v>
      </c>
      <c r="T54" s="592">
        <f t="shared" si="14"/>
        <v>0</v>
      </c>
    </row>
    <row r="55" spans="1:20" ht="15" customHeight="1" x14ac:dyDescent="0.2">
      <c r="A55" s="593" t="s">
        <v>975</v>
      </c>
      <c r="B55" s="594"/>
      <c r="C55" s="594"/>
      <c r="D55" s="594"/>
      <c r="E55" s="594"/>
      <c r="F55" s="594"/>
      <c r="G55" s="594"/>
      <c r="H55" s="594"/>
      <c r="I55" s="594"/>
      <c r="J55" s="594"/>
      <c r="K55" s="595">
        <v>2149</v>
      </c>
      <c r="L55" s="594"/>
      <c r="M55" s="594"/>
      <c r="N55" s="594"/>
      <c r="O55" s="594"/>
      <c r="P55" s="596">
        <v>10.81</v>
      </c>
      <c r="Q55" s="596">
        <v>134.18</v>
      </c>
      <c r="R55" s="594"/>
      <c r="S55" s="596">
        <v>0</v>
      </c>
      <c r="T55" s="596">
        <v>0</v>
      </c>
    </row>
    <row r="56" spans="1:20" ht="15" customHeight="1" x14ac:dyDescent="0.2">
      <c r="A56" s="593" t="s">
        <v>976</v>
      </c>
      <c r="B56" s="594"/>
      <c r="C56" s="594"/>
      <c r="D56" s="594"/>
      <c r="E56" s="594"/>
      <c r="F56" s="594"/>
      <c r="G56" s="594"/>
      <c r="H56" s="594"/>
      <c r="I56" s="594"/>
      <c r="J56" s="594"/>
      <c r="K56" s="595">
        <v>1512</v>
      </c>
      <c r="L56" s="594"/>
      <c r="M56" s="594"/>
      <c r="N56" s="594"/>
      <c r="O56" s="594"/>
      <c r="P56" s="596">
        <v>21.65</v>
      </c>
      <c r="Q56" s="596">
        <f>(172.3+37.97)</f>
        <v>210.27</v>
      </c>
      <c r="R56" s="594"/>
      <c r="S56" s="596">
        <v>0</v>
      </c>
      <c r="T56" s="596">
        <v>0</v>
      </c>
    </row>
    <row r="57" spans="1:20" ht="15" customHeight="1" x14ac:dyDescent="0.2">
      <c r="A57" s="593" t="s">
        <v>986</v>
      </c>
      <c r="B57" s="594"/>
      <c r="C57" s="594"/>
      <c r="D57" s="594"/>
      <c r="E57" s="594"/>
      <c r="F57" s="594"/>
      <c r="G57" s="594"/>
      <c r="H57" s="594"/>
      <c r="I57" s="594"/>
      <c r="J57" s="594"/>
      <c r="K57" s="595">
        <v>2065</v>
      </c>
      <c r="L57" s="594"/>
      <c r="M57" s="594"/>
      <c r="N57" s="594"/>
      <c r="O57" s="594"/>
      <c r="P57" s="596">
        <v>16.48</v>
      </c>
      <c r="Q57" s="596">
        <v>137.36000000000001</v>
      </c>
      <c r="R57" s="594"/>
      <c r="S57" s="596">
        <v>0</v>
      </c>
      <c r="T57" s="596">
        <v>0</v>
      </c>
    </row>
    <row r="58" spans="1:20" ht="15" customHeight="1" x14ac:dyDescent="0.2">
      <c r="A58" s="593" t="s">
        <v>978</v>
      </c>
      <c r="B58" s="594"/>
      <c r="C58" s="594"/>
      <c r="D58" s="594"/>
      <c r="E58" s="594"/>
      <c r="F58" s="594"/>
      <c r="G58" s="594"/>
      <c r="H58" s="594"/>
      <c r="I58" s="594"/>
      <c r="J58" s="594"/>
      <c r="K58" s="595">
        <f>SUM(B58:J58)</f>
        <v>0</v>
      </c>
      <c r="L58" s="594"/>
      <c r="M58" s="594"/>
      <c r="N58" s="594"/>
      <c r="O58" s="594"/>
      <c r="P58" s="594"/>
      <c r="Q58" s="594"/>
      <c r="R58" s="594"/>
      <c r="S58" s="596">
        <v>0</v>
      </c>
      <c r="T58" s="596">
        <v>0</v>
      </c>
    </row>
    <row r="59" spans="1:20" ht="15" customHeight="1" x14ac:dyDescent="0.2">
      <c r="A59" s="591" t="s">
        <v>992</v>
      </c>
      <c r="B59" s="592">
        <f t="shared" ref="B59:Q59" si="15">SUM(B60:B64)</f>
        <v>0</v>
      </c>
      <c r="C59" s="592">
        <f t="shared" si="15"/>
        <v>0</v>
      </c>
      <c r="D59" s="592">
        <f t="shared" si="15"/>
        <v>0</v>
      </c>
      <c r="E59" s="592">
        <f t="shared" si="15"/>
        <v>0</v>
      </c>
      <c r="F59" s="592">
        <f t="shared" si="15"/>
        <v>0</v>
      </c>
      <c r="G59" s="592">
        <f t="shared" si="15"/>
        <v>0</v>
      </c>
      <c r="H59" s="592">
        <f t="shared" si="15"/>
        <v>0</v>
      </c>
      <c r="I59" s="592">
        <f t="shared" si="15"/>
        <v>0</v>
      </c>
      <c r="J59" s="592">
        <f t="shared" si="15"/>
        <v>0</v>
      </c>
      <c r="K59" s="592">
        <f t="shared" si="15"/>
        <v>5280</v>
      </c>
      <c r="L59" s="592">
        <f t="shared" si="15"/>
        <v>0</v>
      </c>
      <c r="M59" s="592">
        <f t="shared" si="15"/>
        <v>0</v>
      </c>
      <c r="N59" s="592">
        <f t="shared" si="15"/>
        <v>0</v>
      </c>
      <c r="O59" s="592">
        <f t="shared" si="15"/>
        <v>0</v>
      </c>
      <c r="P59" s="592">
        <f t="shared" si="15"/>
        <v>69.849999999999994</v>
      </c>
      <c r="Q59" s="592">
        <f t="shared" si="15"/>
        <v>605.18000000000006</v>
      </c>
      <c r="R59" s="592">
        <v>384.94</v>
      </c>
      <c r="S59" s="592">
        <f t="shared" ref="S59:T59" si="16">SUM(S60:S64)</f>
        <v>2422</v>
      </c>
      <c r="T59" s="592">
        <f t="shared" si="16"/>
        <v>0</v>
      </c>
    </row>
    <row r="60" spans="1:20" ht="15" customHeight="1" x14ac:dyDescent="0.2">
      <c r="A60" s="593" t="s">
        <v>975</v>
      </c>
      <c r="B60" s="594"/>
      <c r="C60" s="594"/>
      <c r="D60" s="594"/>
      <c r="E60" s="594"/>
      <c r="F60" s="594"/>
      <c r="G60" s="594"/>
      <c r="H60" s="594"/>
      <c r="I60" s="594"/>
      <c r="J60" s="594"/>
      <c r="K60" s="595">
        <v>1674</v>
      </c>
      <c r="L60" s="594"/>
      <c r="M60" s="594"/>
      <c r="N60" s="594"/>
      <c r="O60" s="594"/>
      <c r="P60" s="596">
        <v>11.4</v>
      </c>
      <c r="Q60" s="596">
        <v>141.94</v>
      </c>
      <c r="R60" s="594"/>
      <c r="S60" s="596">
        <v>0</v>
      </c>
      <c r="T60" s="596">
        <v>0</v>
      </c>
    </row>
    <row r="61" spans="1:20" ht="15" customHeight="1" x14ac:dyDescent="0.2">
      <c r="A61" s="593" t="s">
        <v>976</v>
      </c>
      <c r="B61" s="594"/>
      <c r="C61" s="594"/>
      <c r="D61" s="594"/>
      <c r="E61" s="594"/>
      <c r="F61" s="594"/>
      <c r="G61" s="594"/>
      <c r="H61" s="594"/>
      <c r="I61" s="594"/>
      <c r="J61" s="594"/>
      <c r="K61" s="595">
        <f>711+15</f>
        <v>726</v>
      </c>
      <c r="L61" s="594"/>
      <c r="M61" s="594"/>
      <c r="N61" s="594"/>
      <c r="O61" s="594"/>
      <c r="P61" s="596">
        <f>15.22+0.12</f>
        <v>15.34</v>
      </c>
      <c r="Q61" s="596">
        <f>81.96+38.08+1.06+0.47</f>
        <v>121.57</v>
      </c>
      <c r="R61" s="594"/>
      <c r="S61" s="596">
        <v>0</v>
      </c>
      <c r="T61" s="596">
        <v>0</v>
      </c>
    </row>
    <row r="62" spans="1:20" ht="15" customHeight="1" x14ac:dyDescent="0.2">
      <c r="A62" s="593" t="s">
        <v>986</v>
      </c>
      <c r="B62" s="594"/>
      <c r="C62" s="594"/>
      <c r="D62" s="594"/>
      <c r="E62" s="594"/>
      <c r="F62" s="594"/>
      <c r="G62" s="594"/>
      <c r="H62" s="594"/>
      <c r="I62" s="594"/>
      <c r="J62" s="594"/>
      <c r="K62" s="595">
        <v>63</v>
      </c>
      <c r="L62" s="594"/>
      <c r="M62" s="594"/>
      <c r="N62" s="594"/>
      <c r="O62" s="594"/>
      <c r="P62" s="596">
        <v>0.92</v>
      </c>
      <c r="Q62" s="596">
        <v>7.69</v>
      </c>
      <c r="R62" s="594"/>
      <c r="S62" s="596">
        <v>0</v>
      </c>
      <c r="T62" s="596">
        <v>0</v>
      </c>
    </row>
    <row r="63" spans="1:20" ht="15" customHeight="1" x14ac:dyDescent="0.2">
      <c r="A63" s="593" t="s">
        <v>983</v>
      </c>
      <c r="B63" s="594"/>
      <c r="C63" s="594"/>
      <c r="D63" s="594"/>
      <c r="E63" s="594"/>
      <c r="F63" s="594"/>
      <c r="G63" s="594"/>
      <c r="H63" s="594"/>
      <c r="I63" s="594"/>
      <c r="J63" s="594"/>
      <c r="K63" s="595">
        <f>996+1327+494</f>
        <v>2817</v>
      </c>
      <c r="L63" s="594"/>
      <c r="M63" s="594"/>
      <c r="N63" s="594"/>
      <c r="O63" s="594"/>
      <c r="P63" s="596">
        <f>42.19</f>
        <v>42.19</v>
      </c>
      <c r="Q63" s="596">
        <v>333.98</v>
      </c>
      <c r="R63" s="594"/>
      <c r="S63" s="596">
        <v>2422</v>
      </c>
      <c r="T63" s="596">
        <v>0</v>
      </c>
    </row>
    <row r="64" spans="1:20" ht="15" customHeight="1" x14ac:dyDescent="0.2">
      <c r="A64" s="593" t="s">
        <v>978</v>
      </c>
      <c r="B64" s="594"/>
      <c r="C64" s="594"/>
      <c r="D64" s="594"/>
      <c r="E64" s="594"/>
      <c r="F64" s="594"/>
      <c r="G64" s="594"/>
      <c r="H64" s="594"/>
      <c r="I64" s="594"/>
      <c r="J64" s="594"/>
      <c r="K64" s="595">
        <f>SUM(B64:J64)</f>
        <v>0</v>
      </c>
      <c r="L64" s="594"/>
      <c r="M64" s="594"/>
      <c r="N64" s="594"/>
      <c r="O64" s="594"/>
      <c r="P64" s="594"/>
      <c r="Q64" s="594"/>
      <c r="R64" s="594"/>
      <c r="S64" s="596">
        <v>0</v>
      </c>
      <c r="T64" s="596">
        <v>0</v>
      </c>
    </row>
    <row r="65" spans="1:20" ht="15" customHeight="1" x14ac:dyDescent="0.2">
      <c r="A65" s="591" t="s">
        <v>993</v>
      </c>
      <c r="B65" s="592">
        <f t="shared" ref="B65:Q65" si="17">SUM(B66:B70)</f>
        <v>0</v>
      </c>
      <c r="C65" s="592">
        <f t="shared" si="17"/>
        <v>0</v>
      </c>
      <c r="D65" s="592">
        <f t="shared" si="17"/>
        <v>0</v>
      </c>
      <c r="E65" s="592">
        <f t="shared" si="17"/>
        <v>0</v>
      </c>
      <c r="F65" s="592">
        <f t="shared" si="17"/>
        <v>0</v>
      </c>
      <c r="G65" s="592">
        <f t="shared" si="17"/>
        <v>0</v>
      </c>
      <c r="H65" s="592">
        <f t="shared" si="17"/>
        <v>0</v>
      </c>
      <c r="I65" s="592">
        <f t="shared" si="17"/>
        <v>0</v>
      </c>
      <c r="J65" s="592">
        <f t="shared" si="17"/>
        <v>0</v>
      </c>
      <c r="K65" s="592">
        <f t="shared" si="17"/>
        <v>7329</v>
      </c>
      <c r="L65" s="592">
        <f t="shared" si="17"/>
        <v>0</v>
      </c>
      <c r="M65" s="592">
        <f t="shared" si="17"/>
        <v>0</v>
      </c>
      <c r="N65" s="592">
        <f t="shared" si="17"/>
        <v>0</v>
      </c>
      <c r="O65" s="592">
        <f t="shared" si="17"/>
        <v>0</v>
      </c>
      <c r="P65" s="592">
        <f t="shared" si="17"/>
        <v>85.19</v>
      </c>
      <c r="Q65" s="592">
        <f t="shared" si="17"/>
        <v>668.15</v>
      </c>
      <c r="R65" s="592">
        <v>397.93</v>
      </c>
      <c r="S65" s="592">
        <f t="shared" ref="S65:T65" si="18">SUM(S66:S70)</f>
        <v>2133</v>
      </c>
      <c r="T65" s="592">
        <f t="shared" si="18"/>
        <v>0</v>
      </c>
    </row>
    <row r="66" spans="1:20" ht="15" customHeight="1" x14ac:dyDescent="0.2">
      <c r="A66" s="593" t="s">
        <v>975</v>
      </c>
      <c r="B66" s="594"/>
      <c r="C66" s="594"/>
      <c r="D66" s="594"/>
      <c r="E66" s="594"/>
      <c r="F66" s="594"/>
      <c r="G66" s="594"/>
      <c r="H66" s="594"/>
      <c r="I66" s="594"/>
      <c r="J66" s="594"/>
      <c r="K66" s="595">
        <v>1107</v>
      </c>
      <c r="L66" s="594"/>
      <c r="M66" s="594"/>
      <c r="N66" s="594"/>
      <c r="O66" s="594"/>
      <c r="P66" s="596">
        <v>2.21</v>
      </c>
      <c r="Q66" s="596">
        <v>28.13</v>
      </c>
      <c r="R66" s="594"/>
      <c r="S66" s="596">
        <v>0</v>
      </c>
      <c r="T66" s="596">
        <v>0</v>
      </c>
    </row>
    <row r="67" spans="1:20" ht="15" customHeight="1" x14ac:dyDescent="0.2">
      <c r="A67" s="593" t="s">
        <v>976</v>
      </c>
      <c r="B67" s="594"/>
      <c r="C67" s="594"/>
      <c r="D67" s="594"/>
      <c r="E67" s="594"/>
      <c r="F67" s="594"/>
      <c r="G67" s="594"/>
      <c r="H67" s="594"/>
      <c r="I67" s="594"/>
      <c r="J67" s="594"/>
      <c r="K67" s="595">
        <v>3005</v>
      </c>
      <c r="L67" s="594"/>
      <c r="M67" s="594"/>
      <c r="N67" s="594"/>
      <c r="O67" s="594"/>
      <c r="P67" s="596">
        <v>38.5</v>
      </c>
      <c r="Q67" s="596">
        <f>247.29+51.22</f>
        <v>298.51</v>
      </c>
      <c r="R67" s="594"/>
      <c r="S67" s="596">
        <v>0</v>
      </c>
      <c r="T67" s="596">
        <v>0</v>
      </c>
    </row>
    <row r="68" spans="1:20" ht="15" customHeight="1" x14ac:dyDescent="0.2">
      <c r="A68" s="593" t="s">
        <v>986</v>
      </c>
      <c r="B68" s="594"/>
      <c r="C68" s="594"/>
      <c r="D68" s="594"/>
      <c r="E68" s="594"/>
      <c r="F68" s="594"/>
      <c r="G68" s="594"/>
      <c r="H68" s="594"/>
      <c r="I68" s="594"/>
      <c r="J68" s="594"/>
      <c r="K68" s="595">
        <v>396</v>
      </c>
      <c r="L68" s="594"/>
      <c r="M68" s="594"/>
      <c r="N68" s="594"/>
      <c r="O68" s="594"/>
      <c r="P68" s="596">
        <v>5.03</v>
      </c>
      <c r="Q68" s="596">
        <v>33.56</v>
      </c>
      <c r="R68" s="594"/>
      <c r="S68" s="596">
        <v>0</v>
      </c>
      <c r="T68" s="596">
        <v>0</v>
      </c>
    </row>
    <row r="69" spans="1:20" ht="15" customHeight="1" x14ac:dyDescent="0.2">
      <c r="A69" s="593" t="s">
        <v>983</v>
      </c>
      <c r="B69" s="594"/>
      <c r="C69" s="594"/>
      <c r="D69" s="594"/>
      <c r="E69" s="594"/>
      <c r="F69" s="594"/>
      <c r="G69" s="594"/>
      <c r="H69" s="594"/>
      <c r="I69" s="594"/>
      <c r="J69" s="594"/>
      <c r="K69" s="595">
        <f>614+1223+984</f>
        <v>2821</v>
      </c>
      <c r="L69" s="594"/>
      <c r="M69" s="594"/>
      <c r="N69" s="594"/>
      <c r="O69" s="594"/>
      <c r="P69" s="596">
        <v>39.450000000000003</v>
      </c>
      <c r="Q69" s="596">
        <v>307.95</v>
      </c>
      <c r="R69" s="594"/>
      <c r="S69" s="596">
        <v>2133</v>
      </c>
      <c r="T69" s="596">
        <v>0</v>
      </c>
    </row>
    <row r="70" spans="1:20" ht="15" customHeight="1" x14ac:dyDescent="0.2">
      <c r="A70" s="593" t="s">
        <v>978</v>
      </c>
      <c r="B70" s="594"/>
      <c r="C70" s="594"/>
      <c r="D70" s="594"/>
      <c r="E70" s="594"/>
      <c r="F70" s="594"/>
      <c r="G70" s="594"/>
      <c r="H70" s="594"/>
      <c r="I70" s="594"/>
      <c r="J70" s="594"/>
      <c r="K70" s="595">
        <f>SUM(B70:J70)</f>
        <v>0</v>
      </c>
      <c r="L70" s="594"/>
      <c r="M70" s="594"/>
      <c r="N70" s="594"/>
      <c r="O70" s="594"/>
      <c r="P70" s="594"/>
      <c r="Q70" s="594"/>
      <c r="R70" s="594"/>
      <c r="S70" s="596">
        <v>0</v>
      </c>
      <c r="T70" s="596">
        <v>0</v>
      </c>
    </row>
    <row r="71" spans="1:20" ht="15" customHeight="1" x14ac:dyDescent="0.2">
      <c r="A71" s="591" t="s">
        <v>994</v>
      </c>
      <c r="B71" s="592">
        <f t="shared" ref="B71:Q71" si="19">SUM(B72:B75)</f>
        <v>0</v>
      </c>
      <c r="C71" s="592">
        <f t="shared" si="19"/>
        <v>0</v>
      </c>
      <c r="D71" s="592">
        <f t="shared" si="19"/>
        <v>0</v>
      </c>
      <c r="E71" s="592">
        <f t="shared" si="19"/>
        <v>0</v>
      </c>
      <c r="F71" s="592">
        <f t="shared" si="19"/>
        <v>0</v>
      </c>
      <c r="G71" s="592">
        <f t="shared" si="19"/>
        <v>0</v>
      </c>
      <c r="H71" s="592">
        <f t="shared" si="19"/>
        <v>0</v>
      </c>
      <c r="I71" s="592">
        <f t="shared" si="19"/>
        <v>0</v>
      </c>
      <c r="J71" s="592">
        <f t="shared" si="19"/>
        <v>0</v>
      </c>
      <c r="K71" s="592">
        <f t="shared" si="19"/>
        <v>3253</v>
      </c>
      <c r="L71" s="592">
        <f t="shared" si="19"/>
        <v>0</v>
      </c>
      <c r="M71" s="592">
        <f t="shared" si="19"/>
        <v>0</v>
      </c>
      <c r="N71" s="592">
        <f t="shared" si="19"/>
        <v>0</v>
      </c>
      <c r="O71" s="592">
        <f t="shared" si="19"/>
        <v>0</v>
      </c>
      <c r="P71" s="592">
        <f t="shared" si="19"/>
        <v>40.19</v>
      </c>
      <c r="Q71" s="592">
        <f t="shared" si="19"/>
        <v>364.87</v>
      </c>
      <c r="R71" s="592">
        <v>186.76</v>
      </c>
      <c r="S71" s="592">
        <f t="shared" ref="S71:T71" si="20">SUM(S72:S75)</f>
        <v>1205</v>
      </c>
      <c r="T71" s="592">
        <f t="shared" si="20"/>
        <v>0</v>
      </c>
    </row>
    <row r="72" spans="1:20" ht="15" customHeight="1" x14ac:dyDescent="0.2">
      <c r="A72" s="593" t="s">
        <v>975</v>
      </c>
      <c r="B72" s="594"/>
      <c r="C72" s="594"/>
      <c r="D72" s="594"/>
      <c r="E72" s="594"/>
      <c r="F72" s="594"/>
      <c r="G72" s="594"/>
      <c r="H72" s="594"/>
      <c r="I72" s="594"/>
      <c r="J72" s="594"/>
      <c r="K72" s="595">
        <v>830</v>
      </c>
      <c r="L72" s="594"/>
      <c r="M72" s="594"/>
      <c r="N72" s="594"/>
      <c r="O72" s="594"/>
      <c r="P72" s="596">
        <v>5.83</v>
      </c>
      <c r="Q72" s="596">
        <v>76.53</v>
      </c>
      <c r="R72" s="594"/>
      <c r="S72" s="596">
        <v>0</v>
      </c>
      <c r="T72" s="596">
        <v>0</v>
      </c>
    </row>
    <row r="73" spans="1:20" ht="15" customHeight="1" x14ac:dyDescent="0.2">
      <c r="A73" s="593" t="s">
        <v>976</v>
      </c>
      <c r="B73" s="594"/>
      <c r="C73" s="594"/>
      <c r="D73" s="594"/>
      <c r="E73" s="594"/>
      <c r="F73" s="594"/>
      <c r="G73" s="594"/>
      <c r="H73" s="594"/>
      <c r="I73" s="594"/>
      <c r="J73" s="594"/>
      <c r="K73" s="595">
        <v>855</v>
      </c>
      <c r="L73" s="594"/>
      <c r="M73" s="594"/>
      <c r="N73" s="594"/>
      <c r="O73" s="594"/>
      <c r="P73" s="596">
        <v>12.64</v>
      </c>
      <c r="Q73" s="596">
        <f>104.19+15.2</f>
        <v>119.39</v>
      </c>
      <c r="R73" s="594"/>
      <c r="S73" s="596">
        <v>0</v>
      </c>
      <c r="T73" s="596">
        <v>0</v>
      </c>
    </row>
    <row r="74" spans="1:20" ht="15" customHeight="1" x14ac:dyDescent="0.2">
      <c r="A74" s="593" t="s">
        <v>983</v>
      </c>
      <c r="B74" s="594"/>
      <c r="C74" s="594"/>
      <c r="D74" s="594"/>
      <c r="E74" s="594"/>
      <c r="F74" s="594"/>
      <c r="G74" s="594"/>
      <c r="H74" s="594"/>
      <c r="I74" s="594"/>
      <c r="J74" s="594"/>
      <c r="K74" s="595">
        <f>319+687+562</f>
        <v>1568</v>
      </c>
      <c r="L74" s="594"/>
      <c r="M74" s="594"/>
      <c r="N74" s="594"/>
      <c r="O74" s="594"/>
      <c r="P74" s="596">
        <v>21.72</v>
      </c>
      <c r="Q74" s="596">
        <v>168.95</v>
      </c>
      <c r="R74" s="594"/>
      <c r="S74" s="596">
        <v>1205</v>
      </c>
      <c r="T74" s="596">
        <v>0</v>
      </c>
    </row>
    <row r="75" spans="1:20" ht="15" customHeight="1" x14ac:dyDescent="0.2">
      <c r="A75" s="593" t="s">
        <v>978</v>
      </c>
      <c r="B75" s="594"/>
      <c r="C75" s="594"/>
      <c r="D75" s="594"/>
      <c r="E75" s="594"/>
      <c r="F75" s="594"/>
      <c r="G75" s="594"/>
      <c r="H75" s="594"/>
      <c r="I75" s="594"/>
      <c r="J75" s="594"/>
      <c r="K75" s="595">
        <f>SUM(B75:J75)</f>
        <v>0</v>
      </c>
      <c r="L75" s="594"/>
      <c r="M75" s="594"/>
      <c r="N75" s="594"/>
      <c r="O75" s="594"/>
      <c r="P75" s="594"/>
      <c r="Q75" s="594"/>
      <c r="R75" s="594"/>
      <c r="S75" s="596">
        <v>0</v>
      </c>
      <c r="T75" s="596">
        <v>0</v>
      </c>
    </row>
    <row r="76" spans="1:20" ht="15" customHeight="1" x14ac:dyDescent="0.2">
      <c r="A76" s="591" t="s">
        <v>995</v>
      </c>
      <c r="B76" s="592">
        <f t="shared" ref="B76:Q76" si="21">SUM(B77:B80)</f>
        <v>0</v>
      </c>
      <c r="C76" s="592">
        <f t="shared" si="21"/>
        <v>0</v>
      </c>
      <c r="D76" s="592">
        <f t="shared" si="21"/>
        <v>0</v>
      </c>
      <c r="E76" s="592">
        <f t="shared" si="21"/>
        <v>0</v>
      </c>
      <c r="F76" s="592">
        <f t="shared" si="21"/>
        <v>0</v>
      </c>
      <c r="G76" s="592">
        <f t="shared" si="21"/>
        <v>0</v>
      </c>
      <c r="H76" s="592">
        <f t="shared" si="21"/>
        <v>0</v>
      </c>
      <c r="I76" s="592">
        <f t="shared" si="21"/>
        <v>0</v>
      </c>
      <c r="J76" s="592">
        <f t="shared" si="21"/>
        <v>0</v>
      </c>
      <c r="K76" s="592">
        <f t="shared" si="21"/>
        <v>731</v>
      </c>
      <c r="L76" s="592">
        <f t="shared" si="21"/>
        <v>0</v>
      </c>
      <c r="M76" s="592">
        <f t="shared" si="21"/>
        <v>0</v>
      </c>
      <c r="N76" s="592">
        <f t="shared" si="21"/>
        <v>0</v>
      </c>
      <c r="O76" s="592">
        <f t="shared" si="21"/>
        <v>0</v>
      </c>
      <c r="P76" s="592">
        <f t="shared" si="21"/>
        <v>4.5199999999999996</v>
      </c>
      <c r="Q76" s="592">
        <f t="shared" si="21"/>
        <v>48.029999999999994</v>
      </c>
      <c r="R76" s="592">
        <v>10.1</v>
      </c>
      <c r="S76" s="480"/>
      <c r="T76" s="481"/>
    </row>
    <row r="77" spans="1:20" ht="15" customHeight="1" x14ac:dyDescent="0.2">
      <c r="A77" s="593" t="s">
        <v>975</v>
      </c>
      <c r="B77" s="594"/>
      <c r="C77" s="594"/>
      <c r="D77" s="594"/>
      <c r="E77" s="594"/>
      <c r="F77" s="594"/>
      <c r="G77" s="594"/>
      <c r="H77" s="594"/>
      <c r="I77" s="594"/>
      <c r="J77" s="594"/>
      <c r="K77" s="595">
        <v>582</v>
      </c>
      <c r="L77" s="594"/>
      <c r="M77" s="594"/>
      <c r="N77" s="594"/>
      <c r="O77" s="594"/>
      <c r="P77" s="596">
        <v>2.92</v>
      </c>
      <c r="Q77" s="596">
        <v>35.65</v>
      </c>
      <c r="R77" s="594"/>
      <c r="S77" s="596">
        <v>0</v>
      </c>
      <c r="T77" s="596">
        <v>0</v>
      </c>
    </row>
    <row r="78" spans="1:20" ht="15" customHeight="1" x14ac:dyDescent="0.2">
      <c r="A78" s="593" t="s">
        <v>976</v>
      </c>
      <c r="B78" s="594"/>
      <c r="C78" s="594"/>
      <c r="D78" s="594"/>
      <c r="E78" s="594"/>
      <c r="F78" s="594"/>
      <c r="G78" s="594"/>
      <c r="H78" s="594"/>
      <c r="I78" s="594"/>
      <c r="J78" s="594"/>
      <c r="K78" s="595">
        <v>47</v>
      </c>
      <c r="L78" s="594"/>
      <c r="M78" s="594"/>
      <c r="N78" s="594"/>
      <c r="O78" s="594"/>
      <c r="P78" s="596">
        <v>0.57999999999999996</v>
      </c>
      <c r="Q78" s="596">
        <f>4.1+1.45</f>
        <v>5.55</v>
      </c>
      <c r="R78" s="594"/>
      <c r="S78" s="596">
        <v>0</v>
      </c>
      <c r="T78" s="596">
        <v>0</v>
      </c>
    </row>
    <row r="79" spans="1:20" ht="15" customHeight="1" x14ac:dyDescent="0.2">
      <c r="A79" s="593" t="s">
        <v>986</v>
      </c>
      <c r="B79" s="594"/>
      <c r="C79" s="594"/>
      <c r="D79" s="594"/>
      <c r="E79" s="594"/>
      <c r="F79" s="594"/>
      <c r="G79" s="594"/>
      <c r="H79" s="594"/>
      <c r="I79" s="594"/>
      <c r="J79" s="594"/>
      <c r="K79" s="595">
        <v>102</v>
      </c>
      <c r="L79" s="594"/>
      <c r="M79" s="594"/>
      <c r="N79" s="594"/>
      <c r="O79" s="594"/>
      <c r="P79" s="596">
        <v>1.02</v>
      </c>
      <c r="Q79" s="596">
        <v>6.83</v>
      </c>
      <c r="R79" s="594"/>
      <c r="S79" s="596">
        <v>0</v>
      </c>
      <c r="T79" s="596">
        <v>0</v>
      </c>
    </row>
    <row r="80" spans="1:20" ht="15" customHeight="1" x14ac:dyDescent="0.2">
      <c r="A80" s="593" t="s">
        <v>978</v>
      </c>
      <c r="B80" s="594"/>
      <c r="C80" s="594"/>
      <c r="D80" s="594"/>
      <c r="E80" s="594"/>
      <c r="F80" s="594"/>
      <c r="G80" s="594"/>
      <c r="H80" s="594"/>
      <c r="I80" s="594"/>
      <c r="J80" s="594"/>
      <c r="K80" s="595">
        <f>SUM(B80:J80)</f>
        <v>0</v>
      </c>
      <c r="L80" s="594"/>
      <c r="M80" s="594"/>
      <c r="N80" s="594"/>
      <c r="O80" s="594"/>
      <c r="P80" s="594"/>
      <c r="Q80" s="594"/>
      <c r="R80" s="594"/>
      <c r="S80" s="596">
        <v>0</v>
      </c>
      <c r="T80" s="596">
        <v>0</v>
      </c>
    </row>
    <row r="81" spans="1:20" ht="15" customHeight="1" x14ac:dyDescent="0.2">
      <c r="A81" s="591" t="s">
        <v>996</v>
      </c>
      <c r="B81" s="592">
        <f t="shared" ref="B81:Q81" si="22">SUM(B82:B85)</f>
        <v>0</v>
      </c>
      <c r="C81" s="592">
        <f t="shared" si="22"/>
        <v>0</v>
      </c>
      <c r="D81" s="592">
        <f t="shared" si="22"/>
        <v>0</v>
      </c>
      <c r="E81" s="592">
        <f t="shared" si="22"/>
        <v>0</v>
      </c>
      <c r="F81" s="592">
        <f t="shared" si="22"/>
        <v>0</v>
      </c>
      <c r="G81" s="592">
        <f t="shared" si="22"/>
        <v>0</v>
      </c>
      <c r="H81" s="592">
        <f t="shared" si="22"/>
        <v>0</v>
      </c>
      <c r="I81" s="592">
        <f t="shared" si="22"/>
        <v>0</v>
      </c>
      <c r="J81" s="592">
        <f t="shared" si="22"/>
        <v>0</v>
      </c>
      <c r="K81" s="592">
        <f t="shared" si="22"/>
        <v>427</v>
      </c>
      <c r="L81" s="592">
        <f t="shared" si="22"/>
        <v>0</v>
      </c>
      <c r="M81" s="592">
        <f t="shared" si="22"/>
        <v>0</v>
      </c>
      <c r="N81" s="592">
        <f t="shared" si="22"/>
        <v>0</v>
      </c>
      <c r="O81" s="592">
        <f t="shared" si="22"/>
        <v>0</v>
      </c>
      <c r="P81" s="592">
        <f t="shared" si="22"/>
        <v>6.6400000000000006</v>
      </c>
      <c r="Q81" s="592">
        <f t="shared" si="22"/>
        <v>59.28</v>
      </c>
      <c r="R81" s="592">
        <v>31.33</v>
      </c>
      <c r="S81" s="480"/>
      <c r="T81" s="481"/>
    </row>
    <row r="82" spans="1:20" ht="15" customHeight="1" x14ac:dyDescent="0.2">
      <c r="A82" s="593" t="s">
        <v>975</v>
      </c>
      <c r="B82" s="594"/>
      <c r="C82" s="594"/>
      <c r="D82" s="594"/>
      <c r="E82" s="594"/>
      <c r="F82" s="594"/>
      <c r="G82" s="594"/>
      <c r="H82" s="594"/>
      <c r="I82" s="594"/>
      <c r="J82" s="594"/>
      <c r="K82" s="595">
        <v>29</v>
      </c>
      <c r="L82" s="594"/>
      <c r="M82" s="594"/>
      <c r="N82" s="594"/>
      <c r="O82" s="594"/>
      <c r="P82" s="596">
        <v>0.92</v>
      </c>
      <c r="Q82" s="596">
        <v>9.2799999999999994</v>
      </c>
      <c r="R82" s="594"/>
      <c r="S82" s="596">
        <v>0</v>
      </c>
      <c r="T82" s="596">
        <v>0</v>
      </c>
    </row>
    <row r="83" spans="1:20" ht="15" customHeight="1" x14ac:dyDescent="0.2">
      <c r="A83" s="593" t="s">
        <v>976</v>
      </c>
      <c r="B83" s="594"/>
      <c r="C83" s="594"/>
      <c r="D83" s="594"/>
      <c r="E83" s="594"/>
      <c r="F83" s="594"/>
      <c r="G83" s="594"/>
      <c r="H83" s="594"/>
      <c r="I83" s="594"/>
      <c r="J83" s="594"/>
      <c r="K83" s="595">
        <v>178</v>
      </c>
      <c r="L83" s="594"/>
      <c r="M83" s="594"/>
      <c r="N83" s="594"/>
      <c r="O83" s="594"/>
      <c r="P83" s="596">
        <v>2.95</v>
      </c>
      <c r="Q83" s="596">
        <f>20.49+6.44</f>
        <v>26.93</v>
      </c>
      <c r="R83" s="594"/>
      <c r="S83" s="596">
        <v>0</v>
      </c>
      <c r="T83" s="596">
        <v>0</v>
      </c>
    </row>
    <row r="84" spans="1:20" ht="15" customHeight="1" x14ac:dyDescent="0.2">
      <c r="A84" s="593" t="s">
        <v>986</v>
      </c>
      <c r="B84" s="594"/>
      <c r="C84" s="594"/>
      <c r="D84" s="594"/>
      <c r="E84" s="594"/>
      <c r="F84" s="594"/>
      <c r="G84" s="594"/>
      <c r="H84" s="594"/>
      <c r="I84" s="594"/>
      <c r="J84" s="594"/>
      <c r="K84" s="595">
        <v>220</v>
      </c>
      <c r="L84" s="594"/>
      <c r="M84" s="594"/>
      <c r="N84" s="594"/>
      <c r="O84" s="594"/>
      <c r="P84" s="596">
        <v>2.77</v>
      </c>
      <c r="Q84" s="596">
        <v>23.07</v>
      </c>
      <c r="R84" s="594"/>
      <c r="S84" s="596">
        <v>0</v>
      </c>
      <c r="T84" s="596">
        <v>0</v>
      </c>
    </row>
    <row r="85" spans="1:20" ht="15" customHeight="1" x14ac:dyDescent="0.2">
      <c r="A85" s="593" t="s">
        <v>978</v>
      </c>
      <c r="B85" s="594"/>
      <c r="C85" s="594"/>
      <c r="D85" s="594"/>
      <c r="E85" s="594"/>
      <c r="F85" s="594"/>
      <c r="G85" s="594"/>
      <c r="H85" s="594"/>
      <c r="I85" s="594"/>
      <c r="J85" s="594"/>
      <c r="K85" s="595">
        <f>SUM(B85:J85)</f>
        <v>0</v>
      </c>
      <c r="L85" s="594"/>
      <c r="M85" s="594"/>
      <c r="N85" s="594"/>
      <c r="O85" s="594"/>
      <c r="P85" s="594"/>
      <c r="Q85" s="594"/>
      <c r="R85" s="594"/>
      <c r="S85" s="596">
        <v>0</v>
      </c>
      <c r="T85" s="596">
        <v>0</v>
      </c>
    </row>
    <row r="86" spans="1:20" ht="15" customHeight="1" x14ac:dyDescent="0.2">
      <c r="A86" s="591" t="s">
        <v>997</v>
      </c>
      <c r="B86" s="592">
        <f t="shared" ref="B86:Q86" si="23">SUM(B87:B90)</f>
        <v>0</v>
      </c>
      <c r="C86" s="592">
        <f t="shared" si="23"/>
        <v>0</v>
      </c>
      <c r="D86" s="592">
        <f t="shared" si="23"/>
        <v>0</v>
      </c>
      <c r="E86" s="592">
        <f t="shared" si="23"/>
        <v>0</v>
      </c>
      <c r="F86" s="592">
        <f t="shared" si="23"/>
        <v>0</v>
      </c>
      <c r="G86" s="592">
        <f t="shared" si="23"/>
        <v>0</v>
      </c>
      <c r="H86" s="592">
        <f t="shared" si="23"/>
        <v>0</v>
      </c>
      <c r="I86" s="592">
        <f t="shared" si="23"/>
        <v>0</v>
      </c>
      <c r="J86" s="592">
        <f t="shared" si="23"/>
        <v>0</v>
      </c>
      <c r="K86" s="592">
        <f t="shared" si="23"/>
        <v>723</v>
      </c>
      <c r="L86" s="592">
        <f t="shared" si="23"/>
        <v>0</v>
      </c>
      <c r="M86" s="592">
        <f t="shared" si="23"/>
        <v>0</v>
      </c>
      <c r="N86" s="592">
        <f t="shared" si="23"/>
        <v>0</v>
      </c>
      <c r="O86" s="592">
        <f t="shared" si="23"/>
        <v>0</v>
      </c>
      <c r="P86" s="592">
        <f t="shared" si="23"/>
        <v>10.370000000000001</v>
      </c>
      <c r="Q86" s="592">
        <f t="shared" si="23"/>
        <v>81.62</v>
      </c>
      <c r="R86" s="592">
        <v>30.35</v>
      </c>
      <c r="S86" s="480"/>
      <c r="T86" s="481"/>
    </row>
    <row r="87" spans="1:20" ht="15" customHeight="1" x14ac:dyDescent="0.2">
      <c r="A87" s="593" t="s">
        <v>975</v>
      </c>
      <c r="B87" s="594"/>
      <c r="C87" s="594"/>
      <c r="D87" s="594"/>
      <c r="E87" s="594"/>
      <c r="F87" s="594"/>
      <c r="G87" s="594"/>
      <c r="H87" s="594"/>
      <c r="I87" s="594"/>
      <c r="J87" s="594"/>
      <c r="K87" s="595">
        <v>295</v>
      </c>
      <c r="L87" s="594"/>
      <c r="M87" s="594"/>
      <c r="N87" s="594"/>
      <c r="O87" s="594"/>
      <c r="P87" s="596">
        <v>1.7</v>
      </c>
      <c r="Q87" s="596">
        <v>19.64</v>
      </c>
      <c r="R87" s="594"/>
      <c r="S87" s="596">
        <v>0</v>
      </c>
      <c r="T87" s="596">
        <v>0</v>
      </c>
    </row>
    <row r="88" spans="1:20" ht="15" customHeight="1" x14ac:dyDescent="0.2">
      <c r="A88" s="593" t="s">
        <v>976</v>
      </c>
      <c r="B88" s="594"/>
      <c r="C88" s="594"/>
      <c r="D88" s="594"/>
      <c r="E88" s="594"/>
      <c r="F88" s="594"/>
      <c r="G88" s="594"/>
      <c r="H88" s="594"/>
      <c r="I88" s="594"/>
      <c r="J88" s="594"/>
      <c r="K88" s="595">
        <v>200</v>
      </c>
      <c r="L88" s="594"/>
      <c r="M88" s="594"/>
      <c r="N88" s="594"/>
      <c r="O88" s="594"/>
      <c r="P88" s="596">
        <v>4.9000000000000004</v>
      </c>
      <c r="Q88" s="596">
        <f>33.09+6.7</f>
        <v>39.790000000000006</v>
      </c>
      <c r="R88" s="594"/>
      <c r="S88" s="596">
        <v>0</v>
      </c>
      <c r="T88" s="596">
        <v>0</v>
      </c>
    </row>
    <row r="89" spans="1:20" ht="15" customHeight="1" x14ac:dyDescent="0.2">
      <c r="A89" s="593" t="s">
        <v>986</v>
      </c>
      <c r="B89" s="594"/>
      <c r="C89" s="594"/>
      <c r="D89" s="594"/>
      <c r="E89" s="594"/>
      <c r="F89" s="594"/>
      <c r="G89" s="594"/>
      <c r="H89" s="594"/>
      <c r="I89" s="594"/>
      <c r="J89" s="594"/>
      <c r="K89" s="595">
        <v>228</v>
      </c>
      <c r="L89" s="594"/>
      <c r="M89" s="594"/>
      <c r="N89" s="594"/>
      <c r="O89" s="594"/>
      <c r="P89" s="596">
        <v>3.77</v>
      </c>
      <c r="Q89" s="596">
        <v>22.19</v>
      </c>
      <c r="R89" s="594"/>
      <c r="S89" s="596">
        <v>0</v>
      </c>
      <c r="T89" s="596">
        <v>0</v>
      </c>
    </row>
    <row r="90" spans="1:20" ht="15" customHeight="1" x14ac:dyDescent="0.2">
      <c r="A90" s="593" t="s">
        <v>978</v>
      </c>
      <c r="B90" s="594"/>
      <c r="C90" s="594"/>
      <c r="D90" s="594"/>
      <c r="E90" s="594"/>
      <c r="F90" s="594"/>
      <c r="G90" s="594"/>
      <c r="H90" s="594"/>
      <c r="I90" s="594"/>
      <c r="J90" s="594"/>
      <c r="K90" s="595">
        <f>SUM(B90:J90)</f>
        <v>0</v>
      </c>
      <c r="L90" s="594"/>
      <c r="M90" s="594"/>
      <c r="N90" s="594"/>
      <c r="O90" s="594"/>
      <c r="P90" s="594"/>
      <c r="Q90" s="594"/>
      <c r="R90" s="594"/>
      <c r="S90" s="596">
        <v>0</v>
      </c>
      <c r="T90" s="596">
        <v>0</v>
      </c>
    </row>
    <row r="91" spans="1:20" ht="15" customHeight="1" x14ac:dyDescent="0.2">
      <c r="A91" s="591" t="s">
        <v>998</v>
      </c>
      <c r="B91" s="592">
        <f t="shared" ref="B91:Q91" si="24">SUM(B92:B96)</f>
        <v>0</v>
      </c>
      <c r="C91" s="592">
        <f t="shared" si="24"/>
        <v>0</v>
      </c>
      <c r="D91" s="592">
        <f t="shared" si="24"/>
        <v>0</v>
      </c>
      <c r="E91" s="592">
        <f t="shared" si="24"/>
        <v>0</v>
      </c>
      <c r="F91" s="592">
        <f t="shared" si="24"/>
        <v>0</v>
      </c>
      <c r="G91" s="592">
        <f t="shared" si="24"/>
        <v>0</v>
      </c>
      <c r="H91" s="592">
        <f t="shared" si="24"/>
        <v>0</v>
      </c>
      <c r="I91" s="592">
        <f t="shared" si="24"/>
        <v>0</v>
      </c>
      <c r="J91" s="592">
        <f t="shared" si="24"/>
        <v>0</v>
      </c>
      <c r="K91" s="592">
        <f t="shared" si="24"/>
        <v>2708</v>
      </c>
      <c r="L91" s="592">
        <f t="shared" si="24"/>
        <v>0</v>
      </c>
      <c r="M91" s="592">
        <f t="shared" si="24"/>
        <v>0</v>
      </c>
      <c r="N91" s="592">
        <f t="shared" si="24"/>
        <v>0</v>
      </c>
      <c r="O91" s="592">
        <f t="shared" si="24"/>
        <v>0</v>
      </c>
      <c r="P91" s="592">
        <f t="shared" si="24"/>
        <v>22.030999999999999</v>
      </c>
      <c r="Q91" s="592">
        <f t="shared" si="24"/>
        <v>249.35</v>
      </c>
      <c r="R91" s="592">
        <v>29.56</v>
      </c>
      <c r="S91" s="592">
        <f t="shared" ref="S91:T91" si="25">SUM(S92:S96)</f>
        <v>0</v>
      </c>
      <c r="T91" s="592">
        <f t="shared" si="25"/>
        <v>0</v>
      </c>
    </row>
    <row r="92" spans="1:20" ht="15" customHeight="1" x14ac:dyDescent="0.2">
      <c r="A92" s="593" t="s">
        <v>975</v>
      </c>
      <c r="B92" s="594"/>
      <c r="C92" s="594"/>
      <c r="D92" s="594"/>
      <c r="E92" s="594"/>
      <c r="F92" s="594"/>
      <c r="G92" s="594"/>
      <c r="H92" s="594"/>
      <c r="I92" s="594"/>
      <c r="J92" s="594"/>
      <c r="K92" s="595">
        <v>357</v>
      </c>
      <c r="L92" s="594"/>
      <c r="M92" s="594"/>
      <c r="N92" s="594"/>
      <c r="O92" s="594"/>
      <c r="P92" s="596">
        <v>2.63</v>
      </c>
      <c r="Q92" s="596">
        <v>35.5</v>
      </c>
      <c r="R92" s="594"/>
      <c r="S92" s="596">
        <v>0</v>
      </c>
      <c r="T92" s="596">
        <v>0</v>
      </c>
    </row>
    <row r="93" spans="1:20" ht="15" customHeight="1" x14ac:dyDescent="0.2">
      <c r="A93" s="593" t="s">
        <v>976</v>
      </c>
      <c r="B93" s="594"/>
      <c r="C93" s="594"/>
      <c r="D93" s="594"/>
      <c r="E93" s="594"/>
      <c r="F93" s="594"/>
      <c r="G93" s="594"/>
      <c r="H93" s="594"/>
      <c r="I93" s="594"/>
      <c r="J93" s="594"/>
      <c r="K93" s="595">
        <v>0</v>
      </c>
      <c r="L93" s="594"/>
      <c r="M93" s="594"/>
      <c r="N93" s="594"/>
      <c r="O93" s="594"/>
      <c r="P93" s="594"/>
      <c r="Q93" s="596">
        <f>3.93+5.02</f>
        <v>8.9499999999999993</v>
      </c>
      <c r="R93" s="594"/>
      <c r="S93" s="596">
        <v>0</v>
      </c>
      <c r="T93" s="596">
        <v>0</v>
      </c>
    </row>
    <row r="94" spans="1:20" ht="15" customHeight="1" x14ac:dyDescent="0.2">
      <c r="A94" s="593" t="s">
        <v>986</v>
      </c>
      <c r="B94" s="594"/>
      <c r="C94" s="594"/>
      <c r="D94" s="594"/>
      <c r="E94" s="594"/>
      <c r="F94" s="594"/>
      <c r="G94" s="594"/>
      <c r="H94" s="594"/>
      <c r="I94" s="594"/>
      <c r="J94" s="594"/>
      <c r="K94" s="595">
        <v>247</v>
      </c>
      <c r="L94" s="594"/>
      <c r="M94" s="594"/>
      <c r="N94" s="594"/>
      <c r="O94" s="594"/>
      <c r="P94" s="596">
        <v>3.97</v>
      </c>
      <c r="Q94" s="596">
        <v>23.36</v>
      </c>
      <c r="R94" s="594"/>
      <c r="S94" s="596">
        <v>0</v>
      </c>
      <c r="T94" s="596">
        <v>0</v>
      </c>
    </row>
    <row r="95" spans="1:20" ht="15" customHeight="1" x14ac:dyDescent="0.2">
      <c r="A95" s="593" t="s">
        <v>981</v>
      </c>
      <c r="B95" s="594"/>
      <c r="C95" s="594"/>
      <c r="D95" s="594"/>
      <c r="E95" s="594"/>
      <c r="F95" s="594"/>
      <c r="G95" s="594"/>
      <c r="H95" s="594"/>
      <c r="I95" s="594"/>
      <c r="J95" s="594"/>
      <c r="K95" s="595">
        <v>2104</v>
      </c>
      <c r="L95" s="594"/>
      <c r="M95" s="594"/>
      <c r="N95" s="594"/>
      <c r="O95" s="594"/>
      <c r="P95" s="596">
        <v>15.430999999999999</v>
      </c>
      <c r="Q95" s="596">
        <v>181.54</v>
      </c>
      <c r="R95" s="594"/>
      <c r="S95" s="596">
        <v>0</v>
      </c>
      <c r="T95" s="596">
        <v>0</v>
      </c>
    </row>
    <row r="96" spans="1:20" ht="15" customHeight="1" thickBot="1" x14ac:dyDescent="0.25">
      <c r="A96" s="593" t="s">
        <v>978</v>
      </c>
      <c r="B96" s="594"/>
      <c r="C96" s="594"/>
      <c r="D96" s="594"/>
      <c r="E96" s="594"/>
      <c r="F96" s="594"/>
      <c r="G96" s="594"/>
      <c r="H96" s="594"/>
      <c r="I96" s="594"/>
      <c r="J96" s="594"/>
      <c r="K96" s="595">
        <f>SUM(B96:J96)</f>
        <v>0</v>
      </c>
      <c r="L96" s="594"/>
      <c r="M96" s="594"/>
      <c r="N96" s="594"/>
      <c r="O96" s="594"/>
      <c r="P96" s="594"/>
      <c r="Q96" s="594"/>
      <c r="R96" s="594"/>
      <c r="S96" s="596">
        <v>0</v>
      </c>
      <c r="T96" s="596">
        <v>0</v>
      </c>
    </row>
    <row r="97" spans="1:20" ht="15" customHeight="1" thickTop="1" thickBot="1" x14ac:dyDescent="0.25">
      <c r="A97" s="600" t="s">
        <v>59</v>
      </c>
      <c r="B97" s="369">
        <f t="shared" ref="B97:T97" si="26">B8+B13+B19+B24+B30+B36+B42+B48+B54+B59+B65+B71+B76+B81+B86+B91</f>
        <v>0</v>
      </c>
      <c r="C97" s="369">
        <f t="shared" si="26"/>
        <v>0</v>
      </c>
      <c r="D97" s="369">
        <f t="shared" si="26"/>
        <v>0</v>
      </c>
      <c r="E97" s="369">
        <f t="shared" si="26"/>
        <v>0</v>
      </c>
      <c r="F97" s="369">
        <f t="shared" si="26"/>
        <v>0</v>
      </c>
      <c r="G97" s="369">
        <f t="shared" si="26"/>
        <v>0</v>
      </c>
      <c r="H97" s="369">
        <f t="shared" si="26"/>
        <v>0</v>
      </c>
      <c r="I97" s="369">
        <f t="shared" si="26"/>
        <v>0</v>
      </c>
      <c r="J97" s="369">
        <f t="shared" si="26"/>
        <v>0</v>
      </c>
      <c r="K97" s="369">
        <f t="shared" si="26"/>
        <v>158752</v>
      </c>
      <c r="L97" s="369">
        <f t="shared" si="26"/>
        <v>0</v>
      </c>
      <c r="M97" s="369">
        <f t="shared" si="26"/>
        <v>0</v>
      </c>
      <c r="N97" s="369">
        <f t="shared" si="26"/>
        <v>0</v>
      </c>
      <c r="O97" s="369">
        <f t="shared" si="26"/>
        <v>0</v>
      </c>
      <c r="P97" s="369">
        <f t="shared" si="26"/>
        <v>1723.4729999999997</v>
      </c>
      <c r="Q97" s="369">
        <f t="shared" si="26"/>
        <v>13073.440000000004</v>
      </c>
      <c r="R97" s="369">
        <f t="shared" si="26"/>
        <v>8268.8700000000008</v>
      </c>
      <c r="S97" s="369">
        <f t="shared" si="26"/>
        <v>11651</v>
      </c>
      <c r="T97" s="369">
        <f t="shared" si="26"/>
        <v>403</v>
      </c>
    </row>
    <row r="98" spans="1:20" ht="15" customHeight="1" thickTop="1" x14ac:dyDescent="0.2">
      <c r="A98" s="601"/>
      <c r="B98" s="601"/>
      <c r="C98" s="601">
        <f>K97*14.66%</f>
        <v>23273.0432</v>
      </c>
      <c r="D98" s="601">
        <f>K97*14.38%</f>
        <v>22828.537600000003</v>
      </c>
      <c r="E98" s="601">
        <f>K97*26.37%</f>
        <v>41862.902399999999</v>
      </c>
      <c r="F98" s="601">
        <f>K97*15.41%</f>
        <v>24463.683200000003</v>
      </c>
      <c r="G98" s="601">
        <f>K97*14.58%</f>
        <v>23146.0416</v>
      </c>
      <c r="H98" s="601">
        <f>K97*12.07%</f>
        <v>19161.366399999999</v>
      </c>
      <c r="I98" s="601">
        <f>K97*2.53%</f>
        <v>4016.4256</v>
      </c>
      <c r="J98" s="601"/>
      <c r="K98" s="601"/>
      <c r="L98" s="601"/>
      <c r="M98" s="601"/>
      <c r="N98" s="601"/>
      <c r="O98" s="601"/>
      <c r="P98" s="601"/>
      <c r="Q98" s="601"/>
      <c r="R98" s="334"/>
      <c r="S98" s="334"/>
      <c r="T98" s="334"/>
    </row>
    <row r="99" spans="1:20" ht="15" customHeight="1" x14ac:dyDescent="0.2">
      <c r="I99" s="962">
        <f>SUM(C98:I98)</f>
        <v>158752</v>
      </c>
    </row>
    <row r="100" spans="1:20" ht="15" customHeight="1" x14ac:dyDescent="0.2">
      <c r="A100" t="s">
        <v>975</v>
      </c>
      <c r="J100" s="961"/>
      <c r="K100" s="961"/>
      <c r="Q100">
        <f>SUMIF($A$8:$A$96,A100,$Q$8:$Q$96)</f>
        <v>2693.4300000000003</v>
      </c>
    </row>
    <row r="101" spans="1:20" ht="15" customHeight="1" x14ac:dyDescent="0.2">
      <c r="A101" t="s">
        <v>976</v>
      </c>
      <c r="K101" s="961"/>
      <c r="Q101">
        <f>SUMIF($A$8:$A$96,A101,$Q$8:$Q$96)</f>
        <v>3311.62</v>
      </c>
    </row>
    <row r="102" spans="1:20" ht="15" customHeight="1" x14ac:dyDescent="0.2">
      <c r="A102" t="s">
        <v>986</v>
      </c>
      <c r="Q102">
        <f>SUMIF($A$8:$A$96,A102,$Q$8:$Q$96)</f>
        <v>819.11000000000024</v>
      </c>
    </row>
    <row r="103" spans="1:20" ht="15" customHeight="1" x14ac:dyDescent="0.2">
      <c r="A103" t="s">
        <v>983</v>
      </c>
      <c r="Q103">
        <f>SUMIF($A$8:$A$96,A103,$Q$8:$Q$96)</f>
        <v>5926.09</v>
      </c>
    </row>
    <row r="104" spans="1:20" ht="15" customHeight="1" x14ac:dyDescent="0.2">
      <c r="A104" t="s">
        <v>981</v>
      </c>
      <c r="Q104">
        <f>SUMIF($A$8:$A$96,A104,$Q$8:$Q$96)</f>
        <v>323.19</v>
      </c>
    </row>
    <row r="105" spans="1:20" ht="15" customHeight="1" x14ac:dyDescent="0.2">
      <c r="Q105">
        <f>SUM(Q100:Q104)</f>
        <v>13073.44</v>
      </c>
    </row>
    <row r="107" spans="1:20" ht="15" customHeight="1" x14ac:dyDescent="0.2">
      <c r="Q107" s="963"/>
    </row>
  </sheetData>
  <mergeCells count="6">
    <mergeCell ref="B15:J15"/>
    <mergeCell ref="B16:J16"/>
    <mergeCell ref="A5:T5"/>
    <mergeCell ref="A6:A7"/>
    <mergeCell ref="S6:T6"/>
    <mergeCell ref="B10:J10"/>
  </mergeCells>
  <printOptions horizontalCentered="1"/>
  <pageMargins left="0.39370078740157483" right="0" top="0.39370078740157483" bottom="0.39370078740157483" header="0" footer="0"/>
  <pageSetup paperSize="9" orientation="portrait"/>
  <headerFooter>
    <oddFooter>&amp;L&amp;F - &amp;A&amp;R&amp;P /</oddFooter>
  </headerFooter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851D6"/>
    <outlinePr summaryBelow="0"/>
    <pageSetUpPr fitToPage="1"/>
  </sheetPr>
  <dimension ref="A1:P3423"/>
  <sheetViews>
    <sheetView showGridLines="0" topLeftCell="E9" zoomScale="73" zoomScaleNormal="73" workbookViewId="0">
      <selection activeCell="H547" sqref="H547:K571"/>
    </sheetView>
  </sheetViews>
  <sheetFormatPr defaultColWidth="12.5703125" defaultRowHeight="15" customHeight="1" outlineLevelRow="1" x14ac:dyDescent="0.2"/>
  <cols>
    <col min="1" max="1" width="12.28515625" customWidth="1"/>
    <col min="2" max="2" width="78.140625" customWidth="1"/>
    <col min="3" max="3" width="8.140625" customWidth="1"/>
    <col min="4" max="6" width="11.7109375" customWidth="1"/>
    <col min="7" max="7" width="12.85546875" bestFit="1" customWidth="1"/>
    <col min="8" max="8" width="92.7109375" customWidth="1"/>
    <col min="9" max="9" width="18.140625" customWidth="1"/>
    <col min="10" max="10" width="24" customWidth="1"/>
    <col min="11" max="11" width="52.28515625" customWidth="1"/>
    <col min="12" max="15" width="11.7109375" customWidth="1"/>
  </cols>
  <sheetData>
    <row r="1" spans="1:15" ht="18" customHeight="1" x14ac:dyDescent="0.2">
      <c r="A1" s="1141" t="s">
        <v>999</v>
      </c>
      <c r="B1" s="1088"/>
      <c r="C1" s="1088"/>
      <c r="D1" s="1089"/>
      <c r="E1" s="334"/>
      <c r="F1" s="334"/>
      <c r="G1" s="334"/>
      <c r="H1" s="602"/>
      <c r="I1" s="334"/>
      <c r="J1" s="334"/>
      <c r="K1" s="334"/>
      <c r="L1" s="334"/>
      <c r="M1" s="334"/>
      <c r="N1" s="334"/>
      <c r="O1" s="334"/>
    </row>
    <row r="2" spans="1:15" ht="12.75" customHeight="1" x14ac:dyDescent="0.2">
      <c r="A2" s="603" t="s">
        <v>1000</v>
      </c>
      <c r="B2" s="604" t="s">
        <v>1001</v>
      </c>
      <c r="C2" s="605"/>
      <c r="D2" s="606"/>
      <c r="E2" s="334"/>
      <c r="F2" s="334"/>
      <c r="G2" s="334"/>
      <c r="H2" s="602"/>
      <c r="I2" s="334"/>
      <c r="J2" s="334"/>
      <c r="K2" s="334"/>
      <c r="L2" s="334"/>
      <c r="M2" s="334"/>
      <c r="N2" s="334"/>
      <c r="O2" s="334"/>
    </row>
    <row r="3" spans="1:15" ht="12.75" customHeight="1" x14ac:dyDescent="0.2">
      <c r="A3" s="603" t="s">
        <v>69</v>
      </c>
      <c r="B3" s="604" t="s">
        <v>1002</v>
      </c>
      <c r="C3" s="607"/>
      <c r="D3" s="608"/>
      <c r="E3" s="334"/>
      <c r="F3" s="334"/>
      <c r="G3" s="334"/>
      <c r="H3" s="602"/>
      <c r="I3" s="334"/>
      <c r="J3" s="334"/>
      <c r="K3" s="334"/>
      <c r="L3" s="334"/>
      <c r="M3" s="334"/>
      <c r="N3" s="334"/>
      <c r="O3" s="334"/>
    </row>
    <row r="4" spans="1:15" ht="12.75" customHeight="1" x14ac:dyDescent="0.2">
      <c r="A4" s="603" t="s">
        <v>1003</v>
      </c>
      <c r="B4" s="604" t="s">
        <v>640</v>
      </c>
      <c r="C4" s="609"/>
      <c r="D4" s="610"/>
      <c r="E4" s="334"/>
      <c r="F4" s="334"/>
      <c r="G4" s="334"/>
      <c r="H4" s="602"/>
      <c r="I4" s="334"/>
      <c r="J4" s="334"/>
      <c r="K4" s="334"/>
      <c r="L4" s="334"/>
      <c r="M4" s="334"/>
      <c r="N4" s="334"/>
      <c r="O4" s="334"/>
    </row>
    <row r="5" spans="1:15" ht="12.75" customHeight="1" x14ac:dyDescent="0.2">
      <c r="A5" s="603" t="s">
        <v>1004</v>
      </c>
      <c r="B5" s="604" t="s">
        <v>640</v>
      </c>
      <c r="C5" s="609"/>
      <c r="D5" s="610"/>
      <c r="E5" s="334"/>
      <c r="F5" s="334"/>
      <c r="G5" s="334"/>
      <c r="H5" s="602"/>
      <c r="I5" s="334"/>
      <c r="J5" s="334"/>
      <c r="K5" s="334"/>
      <c r="L5" s="334"/>
      <c r="M5" s="334"/>
      <c r="N5" s="334"/>
      <c r="O5" s="334"/>
    </row>
    <row r="6" spans="1:15" ht="12.75" customHeight="1" x14ac:dyDescent="0.2">
      <c r="A6" s="603" t="s">
        <v>1005</v>
      </c>
      <c r="B6" s="604" t="s">
        <v>640</v>
      </c>
      <c r="C6" s="609"/>
      <c r="D6" s="610"/>
      <c r="E6" s="334"/>
      <c r="F6" s="334"/>
      <c r="G6" s="334"/>
      <c r="H6" s="602"/>
      <c r="I6" s="334"/>
      <c r="J6" s="334"/>
      <c r="K6" s="334"/>
      <c r="L6" s="334"/>
      <c r="M6" s="334"/>
      <c r="N6" s="334"/>
      <c r="O6" s="334"/>
    </row>
    <row r="7" spans="1:15" ht="12.75" customHeight="1" x14ac:dyDescent="0.2">
      <c r="A7" s="603" t="s">
        <v>7</v>
      </c>
      <c r="B7" s="604" t="s">
        <v>640</v>
      </c>
      <c r="C7" s="611"/>
      <c r="D7" s="612"/>
      <c r="E7" s="334"/>
      <c r="F7" s="334"/>
      <c r="G7" s="334"/>
      <c r="H7" s="613"/>
      <c r="I7" s="334"/>
      <c r="J7" s="334"/>
      <c r="K7" s="334"/>
      <c r="L7" s="334"/>
      <c r="M7" s="334"/>
      <c r="N7" s="334"/>
      <c r="O7" s="334"/>
    </row>
    <row r="8" spans="1:15" ht="12.75" customHeight="1" x14ac:dyDescent="0.2">
      <c r="A8" s="1142"/>
      <c r="B8" s="1088"/>
      <c r="C8" s="1088"/>
      <c r="D8" s="1143"/>
      <c r="E8" s="334"/>
      <c r="F8" s="334"/>
      <c r="G8" s="334"/>
      <c r="H8" s="602"/>
      <c r="I8" s="334"/>
      <c r="J8" s="334"/>
      <c r="K8" s="334"/>
      <c r="L8" s="334"/>
      <c r="M8" s="334"/>
      <c r="N8" s="334"/>
      <c r="O8" s="334"/>
    </row>
    <row r="9" spans="1:15" ht="18" customHeight="1" x14ac:dyDescent="0.2">
      <c r="A9" s="1144" t="s">
        <v>1006</v>
      </c>
      <c r="B9" s="1098"/>
      <c r="C9" s="1098"/>
      <c r="D9" s="1145"/>
      <c r="E9" s="334"/>
      <c r="F9" s="334"/>
      <c r="G9" s="334"/>
      <c r="H9" s="602"/>
      <c r="I9" s="334"/>
      <c r="J9" s="334"/>
      <c r="K9" s="334"/>
      <c r="L9" s="334"/>
      <c r="M9" s="334"/>
      <c r="N9" s="334"/>
      <c r="O9" s="334"/>
    </row>
    <row r="10" spans="1:15" ht="21.75" customHeight="1" x14ac:dyDescent="0.2">
      <c r="A10" s="1146" t="s">
        <v>166</v>
      </c>
      <c r="B10" s="1146" t="s">
        <v>7</v>
      </c>
      <c r="C10" s="1146" t="s">
        <v>168</v>
      </c>
      <c r="D10" s="1146" t="s">
        <v>9</v>
      </c>
      <c r="E10" s="334"/>
      <c r="F10" s="334"/>
      <c r="G10" s="334"/>
      <c r="H10" s="602"/>
      <c r="I10" s="334"/>
      <c r="J10" s="334"/>
      <c r="K10" s="334"/>
      <c r="L10" s="334"/>
      <c r="M10" s="334"/>
      <c r="N10" s="334"/>
      <c r="O10" s="334"/>
    </row>
    <row r="11" spans="1:15" ht="17.25" customHeight="1" x14ac:dyDescent="0.2">
      <c r="A11" s="1082"/>
      <c r="B11" s="1082"/>
      <c r="C11" s="1082"/>
      <c r="D11" s="1082"/>
      <c r="E11" s="334"/>
      <c r="F11" s="334"/>
      <c r="G11" s="334"/>
      <c r="H11" s="602"/>
      <c r="I11" s="334"/>
      <c r="J11" s="334"/>
      <c r="K11" s="334"/>
      <c r="L11" s="334"/>
      <c r="M11" s="334"/>
      <c r="N11" s="334"/>
      <c r="O11" s="334"/>
    </row>
    <row r="12" spans="1:15" ht="12.75" customHeight="1" collapsed="1" x14ac:dyDescent="0.2">
      <c r="A12" s="614" t="s">
        <v>1007</v>
      </c>
      <c r="B12" s="615" t="s">
        <v>408</v>
      </c>
      <c r="C12" s="616"/>
      <c r="D12" s="617"/>
      <c r="E12" s="334"/>
      <c r="F12" s="334"/>
      <c r="G12" s="334"/>
      <c r="H12" s="602"/>
      <c r="I12" s="334"/>
      <c r="J12" s="334"/>
      <c r="K12" s="334"/>
      <c r="L12" s="334"/>
      <c r="M12" s="334"/>
      <c r="N12" s="334"/>
      <c r="O12" s="334"/>
    </row>
    <row r="13" spans="1:15" ht="12.75" hidden="1" customHeight="1" outlineLevel="1" x14ac:dyDescent="0.2">
      <c r="A13" s="618" t="s">
        <v>1008</v>
      </c>
      <c r="B13" s="619" t="s">
        <v>1009</v>
      </c>
      <c r="C13" s="620"/>
      <c r="D13" s="621"/>
      <c r="E13" s="622"/>
      <c r="F13" s="334"/>
      <c r="G13" s="334"/>
      <c r="H13" s="602"/>
      <c r="I13" s="334"/>
      <c r="J13" s="334"/>
      <c r="K13" s="334"/>
      <c r="L13" s="334"/>
      <c r="M13" s="334"/>
      <c r="N13" s="334"/>
      <c r="O13" s="334"/>
    </row>
    <row r="14" spans="1:15" ht="12.75" hidden="1" customHeight="1" outlineLevel="1" x14ac:dyDescent="0.2">
      <c r="A14" s="623" t="s">
        <v>1010</v>
      </c>
      <c r="B14" s="624" t="s">
        <v>1011</v>
      </c>
      <c r="C14" s="625" t="s">
        <v>100</v>
      </c>
      <c r="D14" s="626">
        <v>9.5</v>
      </c>
      <c r="E14" s="622"/>
      <c r="F14" s="334"/>
      <c r="G14" s="334"/>
      <c r="H14" s="602"/>
      <c r="I14" s="334"/>
      <c r="J14" s="334"/>
      <c r="K14" s="334"/>
      <c r="L14" s="334"/>
      <c r="M14" s="334"/>
      <c r="N14" s="334"/>
      <c r="O14" s="334"/>
    </row>
    <row r="15" spans="1:15" ht="12.75" hidden="1" customHeight="1" outlineLevel="1" x14ac:dyDescent="0.2">
      <c r="A15" s="627" t="s">
        <v>1012</v>
      </c>
      <c r="B15" s="628" t="s">
        <v>1013</v>
      </c>
      <c r="C15" s="629" t="s">
        <v>100</v>
      </c>
      <c r="D15" s="630">
        <v>141.72999999999999</v>
      </c>
      <c r="E15" s="622"/>
      <c r="F15" s="334"/>
      <c r="G15" s="334"/>
      <c r="H15" s="602"/>
      <c r="I15" s="334"/>
      <c r="J15" s="334"/>
      <c r="K15" s="334"/>
      <c r="L15" s="334"/>
      <c r="M15" s="334"/>
      <c r="N15" s="334"/>
      <c r="O15" s="334"/>
    </row>
    <row r="16" spans="1:15" ht="12.75" hidden="1" customHeight="1" outlineLevel="1" x14ac:dyDescent="0.2">
      <c r="A16" s="623" t="s">
        <v>1014</v>
      </c>
      <c r="B16" s="624" t="s">
        <v>1015</v>
      </c>
      <c r="C16" s="625" t="s">
        <v>100</v>
      </c>
      <c r="D16" s="626">
        <v>473.1</v>
      </c>
      <c r="E16" s="622"/>
      <c r="F16" s="334"/>
      <c r="G16" s="334"/>
      <c r="H16" s="631" t="s">
        <v>45</v>
      </c>
      <c r="I16" s="632" t="s">
        <v>59</v>
      </c>
      <c r="J16" s="334"/>
      <c r="K16" s="334"/>
      <c r="L16" s="334"/>
      <c r="M16" s="334"/>
      <c r="N16" s="334"/>
      <c r="O16" s="334"/>
    </row>
    <row r="17" spans="1:15" ht="12.75" hidden="1" customHeight="1" outlineLevel="1" x14ac:dyDescent="0.2">
      <c r="A17" s="618" t="s">
        <v>1016</v>
      </c>
      <c r="B17" s="619" t="s">
        <v>1017</v>
      </c>
      <c r="C17" s="620"/>
      <c r="D17" s="621"/>
      <c r="E17" s="622"/>
      <c r="F17" s="334"/>
      <c r="G17" s="334"/>
      <c r="H17" s="633" t="s">
        <v>1011</v>
      </c>
      <c r="I17" s="634">
        <f t="shared" ref="I17:I22" si="0">SUMIF($B$14:$B$4106,H17,$D$14:$D$4106)</f>
        <v>478.34999999999997</v>
      </c>
      <c r="J17" s="334"/>
      <c r="K17" s="334"/>
      <c r="L17" s="334"/>
      <c r="M17" s="334"/>
      <c r="N17" s="334"/>
      <c r="O17" s="334"/>
    </row>
    <row r="18" spans="1:15" ht="12.75" hidden="1" customHeight="1" outlineLevel="1" x14ac:dyDescent="0.2">
      <c r="A18" s="627" t="s">
        <v>1018</v>
      </c>
      <c r="B18" s="628" t="s">
        <v>1011</v>
      </c>
      <c r="C18" s="629" t="s">
        <v>100</v>
      </c>
      <c r="D18" s="630">
        <v>6.29</v>
      </c>
      <c r="E18" s="622"/>
      <c r="F18" s="334"/>
      <c r="G18" s="334"/>
      <c r="H18" s="635" t="s">
        <v>1013</v>
      </c>
      <c r="I18" s="634">
        <f t="shared" si="0"/>
        <v>3295.15</v>
      </c>
      <c r="J18" s="334"/>
      <c r="K18" s="334"/>
      <c r="L18" s="334"/>
      <c r="M18" s="334"/>
      <c r="N18" s="334"/>
      <c r="O18" s="334"/>
    </row>
    <row r="19" spans="1:15" ht="12.75" hidden="1" customHeight="1" outlineLevel="1" x14ac:dyDescent="0.2">
      <c r="A19" s="623" t="s">
        <v>1019</v>
      </c>
      <c r="B19" s="624" t="s">
        <v>1015</v>
      </c>
      <c r="C19" s="625" t="s">
        <v>100</v>
      </c>
      <c r="D19" s="626">
        <v>281.41000000000003</v>
      </c>
      <c r="E19" s="622"/>
      <c r="F19" s="334"/>
      <c r="G19" s="334"/>
      <c r="H19" s="633" t="s">
        <v>1015</v>
      </c>
      <c r="I19" s="634">
        <f t="shared" si="0"/>
        <v>2134.9900000000007</v>
      </c>
      <c r="J19" s="334"/>
      <c r="K19" s="334"/>
      <c r="L19" s="334"/>
      <c r="M19" s="334"/>
      <c r="N19" s="334"/>
      <c r="O19" s="334"/>
    </row>
    <row r="20" spans="1:15" ht="12.75" hidden="1" customHeight="1" outlineLevel="1" x14ac:dyDescent="0.2">
      <c r="A20" s="618" t="s">
        <v>1020</v>
      </c>
      <c r="B20" s="619" t="s">
        <v>1021</v>
      </c>
      <c r="C20" s="620"/>
      <c r="D20" s="621"/>
      <c r="E20" s="622"/>
      <c r="F20" s="334"/>
      <c r="G20" s="334"/>
      <c r="H20" s="633" t="s">
        <v>1022</v>
      </c>
      <c r="I20" s="634">
        <f t="shared" si="0"/>
        <v>2789.75</v>
      </c>
      <c r="J20" s="334"/>
      <c r="K20" s="334"/>
      <c r="L20" s="334"/>
      <c r="M20" s="334"/>
      <c r="N20" s="334"/>
      <c r="O20" s="334"/>
    </row>
    <row r="21" spans="1:15" ht="12.75" hidden="1" customHeight="1" outlineLevel="1" x14ac:dyDescent="0.2">
      <c r="A21" s="627" t="s">
        <v>1023</v>
      </c>
      <c r="B21" s="628" t="s">
        <v>1011</v>
      </c>
      <c r="C21" s="629" t="s">
        <v>100</v>
      </c>
      <c r="D21" s="630">
        <v>42.2</v>
      </c>
      <c r="E21" s="622"/>
      <c r="F21" s="334"/>
      <c r="G21" s="334"/>
      <c r="H21" s="633" t="s">
        <v>1024</v>
      </c>
      <c r="I21" s="634">
        <f t="shared" si="0"/>
        <v>300.05</v>
      </c>
      <c r="J21" s="334"/>
      <c r="K21" s="334"/>
      <c r="L21" s="334"/>
      <c r="M21" s="334"/>
      <c r="N21" s="334"/>
      <c r="O21" s="334"/>
    </row>
    <row r="22" spans="1:15" ht="12.75" hidden="1" customHeight="1" outlineLevel="1" x14ac:dyDescent="0.2">
      <c r="A22" s="623" t="s">
        <v>1025</v>
      </c>
      <c r="B22" s="624" t="s">
        <v>1022</v>
      </c>
      <c r="C22" s="625" t="s">
        <v>100</v>
      </c>
      <c r="D22" s="626">
        <v>297.49</v>
      </c>
      <c r="E22" s="622"/>
      <c r="F22" s="334"/>
      <c r="G22" s="334"/>
      <c r="H22" s="633" t="s">
        <v>1026</v>
      </c>
      <c r="I22" s="634">
        <f t="shared" si="0"/>
        <v>739.07</v>
      </c>
      <c r="J22" s="334"/>
      <c r="K22" s="334"/>
      <c r="L22" s="334"/>
      <c r="M22" s="334"/>
      <c r="N22" s="334"/>
      <c r="O22" s="334"/>
    </row>
    <row r="23" spans="1:15" ht="12.75" hidden="1" customHeight="1" outlineLevel="1" x14ac:dyDescent="0.2">
      <c r="A23" s="627" t="s">
        <v>1027</v>
      </c>
      <c r="B23" s="628" t="s">
        <v>1013</v>
      </c>
      <c r="C23" s="629" t="s">
        <v>100</v>
      </c>
      <c r="D23" s="630">
        <v>411.63</v>
      </c>
      <c r="E23" s="622"/>
      <c r="F23" s="334"/>
      <c r="G23" s="334"/>
      <c r="H23" s="602"/>
      <c r="I23" s="334"/>
      <c r="J23" s="334"/>
      <c r="K23" s="334"/>
      <c r="L23" s="334"/>
      <c r="M23" s="334"/>
      <c r="N23" s="334"/>
      <c r="O23" s="334"/>
    </row>
    <row r="24" spans="1:15" ht="12.75" hidden="1" customHeight="1" outlineLevel="1" x14ac:dyDescent="0.2">
      <c r="A24" s="623" t="s">
        <v>1028</v>
      </c>
      <c r="B24" s="624" t="s">
        <v>1015</v>
      </c>
      <c r="C24" s="625" t="s">
        <v>100</v>
      </c>
      <c r="D24" s="626">
        <v>110.47</v>
      </c>
      <c r="E24" s="622"/>
      <c r="F24" s="334"/>
      <c r="G24" s="334"/>
      <c r="H24" s="602"/>
      <c r="I24" s="334"/>
      <c r="J24" s="334"/>
      <c r="K24" s="334"/>
      <c r="L24" s="334"/>
      <c r="M24" s="334"/>
      <c r="N24" s="334"/>
      <c r="O24" s="334"/>
    </row>
    <row r="25" spans="1:15" ht="12.75" hidden="1" customHeight="1" outlineLevel="1" x14ac:dyDescent="0.2">
      <c r="A25" s="618" t="s">
        <v>1029</v>
      </c>
      <c r="B25" s="619" t="s">
        <v>1030</v>
      </c>
      <c r="C25" s="620"/>
      <c r="D25" s="621"/>
      <c r="E25" s="622"/>
      <c r="F25" s="334"/>
      <c r="G25" s="334"/>
      <c r="H25" s="602"/>
      <c r="I25" s="334"/>
      <c r="J25" s="334"/>
      <c r="K25" s="334"/>
      <c r="L25" s="334"/>
      <c r="M25" s="334"/>
      <c r="N25" s="334"/>
      <c r="O25" s="334"/>
    </row>
    <row r="26" spans="1:15" ht="12.75" hidden="1" customHeight="1" outlineLevel="1" x14ac:dyDescent="0.2">
      <c r="A26" s="627" t="s">
        <v>1031</v>
      </c>
      <c r="B26" s="628" t="s">
        <v>1011</v>
      </c>
      <c r="C26" s="629" t="s">
        <v>100</v>
      </c>
      <c r="D26" s="630">
        <v>50.03</v>
      </c>
      <c r="E26" s="622"/>
      <c r="F26" s="334"/>
      <c r="G26" s="334"/>
      <c r="H26" s="631" t="s">
        <v>1032</v>
      </c>
      <c r="I26" s="632" t="s">
        <v>59</v>
      </c>
      <c r="J26" s="334"/>
      <c r="K26" s="334"/>
      <c r="L26" s="334"/>
      <c r="M26" s="334"/>
      <c r="N26" s="334"/>
      <c r="O26" s="334"/>
    </row>
    <row r="27" spans="1:15" ht="12.75" hidden="1" customHeight="1" outlineLevel="1" x14ac:dyDescent="0.2">
      <c r="A27" s="623" t="s">
        <v>1033</v>
      </c>
      <c r="B27" s="624" t="s">
        <v>1022</v>
      </c>
      <c r="C27" s="625" t="s">
        <v>100</v>
      </c>
      <c r="D27" s="626">
        <v>279.08</v>
      </c>
      <c r="E27" s="622"/>
      <c r="F27" s="334"/>
      <c r="G27" s="334"/>
      <c r="H27" s="633" t="s">
        <v>1034</v>
      </c>
      <c r="I27" s="634">
        <f>SUMIF($B$14:$B$4106,H27,$D$14:$D$4106)</f>
        <v>356.40000000000003</v>
      </c>
      <c r="J27" s="334"/>
      <c r="K27" s="334"/>
      <c r="L27" s="334"/>
      <c r="M27" s="334"/>
      <c r="N27" s="334"/>
      <c r="O27" s="334"/>
    </row>
    <row r="28" spans="1:15" ht="12.75" hidden="1" customHeight="1" outlineLevel="1" x14ac:dyDescent="0.2">
      <c r="A28" s="627" t="s">
        <v>1035</v>
      </c>
      <c r="B28" s="628" t="s">
        <v>1013</v>
      </c>
      <c r="C28" s="629" t="s">
        <v>100</v>
      </c>
      <c r="D28" s="630">
        <v>286.54000000000002</v>
      </c>
      <c r="E28" s="622"/>
      <c r="F28" s="334"/>
      <c r="G28" s="334"/>
      <c r="H28" s="633" t="s">
        <v>1036</v>
      </c>
      <c r="I28" s="634">
        <f>SUMIF($B$14:$B$4106,H28,$D$14:$D$4106)</f>
        <v>4125.7300000000005</v>
      </c>
      <c r="J28" s="334"/>
      <c r="K28" s="334"/>
      <c r="L28" s="334"/>
      <c r="M28" s="334"/>
      <c r="N28" s="334"/>
      <c r="O28" s="334"/>
    </row>
    <row r="29" spans="1:15" ht="12.75" hidden="1" customHeight="1" outlineLevel="1" x14ac:dyDescent="0.2">
      <c r="A29" s="623" t="s">
        <v>1037</v>
      </c>
      <c r="B29" s="624" t="s">
        <v>1015</v>
      </c>
      <c r="C29" s="625" t="s">
        <v>100</v>
      </c>
      <c r="D29" s="626">
        <v>103.19</v>
      </c>
      <c r="E29" s="622"/>
      <c r="F29" s="334"/>
      <c r="G29" s="334"/>
      <c r="H29" s="633" t="s">
        <v>412</v>
      </c>
      <c r="I29" s="634">
        <f>SUMIF($B$14:$B$4106,H29,$D$14:$D$4106)</f>
        <v>4868.7400000000007</v>
      </c>
      <c r="J29" s="334"/>
      <c r="K29" s="334"/>
      <c r="L29" s="334"/>
      <c r="M29" s="334"/>
      <c r="N29" s="334"/>
      <c r="O29" s="334"/>
    </row>
    <row r="30" spans="1:15" ht="12.75" hidden="1" customHeight="1" outlineLevel="1" x14ac:dyDescent="0.2">
      <c r="A30" s="618" t="s">
        <v>1038</v>
      </c>
      <c r="B30" s="619" t="s">
        <v>1039</v>
      </c>
      <c r="C30" s="620"/>
      <c r="D30" s="621"/>
      <c r="E30" s="622"/>
      <c r="F30" s="334"/>
      <c r="G30" s="334"/>
      <c r="H30" s="633" t="s">
        <v>1040</v>
      </c>
      <c r="I30" s="634">
        <f>SUMIF($B$14:$B$4106,H30,$D$14:$D$4106)</f>
        <v>852.57</v>
      </c>
      <c r="J30" s="334"/>
      <c r="K30" s="334"/>
      <c r="L30" s="334"/>
      <c r="M30" s="334"/>
      <c r="N30" s="334"/>
      <c r="O30" s="334"/>
    </row>
    <row r="31" spans="1:15" ht="12.75" hidden="1" customHeight="1" outlineLevel="1" x14ac:dyDescent="0.2">
      <c r="A31" s="627" t="s">
        <v>1041</v>
      </c>
      <c r="B31" s="628" t="s">
        <v>1011</v>
      </c>
      <c r="C31" s="629" t="s">
        <v>100</v>
      </c>
      <c r="D31" s="630">
        <v>35.86</v>
      </c>
      <c r="E31" s="622"/>
      <c r="F31" s="334"/>
      <c r="G31" s="334"/>
      <c r="H31" s="633" t="s">
        <v>1042</v>
      </c>
      <c r="I31" s="634">
        <f>SUMIF($B$14:$B$4106,H31,$D$14:$D$4106)</f>
        <v>266.33999999999992</v>
      </c>
      <c r="J31" s="334"/>
      <c r="K31" s="334"/>
      <c r="L31" s="334"/>
      <c r="M31" s="334"/>
      <c r="N31" s="334"/>
      <c r="O31" s="334"/>
    </row>
    <row r="32" spans="1:15" ht="12.75" hidden="1" customHeight="1" outlineLevel="1" x14ac:dyDescent="0.2">
      <c r="A32" s="623" t="s">
        <v>1043</v>
      </c>
      <c r="B32" s="624" t="s">
        <v>1022</v>
      </c>
      <c r="C32" s="625" t="s">
        <v>100</v>
      </c>
      <c r="D32" s="626">
        <v>266.82</v>
      </c>
      <c r="E32" s="622"/>
      <c r="F32" s="334"/>
      <c r="G32" s="334"/>
      <c r="J32" s="334"/>
      <c r="K32" s="334"/>
      <c r="L32" s="334"/>
      <c r="M32" s="334"/>
      <c r="N32" s="334"/>
      <c r="O32" s="334"/>
    </row>
    <row r="33" spans="1:15" ht="12.75" hidden="1" customHeight="1" outlineLevel="1" x14ac:dyDescent="0.2">
      <c r="A33" s="627" t="s">
        <v>1044</v>
      </c>
      <c r="B33" s="628" t="s">
        <v>1013</v>
      </c>
      <c r="C33" s="629" t="s">
        <v>100</v>
      </c>
      <c r="D33" s="630">
        <v>292.31</v>
      </c>
      <c r="E33" s="622"/>
      <c r="F33" s="334"/>
      <c r="G33" s="334"/>
      <c r="H33" s="602"/>
      <c r="J33" s="334"/>
      <c r="K33" s="334"/>
      <c r="L33" s="334"/>
      <c r="M33" s="334"/>
      <c r="N33" s="334"/>
      <c r="O33" s="334"/>
    </row>
    <row r="34" spans="1:15" ht="12.75" hidden="1" customHeight="1" outlineLevel="1" x14ac:dyDescent="0.2">
      <c r="A34" s="623" t="s">
        <v>1045</v>
      </c>
      <c r="B34" s="624" t="s">
        <v>1015</v>
      </c>
      <c r="C34" s="625" t="s">
        <v>100</v>
      </c>
      <c r="D34" s="626">
        <v>103.92</v>
      </c>
      <c r="E34" s="622"/>
      <c r="F34" s="334"/>
      <c r="G34" s="334"/>
      <c r="H34" s="602"/>
      <c r="J34" s="334"/>
      <c r="K34" s="334"/>
      <c r="L34" s="334"/>
      <c r="M34" s="334"/>
      <c r="N34" s="334"/>
      <c r="O34" s="334"/>
    </row>
    <row r="35" spans="1:15" ht="12.75" hidden="1" customHeight="1" outlineLevel="1" x14ac:dyDescent="0.2">
      <c r="A35" s="618" t="s">
        <v>1046</v>
      </c>
      <c r="B35" s="619" t="s">
        <v>1047</v>
      </c>
      <c r="C35" s="620"/>
      <c r="D35" s="621"/>
      <c r="E35" s="622"/>
      <c r="F35" s="334"/>
      <c r="K35" s="334"/>
      <c r="L35" s="334"/>
      <c r="M35" s="334"/>
      <c r="N35" s="334"/>
      <c r="O35" s="334"/>
    </row>
    <row r="36" spans="1:15" ht="12.75" hidden="1" customHeight="1" outlineLevel="1" x14ac:dyDescent="0.2">
      <c r="A36" s="627" t="s">
        <v>1049</v>
      </c>
      <c r="B36" s="628" t="s">
        <v>1011</v>
      </c>
      <c r="C36" s="629" t="s">
        <v>100</v>
      </c>
      <c r="D36" s="630">
        <v>50.03</v>
      </c>
      <c r="E36" s="622"/>
      <c r="F36" s="334"/>
      <c r="K36" s="334"/>
      <c r="L36" s="334"/>
      <c r="M36" s="334"/>
      <c r="N36" s="334"/>
      <c r="O36" s="334"/>
    </row>
    <row r="37" spans="1:15" ht="12.75" hidden="1" customHeight="1" outlineLevel="1" x14ac:dyDescent="0.2">
      <c r="A37" s="623" t="s">
        <v>1051</v>
      </c>
      <c r="B37" s="624" t="s">
        <v>1022</v>
      </c>
      <c r="C37" s="625" t="s">
        <v>100</v>
      </c>
      <c r="D37" s="626">
        <v>278.95</v>
      </c>
      <c r="E37" s="622"/>
      <c r="F37" s="334"/>
      <c r="K37" s="334"/>
      <c r="L37" s="334"/>
      <c r="M37" s="334"/>
      <c r="N37" s="334"/>
      <c r="O37" s="334"/>
    </row>
    <row r="38" spans="1:15" ht="12.75" hidden="1" customHeight="1" outlineLevel="1" x14ac:dyDescent="0.2">
      <c r="A38" s="627" t="s">
        <v>1053</v>
      </c>
      <c r="B38" s="628" t="s">
        <v>1013</v>
      </c>
      <c r="C38" s="629" t="s">
        <v>100</v>
      </c>
      <c r="D38" s="630">
        <v>286.55</v>
      </c>
      <c r="E38" s="622"/>
      <c r="F38" s="334"/>
      <c r="K38" s="334"/>
      <c r="L38" s="334"/>
      <c r="M38" s="334"/>
      <c r="N38" s="334"/>
      <c r="O38" s="334"/>
    </row>
    <row r="39" spans="1:15" ht="12.75" hidden="1" customHeight="1" outlineLevel="1" x14ac:dyDescent="0.2">
      <c r="A39" s="623" t="s">
        <v>1055</v>
      </c>
      <c r="B39" s="624" t="s">
        <v>1015</v>
      </c>
      <c r="C39" s="625" t="s">
        <v>100</v>
      </c>
      <c r="D39" s="626">
        <v>103.19</v>
      </c>
      <c r="E39" s="622"/>
      <c r="F39" s="334"/>
      <c r="K39" s="334"/>
      <c r="L39" s="334"/>
      <c r="M39" s="334"/>
      <c r="N39" s="334"/>
      <c r="O39" s="334"/>
    </row>
    <row r="40" spans="1:15" ht="12.75" hidden="1" customHeight="1" outlineLevel="1" x14ac:dyDescent="0.2">
      <c r="A40" s="618" t="s">
        <v>1057</v>
      </c>
      <c r="B40" s="619" t="s">
        <v>1058</v>
      </c>
      <c r="C40" s="620"/>
      <c r="D40" s="621"/>
      <c r="E40" s="622"/>
      <c r="F40" s="334"/>
      <c r="K40" s="334"/>
      <c r="L40" s="334"/>
      <c r="M40" s="334"/>
      <c r="N40" s="334"/>
      <c r="O40" s="334"/>
    </row>
    <row r="41" spans="1:15" ht="12.75" hidden="1" customHeight="1" outlineLevel="1" x14ac:dyDescent="0.2">
      <c r="A41" s="627" t="s">
        <v>1060</v>
      </c>
      <c r="B41" s="628" t="s">
        <v>1011</v>
      </c>
      <c r="C41" s="629" t="s">
        <v>100</v>
      </c>
      <c r="D41" s="630">
        <v>50.03</v>
      </c>
      <c r="E41" s="622"/>
      <c r="F41" s="334"/>
      <c r="K41" s="334"/>
      <c r="L41" s="334"/>
      <c r="M41" s="334"/>
      <c r="N41" s="334"/>
      <c r="O41" s="334"/>
    </row>
    <row r="42" spans="1:15" ht="12.75" hidden="1" customHeight="1" outlineLevel="1" x14ac:dyDescent="0.2">
      <c r="A42" s="623" t="s">
        <v>1062</v>
      </c>
      <c r="B42" s="624" t="s">
        <v>1022</v>
      </c>
      <c r="C42" s="625" t="s">
        <v>100</v>
      </c>
      <c r="D42" s="626">
        <v>278.95</v>
      </c>
      <c r="E42" s="622"/>
      <c r="F42" s="334"/>
      <c r="K42" s="334"/>
      <c r="L42" s="334"/>
      <c r="M42" s="334"/>
      <c r="N42" s="334"/>
      <c r="O42" s="334"/>
    </row>
    <row r="43" spans="1:15" ht="12.75" hidden="1" customHeight="1" outlineLevel="1" x14ac:dyDescent="0.2">
      <c r="A43" s="627" t="s">
        <v>1064</v>
      </c>
      <c r="B43" s="628" t="s">
        <v>1013</v>
      </c>
      <c r="C43" s="629" t="s">
        <v>100</v>
      </c>
      <c r="D43" s="630">
        <v>286.55</v>
      </c>
      <c r="E43" s="622"/>
      <c r="F43" s="334"/>
      <c r="K43" s="334"/>
      <c r="L43" s="334"/>
      <c r="M43" s="334"/>
      <c r="N43" s="334"/>
      <c r="O43" s="334"/>
    </row>
    <row r="44" spans="1:15" ht="12.75" hidden="1" customHeight="1" outlineLevel="1" x14ac:dyDescent="0.2">
      <c r="A44" s="623" t="s">
        <v>1066</v>
      </c>
      <c r="B44" s="624" t="s">
        <v>1015</v>
      </c>
      <c r="C44" s="625" t="s">
        <v>100</v>
      </c>
      <c r="D44" s="626">
        <v>103.19</v>
      </c>
      <c r="E44" s="622"/>
      <c r="F44" s="334"/>
      <c r="K44" s="334"/>
      <c r="L44" s="334"/>
      <c r="M44" s="334"/>
      <c r="N44" s="334"/>
      <c r="O44" s="334"/>
    </row>
    <row r="45" spans="1:15" ht="12.75" hidden="1" customHeight="1" outlineLevel="1" x14ac:dyDescent="0.2">
      <c r="A45" s="618" t="s">
        <v>1068</v>
      </c>
      <c r="B45" s="619" t="s">
        <v>1069</v>
      </c>
      <c r="C45" s="620"/>
      <c r="D45" s="621"/>
      <c r="E45" s="622"/>
      <c r="F45" s="334"/>
      <c r="K45" s="334"/>
      <c r="L45" s="334"/>
      <c r="M45" s="334"/>
      <c r="N45" s="334"/>
      <c r="O45" s="334"/>
    </row>
    <row r="46" spans="1:15" ht="12.75" hidden="1" customHeight="1" outlineLevel="1" x14ac:dyDescent="0.2">
      <c r="A46" s="627" t="s">
        <v>1070</v>
      </c>
      <c r="B46" s="628" t="s">
        <v>1011</v>
      </c>
      <c r="C46" s="629" t="s">
        <v>100</v>
      </c>
      <c r="D46" s="630">
        <v>50.03</v>
      </c>
      <c r="E46" s="622"/>
      <c r="F46" s="334"/>
      <c r="K46" s="334"/>
      <c r="L46" s="334"/>
      <c r="M46" s="334"/>
      <c r="N46" s="334"/>
      <c r="O46" s="334"/>
    </row>
    <row r="47" spans="1:15" ht="12.75" hidden="1" customHeight="1" outlineLevel="1" x14ac:dyDescent="0.2">
      <c r="A47" s="623" t="s">
        <v>1072</v>
      </c>
      <c r="B47" s="624" t="s">
        <v>1022</v>
      </c>
      <c r="C47" s="625" t="s">
        <v>100</v>
      </c>
      <c r="D47" s="626">
        <v>278.95</v>
      </c>
      <c r="E47" s="622"/>
      <c r="F47" s="334"/>
      <c r="K47" s="334"/>
      <c r="L47" s="334"/>
      <c r="M47" s="334"/>
      <c r="N47" s="334"/>
      <c r="O47" s="334"/>
    </row>
    <row r="48" spans="1:15" ht="12.75" hidden="1" customHeight="1" outlineLevel="1" x14ac:dyDescent="0.2">
      <c r="A48" s="627" t="s">
        <v>1074</v>
      </c>
      <c r="B48" s="628" t="s">
        <v>1013</v>
      </c>
      <c r="C48" s="629" t="s">
        <v>100</v>
      </c>
      <c r="D48" s="630">
        <v>286.55</v>
      </c>
      <c r="E48" s="622"/>
      <c r="F48" s="334"/>
      <c r="K48" s="334"/>
      <c r="L48" s="334"/>
      <c r="M48" s="334"/>
      <c r="N48" s="334"/>
      <c r="O48" s="334"/>
    </row>
    <row r="49" spans="1:15" ht="12.75" hidden="1" customHeight="1" outlineLevel="1" x14ac:dyDescent="0.2">
      <c r="A49" s="623" t="s">
        <v>1076</v>
      </c>
      <c r="B49" s="624" t="s">
        <v>1015</v>
      </c>
      <c r="C49" s="625" t="s">
        <v>100</v>
      </c>
      <c r="D49" s="626">
        <v>103.19</v>
      </c>
      <c r="E49" s="622"/>
      <c r="F49" s="334"/>
      <c r="K49" s="334"/>
      <c r="L49" s="334"/>
      <c r="M49" s="334"/>
      <c r="N49" s="334"/>
      <c r="O49" s="334"/>
    </row>
    <row r="50" spans="1:15" ht="12.75" hidden="1" customHeight="1" outlineLevel="1" x14ac:dyDescent="0.2">
      <c r="A50" s="618" t="s">
        <v>1078</v>
      </c>
      <c r="B50" s="619" t="s">
        <v>1079</v>
      </c>
      <c r="C50" s="620"/>
      <c r="D50" s="621"/>
      <c r="E50" s="622"/>
      <c r="F50" s="334"/>
      <c r="K50" s="334"/>
      <c r="L50" s="334"/>
      <c r="M50" s="334"/>
      <c r="N50" s="334"/>
      <c r="O50" s="334"/>
    </row>
    <row r="51" spans="1:15" ht="12.75" hidden="1" customHeight="1" outlineLevel="1" x14ac:dyDescent="0.2">
      <c r="A51" s="627" t="s">
        <v>1081</v>
      </c>
      <c r="B51" s="628" t="s">
        <v>1011</v>
      </c>
      <c r="C51" s="629" t="s">
        <v>100</v>
      </c>
      <c r="D51" s="630">
        <v>50.03</v>
      </c>
      <c r="E51" s="622"/>
      <c r="F51" s="334"/>
      <c r="K51" s="334"/>
      <c r="L51" s="334"/>
      <c r="M51" s="334"/>
      <c r="N51" s="334"/>
      <c r="O51" s="334"/>
    </row>
    <row r="52" spans="1:15" ht="12.75" hidden="1" customHeight="1" outlineLevel="1" x14ac:dyDescent="0.2">
      <c r="A52" s="623" t="s">
        <v>1082</v>
      </c>
      <c r="B52" s="624" t="s">
        <v>1022</v>
      </c>
      <c r="C52" s="625" t="s">
        <v>100</v>
      </c>
      <c r="D52" s="626">
        <v>278.95</v>
      </c>
      <c r="E52" s="622"/>
      <c r="F52" s="334"/>
      <c r="K52" s="334"/>
      <c r="L52" s="334"/>
      <c r="M52" s="334"/>
      <c r="N52" s="334"/>
      <c r="O52" s="334"/>
    </row>
    <row r="53" spans="1:15" ht="12.75" hidden="1" customHeight="1" outlineLevel="1" x14ac:dyDescent="0.2">
      <c r="A53" s="627" t="s">
        <v>1083</v>
      </c>
      <c r="B53" s="628" t="s">
        <v>1013</v>
      </c>
      <c r="C53" s="629" t="s">
        <v>100</v>
      </c>
      <c r="D53" s="630">
        <v>286.55</v>
      </c>
      <c r="E53" s="622"/>
      <c r="F53" s="334"/>
      <c r="K53" s="334"/>
      <c r="L53" s="334"/>
      <c r="M53" s="334"/>
      <c r="N53" s="334"/>
      <c r="O53" s="334"/>
    </row>
    <row r="54" spans="1:15" ht="12.75" hidden="1" customHeight="1" outlineLevel="1" x14ac:dyDescent="0.2">
      <c r="A54" s="623" t="s">
        <v>1084</v>
      </c>
      <c r="B54" s="624" t="s">
        <v>1015</v>
      </c>
      <c r="C54" s="625" t="s">
        <v>100</v>
      </c>
      <c r="D54" s="626">
        <v>103.19</v>
      </c>
      <c r="E54" s="622"/>
      <c r="F54" s="334"/>
      <c r="K54" s="334"/>
      <c r="L54" s="334"/>
      <c r="M54" s="334"/>
      <c r="N54" s="334"/>
      <c r="O54" s="334"/>
    </row>
    <row r="55" spans="1:15" ht="12.75" hidden="1" customHeight="1" outlineLevel="1" x14ac:dyDescent="0.2">
      <c r="A55" s="618" t="s">
        <v>1085</v>
      </c>
      <c r="B55" s="619" t="s">
        <v>1086</v>
      </c>
      <c r="C55" s="620"/>
      <c r="D55" s="621"/>
      <c r="E55" s="622"/>
      <c r="F55" s="334"/>
      <c r="K55" s="334"/>
      <c r="L55" s="334"/>
      <c r="M55" s="334"/>
      <c r="N55" s="334"/>
      <c r="O55" s="334"/>
    </row>
    <row r="56" spans="1:15" ht="12.75" hidden="1" customHeight="1" outlineLevel="1" x14ac:dyDescent="0.2">
      <c r="A56" s="627" t="s">
        <v>1088</v>
      </c>
      <c r="B56" s="628" t="s">
        <v>1011</v>
      </c>
      <c r="C56" s="629" t="s">
        <v>100</v>
      </c>
      <c r="D56" s="630">
        <v>50.03</v>
      </c>
      <c r="E56" s="622"/>
      <c r="F56" s="334"/>
      <c r="K56" s="334"/>
      <c r="L56" s="334"/>
      <c r="M56" s="334"/>
      <c r="N56" s="334"/>
      <c r="O56" s="334"/>
    </row>
    <row r="57" spans="1:15" ht="12.75" hidden="1" customHeight="1" outlineLevel="1" x14ac:dyDescent="0.2">
      <c r="A57" s="623" t="s">
        <v>1090</v>
      </c>
      <c r="B57" s="624" t="s">
        <v>1022</v>
      </c>
      <c r="C57" s="625" t="s">
        <v>100</v>
      </c>
      <c r="D57" s="626">
        <v>278.95</v>
      </c>
      <c r="E57" s="622"/>
      <c r="F57" s="334"/>
      <c r="K57" s="334"/>
      <c r="L57" s="334"/>
      <c r="M57" s="334"/>
      <c r="N57" s="334"/>
      <c r="O57" s="334"/>
    </row>
    <row r="58" spans="1:15" ht="12.75" hidden="1" customHeight="1" outlineLevel="1" x14ac:dyDescent="0.2">
      <c r="A58" s="627" t="s">
        <v>1091</v>
      </c>
      <c r="B58" s="628" t="s">
        <v>1013</v>
      </c>
      <c r="C58" s="629" t="s">
        <v>100</v>
      </c>
      <c r="D58" s="630">
        <v>286.55</v>
      </c>
      <c r="E58" s="622"/>
      <c r="F58" s="334"/>
      <c r="K58" s="334"/>
      <c r="L58" s="334"/>
      <c r="M58" s="334"/>
      <c r="N58" s="334"/>
      <c r="O58" s="334"/>
    </row>
    <row r="59" spans="1:15" ht="12.75" hidden="1" customHeight="1" outlineLevel="1" x14ac:dyDescent="0.2">
      <c r="A59" s="623" t="s">
        <v>1092</v>
      </c>
      <c r="B59" s="624" t="s">
        <v>1015</v>
      </c>
      <c r="C59" s="625" t="s">
        <v>100</v>
      </c>
      <c r="D59" s="626">
        <v>103.19</v>
      </c>
      <c r="E59" s="622"/>
      <c r="F59" s="334"/>
      <c r="K59" s="334"/>
      <c r="L59" s="334"/>
      <c r="M59" s="334"/>
      <c r="N59" s="334"/>
      <c r="O59" s="334"/>
    </row>
    <row r="60" spans="1:15" ht="12.75" hidden="1" customHeight="1" outlineLevel="1" x14ac:dyDescent="0.2">
      <c r="A60" s="618" t="s">
        <v>1093</v>
      </c>
      <c r="B60" s="619" t="s">
        <v>1094</v>
      </c>
      <c r="C60" s="620"/>
      <c r="D60" s="621"/>
      <c r="E60" s="622"/>
      <c r="F60" s="334"/>
      <c r="K60" s="334"/>
      <c r="L60" s="334"/>
      <c r="M60" s="334"/>
      <c r="N60" s="334"/>
      <c r="O60" s="334"/>
    </row>
    <row r="61" spans="1:15" ht="12.75" hidden="1" customHeight="1" outlineLevel="1" x14ac:dyDescent="0.2">
      <c r="A61" s="627" t="s">
        <v>1095</v>
      </c>
      <c r="B61" s="628" t="s">
        <v>1011</v>
      </c>
      <c r="C61" s="629" t="s">
        <v>100</v>
      </c>
      <c r="D61" s="630">
        <v>50.03</v>
      </c>
      <c r="E61" s="622"/>
      <c r="F61" s="334"/>
      <c r="K61" s="334"/>
      <c r="L61" s="334"/>
      <c r="M61" s="334"/>
      <c r="N61" s="334"/>
      <c r="O61" s="334"/>
    </row>
    <row r="62" spans="1:15" ht="12.75" hidden="1" customHeight="1" outlineLevel="1" x14ac:dyDescent="0.2">
      <c r="A62" s="623" t="s">
        <v>1096</v>
      </c>
      <c r="B62" s="624" t="s">
        <v>1022</v>
      </c>
      <c r="C62" s="625" t="s">
        <v>100</v>
      </c>
      <c r="D62" s="626">
        <v>278.95</v>
      </c>
      <c r="E62" s="622"/>
      <c r="F62" s="334" t="s">
        <v>1097</v>
      </c>
      <c r="K62" s="334"/>
      <c r="L62" s="334"/>
      <c r="M62" s="334"/>
      <c r="N62" s="334"/>
      <c r="O62" s="334"/>
    </row>
    <row r="63" spans="1:15" ht="12.75" hidden="1" customHeight="1" outlineLevel="1" x14ac:dyDescent="0.2">
      <c r="A63" s="627" t="s">
        <v>1099</v>
      </c>
      <c r="B63" s="628" t="s">
        <v>1013</v>
      </c>
      <c r="C63" s="629" t="s">
        <v>100</v>
      </c>
      <c r="D63" s="630">
        <v>286.55</v>
      </c>
      <c r="E63" s="622"/>
      <c r="F63" s="334"/>
      <c r="K63" s="334"/>
      <c r="L63" s="334"/>
      <c r="M63" s="334"/>
      <c r="N63" s="334"/>
      <c r="O63" s="334"/>
    </row>
    <row r="64" spans="1:15" ht="12.75" hidden="1" customHeight="1" outlineLevel="1" x14ac:dyDescent="0.2">
      <c r="A64" s="623" t="s">
        <v>1100</v>
      </c>
      <c r="B64" s="624" t="s">
        <v>1015</v>
      </c>
      <c r="C64" s="625" t="s">
        <v>100</v>
      </c>
      <c r="D64" s="626">
        <v>103.19</v>
      </c>
      <c r="E64" s="622"/>
      <c r="F64" s="334"/>
      <c r="K64" s="334"/>
      <c r="L64" s="334"/>
      <c r="M64" s="334"/>
      <c r="N64" s="334"/>
      <c r="O64" s="334"/>
    </row>
    <row r="65" spans="1:15" ht="12.75" hidden="1" customHeight="1" outlineLevel="1" x14ac:dyDescent="0.2">
      <c r="A65" s="618" t="s">
        <v>1101</v>
      </c>
      <c r="B65" s="619" t="s">
        <v>1102</v>
      </c>
      <c r="C65" s="620"/>
      <c r="D65" s="621"/>
      <c r="E65" s="622"/>
      <c r="F65" s="334"/>
      <c r="K65" s="334"/>
      <c r="L65" s="334"/>
      <c r="M65" s="334"/>
      <c r="N65" s="334"/>
      <c r="O65" s="334"/>
    </row>
    <row r="66" spans="1:15" ht="12.75" hidden="1" customHeight="1" outlineLevel="1" x14ac:dyDescent="0.2">
      <c r="A66" s="627" t="s">
        <v>1104</v>
      </c>
      <c r="B66" s="628" t="s">
        <v>1011</v>
      </c>
      <c r="C66" s="629" t="s">
        <v>100</v>
      </c>
      <c r="D66" s="630">
        <v>13.44</v>
      </c>
      <c r="E66" s="622"/>
      <c r="F66" s="334"/>
      <c r="K66" s="334"/>
      <c r="L66" s="334"/>
      <c r="M66" s="334"/>
      <c r="N66" s="334"/>
      <c r="O66" s="334"/>
    </row>
    <row r="67" spans="1:15" ht="12.75" hidden="1" customHeight="1" outlineLevel="1" x14ac:dyDescent="0.2">
      <c r="A67" s="623" t="s">
        <v>1105</v>
      </c>
      <c r="B67" s="624" t="s">
        <v>1022</v>
      </c>
      <c r="C67" s="625" t="s">
        <v>100</v>
      </c>
      <c r="D67" s="626">
        <v>110.27</v>
      </c>
      <c r="E67" s="622"/>
      <c r="F67" s="334"/>
      <c r="K67" s="334"/>
      <c r="L67" s="334"/>
      <c r="M67" s="334"/>
      <c r="N67" s="334"/>
      <c r="O67" s="334"/>
    </row>
    <row r="68" spans="1:15" ht="12.75" hidden="1" customHeight="1" outlineLevel="1" x14ac:dyDescent="0.2">
      <c r="A68" s="627" t="s">
        <v>1107</v>
      </c>
      <c r="B68" s="628" t="s">
        <v>1013</v>
      </c>
      <c r="C68" s="629" t="s">
        <v>100</v>
      </c>
      <c r="D68" s="630">
        <v>182.41</v>
      </c>
      <c r="E68" s="622"/>
      <c r="F68" s="334"/>
      <c r="K68" s="334"/>
      <c r="L68" s="334"/>
      <c r="M68" s="334"/>
      <c r="N68" s="334"/>
      <c r="O68" s="334"/>
    </row>
    <row r="69" spans="1:15" ht="12.75" hidden="1" customHeight="1" outlineLevel="1" x14ac:dyDescent="0.2">
      <c r="A69" s="623" t="s">
        <v>1109</v>
      </c>
      <c r="B69" s="624" t="s">
        <v>1015</v>
      </c>
      <c r="C69" s="625" t="s">
        <v>100</v>
      </c>
      <c r="D69" s="626">
        <v>123.52</v>
      </c>
      <c r="E69" s="622"/>
      <c r="F69" s="334"/>
      <c r="K69" s="334"/>
      <c r="L69" s="334"/>
      <c r="M69" s="334"/>
      <c r="N69" s="334"/>
      <c r="O69" s="334"/>
    </row>
    <row r="70" spans="1:15" ht="12.75" hidden="1" customHeight="1" outlineLevel="1" x14ac:dyDescent="0.2">
      <c r="A70" s="618" t="s">
        <v>1111</v>
      </c>
      <c r="B70" s="619" t="s">
        <v>1112</v>
      </c>
      <c r="C70" s="620"/>
      <c r="D70" s="621"/>
      <c r="E70" s="622"/>
      <c r="F70" s="334"/>
      <c r="K70" s="334"/>
      <c r="L70" s="334"/>
      <c r="M70" s="334"/>
      <c r="N70" s="334"/>
      <c r="O70" s="334"/>
    </row>
    <row r="71" spans="1:15" ht="12.75" hidden="1" customHeight="1" outlineLevel="1" x14ac:dyDescent="0.2">
      <c r="A71" s="627" t="s">
        <v>1113</v>
      </c>
      <c r="B71" s="628" t="s">
        <v>1011</v>
      </c>
      <c r="C71" s="629" t="s">
        <v>100</v>
      </c>
      <c r="D71" s="630">
        <v>18.16</v>
      </c>
      <c r="E71" s="622"/>
      <c r="F71" s="334"/>
      <c r="K71" s="334"/>
      <c r="L71" s="334"/>
      <c r="M71" s="334"/>
      <c r="N71" s="334"/>
      <c r="O71" s="334"/>
    </row>
    <row r="72" spans="1:15" ht="12.75" hidden="1" customHeight="1" outlineLevel="1" x14ac:dyDescent="0.2">
      <c r="A72" s="623" t="s">
        <v>1114</v>
      </c>
      <c r="B72" s="624" t="s">
        <v>1022</v>
      </c>
      <c r="C72" s="625" t="s">
        <v>100</v>
      </c>
      <c r="D72" s="626">
        <v>156.84</v>
      </c>
      <c r="E72" s="622"/>
      <c r="F72" s="334"/>
      <c r="K72" s="334"/>
      <c r="L72" s="334"/>
      <c r="M72" s="334"/>
      <c r="N72" s="334"/>
      <c r="O72" s="334"/>
    </row>
    <row r="73" spans="1:15" ht="12.75" hidden="1" customHeight="1" outlineLevel="1" x14ac:dyDescent="0.2">
      <c r="A73" s="627" t="s">
        <v>1115</v>
      </c>
      <c r="B73" s="628" t="s">
        <v>1013</v>
      </c>
      <c r="C73" s="629" t="s">
        <v>100</v>
      </c>
      <c r="D73" s="630">
        <v>182.8</v>
      </c>
      <c r="E73" s="622"/>
      <c r="F73" s="334"/>
      <c r="K73" s="334"/>
      <c r="L73" s="334"/>
      <c r="M73" s="334"/>
      <c r="N73" s="334"/>
      <c r="O73" s="334"/>
    </row>
    <row r="74" spans="1:15" ht="12.75" hidden="1" customHeight="1" outlineLevel="1" x14ac:dyDescent="0.2">
      <c r="A74" s="623" t="s">
        <v>1117</v>
      </c>
      <c r="B74" s="624" t="s">
        <v>1015</v>
      </c>
      <c r="C74" s="625" t="s">
        <v>100</v>
      </c>
      <c r="D74" s="626">
        <v>96.59</v>
      </c>
      <c r="E74" s="622"/>
      <c r="F74" s="334"/>
      <c r="K74" s="334"/>
      <c r="L74" s="334"/>
      <c r="M74" s="334"/>
      <c r="N74" s="334"/>
      <c r="O74" s="334"/>
    </row>
    <row r="75" spans="1:15" ht="12.75" hidden="1" customHeight="1" outlineLevel="1" x14ac:dyDescent="0.2">
      <c r="A75" s="618" t="s">
        <v>1119</v>
      </c>
      <c r="B75" s="619" t="s">
        <v>1120</v>
      </c>
      <c r="C75" s="620"/>
      <c r="D75" s="621"/>
      <c r="E75" s="622"/>
      <c r="F75" s="334"/>
      <c r="K75" s="334"/>
      <c r="L75" s="334"/>
      <c r="M75" s="334"/>
      <c r="N75" s="334"/>
      <c r="O75" s="334"/>
    </row>
    <row r="76" spans="1:15" ht="12.75" hidden="1" customHeight="1" outlineLevel="1" x14ac:dyDescent="0.2">
      <c r="A76" s="627" t="s">
        <v>1122</v>
      </c>
      <c r="B76" s="628" t="s">
        <v>1011</v>
      </c>
      <c r="C76" s="629" t="s">
        <v>100</v>
      </c>
      <c r="D76" s="630">
        <v>0.89</v>
      </c>
      <c r="E76" s="622"/>
      <c r="F76" s="334"/>
      <c r="K76" s="334"/>
      <c r="L76" s="334"/>
      <c r="M76" s="334"/>
      <c r="N76" s="334"/>
      <c r="O76" s="334"/>
    </row>
    <row r="77" spans="1:15" ht="12.75" hidden="1" customHeight="1" outlineLevel="1" x14ac:dyDescent="0.2">
      <c r="A77" s="623" t="s">
        <v>1124</v>
      </c>
      <c r="B77" s="624" t="s">
        <v>1015</v>
      </c>
      <c r="C77" s="625" t="s">
        <v>100</v>
      </c>
      <c r="D77" s="626">
        <v>63.17</v>
      </c>
      <c r="E77" s="622"/>
      <c r="F77" s="334"/>
      <c r="K77" s="334"/>
      <c r="L77" s="334"/>
      <c r="M77" s="334"/>
      <c r="N77" s="334"/>
      <c r="O77" s="334"/>
    </row>
    <row r="78" spans="1:15" ht="12.75" hidden="1" customHeight="1" outlineLevel="1" x14ac:dyDescent="0.2">
      <c r="A78" s="618" t="s">
        <v>1126</v>
      </c>
      <c r="B78" s="619" t="s">
        <v>1127</v>
      </c>
      <c r="C78" s="620"/>
      <c r="D78" s="621"/>
      <c r="E78" s="622"/>
      <c r="F78" s="334"/>
      <c r="K78" s="334"/>
      <c r="L78" s="334"/>
      <c r="M78" s="334"/>
      <c r="N78" s="334"/>
      <c r="O78" s="334"/>
    </row>
    <row r="79" spans="1:15" ht="12.75" hidden="1" customHeight="1" outlineLevel="1" x14ac:dyDescent="0.2">
      <c r="A79" s="627" t="s">
        <v>1129</v>
      </c>
      <c r="B79" s="628" t="s">
        <v>1011</v>
      </c>
      <c r="C79" s="629" t="s">
        <v>100</v>
      </c>
      <c r="D79" s="630">
        <v>1.8</v>
      </c>
      <c r="E79" s="622"/>
      <c r="F79" s="334"/>
      <c r="K79" s="334"/>
      <c r="L79" s="334"/>
      <c r="M79" s="334"/>
      <c r="N79" s="334"/>
      <c r="O79" s="334"/>
    </row>
    <row r="80" spans="1:15" ht="12.75" hidden="1" customHeight="1" outlineLevel="1" x14ac:dyDescent="0.2">
      <c r="A80" s="623" t="s">
        <v>1131</v>
      </c>
      <c r="B80" s="624" t="s">
        <v>1022</v>
      </c>
      <c r="C80" s="625" t="s">
        <v>100</v>
      </c>
      <c r="D80" s="626">
        <v>5.55</v>
      </c>
      <c r="E80" s="622"/>
      <c r="F80" s="334"/>
      <c r="K80" s="334"/>
      <c r="L80" s="334"/>
      <c r="M80" s="334"/>
      <c r="N80" s="334"/>
      <c r="O80" s="334"/>
    </row>
    <row r="81" spans="1:15" ht="12.75" hidden="1" customHeight="1" outlineLevel="1" x14ac:dyDescent="0.2">
      <c r="A81" s="627" t="s">
        <v>1133</v>
      </c>
      <c r="B81" s="628" t="s">
        <v>1013</v>
      </c>
      <c r="C81" s="629" t="s">
        <v>100</v>
      </c>
      <c r="D81" s="630">
        <v>78.430000000000007</v>
      </c>
      <c r="E81" s="622"/>
      <c r="F81" s="334"/>
      <c r="K81" s="334"/>
      <c r="L81" s="334"/>
      <c r="M81" s="334"/>
      <c r="N81" s="334"/>
      <c r="O81" s="334"/>
    </row>
    <row r="82" spans="1:15" ht="12.75" hidden="1" customHeight="1" outlineLevel="1" x14ac:dyDescent="0.2">
      <c r="A82" s="623" t="s">
        <v>1135</v>
      </c>
      <c r="B82" s="624" t="s">
        <v>1015</v>
      </c>
      <c r="C82" s="625" t="s">
        <v>100</v>
      </c>
      <c r="D82" s="626">
        <v>110.56</v>
      </c>
      <c r="E82" s="622"/>
      <c r="F82" s="334"/>
      <c r="K82" s="334"/>
      <c r="L82" s="334"/>
      <c r="M82" s="334"/>
      <c r="N82" s="334"/>
      <c r="O82" s="334"/>
    </row>
    <row r="83" spans="1:15" ht="12.75" hidden="1" customHeight="1" outlineLevel="1" x14ac:dyDescent="0.2">
      <c r="A83" s="618" t="s">
        <v>1136</v>
      </c>
      <c r="B83" s="619" t="s">
        <v>1137</v>
      </c>
      <c r="C83" s="620"/>
      <c r="D83" s="621"/>
      <c r="E83" s="622"/>
      <c r="F83" s="334"/>
      <c r="K83" s="334"/>
      <c r="L83" s="334"/>
      <c r="M83" s="334"/>
      <c r="N83" s="334"/>
      <c r="O83" s="334"/>
    </row>
    <row r="84" spans="1:15" ht="12.75" hidden="1" customHeight="1" outlineLevel="1" x14ac:dyDescent="0.2">
      <c r="A84" s="627" t="s">
        <v>1138</v>
      </c>
      <c r="B84" s="628" t="s">
        <v>1015</v>
      </c>
      <c r="C84" s="629" t="s">
        <v>100</v>
      </c>
      <c r="D84" s="630">
        <v>32.79</v>
      </c>
      <c r="E84" s="622"/>
      <c r="F84" s="334"/>
      <c r="K84" s="334"/>
      <c r="L84" s="334"/>
      <c r="M84" s="334"/>
      <c r="N84" s="334"/>
      <c r="O84" s="334"/>
    </row>
    <row r="85" spans="1:15" ht="12.75" hidden="1" customHeight="1" outlineLevel="1" x14ac:dyDescent="0.2">
      <c r="A85" s="618" t="s">
        <v>1139</v>
      </c>
      <c r="B85" s="619" t="s">
        <v>1140</v>
      </c>
      <c r="C85" s="620"/>
      <c r="D85" s="621"/>
      <c r="E85" s="622"/>
      <c r="F85" s="334"/>
      <c r="K85" s="334"/>
      <c r="L85" s="334"/>
      <c r="M85" s="334"/>
      <c r="N85" s="334"/>
      <c r="O85" s="334"/>
    </row>
    <row r="86" spans="1:15" ht="12.75" hidden="1" customHeight="1" outlineLevel="1" x14ac:dyDescent="0.2">
      <c r="A86" s="623" t="s">
        <v>1142</v>
      </c>
      <c r="B86" s="624" t="s">
        <v>1015</v>
      </c>
      <c r="C86" s="625" t="s">
        <v>100</v>
      </c>
      <c r="D86" s="626">
        <v>17.13</v>
      </c>
      <c r="E86" s="622"/>
      <c r="F86" s="334"/>
      <c r="K86" s="334"/>
      <c r="L86" s="334"/>
      <c r="M86" s="334"/>
      <c r="N86" s="334"/>
      <c r="O86" s="334"/>
    </row>
    <row r="87" spans="1:15" ht="12.75" customHeight="1" collapsed="1" x14ac:dyDescent="0.2">
      <c r="A87" s="614" t="s">
        <v>1144</v>
      </c>
      <c r="B87" s="615" t="s">
        <v>1145</v>
      </c>
      <c r="C87" s="616"/>
      <c r="D87" s="617"/>
      <c r="E87" s="622"/>
      <c r="F87" s="334"/>
      <c r="K87" s="334"/>
      <c r="L87" s="334"/>
      <c r="M87" s="334"/>
      <c r="N87" s="334"/>
      <c r="O87" s="334"/>
    </row>
    <row r="88" spans="1:15" ht="12.75" hidden="1" customHeight="1" outlineLevel="1" x14ac:dyDescent="0.2">
      <c r="A88" s="618" t="s">
        <v>1147</v>
      </c>
      <c r="B88" s="619" t="s">
        <v>1009</v>
      </c>
      <c r="C88" s="620"/>
      <c r="D88" s="621"/>
      <c r="E88" s="622"/>
      <c r="F88" s="334"/>
      <c r="K88" s="334"/>
      <c r="L88" s="334"/>
      <c r="M88" s="334"/>
      <c r="N88" s="334"/>
      <c r="O88" s="334"/>
    </row>
    <row r="89" spans="1:15" ht="12.75" hidden="1" customHeight="1" outlineLevel="1" x14ac:dyDescent="0.2">
      <c r="A89" s="627" t="s">
        <v>1149</v>
      </c>
      <c r="B89" s="628" t="s">
        <v>1024</v>
      </c>
      <c r="C89" s="629" t="s">
        <v>100</v>
      </c>
      <c r="D89" s="630">
        <v>17.39</v>
      </c>
      <c r="E89" s="622"/>
      <c r="F89" s="334"/>
      <c r="K89" s="334"/>
      <c r="L89" s="334"/>
      <c r="M89" s="334"/>
      <c r="N89" s="334"/>
      <c r="O89" s="334"/>
    </row>
    <row r="90" spans="1:15" ht="12.75" hidden="1" customHeight="1" outlineLevel="1" x14ac:dyDescent="0.2">
      <c r="A90" s="623" t="s">
        <v>1151</v>
      </c>
      <c r="B90" s="624" t="s">
        <v>1026</v>
      </c>
      <c r="C90" s="625" t="s">
        <v>100</v>
      </c>
      <c r="D90" s="626">
        <v>45.03</v>
      </c>
      <c r="E90" s="622"/>
      <c r="F90" s="334"/>
      <c r="K90" s="334"/>
      <c r="L90" s="334"/>
      <c r="M90" s="334"/>
      <c r="N90" s="334"/>
      <c r="O90" s="334"/>
    </row>
    <row r="91" spans="1:15" ht="12.75" hidden="1" customHeight="1" outlineLevel="1" x14ac:dyDescent="0.2">
      <c r="A91" s="618" t="s">
        <v>1153</v>
      </c>
      <c r="B91" s="619" t="s">
        <v>1017</v>
      </c>
      <c r="C91" s="620"/>
      <c r="D91" s="621"/>
      <c r="E91" s="622"/>
      <c r="F91" s="334"/>
      <c r="K91" s="334"/>
      <c r="L91" s="334"/>
      <c r="M91" s="334"/>
      <c r="N91" s="334"/>
      <c r="O91" s="334"/>
    </row>
    <row r="92" spans="1:15" ht="12.75" hidden="1" customHeight="1" outlineLevel="1" x14ac:dyDescent="0.2">
      <c r="A92" s="627" t="s">
        <v>1155</v>
      </c>
      <c r="B92" s="628" t="s">
        <v>1024</v>
      </c>
      <c r="C92" s="629" t="s">
        <v>100</v>
      </c>
      <c r="D92" s="630">
        <v>24.93</v>
      </c>
      <c r="E92" s="622"/>
      <c r="F92" s="334"/>
      <c r="K92" s="334"/>
      <c r="L92" s="334"/>
      <c r="M92" s="334"/>
      <c r="N92" s="334"/>
      <c r="O92" s="334"/>
    </row>
    <row r="93" spans="1:15" ht="12.75" hidden="1" customHeight="1" outlineLevel="1" x14ac:dyDescent="0.2">
      <c r="A93" s="623" t="s">
        <v>1157</v>
      </c>
      <c r="B93" s="624" t="s">
        <v>1026</v>
      </c>
      <c r="C93" s="625" t="s">
        <v>100</v>
      </c>
      <c r="D93" s="626">
        <v>66.739999999999995</v>
      </c>
      <c r="E93" s="622"/>
      <c r="F93" s="334"/>
      <c r="K93" s="334"/>
      <c r="L93" s="334"/>
      <c r="M93" s="334"/>
      <c r="N93" s="334"/>
      <c r="O93" s="334"/>
    </row>
    <row r="94" spans="1:15" ht="12.75" hidden="1" customHeight="1" outlineLevel="1" x14ac:dyDescent="0.2">
      <c r="A94" s="618" t="s">
        <v>1159</v>
      </c>
      <c r="B94" s="619" t="s">
        <v>1021</v>
      </c>
      <c r="C94" s="620"/>
      <c r="D94" s="621"/>
      <c r="E94" s="622"/>
      <c r="F94" s="334"/>
      <c r="K94" s="334"/>
      <c r="L94" s="334"/>
      <c r="M94" s="334"/>
      <c r="N94" s="334"/>
      <c r="O94" s="334"/>
    </row>
    <row r="95" spans="1:15" ht="12.75" hidden="1" customHeight="1" outlineLevel="1" x14ac:dyDescent="0.2">
      <c r="A95" s="627" t="s">
        <v>1161</v>
      </c>
      <c r="B95" s="628" t="s">
        <v>1024</v>
      </c>
      <c r="C95" s="629" t="s">
        <v>100</v>
      </c>
      <c r="D95" s="630">
        <v>19.8</v>
      </c>
      <c r="E95" s="622"/>
      <c r="F95" s="334"/>
      <c r="K95" s="334"/>
      <c r="L95" s="334"/>
      <c r="M95" s="334"/>
      <c r="N95" s="334"/>
      <c r="O95" s="334"/>
    </row>
    <row r="96" spans="1:15" ht="12.75" hidden="1" customHeight="1" outlineLevel="1" x14ac:dyDescent="0.2">
      <c r="A96" s="623" t="s">
        <v>1163</v>
      </c>
      <c r="B96" s="624" t="s">
        <v>1026</v>
      </c>
      <c r="C96" s="625" t="s">
        <v>100</v>
      </c>
      <c r="D96" s="626">
        <v>52.78</v>
      </c>
      <c r="E96" s="622"/>
      <c r="F96" s="334"/>
      <c r="K96" s="334"/>
      <c r="L96" s="334"/>
      <c r="M96" s="334"/>
      <c r="N96" s="334"/>
      <c r="O96" s="334"/>
    </row>
    <row r="97" spans="1:15" ht="12.75" hidden="1" customHeight="1" outlineLevel="1" x14ac:dyDescent="0.2">
      <c r="A97" s="618" t="s">
        <v>1165</v>
      </c>
      <c r="B97" s="619" t="s">
        <v>1030</v>
      </c>
      <c r="C97" s="620"/>
      <c r="D97" s="621"/>
      <c r="E97" s="622"/>
      <c r="F97" s="334"/>
      <c r="K97" s="334"/>
      <c r="L97" s="334"/>
      <c r="M97" s="334"/>
      <c r="N97" s="334"/>
      <c r="O97" s="334"/>
    </row>
    <row r="98" spans="1:15" ht="12.75" hidden="1" customHeight="1" outlineLevel="1" x14ac:dyDescent="0.2">
      <c r="A98" s="627" t="s">
        <v>1167</v>
      </c>
      <c r="B98" s="628" t="s">
        <v>1024</v>
      </c>
      <c r="C98" s="629" t="s">
        <v>100</v>
      </c>
      <c r="D98" s="630">
        <v>20.28</v>
      </c>
      <c r="E98" s="622"/>
      <c r="F98" s="334"/>
      <c r="K98" s="334"/>
      <c r="L98" s="334"/>
      <c r="M98" s="334"/>
      <c r="N98" s="334"/>
      <c r="O98" s="334"/>
    </row>
    <row r="99" spans="1:15" ht="12.75" hidden="1" customHeight="1" outlineLevel="1" x14ac:dyDescent="0.2">
      <c r="A99" s="623" t="s">
        <v>1169</v>
      </c>
      <c r="B99" s="624" t="s">
        <v>1026</v>
      </c>
      <c r="C99" s="625" t="s">
        <v>100</v>
      </c>
      <c r="D99" s="626">
        <v>52.51</v>
      </c>
      <c r="E99" s="622"/>
      <c r="F99" s="334"/>
      <c r="K99" s="334"/>
      <c r="L99" s="334"/>
      <c r="M99" s="334"/>
      <c r="N99" s="334"/>
      <c r="O99" s="334"/>
    </row>
    <row r="100" spans="1:15" ht="12.75" hidden="1" customHeight="1" outlineLevel="1" x14ac:dyDescent="0.2">
      <c r="A100" s="618" t="s">
        <v>1171</v>
      </c>
      <c r="B100" s="619" t="s">
        <v>1039</v>
      </c>
      <c r="C100" s="620"/>
      <c r="D100" s="621"/>
      <c r="E100" s="622"/>
      <c r="F100" s="334"/>
      <c r="K100" s="334"/>
      <c r="L100" s="334"/>
      <c r="M100" s="334"/>
      <c r="N100" s="334"/>
      <c r="O100" s="334"/>
    </row>
    <row r="101" spans="1:15" ht="12.75" hidden="1" customHeight="1" outlineLevel="1" x14ac:dyDescent="0.2">
      <c r="A101" s="627" t="s">
        <v>1172</v>
      </c>
      <c r="B101" s="628" t="s">
        <v>1024</v>
      </c>
      <c r="C101" s="629" t="s">
        <v>100</v>
      </c>
      <c r="D101" s="630">
        <v>20.27</v>
      </c>
      <c r="E101" s="622"/>
      <c r="F101" s="334"/>
      <c r="K101" s="334"/>
      <c r="L101" s="334"/>
      <c r="M101" s="334"/>
      <c r="N101" s="334"/>
      <c r="O101" s="334"/>
    </row>
    <row r="102" spans="1:15" ht="12.75" hidden="1" customHeight="1" outlineLevel="1" x14ac:dyDescent="0.2">
      <c r="A102" s="623" t="s">
        <v>1173</v>
      </c>
      <c r="B102" s="624" t="s">
        <v>1026</v>
      </c>
      <c r="C102" s="625" t="s">
        <v>100</v>
      </c>
      <c r="D102" s="626">
        <v>52.66</v>
      </c>
      <c r="E102" s="622"/>
      <c r="F102" s="334"/>
      <c r="K102" s="334"/>
      <c r="L102" s="334"/>
      <c r="M102" s="334"/>
      <c r="N102" s="334"/>
      <c r="O102" s="334"/>
    </row>
    <row r="103" spans="1:15" ht="12.75" hidden="1" customHeight="1" outlineLevel="1" x14ac:dyDescent="0.2">
      <c r="A103" s="618" t="s">
        <v>1174</v>
      </c>
      <c r="B103" s="619" t="s">
        <v>1047</v>
      </c>
      <c r="C103" s="620"/>
      <c r="D103" s="621"/>
      <c r="E103" s="622"/>
      <c r="F103" s="334"/>
      <c r="K103" s="334"/>
      <c r="L103" s="334"/>
      <c r="M103" s="334"/>
      <c r="N103" s="334"/>
      <c r="O103" s="334"/>
    </row>
    <row r="104" spans="1:15" ht="12.75" hidden="1" customHeight="1" outlineLevel="1" x14ac:dyDescent="0.2">
      <c r="A104" s="627" t="s">
        <v>1175</v>
      </c>
      <c r="B104" s="628" t="s">
        <v>1024</v>
      </c>
      <c r="C104" s="629" t="s">
        <v>100</v>
      </c>
      <c r="D104" s="630">
        <v>20.28</v>
      </c>
      <c r="E104" s="622"/>
      <c r="F104" s="334"/>
      <c r="K104" s="334"/>
      <c r="L104" s="334"/>
      <c r="M104" s="334"/>
      <c r="N104" s="334"/>
      <c r="O104" s="334"/>
    </row>
    <row r="105" spans="1:15" ht="12.75" hidden="1" customHeight="1" outlineLevel="1" x14ac:dyDescent="0.2">
      <c r="A105" s="623" t="s">
        <v>1177</v>
      </c>
      <c r="B105" s="624" t="s">
        <v>1026</v>
      </c>
      <c r="C105" s="625" t="s">
        <v>100</v>
      </c>
      <c r="D105" s="626">
        <v>52.51</v>
      </c>
      <c r="E105" s="622"/>
      <c r="F105" s="334"/>
      <c r="K105" s="334"/>
      <c r="L105" s="334"/>
      <c r="M105" s="334"/>
      <c r="N105" s="334"/>
      <c r="O105" s="334"/>
    </row>
    <row r="106" spans="1:15" ht="12.75" hidden="1" customHeight="1" outlineLevel="1" x14ac:dyDescent="0.2">
      <c r="A106" s="618" t="s">
        <v>1179</v>
      </c>
      <c r="B106" s="619" t="s">
        <v>1058</v>
      </c>
      <c r="C106" s="620"/>
      <c r="D106" s="621"/>
      <c r="E106" s="622"/>
      <c r="F106" s="334"/>
      <c r="K106" s="334"/>
      <c r="L106" s="334"/>
      <c r="M106" s="334"/>
      <c r="N106" s="334"/>
      <c r="O106" s="334"/>
    </row>
    <row r="107" spans="1:15" ht="12.75" hidden="1" customHeight="1" outlineLevel="1" x14ac:dyDescent="0.2">
      <c r="A107" s="627" t="s">
        <v>1182</v>
      </c>
      <c r="B107" s="628" t="s">
        <v>1024</v>
      </c>
      <c r="C107" s="629" t="s">
        <v>100</v>
      </c>
      <c r="D107" s="630">
        <v>20.28</v>
      </c>
      <c r="E107" s="622"/>
      <c r="F107" s="334"/>
      <c r="K107" s="334"/>
      <c r="L107" s="334"/>
      <c r="M107" s="334"/>
      <c r="N107" s="334"/>
      <c r="O107" s="334"/>
    </row>
    <row r="108" spans="1:15" ht="12.75" hidden="1" customHeight="1" outlineLevel="1" x14ac:dyDescent="0.2">
      <c r="A108" s="623" t="s">
        <v>1184</v>
      </c>
      <c r="B108" s="624" t="s">
        <v>1026</v>
      </c>
      <c r="C108" s="625" t="s">
        <v>100</v>
      </c>
      <c r="D108" s="626">
        <v>52.51</v>
      </c>
      <c r="E108" s="622"/>
      <c r="F108" s="334"/>
      <c r="K108" s="334"/>
      <c r="L108" s="334"/>
      <c r="M108" s="334"/>
      <c r="N108" s="334"/>
      <c r="O108" s="334"/>
    </row>
    <row r="109" spans="1:15" ht="12.75" hidden="1" customHeight="1" outlineLevel="1" x14ac:dyDescent="0.2">
      <c r="A109" s="618" t="s">
        <v>1186</v>
      </c>
      <c r="B109" s="619" t="s">
        <v>1069</v>
      </c>
      <c r="C109" s="620"/>
      <c r="D109" s="621"/>
      <c r="E109" s="622"/>
      <c r="F109" s="334"/>
      <c r="K109" s="334"/>
      <c r="L109" s="334"/>
      <c r="M109" s="334"/>
      <c r="N109" s="334"/>
      <c r="O109" s="334"/>
    </row>
    <row r="110" spans="1:15" ht="12.75" hidden="1" customHeight="1" outlineLevel="1" x14ac:dyDescent="0.2">
      <c r="A110" s="627" t="s">
        <v>1188</v>
      </c>
      <c r="B110" s="628" t="s">
        <v>1024</v>
      </c>
      <c r="C110" s="629" t="s">
        <v>100</v>
      </c>
      <c r="D110" s="630">
        <v>20.28</v>
      </c>
      <c r="E110" s="622"/>
      <c r="F110" s="334"/>
      <c r="M110" s="334"/>
      <c r="N110" s="334"/>
      <c r="O110" s="334"/>
    </row>
    <row r="111" spans="1:15" ht="12.75" hidden="1" customHeight="1" outlineLevel="1" x14ac:dyDescent="0.2">
      <c r="A111" s="623" t="s">
        <v>1190</v>
      </c>
      <c r="B111" s="624" t="s">
        <v>1026</v>
      </c>
      <c r="C111" s="625" t="s">
        <v>100</v>
      </c>
      <c r="D111" s="626">
        <v>52.51</v>
      </c>
      <c r="E111" s="622"/>
      <c r="F111" s="334"/>
      <c r="M111" s="334"/>
      <c r="N111" s="334"/>
      <c r="O111" s="334"/>
    </row>
    <row r="112" spans="1:15" ht="12.75" hidden="1" customHeight="1" outlineLevel="1" x14ac:dyDescent="0.2">
      <c r="A112" s="618" t="s">
        <v>1192</v>
      </c>
      <c r="B112" s="619" t="s">
        <v>1079</v>
      </c>
      <c r="C112" s="620"/>
      <c r="D112" s="621"/>
      <c r="E112" s="622"/>
      <c r="F112" s="334"/>
      <c r="M112" s="334"/>
      <c r="N112" s="334"/>
      <c r="O112" s="334"/>
    </row>
    <row r="113" spans="1:15" ht="12.75" hidden="1" customHeight="1" outlineLevel="1" x14ac:dyDescent="0.2">
      <c r="A113" s="627" t="s">
        <v>1194</v>
      </c>
      <c r="B113" s="628" t="s">
        <v>1024</v>
      </c>
      <c r="C113" s="629" t="s">
        <v>100</v>
      </c>
      <c r="D113" s="630">
        <v>20.28</v>
      </c>
      <c r="E113" s="622"/>
      <c r="F113" s="334"/>
      <c r="M113" s="334"/>
      <c r="N113" s="334"/>
      <c r="O113" s="334"/>
    </row>
    <row r="114" spans="1:15" ht="12.75" hidden="1" customHeight="1" outlineLevel="1" x14ac:dyDescent="0.2">
      <c r="A114" s="623" t="s">
        <v>1196</v>
      </c>
      <c r="B114" s="624" t="s">
        <v>1026</v>
      </c>
      <c r="C114" s="625" t="s">
        <v>100</v>
      </c>
      <c r="D114" s="626">
        <v>52.51</v>
      </c>
      <c r="E114" s="622"/>
      <c r="F114" s="334"/>
      <c r="K114" s="334"/>
      <c r="L114" s="334"/>
      <c r="M114" s="334"/>
      <c r="N114" s="334"/>
      <c r="O114" s="334"/>
    </row>
    <row r="115" spans="1:15" ht="12.75" hidden="1" customHeight="1" outlineLevel="1" x14ac:dyDescent="0.2">
      <c r="A115" s="618" t="s">
        <v>1198</v>
      </c>
      <c r="B115" s="619" t="s">
        <v>1086</v>
      </c>
      <c r="C115" s="620"/>
      <c r="D115" s="621"/>
      <c r="E115" s="622"/>
      <c r="F115" s="334"/>
      <c r="K115" s="334"/>
      <c r="L115" s="334"/>
      <c r="M115" s="334"/>
      <c r="N115" s="334"/>
      <c r="O115" s="334"/>
    </row>
    <row r="116" spans="1:15" ht="12.75" hidden="1" customHeight="1" outlineLevel="1" x14ac:dyDescent="0.2">
      <c r="A116" s="627" t="s">
        <v>1200</v>
      </c>
      <c r="B116" s="628" t="s">
        <v>1024</v>
      </c>
      <c r="C116" s="629" t="s">
        <v>100</v>
      </c>
      <c r="D116" s="630">
        <v>20.28</v>
      </c>
      <c r="E116" s="622"/>
      <c r="F116" s="334"/>
      <c r="K116" s="334"/>
      <c r="L116" s="334"/>
      <c r="M116" s="334"/>
      <c r="N116" s="334"/>
      <c r="O116" s="334"/>
    </row>
    <row r="117" spans="1:15" ht="12.75" hidden="1" customHeight="1" outlineLevel="1" x14ac:dyDescent="0.2">
      <c r="A117" s="623" t="s">
        <v>1202</v>
      </c>
      <c r="B117" s="624" t="s">
        <v>1026</v>
      </c>
      <c r="C117" s="625" t="s">
        <v>100</v>
      </c>
      <c r="D117" s="626">
        <v>52.51</v>
      </c>
      <c r="E117" s="622"/>
      <c r="F117" s="334"/>
      <c r="K117" s="334"/>
      <c r="L117" s="334"/>
      <c r="M117" s="334"/>
      <c r="N117" s="334"/>
      <c r="O117" s="334"/>
    </row>
    <row r="118" spans="1:15" ht="12.75" hidden="1" customHeight="1" outlineLevel="1" x14ac:dyDescent="0.2">
      <c r="A118" s="618" t="s">
        <v>1204</v>
      </c>
      <c r="B118" s="619" t="s">
        <v>1094</v>
      </c>
      <c r="C118" s="620"/>
      <c r="D118" s="621"/>
      <c r="E118" s="622"/>
      <c r="F118" s="334"/>
      <c r="K118" s="334"/>
      <c r="L118" s="334"/>
      <c r="M118" s="334"/>
      <c r="N118" s="334"/>
      <c r="O118" s="334"/>
    </row>
    <row r="119" spans="1:15" ht="12.75" hidden="1" customHeight="1" outlineLevel="1" x14ac:dyDescent="0.2">
      <c r="A119" s="627" t="s">
        <v>1206</v>
      </c>
      <c r="B119" s="628" t="s">
        <v>1024</v>
      </c>
      <c r="C119" s="629" t="s">
        <v>100</v>
      </c>
      <c r="D119" s="630">
        <v>20.28</v>
      </c>
      <c r="E119" s="622"/>
      <c r="F119" s="334"/>
      <c r="K119" s="334"/>
      <c r="L119" s="334"/>
      <c r="M119" s="334"/>
      <c r="N119" s="334"/>
      <c r="O119" s="334"/>
    </row>
    <row r="120" spans="1:15" ht="12.75" hidden="1" customHeight="1" outlineLevel="1" x14ac:dyDescent="0.2">
      <c r="A120" s="623" t="s">
        <v>1208</v>
      </c>
      <c r="B120" s="624" t="s">
        <v>1026</v>
      </c>
      <c r="C120" s="625" t="s">
        <v>100</v>
      </c>
      <c r="D120" s="626">
        <v>52.51</v>
      </c>
      <c r="E120" s="622"/>
      <c r="F120" s="334"/>
      <c r="K120" s="334"/>
      <c r="L120" s="334"/>
      <c r="M120" s="334"/>
      <c r="N120" s="334"/>
      <c r="O120" s="334"/>
    </row>
    <row r="121" spans="1:15" ht="12.75" hidden="1" customHeight="1" outlineLevel="1" x14ac:dyDescent="0.2">
      <c r="A121" s="618" t="s">
        <v>1210</v>
      </c>
      <c r="B121" s="619" t="s">
        <v>1102</v>
      </c>
      <c r="C121" s="620"/>
      <c r="D121" s="621"/>
      <c r="E121" s="622"/>
      <c r="F121" s="334"/>
      <c r="K121" s="334"/>
      <c r="L121" s="334"/>
      <c r="M121" s="334"/>
      <c r="N121" s="334"/>
      <c r="O121" s="334"/>
    </row>
    <row r="122" spans="1:15" ht="12.75" hidden="1" customHeight="1" outlineLevel="1" x14ac:dyDescent="0.2">
      <c r="A122" s="627" t="s">
        <v>1212</v>
      </c>
      <c r="B122" s="628" t="s">
        <v>1024</v>
      </c>
      <c r="C122" s="629" t="s">
        <v>100</v>
      </c>
      <c r="D122" s="630">
        <v>17</v>
      </c>
      <c r="E122" s="622"/>
      <c r="F122" s="334"/>
      <c r="K122" s="334"/>
      <c r="L122" s="334"/>
      <c r="M122" s="334"/>
      <c r="N122" s="334"/>
      <c r="O122" s="334"/>
    </row>
    <row r="123" spans="1:15" ht="12.75" hidden="1" customHeight="1" outlineLevel="1" x14ac:dyDescent="0.2">
      <c r="A123" s="623" t="s">
        <v>1214</v>
      </c>
      <c r="B123" s="624" t="s">
        <v>1026</v>
      </c>
      <c r="C123" s="625" t="s">
        <v>100</v>
      </c>
      <c r="D123" s="626">
        <v>47.5</v>
      </c>
      <c r="E123" s="622"/>
      <c r="F123" s="334"/>
      <c r="K123" s="334"/>
      <c r="L123" s="334"/>
      <c r="M123" s="334"/>
      <c r="N123" s="334"/>
      <c r="O123" s="334"/>
    </row>
    <row r="124" spans="1:15" ht="12.75" hidden="1" customHeight="1" outlineLevel="1" x14ac:dyDescent="0.2">
      <c r="A124" s="618" t="s">
        <v>1216</v>
      </c>
      <c r="B124" s="619" t="s">
        <v>1112</v>
      </c>
      <c r="C124" s="620"/>
      <c r="D124" s="621"/>
      <c r="E124" s="622"/>
      <c r="F124" s="334"/>
      <c r="K124" s="334"/>
      <c r="L124" s="334"/>
      <c r="M124" s="334"/>
      <c r="N124" s="334"/>
      <c r="O124" s="334"/>
    </row>
    <row r="125" spans="1:15" ht="12.75" hidden="1" customHeight="1" outlineLevel="1" x14ac:dyDescent="0.2">
      <c r="A125" s="627" t="s">
        <v>1218</v>
      </c>
      <c r="B125" s="628" t="s">
        <v>1024</v>
      </c>
      <c r="C125" s="629" t="s">
        <v>100</v>
      </c>
      <c r="D125" s="630">
        <v>27.96</v>
      </c>
      <c r="E125" s="622"/>
      <c r="F125" s="334"/>
      <c r="M125" s="334"/>
      <c r="N125" s="334"/>
      <c r="O125" s="334"/>
    </row>
    <row r="126" spans="1:15" ht="12.75" hidden="1" customHeight="1" outlineLevel="1" x14ac:dyDescent="0.2">
      <c r="A126" s="623" t="s">
        <v>1220</v>
      </c>
      <c r="B126" s="624" t="s">
        <v>1026</v>
      </c>
      <c r="C126" s="625" t="s">
        <v>100</v>
      </c>
      <c r="D126" s="626">
        <v>37.67</v>
      </c>
      <c r="E126" s="622"/>
      <c r="F126" s="334"/>
      <c r="M126" s="334"/>
      <c r="N126" s="334"/>
      <c r="O126" s="334"/>
    </row>
    <row r="127" spans="1:15" ht="12.75" hidden="1" customHeight="1" outlineLevel="1" x14ac:dyDescent="0.2">
      <c r="A127" s="618" t="s">
        <v>1222</v>
      </c>
      <c r="B127" s="619" t="s">
        <v>1120</v>
      </c>
      <c r="C127" s="620"/>
      <c r="D127" s="621"/>
      <c r="E127" s="622"/>
      <c r="F127" s="334"/>
      <c r="M127" s="334"/>
      <c r="N127" s="334"/>
      <c r="O127" s="334"/>
    </row>
    <row r="128" spans="1:15" ht="12.75" hidden="1" customHeight="1" outlineLevel="1" x14ac:dyDescent="0.2">
      <c r="A128" s="627" t="s">
        <v>1224</v>
      </c>
      <c r="B128" s="628" t="s">
        <v>1024</v>
      </c>
      <c r="C128" s="629" t="s">
        <v>100</v>
      </c>
      <c r="D128" s="630">
        <v>7.1</v>
      </c>
      <c r="E128" s="622"/>
      <c r="F128" s="334"/>
      <c r="M128" s="334"/>
      <c r="N128" s="334"/>
      <c r="O128" s="334"/>
    </row>
    <row r="129" spans="1:15" ht="12.75" hidden="1" customHeight="1" outlineLevel="1" x14ac:dyDescent="0.2">
      <c r="A129" s="623" t="s">
        <v>1226</v>
      </c>
      <c r="B129" s="624" t="s">
        <v>1026</v>
      </c>
      <c r="C129" s="625" t="s">
        <v>100</v>
      </c>
      <c r="D129" s="626">
        <v>0.82</v>
      </c>
      <c r="E129" s="622"/>
      <c r="F129" s="334"/>
      <c r="M129" s="334"/>
      <c r="N129" s="334"/>
      <c r="O129" s="334"/>
    </row>
    <row r="130" spans="1:15" ht="12.75" hidden="1" customHeight="1" outlineLevel="1" x14ac:dyDescent="0.2">
      <c r="A130" s="618" t="s">
        <v>1228</v>
      </c>
      <c r="B130" s="619" t="s">
        <v>1127</v>
      </c>
      <c r="C130" s="620"/>
      <c r="D130" s="621"/>
      <c r="E130" s="622"/>
      <c r="F130" s="334"/>
      <c r="M130" s="334"/>
      <c r="N130" s="334"/>
      <c r="O130" s="334"/>
    </row>
    <row r="131" spans="1:15" ht="12.75" hidden="1" customHeight="1" outlineLevel="1" x14ac:dyDescent="0.2">
      <c r="A131" s="627" t="s">
        <v>1230</v>
      </c>
      <c r="B131" s="628" t="s">
        <v>1024</v>
      </c>
      <c r="C131" s="629" t="s">
        <v>100</v>
      </c>
      <c r="D131" s="630">
        <v>18.89</v>
      </c>
      <c r="E131" s="622"/>
      <c r="F131" s="334"/>
      <c r="M131" s="334"/>
      <c r="N131" s="334"/>
      <c r="O131" s="334"/>
    </row>
    <row r="132" spans="1:15" ht="12.75" hidden="1" customHeight="1" outlineLevel="1" x14ac:dyDescent="0.2">
      <c r="A132" s="623" t="s">
        <v>1232</v>
      </c>
      <c r="B132" s="624" t="s">
        <v>1026</v>
      </c>
      <c r="C132" s="625" t="s">
        <v>100</v>
      </c>
      <c r="D132" s="626">
        <v>47.61</v>
      </c>
      <c r="E132" s="622"/>
      <c r="F132" s="334"/>
      <c r="M132" s="334"/>
      <c r="N132" s="334"/>
      <c r="O132" s="334"/>
    </row>
    <row r="133" spans="1:15" ht="12.75" hidden="1" customHeight="1" outlineLevel="1" x14ac:dyDescent="0.2">
      <c r="A133" s="618" t="s">
        <v>1234</v>
      </c>
      <c r="B133" s="619" t="s">
        <v>1137</v>
      </c>
      <c r="C133" s="620"/>
      <c r="D133" s="621"/>
      <c r="E133" s="622"/>
      <c r="F133" s="334"/>
      <c r="M133" s="334"/>
      <c r="N133" s="334"/>
      <c r="O133" s="334"/>
    </row>
    <row r="134" spans="1:15" ht="12.75" hidden="1" customHeight="1" outlineLevel="1" x14ac:dyDescent="0.2">
      <c r="A134" s="627" t="s">
        <v>1236</v>
      </c>
      <c r="B134" s="628" t="s">
        <v>1024</v>
      </c>
      <c r="C134" s="629" t="s">
        <v>100</v>
      </c>
      <c r="D134" s="630">
        <v>4.75</v>
      </c>
      <c r="E134" s="622"/>
      <c r="F134" s="334"/>
      <c r="M134" s="334"/>
      <c r="N134" s="334"/>
      <c r="O134" s="334"/>
    </row>
    <row r="135" spans="1:15" ht="12.75" hidden="1" customHeight="1" outlineLevel="1" x14ac:dyDescent="0.2">
      <c r="A135" s="623" t="s">
        <v>1238</v>
      </c>
      <c r="B135" s="624" t="s">
        <v>1026</v>
      </c>
      <c r="C135" s="625" t="s">
        <v>100</v>
      </c>
      <c r="D135" s="626">
        <v>20.69</v>
      </c>
      <c r="E135" s="622"/>
      <c r="F135" s="334"/>
      <c r="M135" s="334"/>
      <c r="N135" s="334"/>
      <c r="O135" s="334"/>
    </row>
    <row r="136" spans="1:15" ht="12.75" customHeight="1" collapsed="1" x14ac:dyDescent="0.2">
      <c r="A136" s="614" t="s">
        <v>1240</v>
      </c>
      <c r="B136" s="615" t="s">
        <v>1241</v>
      </c>
      <c r="C136" s="616"/>
      <c r="D136" s="617"/>
      <c r="E136" s="622"/>
      <c r="F136" s="334"/>
      <c r="M136" s="334"/>
      <c r="N136" s="334"/>
      <c r="O136" s="334"/>
    </row>
    <row r="137" spans="1:15" ht="12.75" hidden="1" customHeight="1" outlineLevel="1" x14ac:dyDescent="0.2">
      <c r="A137" s="618" t="s">
        <v>1243</v>
      </c>
      <c r="B137" s="619" t="s">
        <v>1009</v>
      </c>
      <c r="C137" s="620"/>
      <c r="D137" s="621"/>
      <c r="E137" s="622"/>
      <c r="F137" s="334"/>
      <c r="M137" s="334"/>
      <c r="N137" s="334"/>
      <c r="O137" s="334"/>
    </row>
    <row r="138" spans="1:15" ht="12.75" hidden="1" customHeight="1" outlineLevel="1" x14ac:dyDescent="0.2">
      <c r="A138" s="627" t="s">
        <v>1245</v>
      </c>
      <c r="B138" s="628" t="s">
        <v>1034</v>
      </c>
      <c r="C138" s="629" t="s">
        <v>79</v>
      </c>
      <c r="D138" s="630">
        <v>10.199999999999999</v>
      </c>
      <c r="E138" s="622"/>
      <c r="F138" s="334"/>
      <c r="M138" s="334"/>
      <c r="N138" s="334"/>
      <c r="O138" s="334"/>
    </row>
    <row r="139" spans="1:15" ht="12.75" hidden="1" customHeight="1" outlineLevel="1" x14ac:dyDescent="0.2">
      <c r="A139" s="623" t="s">
        <v>1247</v>
      </c>
      <c r="B139" s="624" t="s">
        <v>1036</v>
      </c>
      <c r="C139" s="625" t="s">
        <v>79</v>
      </c>
      <c r="D139" s="626">
        <v>275.52999999999997</v>
      </c>
      <c r="E139" s="622"/>
      <c r="F139" s="334"/>
      <c r="M139" s="334"/>
      <c r="N139" s="334"/>
      <c r="O139" s="334"/>
    </row>
    <row r="140" spans="1:15" ht="12.75" hidden="1" customHeight="1" outlineLevel="1" x14ac:dyDescent="0.2">
      <c r="A140" s="627" t="s">
        <v>1249</v>
      </c>
      <c r="B140" s="628" t="s">
        <v>412</v>
      </c>
      <c r="C140" s="629" t="s">
        <v>88</v>
      </c>
      <c r="D140" s="630">
        <v>343.38</v>
      </c>
      <c r="E140" s="622"/>
      <c r="F140" s="334"/>
      <c r="M140" s="334"/>
      <c r="N140" s="334"/>
      <c r="O140" s="334"/>
    </row>
    <row r="141" spans="1:15" ht="12.75" hidden="1" customHeight="1" outlineLevel="1" x14ac:dyDescent="0.2">
      <c r="A141" s="623" t="s">
        <v>1251</v>
      </c>
      <c r="B141" s="624" t="s">
        <v>1040</v>
      </c>
      <c r="C141" s="625" t="s">
        <v>79</v>
      </c>
      <c r="D141" s="626">
        <v>23.92</v>
      </c>
      <c r="E141" s="622"/>
      <c r="F141" s="334"/>
      <c r="M141" s="334"/>
      <c r="N141" s="334"/>
      <c r="O141" s="334"/>
    </row>
    <row r="142" spans="1:15" ht="12.75" hidden="1" customHeight="1" outlineLevel="1" x14ac:dyDescent="0.2">
      <c r="A142" s="627" t="s">
        <v>1253</v>
      </c>
      <c r="B142" s="628" t="s">
        <v>1042</v>
      </c>
      <c r="C142" s="629" t="s">
        <v>79</v>
      </c>
      <c r="D142" s="630">
        <v>21.6</v>
      </c>
      <c r="E142" s="622"/>
      <c r="F142" s="334"/>
      <c r="M142" s="334"/>
      <c r="N142" s="334"/>
      <c r="O142" s="334"/>
    </row>
    <row r="143" spans="1:15" ht="12.75" hidden="1" customHeight="1" outlineLevel="1" x14ac:dyDescent="0.2">
      <c r="A143" s="618" t="s">
        <v>1255</v>
      </c>
      <c r="B143" s="619" t="s">
        <v>1017</v>
      </c>
      <c r="C143" s="620"/>
      <c r="D143" s="621"/>
      <c r="E143" s="622"/>
      <c r="F143" s="334"/>
      <c r="M143" s="334"/>
      <c r="N143" s="334"/>
      <c r="O143" s="334"/>
    </row>
    <row r="144" spans="1:15" ht="12.75" hidden="1" customHeight="1" outlineLevel="1" x14ac:dyDescent="0.2">
      <c r="A144" s="623" t="s">
        <v>1257</v>
      </c>
      <c r="B144" s="624" t="s">
        <v>1034</v>
      </c>
      <c r="C144" s="625" t="s">
        <v>79</v>
      </c>
      <c r="D144" s="626">
        <v>2.2999999999999998</v>
      </c>
      <c r="E144" s="622"/>
      <c r="F144" s="334"/>
      <c r="M144" s="334"/>
      <c r="N144" s="334"/>
      <c r="O144" s="334"/>
    </row>
    <row r="145" spans="1:15" ht="12.75" hidden="1" customHeight="1" outlineLevel="1" x14ac:dyDescent="0.2">
      <c r="A145" s="627" t="s">
        <v>1259</v>
      </c>
      <c r="B145" s="628" t="s">
        <v>1036</v>
      </c>
      <c r="C145" s="629" t="s">
        <v>79</v>
      </c>
      <c r="D145" s="630">
        <v>115.57</v>
      </c>
      <c r="E145" s="622"/>
      <c r="F145" s="334"/>
      <c r="M145" s="334"/>
      <c r="N145" s="334"/>
      <c r="O145" s="334"/>
    </row>
    <row r="146" spans="1:15" ht="12.75" hidden="1" customHeight="1" outlineLevel="1" x14ac:dyDescent="0.2">
      <c r="A146" s="623" t="s">
        <v>1261</v>
      </c>
      <c r="B146" s="624" t="s">
        <v>412</v>
      </c>
      <c r="C146" s="625" t="s">
        <v>88</v>
      </c>
      <c r="D146" s="626">
        <v>189.69</v>
      </c>
      <c r="E146" s="622"/>
      <c r="F146" s="334"/>
      <c r="M146" s="334"/>
      <c r="N146" s="334"/>
      <c r="O146" s="334"/>
    </row>
    <row r="147" spans="1:15" ht="12.75" hidden="1" customHeight="1" outlineLevel="1" x14ac:dyDescent="0.2">
      <c r="A147" s="627" t="s">
        <v>1263</v>
      </c>
      <c r="B147" s="628" t="s">
        <v>1040</v>
      </c>
      <c r="C147" s="629" t="s">
        <v>79</v>
      </c>
      <c r="D147" s="630">
        <v>4.5999999999999996</v>
      </c>
      <c r="E147" s="622"/>
      <c r="F147" s="334"/>
      <c r="M147" s="334"/>
      <c r="N147" s="334"/>
      <c r="O147" s="334"/>
    </row>
    <row r="148" spans="1:15" ht="12.75" hidden="1" customHeight="1" outlineLevel="1" x14ac:dyDescent="0.2">
      <c r="A148" s="623" t="s">
        <v>1265</v>
      </c>
      <c r="B148" s="624" t="s">
        <v>1042</v>
      </c>
      <c r="C148" s="625" t="s">
        <v>79</v>
      </c>
      <c r="D148" s="626">
        <v>2.04</v>
      </c>
      <c r="E148" s="622"/>
      <c r="F148" s="334"/>
      <c r="M148" s="334"/>
      <c r="N148" s="334"/>
      <c r="O148" s="334"/>
    </row>
    <row r="149" spans="1:15" ht="12.75" hidden="1" customHeight="1" outlineLevel="1" x14ac:dyDescent="0.2">
      <c r="A149" s="618" t="s">
        <v>1267</v>
      </c>
      <c r="B149" s="619" t="s">
        <v>1021</v>
      </c>
      <c r="C149" s="620"/>
      <c r="D149" s="621"/>
      <c r="E149" s="622"/>
      <c r="F149" s="334"/>
      <c r="M149" s="334"/>
      <c r="N149" s="334"/>
      <c r="O149" s="334"/>
    </row>
    <row r="150" spans="1:15" ht="12.75" hidden="1" customHeight="1" outlineLevel="1" x14ac:dyDescent="0.2">
      <c r="A150" s="627" t="s">
        <v>1269</v>
      </c>
      <c r="B150" s="628" t="s">
        <v>1034</v>
      </c>
      <c r="C150" s="629" t="s">
        <v>79</v>
      </c>
      <c r="D150" s="630">
        <v>15.1</v>
      </c>
      <c r="E150" s="622"/>
      <c r="F150" s="334"/>
      <c r="M150" s="334"/>
      <c r="N150" s="334"/>
      <c r="O150" s="334"/>
    </row>
    <row r="151" spans="1:15" ht="12.75" hidden="1" customHeight="1" outlineLevel="1" x14ac:dyDescent="0.2">
      <c r="A151" s="623" t="s">
        <v>1271</v>
      </c>
      <c r="B151" s="624" t="s">
        <v>1036</v>
      </c>
      <c r="C151" s="625" t="s">
        <v>79</v>
      </c>
      <c r="D151" s="626">
        <v>344.84</v>
      </c>
      <c r="E151" s="622"/>
      <c r="F151" s="334"/>
      <c r="M151" s="334"/>
      <c r="N151" s="334"/>
      <c r="O151" s="334"/>
    </row>
    <row r="152" spans="1:15" ht="12.75" hidden="1" customHeight="1" outlineLevel="1" x14ac:dyDescent="0.2">
      <c r="A152" s="627" t="s">
        <v>1274</v>
      </c>
      <c r="B152" s="628" t="s">
        <v>412</v>
      </c>
      <c r="C152" s="629" t="s">
        <v>88</v>
      </c>
      <c r="D152" s="630">
        <v>467.19</v>
      </c>
      <c r="E152" s="622"/>
      <c r="F152" s="334"/>
      <c r="M152" s="334"/>
      <c r="N152" s="334"/>
      <c r="O152" s="334"/>
    </row>
    <row r="153" spans="1:15" ht="12.75" hidden="1" customHeight="1" outlineLevel="1" x14ac:dyDescent="0.2">
      <c r="A153" s="623" t="s">
        <v>1276</v>
      </c>
      <c r="B153" s="624" t="s">
        <v>1040</v>
      </c>
      <c r="C153" s="625" t="s">
        <v>79</v>
      </c>
      <c r="D153" s="626">
        <v>67.900000000000006</v>
      </c>
      <c r="E153" s="622"/>
      <c r="F153" s="334"/>
      <c r="M153" s="334"/>
      <c r="N153" s="334"/>
      <c r="O153" s="334"/>
    </row>
    <row r="154" spans="1:15" ht="12.75" hidden="1" customHeight="1" outlineLevel="1" x14ac:dyDescent="0.2">
      <c r="A154" s="627" t="s">
        <v>1278</v>
      </c>
      <c r="B154" s="628" t="s">
        <v>1042</v>
      </c>
      <c r="C154" s="629" t="s">
        <v>79</v>
      </c>
      <c r="D154" s="630">
        <v>23.94</v>
      </c>
      <c r="E154" s="622"/>
      <c r="F154" s="334"/>
      <c r="M154" s="334"/>
      <c r="N154" s="334"/>
      <c r="O154" s="334"/>
    </row>
    <row r="155" spans="1:15" ht="12.75" hidden="1" customHeight="1" outlineLevel="1" x14ac:dyDescent="0.2">
      <c r="A155" s="618" t="s">
        <v>1280</v>
      </c>
      <c r="B155" s="619" t="s">
        <v>1030</v>
      </c>
      <c r="C155" s="620"/>
      <c r="D155" s="621"/>
      <c r="E155" s="622"/>
      <c r="F155" s="334"/>
      <c r="M155" s="334"/>
      <c r="N155" s="334"/>
      <c r="O155" s="334"/>
    </row>
    <row r="156" spans="1:15" ht="12.75" hidden="1" customHeight="1" outlineLevel="1" x14ac:dyDescent="0.2">
      <c r="A156" s="623" t="s">
        <v>1282</v>
      </c>
      <c r="B156" s="624" t="s">
        <v>1034</v>
      </c>
      <c r="C156" s="625" t="s">
        <v>79</v>
      </c>
      <c r="D156" s="626">
        <v>35.9</v>
      </c>
      <c r="E156" s="622"/>
      <c r="F156" s="334"/>
      <c r="M156" s="334"/>
      <c r="N156" s="334"/>
      <c r="O156" s="334"/>
    </row>
    <row r="157" spans="1:15" ht="12.75" hidden="1" customHeight="1" outlineLevel="1" x14ac:dyDescent="0.2">
      <c r="A157" s="627" t="s">
        <v>1285</v>
      </c>
      <c r="B157" s="628" t="s">
        <v>1036</v>
      </c>
      <c r="C157" s="629" t="s">
        <v>79</v>
      </c>
      <c r="D157" s="630">
        <v>325.19</v>
      </c>
      <c r="E157" s="622"/>
      <c r="F157" s="334"/>
      <c r="M157" s="334"/>
      <c r="N157" s="334"/>
      <c r="O157" s="334"/>
    </row>
    <row r="158" spans="1:15" ht="12.75" hidden="1" customHeight="1" outlineLevel="1" x14ac:dyDescent="0.2">
      <c r="A158" s="623" t="s">
        <v>1287</v>
      </c>
      <c r="B158" s="624" t="s">
        <v>412</v>
      </c>
      <c r="C158" s="625" t="s">
        <v>88</v>
      </c>
      <c r="D158" s="626">
        <v>395.82</v>
      </c>
      <c r="E158" s="622"/>
      <c r="F158" s="334"/>
      <c r="M158" s="334"/>
      <c r="N158" s="334"/>
      <c r="O158" s="334"/>
    </row>
    <row r="159" spans="1:15" ht="12.75" hidden="1" customHeight="1" outlineLevel="1" x14ac:dyDescent="0.2">
      <c r="A159" s="627" t="s">
        <v>1289</v>
      </c>
      <c r="B159" s="628" t="s">
        <v>1040</v>
      </c>
      <c r="C159" s="629" t="s">
        <v>79</v>
      </c>
      <c r="D159" s="630">
        <v>88.7</v>
      </c>
      <c r="E159" s="622"/>
      <c r="F159" s="334"/>
      <c r="M159" s="334"/>
      <c r="N159" s="334"/>
      <c r="O159" s="334"/>
    </row>
    <row r="160" spans="1:15" ht="12.75" hidden="1" customHeight="1" outlineLevel="1" x14ac:dyDescent="0.2">
      <c r="A160" s="623" t="s">
        <v>1291</v>
      </c>
      <c r="B160" s="624" t="s">
        <v>1042</v>
      </c>
      <c r="C160" s="625" t="s">
        <v>79</v>
      </c>
      <c r="D160" s="626">
        <v>21.58</v>
      </c>
      <c r="E160" s="622"/>
      <c r="F160" s="334"/>
      <c r="M160" s="334"/>
      <c r="N160" s="334"/>
      <c r="O160" s="334"/>
    </row>
    <row r="161" spans="1:15" ht="12.75" hidden="1" customHeight="1" outlineLevel="1" x14ac:dyDescent="0.2">
      <c r="A161" s="618" t="s">
        <v>1293</v>
      </c>
      <c r="B161" s="619" t="s">
        <v>1039</v>
      </c>
      <c r="C161" s="620"/>
      <c r="D161" s="621"/>
      <c r="E161" s="622"/>
      <c r="F161" s="334"/>
      <c r="M161" s="334"/>
      <c r="N161" s="334"/>
      <c r="O161" s="334"/>
    </row>
    <row r="162" spans="1:15" ht="12.75" hidden="1" customHeight="1" outlineLevel="1" x14ac:dyDescent="0.2">
      <c r="A162" s="627" t="s">
        <v>1295</v>
      </c>
      <c r="B162" s="628" t="s">
        <v>1034</v>
      </c>
      <c r="C162" s="629" t="s">
        <v>79</v>
      </c>
      <c r="D162" s="630">
        <v>35.9</v>
      </c>
      <c r="E162" s="622"/>
      <c r="F162" s="334"/>
      <c r="M162" s="334"/>
      <c r="N162" s="334"/>
      <c r="O162" s="334"/>
    </row>
    <row r="163" spans="1:15" ht="12.75" hidden="1" customHeight="1" outlineLevel="1" x14ac:dyDescent="0.2">
      <c r="A163" s="623" t="s">
        <v>1297</v>
      </c>
      <c r="B163" s="624" t="s">
        <v>1036</v>
      </c>
      <c r="C163" s="625" t="s">
        <v>79</v>
      </c>
      <c r="D163" s="626">
        <v>321.60000000000002</v>
      </c>
      <c r="E163" s="622"/>
      <c r="F163" s="334"/>
      <c r="M163" s="334"/>
      <c r="N163" s="334"/>
      <c r="O163" s="334"/>
    </row>
    <row r="164" spans="1:15" ht="12.75" hidden="1" customHeight="1" outlineLevel="1" x14ac:dyDescent="0.2">
      <c r="A164" s="627" t="s">
        <v>1299</v>
      </c>
      <c r="B164" s="628" t="s">
        <v>412</v>
      </c>
      <c r="C164" s="629" t="s">
        <v>88</v>
      </c>
      <c r="D164" s="630">
        <v>385.92</v>
      </c>
      <c r="E164" s="622"/>
      <c r="F164" s="334"/>
      <c r="M164" s="334"/>
      <c r="N164" s="334"/>
      <c r="O164" s="334"/>
    </row>
    <row r="165" spans="1:15" ht="12.75" hidden="1" customHeight="1" outlineLevel="1" x14ac:dyDescent="0.2">
      <c r="A165" s="623" t="s">
        <v>1300</v>
      </c>
      <c r="B165" s="624" t="s">
        <v>1040</v>
      </c>
      <c r="C165" s="625" t="s">
        <v>79</v>
      </c>
      <c r="D165" s="626">
        <v>88.7</v>
      </c>
      <c r="E165" s="622"/>
      <c r="F165" s="334"/>
      <c r="M165" s="334"/>
      <c r="N165" s="334"/>
      <c r="O165" s="334"/>
    </row>
    <row r="166" spans="1:15" ht="12.75" hidden="1" customHeight="1" outlineLevel="1" x14ac:dyDescent="0.2">
      <c r="A166" s="627" t="s">
        <v>1302</v>
      </c>
      <c r="B166" s="628" t="s">
        <v>1042</v>
      </c>
      <c r="C166" s="629" t="s">
        <v>79</v>
      </c>
      <c r="D166" s="630">
        <v>25.38</v>
      </c>
      <c r="E166" s="622"/>
      <c r="F166" s="334"/>
      <c r="M166" s="334"/>
      <c r="N166" s="334"/>
      <c r="O166" s="334"/>
    </row>
    <row r="167" spans="1:15" ht="12.75" hidden="1" customHeight="1" outlineLevel="1" x14ac:dyDescent="0.2">
      <c r="A167" s="618" t="s">
        <v>1304</v>
      </c>
      <c r="B167" s="619" t="s">
        <v>1047</v>
      </c>
      <c r="C167" s="620"/>
      <c r="D167" s="621"/>
      <c r="E167" s="622"/>
      <c r="F167" s="334"/>
      <c r="M167" s="334"/>
      <c r="N167" s="334"/>
      <c r="O167" s="334"/>
    </row>
    <row r="168" spans="1:15" ht="12.75" hidden="1" customHeight="1" outlineLevel="1" x14ac:dyDescent="0.2">
      <c r="A168" s="623" t="s">
        <v>1306</v>
      </c>
      <c r="B168" s="624" t="s">
        <v>1034</v>
      </c>
      <c r="C168" s="625" t="s">
        <v>79</v>
      </c>
      <c r="D168" s="626">
        <v>35.9</v>
      </c>
      <c r="E168" s="622"/>
      <c r="F168" s="334"/>
      <c r="M168" s="334"/>
      <c r="N168" s="334"/>
      <c r="O168" s="334"/>
    </row>
    <row r="169" spans="1:15" ht="12.75" hidden="1" customHeight="1" outlineLevel="1" x14ac:dyDescent="0.2">
      <c r="A169" s="627" t="s">
        <v>1308</v>
      </c>
      <c r="B169" s="628" t="s">
        <v>1036</v>
      </c>
      <c r="C169" s="629" t="s">
        <v>79</v>
      </c>
      <c r="D169" s="630">
        <v>325.20999999999998</v>
      </c>
      <c r="E169" s="622"/>
      <c r="F169" s="334"/>
      <c r="M169" s="334"/>
      <c r="N169" s="334"/>
      <c r="O169" s="334"/>
    </row>
    <row r="170" spans="1:15" ht="12.75" hidden="1" customHeight="1" outlineLevel="1" x14ac:dyDescent="0.2">
      <c r="A170" s="623" t="s">
        <v>1311</v>
      </c>
      <c r="B170" s="624" t="s">
        <v>412</v>
      </c>
      <c r="C170" s="625" t="s">
        <v>88</v>
      </c>
      <c r="D170" s="626">
        <v>395.76</v>
      </c>
      <c r="E170" s="622"/>
      <c r="F170" s="334"/>
      <c r="M170" s="334"/>
      <c r="N170" s="334"/>
      <c r="O170" s="334"/>
    </row>
    <row r="171" spans="1:15" ht="12.75" hidden="1" customHeight="1" outlineLevel="1" x14ac:dyDescent="0.2">
      <c r="A171" s="627" t="s">
        <v>1313</v>
      </c>
      <c r="B171" s="628" t="s">
        <v>1040</v>
      </c>
      <c r="C171" s="629" t="s">
        <v>79</v>
      </c>
      <c r="D171" s="630">
        <v>88.7</v>
      </c>
      <c r="E171" s="622"/>
      <c r="F171" s="334"/>
      <c r="M171" s="334"/>
      <c r="N171" s="334"/>
      <c r="O171" s="334"/>
    </row>
    <row r="172" spans="1:15" ht="12.75" hidden="1" customHeight="1" outlineLevel="1" x14ac:dyDescent="0.2">
      <c r="A172" s="623" t="s">
        <v>1315</v>
      </c>
      <c r="B172" s="624" t="s">
        <v>1042</v>
      </c>
      <c r="C172" s="625" t="s">
        <v>79</v>
      </c>
      <c r="D172" s="626">
        <v>21.58</v>
      </c>
      <c r="E172" s="622"/>
      <c r="F172" s="334"/>
      <c r="M172" s="334"/>
      <c r="N172" s="334"/>
      <c r="O172" s="334"/>
    </row>
    <row r="173" spans="1:15" ht="12.75" hidden="1" customHeight="1" outlineLevel="1" x14ac:dyDescent="0.2">
      <c r="A173" s="618" t="s">
        <v>1316</v>
      </c>
      <c r="B173" s="619" t="s">
        <v>1058</v>
      </c>
      <c r="C173" s="620"/>
      <c r="D173" s="621"/>
      <c r="E173" s="622"/>
      <c r="F173" s="334"/>
      <c r="M173" s="334"/>
      <c r="N173" s="334"/>
      <c r="O173" s="334"/>
    </row>
    <row r="174" spans="1:15" ht="12.75" hidden="1" customHeight="1" outlineLevel="1" x14ac:dyDescent="0.2">
      <c r="A174" s="627" t="s">
        <v>1317</v>
      </c>
      <c r="B174" s="628" t="s">
        <v>1034</v>
      </c>
      <c r="C174" s="629" t="s">
        <v>79</v>
      </c>
      <c r="D174" s="630">
        <v>35.9</v>
      </c>
      <c r="E174" s="622"/>
      <c r="F174" s="334"/>
      <c r="M174" s="334"/>
      <c r="N174" s="334"/>
      <c r="O174" s="334"/>
    </row>
    <row r="175" spans="1:15" ht="12.75" hidden="1" customHeight="1" outlineLevel="1" x14ac:dyDescent="0.2">
      <c r="A175" s="623" t="s">
        <v>1318</v>
      </c>
      <c r="B175" s="624" t="s">
        <v>1036</v>
      </c>
      <c r="C175" s="625" t="s">
        <v>79</v>
      </c>
      <c r="D175" s="626">
        <v>325.20999999999998</v>
      </c>
      <c r="E175" s="622"/>
      <c r="F175" s="334"/>
      <c r="M175" s="334"/>
      <c r="N175" s="334"/>
      <c r="O175" s="334"/>
    </row>
    <row r="176" spans="1:15" ht="12.75" hidden="1" customHeight="1" outlineLevel="1" x14ac:dyDescent="0.2">
      <c r="A176" s="627" t="s">
        <v>1319</v>
      </c>
      <c r="B176" s="628" t="s">
        <v>412</v>
      </c>
      <c r="C176" s="629" t="s">
        <v>88</v>
      </c>
      <c r="D176" s="630">
        <v>395.76</v>
      </c>
      <c r="E176" s="622"/>
      <c r="F176" s="334"/>
      <c r="L176" s="334"/>
      <c r="M176" s="334"/>
      <c r="N176" s="334"/>
      <c r="O176" s="334"/>
    </row>
    <row r="177" spans="1:15" ht="12.75" hidden="1" customHeight="1" outlineLevel="1" x14ac:dyDescent="0.2">
      <c r="A177" s="623" t="s">
        <v>1321</v>
      </c>
      <c r="B177" s="624" t="s">
        <v>1040</v>
      </c>
      <c r="C177" s="625" t="s">
        <v>79</v>
      </c>
      <c r="D177" s="626">
        <v>88.7</v>
      </c>
      <c r="E177" s="622"/>
      <c r="F177" s="334"/>
      <c r="L177" s="334"/>
      <c r="M177" s="334"/>
      <c r="N177" s="334"/>
      <c r="O177" s="334"/>
    </row>
    <row r="178" spans="1:15" ht="12.75" hidden="1" customHeight="1" outlineLevel="1" x14ac:dyDescent="0.2">
      <c r="A178" s="627" t="s">
        <v>1323</v>
      </c>
      <c r="B178" s="628" t="s">
        <v>1042</v>
      </c>
      <c r="C178" s="629" t="s">
        <v>79</v>
      </c>
      <c r="D178" s="630">
        <v>21.58</v>
      </c>
      <c r="E178" s="622"/>
      <c r="F178" s="334"/>
      <c r="K178" s="334"/>
      <c r="L178" s="334"/>
      <c r="M178" s="334"/>
      <c r="N178" s="334"/>
      <c r="O178" s="334"/>
    </row>
    <row r="179" spans="1:15" ht="12.75" hidden="1" customHeight="1" outlineLevel="1" x14ac:dyDescent="0.2">
      <c r="A179" s="618" t="s">
        <v>1325</v>
      </c>
      <c r="B179" s="619" t="s">
        <v>1069</v>
      </c>
      <c r="C179" s="620"/>
      <c r="D179" s="621"/>
      <c r="E179" s="622"/>
      <c r="F179" s="334"/>
      <c r="K179" s="334"/>
      <c r="L179" s="334"/>
      <c r="M179" s="334"/>
      <c r="N179" s="334"/>
      <c r="O179" s="334"/>
    </row>
    <row r="180" spans="1:15" ht="12.75" hidden="1" customHeight="1" outlineLevel="1" x14ac:dyDescent="0.2">
      <c r="A180" s="623" t="s">
        <v>1327</v>
      </c>
      <c r="B180" s="624" t="s">
        <v>1034</v>
      </c>
      <c r="C180" s="625" t="s">
        <v>79</v>
      </c>
      <c r="D180" s="626">
        <v>35.9</v>
      </c>
      <c r="E180" s="622"/>
      <c r="F180" s="334"/>
      <c r="K180" s="334"/>
      <c r="L180" s="334"/>
      <c r="M180" s="334"/>
      <c r="N180" s="334"/>
      <c r="O180" s="334"/>
    </row>
    <row r="181" spans="1:15" ht="12.75" hidden="1" customHeight="1" outlineLevel="1" x14ac:dyDescent="0.2">
      <c r="A181" s="627" t="s">
        <v>1329</v>
      </c>
      <c r="B181" s="628" t="s">
        <v>1036</v>
      </c>
      <c r="C181" s="629" t="s">
        <v>79</v>
      </c>
      <c r="D181" s="630">
        <v>325.20999999999998</v>
      </c>
      <c r="E181" s="622"/>
      <c r="F181" s="334"/>
      <c r="K181" s="334"/>
      <c r="L181" s="334"/>
      <c r="M181" s="334"/>
      <c r="N181" s="334"/>
      <c r="O181" s="334"/>
    </row>
    <row r="182" spans="1:15" ht="12.75" hidden="1" customHeight="1" outlineLevel="1" x14ac:dyDescent="0.2">
      <c r="A182" s="623" t="s">
        <v>1331</v>
      </c>
      <c r="B182" s="624" t="s">
        <v>412</v>
      </c>
      <c r="C182" s="625" t="s">
        <v>88</v>
      </c>
      <c r="D182" s="626">
        <v>395.76</v>
      </c>
      <c r="E182" s="622"/>
      <c r="F182" s="334"/>
      <c r="K182" s="334"/>
      <c r="L182" s="334"/>
      <c r="M182" s="334"/>
      <c r="N182" s="334"/>
      <c r="O182" s="334"/>
    </row>
    <row r="183" spans="1:15" ht="12.75" hidden="1" customHeight="1" outlineLevel="1" x14ac:dyDescent="0.2">
      <c r="A183" s="627" t="s">
        <v>1332</v>
      </c>
      <c r="B183" s="628" t="s">
        <v>1040</v>
      </c>
      <c r="C183" s="629" t="s">
        <v>79</v>
      </c>
      <c r="D183" s="630">
        <v>88.7</v>
      </c>
      <c r="E183" s="622"/>
      <c r="F183" s="334"/>
      <c r="K183" s="334"/>
      <c r="L183" s="334"/>
      <c r="M183" s="334"/>
      <c r="N183" s="334"/>
      <c r="O183" s="334"/>
    </row>
    <row r="184" spans="1:15" ht="12.75" hidden="1" customHeight="1" outlineLevel="1" x14ac:dyDescent="0.2">
      <c r="A184" s="623" t="s">
        <v>1333</v>
      </c>
      <c r="B184" s="624" t="s">
        <v>1042</v>
      </c>
      <c r="C184" s="625" t="s">
        <v>79</v>
      </c>
      <c r="D184" s="626">
        <v>21.58</v>
      </c>
      <c r="E184" s="622"/>
      <c r="F184" s="334"/>
      <c r="K184" s="334"/>
      <c r="L184" s="334"/>
      <c r="M184" s="334"/>
      <c r="N184" s="334"/>
      <c r="O184" s="334"/>
    </row>
    <row r="185" spans="1:15" ht="12.75" hidden="1" customHeight="1" outlineLevel="1" x14ac:dyDescent="0.2">
      <c r="A185" s="618" t="s">
        <v>1334</v>
      </c>
      <c r="B185" s="619" t="s">
        <v>1079</v>
      </c>
      <c r="C185" s="620"/>
      <c r="D185" s="621"/>
      <c r="E185" s="622"/>
      <c r="F185" s="334"/>
      <c r="K185" s="334"/>
      <c r="L185" s="334"/>
      <c r="M185" s="334"/>
      <c r="N185" s="334"/>
      <c r="O185" s="334"/>
    </row>
    <row r="186" spans="1:15" ht="12.75" hidden="1" customHeight="1" outlineLevel="1" x14ac:dyDescent="0.2">
      <c r="A186" s="627" t="s">
        <v>1336</v>
      </c>
      <c r="B186" s="628" t="s">
        <v>1034</v>
      </c>
      <c r="C186" s="629" t="s">
        <v>79</v>
      </c>
      <c r="D186" s="630">
        <v>35.9</v>
      </c>
      <c r="E186" s="622"/>
      <c r="F186" s="334"/>
      <c r="K186" s="334"/>
      <c r="L186" s="334"/>
      <c r="M186" s="334"/>
      <c r="N186" s="334"/>
      <c r="O186" s="334"/>
    </row>
    <row r="187" spans="1:15" ht="12.75" hidden="1" customHeight="1" outlineLevel="1" x14ac:dyDescent="0.2">
      <c r="A187" s="623" t="s">
        <v>1338</v>
      </c>
      <c r="B187" s="624" t="s">
        <v>1036</v>
      </c>
      <c r="C187" s="625" t="s">
        <v>79</v>
      </c>
      <c r="D187" s="626">
        <v>325.20999999999998</v>
      </c>
      <c r="E187" s="622"/>
      <c r="F187" s="334"/>
      <c r="K187" s="334"/>
      <c r="L187" s="334"/>
      <c r="M187" s="334"/>
      <c r="N187" s="334"/>
      <c r="O187" s="334"/>
    </row>
    <row r="188" spans="1:15" ht="12.75" hidden="1" customHeight="1" outlineLevel="1" x14ac:dyDescent="0.2">
      <c r="A188" s="627" t="s">
        <v>1340</v>
      </c>
      <c r="B188" s="628" t="s">
        <v>412</v>
      </c>
      <c r="C188" s="629" t="s">
        <v>88</v>
      </c>
      <c r="D188" s="630">
        <v>395.76</v>
      </c>
      <c r="E188" s="622"/>
      <c r="F188" s="334"/>
      <c r="K188" s="334"/>
      <c r="L188" s="334"/>
      <c r="M188" s="334"/>
      <c r="N188" s="334"/>
      <c r="O188" s="334"/>
    </row>
    <row r="189" spans="1:15" ht="12.75" hidden="1" customHeight="1" outlineLevel="1" x14ac:dyDescent="0.2">
      <c r="A189" s="623" t="s">
        <v>1342</v>
      </c>
      <c r="B189" s="624" t="s">
        <v>1040</v>
      </c>
      <c r="C189" s="625" t="s">
        <v>79</v>
      </c>
      <c r="D189" s="626">
        <v>88.7</v>
      </c>
      <c r="E189" s="622"/>
      <c r="F189" s="334"/>
      <c r="K189" s="334"/>
      <c r="L189" s="334"/>
      <c r="M189" s="334"/>
      <c r="N189" s="334"/>
      <c r="O189" s="334"/>
    </row>
    <row r="190" spans="1:15" ht="12.75" hidden="1" customHeight="1" outlineLevel="1" x14ac:dyDescent="0.2">
      <c r="A190" s="627" t="s">
        <v>1344</v>
      </c>
      <c r="B190" s="628" t="s">
        <v>1042</v>
      </c>
      <c r="C190" s="629" t="s">
        <v>79</v>
      </c>
      <c r="D190" s="630">
        <v>21.58</v>
      </c>
      <c r="E190" s="622"/>
      <c r="F190" s="334"/>
      <c r="K190" s="334"/>
      <c r="L190" s="334"/>
      <c r="M190" s="334"/>
      <c r="N190" s="334"/>
      <c r="O190" s="334"/>
    </row>
    <row r="191" spans="1:15" ht="12.75" hidden="1" customHeight="1" outlineLevel="1" x14ac:dyDescent="0.2">
      <c r="A191" s="618" t="s">
        <v>1346</v>
      </c>
      <c r="B191" s="619" t="s">
        <v>1086</v>
      </c>
      <c r="C191" s="620"/>
      <c r="D191" s="621"/>
      <c r="E191" s="622"/>
      <c r="F191" s="334"/>
      <c r="K191" s="334"/>
      <c r="L191" s="334"/>
      <c r="M191" s="334"/>
      <c r="N191" s="334"/>
      <c r="O191" s="334"/>
    </row>
    <row r="192" spans="1:15" ht="12.75" hidden="1" customHeight="1" outlineLevel="1" x14ac:dyDescent="0.2">
      <c r="A192" s="623" t="s">
        <v>1348</v>
      </c>
      <c r="B192" s="624" t="s">
        <v>1034</v>
      </c>
      <c r="C192" s="625" t="s">
        <v>79</v>
      </c>
      <c r="D192" s="626">
        <v>35.9</v>
      </c>
      <c r="E192" s="622"/>
      <c r="F192" s="334"/>
      <c r="K192" s="334"/>
      <c r="L192" s="334"/>
      <c r="M192" s="334"/>
      <c r="N192" s="334"/>
      <c r="O192" s="334"/>
    </row>
    <row r="193" spans="1:15" ht="12.75" hidden="1" customHeight="1" outlineLevel="1" x14ac:dyDescent="0.2">
      <c r="A193" s="627" t="s">
        <v>1350</v>
      </c>
      <c r="B193" s="628" t="s">
        <v>1036</v>
      </c>
      <c r="C193" s="629" t="s">
        <v>79</v>
      </c>
      <c r="D193" s="630">
        <v>325.20999999999998</v>
      </c>
      <c r="E193" s="622"/>
      <c r="F193" s="334"/>
      <c r="K193" s="334"/>
      <c r="L193" s="334"/>
      <c r="M193" s="334"/>
      <c r="N193" s="334"/>
      <c r="O193" s="334"/>
    </row>
    <row r="194" spans="1:15" ht="12.75" hidden="1" customHeight="1" outlineLevel="1" x14ac:dyDescent="0.2">
      <c r="A194" s="623" t="s">
        <v>1352</v>
      </c>
      <c r="B194" s="624" t="s">
        <v>412</v>
      </c>
      <c r="C194" s="625" t="s">
        <v>88</v>
      </c>
      <c r="D194" s="626">
        <v>395.76</v>
      </c>
      <c r="E194" s="622"/>
      <c r="F194" s="334"/>
      <c r="K194" s="334"/>
      <c r="L194" s="334"/>
      <c r="M194" s="334"/>
      <c r="N194" s="334"/>
      <c r="O194" s="334"/>
    </row>
    <row r="195" spans="1:15" ht="12.75" hidden="1" customHeight="1" outlineLevel="1" x14ac:dyDescent="0.2">
      <c r="A195" s="627" t="s">
        <v>1354</v>
      </c>
      <c r="B195" s="628" t="s">
        <v>1040</v>
      </c>
      <c r="C195" s="629" t="s">
        <v>79</v>
      </c>
      <c r="D195" s="630">
        <v>88.7</v>
      </c>
      <c r="E195" s="622"/>
      <c r="F195" s="334"/>
      <c r="K195" s="334"/>
      <c r="L195" s="334"/>
      <c r="M195" s="334"/>
      <c r="N195" s="334"/>
      <c r="O195" s="334"/>
    </row>
    <row r="196" spans="1:15" ht="12.75" hidden="1" customHeight="1" outlineLevel="1" x14ac:dyDescent="0.2">
      <c r="A196" s="623" t="s">
        <v>1356</v>
      </c>
      <c r="B196" s="624" t="s">
        <v>1042</v>
      </c>
      <c r="C196" s="625" t="s">
        <v>79</v>
      </c>
      <c r="D196" s="626">
        <v>21.58</v>
      </c>
      <c r="E196" s="622"/>
      <c r="F196" s="334"/>
      <c r="K196" s="334"/>
      <c r="L196" s="334"/>
      <c r="M196" s="334"/>
      <c r="N196" s="334"/>
      <c r="O196" s="334"/>
    </row>
    <row r="197" spans="1:15" ht="12.75" hidden="1" customHeight="1" outlineLevel="1" x14ac:dyDescent="0.2">
      <c r="A197" s="618" t="s">
        <v>1358</v>
      </c>
      <c r="B197" s="619" t="s">
        <v>1094</v>
      </c>
      <c r="C197" s="620"/>
      <c r="D197" s="621"/>
      <c r="E197" s="622"/>
      <c r="F197" s="334"/>
      <c r="K197" s="334"/>
      <c r="L197" s="334"/>
      <c r="M197" s="334"/>
      <c r="N197" s="334"/>
      <c r="O197" s="334"/>
    </row>
    <row r="198" spans="1:15" ht="12.75" hidden="1" customHeight="1" outlineLevel="1" x14ac:dyDescent="0.2">
      <c r="A198" s="627" t="s">
        <v>1360</v>
      </c>
      <c r="B198" s="628" t="s">
        <v>1034</v>
      </c>
      <c r="C198" s="629" t="s">
        <v>79</v>
      </c>
      <c r="D198" s="630">
        <v>35.9</v>
      </c>
      <c r="E198" s="622"/>
      <c r="F198" s="334"/>
      <c r="K198" s="334"/>
      <c r="L198" s="334"/>
      <c r="M198" s="334"/>
      <c r="N198" s="334"/>
      <c r="O198" s="334"/>
    </row>
    <row r="199" spans="1:15" ht="12.75" hidden="1" customHeight="1" outlineLevel="1" x14ac:dyDescent="0.2">
      <c r="A199" s="623" t="s">
        <v>1362</v>
      </c>
      <c r="B199" s="624" t="s">
        <v>1036</v>
      </c>
      <c r="C199" s="625" t="s">
        <v>79</v>
      </c>
      <c r="D199" s="626">
        <v>325.20999999999998</v>
      </c>
      <c r="E199" s="622"/>
      <c r="F199" s="334"/>
      <c r="K199" s="334"/>
      <c r="L199" s="334"/>
      <c r="M199" s="334"/>
      <c r="N199" s="334"/>
      <c r="O199" s="334"/>
    </row>
    <row r="200" spans="1:15" ht="12.75" hidden="1" customHeight="1" outlineLevel="1" x14ac:dyDescent="0.2">
      <c r="A200" s="627" t="s">
        <v>1364</v>
      </c>
      <c r="B200" s="628" t="s">
        <v>412</v>
      </c>
      <c r="C200" s="629" t="s">
        <v>88</v>
      </c>
      <c r="D200" s="630">
        <v>395.76</v>
      </c>
      <c r="E200" s="622"/>
      <c r="F200" s="334"/>
      <c r="K200" s="334"/>
      <c r="L200" s="334"/>
      <c r="M200" s="334"/>
      <c r="N200" s="334"/>
      <c r="O200" s="334"/>
    </row>
    <row r="201" spans="1:15" ht="12.75" hidden="1" customHeight="1" outlineLevel="1" x14ac:dyDescent="0.2">
      <c r="A201" s="623" t="s">
        <v>1366</v>
      </c>
      <c r="B201" s="624" t="s">
        <v>1040</v>
      </c>
      <c r="C201" s="625" t="s">
        <v>79</v>
      </c>
      <c r="D201" s="626">
        <v>88.7</v>
      </c>
      <c r="E201" s="622"/>
      <c r="F201" s="334"/>
      <c r="K201" s="334"/>
      <c r="L201" s="334"/>
      <c r="M201" s="334"/>
      <c r="N201" s="334"/>
      <c r="O201" s="334"/>
    </row>
    <row r="202" spans="1:15" ht="12.75" hidden="1" customHeight="1" outlineLevel="1" x14ac:dyDescent="0.2">
      <c r="A202" s="627" t="s">
        <v>1368</v>
      </c>
      <c r="B202" s="628" t="s">
        <v>1042</v>
      </c>
      <c r="C202" s="629" t="s">
        <v>79</v>
      </c>
      <c r="D202" s="630">
        <v>21.58</v>
      </c>
      <c r="E202" s="622"/>
      <c r="F202" s="334"/>
      <c r="K202" s="334"/>
      <c r="L202" s="334"/>
      <c r="M202" s="334"/>
      <c r="N202" s="334"/>
      <c r="O202" s="334"/>
    </row>
    <row r="203" spans="1:15" ht="12.75" hidden="1" customHeight="1" outlineLevel="1" x14ac:dyDescent="0.2">
      <c r="A203" s="618" t="s">
        <v>1370</v>
      </c>
      <c r="B203" s="619" t="s">
        <v>1102</v>
      </c>
      <c r="C203" s="620"/>
      <c r="D203" s="621"/>
      <c r="E203" s="622"/>
      <c r="F203" s="334"/>
      <c r="K203" s="334"/>
      <c r="L203" s="334"/>
      <c r="M203" s="334"/>
      <c r="N203" s="334"/>
      <c r="O203" s="334"/>
    </row>
    <row r="204" spans="1:15" ht="12.75" hidden="1" customHeight="1" outlineLevel="1" x14ac:dyDescent="0.2">
      <c r="A204" s="623" t="s">
        <v>1372</v>
      </c>
      <c r="B204" s="624" t="s">
        <v>1034</v>
      </c>
      <c r="C204" s="625" t="s">
        <v>79</v>
      </c>
      <c r="D204" s="626">
        <v>25.85</v>
      </c>
      <c r="E204" s="622"/>
      <c r="F204" s="334"/>
      <c r="K204" s="334"/>
      <c r="L204" s="334"/>
      <c r="M204" s="334"/>
      <c r="N204" s="334"/>
      <c r="O204" s="334"/>
    </row>
    <row r="205" spans="1:15" ht="12.75" hidden="1" customHeight="1" outlineLevel="1" x14ac:dyDescent="0.2">
      <c r="A205" s="627" t="s">
        <v>1374</v>
      </c>
      <c r="B205" s="628" t="s">
        <v>1036</v>
      </c>
      <c r="C205" s="629" t="s">
        <v>79</v>
      </c>
      <c r="D205" s="630">
        <v>255.84</v>
      </c>
      <c r="E205" s="622"/>
      <c r="F205" s="334"/>
      <c r="K205" s="334"/>
      <c r="L205" s="334"/>
      <c r="M205" s="334"/>
      <c r="N205" s="334"/>
      <c r="O205" s="334"/>
    </row>
    <row r="206" spans="1:15" ht="12.75" hidden="1" customHeight="1" outlineLevel="1" x14ac:dyDescent="0.2">
      <c r="A206" s="623" t="s">
        <v>1375</v>
      </c>
      <c r="B206" s="624" t="s">
        <v>412</v>
      </c>
      <c r="C206" s="625" t="s">
        <v>88</v>
      </c>
      <c r="D206" s="626">
        <v>247.07</v>
      </c>
      <c r="E206" s="622"/>
      <c r="F206" s="334"/>
      <c r="K206" s="334"/>
      <c r="L206" s="334"/>
      <c r="M206" s="334"/>
      <c r="N206" s="334"/>
      <c r="O206" s="334"/>
    </row>
    <row r="207" spans="1:15" ht="12.75" hidden="1" customHeight="1" outlineLevel="1" x14ac:dyDescent="0.2">
      <c r="A207" s="627" t="s">
        <v>1376</v>
      </c>
      <c r="B207" s="628" t="s">
        <v>1040</v>
      </c>
      <c r="C207" s="629" t="s">
        <v>79</v>
      </c>
      <c r="D207" s="630">
        <v>28.15</v>
      </c>
      <c r="E207" s="622"/>
      <c r="F207" s="334"/>
      <c r="K207" s="334"/>
      <c r="L207" s="334"/>
      <c r="M207" s="334"/>
      <c r="N207" s="334"/>
      <c r="O207" s="334"/>
    </row>
    <row r="208" spans="1:15" ht="12.75" hidden="1" customHeight="1" outlineLevel="1" x14ac:dyDescent="0.2">
      <c r="A208" s="623" t="s">
        <v>1377</v>
      </c>
      <c r="B208" s="624" t="s">
        <v>1042</v>
      </c>
      <c r="C208" s="625" t="s">
        <v>79</v>
      </c>
      <c r="D208" s="626">
        <v>19.34</v>
      </c>
      <c r="E208" s="622"/>
      <c r="F208" s="334"/>
      <c r="G208" s="334"/>
      <c r="H208" s="602"/>
      <c r="I208" s="334"/>
      <c r="J208" s="334"/>
      <c r="K208" s="334"/>
      <c r="L208" s="334"/>
      <c r="M208" s="334"/>
      <c r="N208" s="334"/>
      <c r="O208" s="334"/>
    </row>
    <row r="209" spans="1:15" ht="12.75" hidden="1" customHeight="1" outlineLevel="1" x14ac:dyDescent="0.2">
      <c r="A209" s="618" t="s">
        <v>1378</v>
      </c>
      <c r="B209" s="619" t="s">
        <v>1112</v>
      </c>
      <c r="C209" s="620"/>
      <c r="D209" s="621"/>
      <c r="E209" s="622"/>
      <c r="F209" s="334"/>
      <c r="G209" s="334"/>
      <c r="H209" s="602"/>
      <c r="I209" s="334"/>
      <c r="J209" s="334"/>
      <c r="K209" s="334"/>
      <c r="L209" s="334"/>
      <c r="M209" s="334"/>
      <c r="N209" s="334"/>
      <c r="O209" s="334"/>
    </row>
    <row r="210" spans="1:15" ht="12.75" hidden="1" customHeight="1" outlineLevel="1" x14ac:dyDescent="0.2">
      <c r="A210" s="627" t="s">
        <v>1379</v>
      </c>
      <c r="B210" s="628" t="s">
        <v>1034</v>
      </c>
      <c r="C210" s="629" t="s">
        <v>79</v>
      </c>
      <c r="D210" s="630">
        <v>14.6</v>
      </c>
      <c r="E210" s="622"/>
      <c r="F210" s="334"/>
      <c r="G210" s="334"/>
      <c r="H210" s="602"/>
      <c r="I210" s="334"/>
      <c r="J210" s="334"/>
      <c r="K210" s="334"/>
      <c r="L210" s="334"/>
      <c r="M210" s="334"/>
      <c r="N210" s="334"/>
      <c r="O210" s="334"/>
    </row>
    <row r="211" spans="1:15" ht="12.75" hidden="1" customHeight="1" outlineLevel="1" x14ac:dyDescent="0.2">
      <c r="A211" s="623" t="s">
        <v>1380</v>
      </c>
      <c r="B211" s="624" t="s">
        <v>1036</v>
      </c>
      <c r="C211" s="625" t="s">
        <v>79</v>
      </c>
      <c r="D211" s="626">
        <v>240.6</v>
      </c>
      <c r="E211" s="622"/>
      <c r="F211" s="334"/>
      <c r="G211" s="334"/>
      <c r="H211" s="602"/>
      <c r="I211" s="334"/>
      <c r="J211" s="334"/>
      <c r="K211" s="334"/>
      <c r="L211" s="334"/>
      <c r="M211" s="334"/>
      <c r="N211" s="334"/>
      <c r="O211" s="334"/>
    </row>
    <row r="212" spans="1:15" ht="12.75" hidden="1" customHeight="1" outlineLevel="1" x14ac:dyDescent="0.2">
      <c r="A212" s="627" t="s">
        <v>1381</v>
      </c>
      <c r="B212" s="628" t="s">
        <v>412</v>
      </c>
      <c r="C212" s="629" t="s">
        <v>88</v>
      </c>
      <c r="D212" s="630">
        <v>260.01</v>
      </c>
      <c r="E212" s="622"/>
      <c r="F212" s="334"/>
      <c r="G212" s="334"/>
      <c r="H212" s="602"/>
      <c r="I212" s="334"/>
      <c r="J212" s="334"/>
      <c r="K212" s="334"/>
      <c r="L212" s="334"/>
      <c r="M212" s="334"/>
      <c r="N212" s="334"/>
      <c r="O212" s="334"/>
    </row>
    <row r="213" spans="1:15" ht="12.75" hidden="1" customHeight="1" outlineLevel="1" x14ac:dyDescent="0.2">
      <c r="A213" s="623" t="s">
        <v>1382</v>
      </c>
      <c r="B213" s="624" t="s">
        <v>1040</v>
      </c>
      <c r="C213" s="625" t="s">
        <v>79</v>
      </c>
      <c r="D213" s="626">
        <v>14.6</v>
      </c>
      <c r="E213" s="622"/>
      <c r="F213" s="334"/>
      <c r="G213" s="334"/>
      <c r="H213" s="602"/>
      <c r="I213" s="334"/>
      <c r="J213" s="334"/>
      <c r="K213" s="334"/>
      <c r="L213" s="334"/>
      <c r="M213" s="334"/>
      <c r="N213" s="334"/>
      <c r="O213" s="334"/>
    </row>
    <row r="214" spans="1:15" ht="12.75" hidden="1" customHeight="1" outlineLevel="1" x14ac:dyDescent="0.2">
      <c r="A214" s="627" t="s">
        <v>1383</v>
      </c>
      <c r="B214" s="628" t="s">
        <v>1042</v>
      </c>
      <c r="C214" s="629" t="s">
        <v>79</v>
      </c>
      <c r="D214" s="630">
        <v>12.3</v>
      </c>
      <c r="E214" s="622"/>
      <c r="F214" s="334"/>
      <c r="G214" s="334"/>
      <c r="H214" s="602"/>
      <c r="I214" s="334"/>
      <c r="J214" s="334"/>
      <c r="K214" s="334"/>
      <c r="L214" s="334"/>
      <c r="M214" s="334"/>
      <c r="N214" s="334"/>
      <c r="O214" s="334"/>
    </row>
    <row r="215" spans="1:15" ht="12.75" hidden="1" customHeight="1" outlineLevel="1" x14ac:dyDescent="0.2">
      <c r="A215" s="618" t="s">
        <v>1384</v>
      </c>
      <c r="B215" s="619" t="s">
        <v>1120</v>
      </c>
      <c r="C215" s="620"/>
      <c r="D215" s="621"/>
      <c r="E215" s="622"/>
      <c r="F215" s="334"/>
      <c r="G215" s="334"/>
      <c r="H215" s="602"/>
      <c r="I215" s="334"/>
      <c r="J215" s="334"/>
      <c r="K215" s="334"/>
      <c r="L215" s="334"/>
      <c r="M215" s="334"/>
      <c r="N215" s="334"/>
      <c r="O215" s="334"/>
    </row>
    <row r="216" spans="1:15" ht="12.75" hidden="1" customHeight="1" outlineLevel="1" x14ac:dyDescent="0.2">
      <c r="A216" s="623" t="s">
        <v>1385</v>
      </c>
      <c r="B216" s="624" t="s">
        <v>1036</v>
      </c>
      <c r="C216" s="625" t="s">
        <v>79</v>
      </c>
      <c r="D216" s="626">
        <v>112.69</v>
      </c>
      <c r="E216" s="622"/>
      <c r="F216" s="334"/>
      <c r="G216" s="334"/>
      <c r="H216" s="602"/>
      <c r="I216" s="334"/>
      <c r="J216" s="334"/>
      <c r="K216" s="334"/>
      <c r="L216" s="334"/>
      <c r="M216" s="334"/>
      <c r="N216" s="334"/>
      <c r="O216" s="334"/>
    </row>
    <row r="217" spans="1:15" ht="12.75" hidden="1" customHeight="1" outlineLevel="1" x14ac:dyDescent="0.2">
      <c r="A217" s="627" t="s">
        <v>1386</v>
      </c>
      <c r="B217" s="628" t="s">
        <v>412</v>
      </c>
      <c r="C217" s="629" t="s">
        <v>88</v>
      </c>
      <c r="D217" s="630">
        <v>35.99</v>
      </c>
      <c r="E217" s="622"/>
      <c r="F217" s="334"/>
      <c r="G217" s="334"/>
      <c r="H217" s="602"/>
      <c r="I217" s="334"/>
      <c r="J217" s="334"/>
      <c r="K217" s="334"/>
      <c r="L217" s="334"/>
      <c r="M217" s="334"/>
      <c r="N217" s="334"/>
      <c r="O217" s="334"/>
    </row>
    <row r="218" spans="1:15" ht="12.75" hidden="1" customHeight="1" outlineLevel="1" x14ac:dyDescent="0.2">
      <c r="A218" s="618" t="s">
        <v>1387</v>
      </c>
      <c r="B218" s="619" t="s">
        <v>1127</v>
      </c>
      <c r="C218" s="620"/>
      <c r="D218" s="621"/>
      <c r="E218" s="622"/>
      <c r="F218" s="334"/>
      <c r="G218" s="334"/>
      <c r="H218" s="602"/>
      <c r="I218" s="334"/>
      <c r="J218" s="334"/>
      <c r="K218" s="334"/>
      <c r="L218" s="334"/>
      <c r="M218" s="334"/>
      <c r="N218" s="334"/>
      <c r="O218" s="334"/>
    </row>
    <row r="219" spans="1:15" ht="12.75" hidden="1" customHeight="1" outlineLevel="1" x14ac:dyDescent="0.2">
      <c r="A219" s="623" t="s">
        <v>1388</v>
      </c>
      <c r="B219" s="624" t="s">
        <v>1034</v>
      </c>
      <c r="C219" s="625" t="s">
        <v>79</v>
      </c>
      <c r="D219" s="626">
        <v>1.1499999999999999</v>
      </c>
      <c r="E219" s="622"/>
      <c r="F219" s="334"/>
      <c r="G219" s="334"/>
      <c r="H219" s="602"/>
      <c r="I219" s="334"/>
      <c r="J219" s="334"/>
      <c r="K219" s="334"/>
      <c r="L219" s="334"/>
      <c r="M219" s="334"/>
      <c r="N219" s="334"/>
      <c r="O219" s="334"/>
    </row>
    <row r="220" spans="1:15" ht="12.75" hidden="1" customHeight="1" outlineLevel="1" x14ac:dyDescent="0.2">
      <c r="A220" s="627" t="s">
        <v>1389</v>
      </c>
      <c r="B220" s="628" t="s">
        <v>1036</v>
      </c>
      <c r="C220" s="629" t="s">
        <v>79</v>
      </c>
      <c r="D220" s="630">
        <v>115.82</v>
      </c>
      <c r="E220" s="622"/>
      <c r="F220" s="334"/>
      <c r="G220" s="334"/>
      <c r="H220" s="602"/>
      <c r="I220" s="334"/>
      <c r="J220" s="334"/>
      <c r="K220" s="334"/>
      <c r="L220" s="334"/>
      <c r="M220" s="334"/>
      <c r="N220" s="334"/>
      <c r="O220" s="334"/>
    </row>
    <row r="221" spans="1:15" ht="12.75" hidden="1" customHeight="1" outlineLevel="1" x14ac:dyDescent="0.2">
      <c r="A221" s="623" t="s">
        <v>1390</v>
      </c>
      <c r="B221" s="624" t="s">
        <v>412</v>
      </c>
      <c r="C221" s="625" t="s">
        <v>88</v>
      </c>
      <c r="D221" s="626">
        <v>131.41999999999999</v>
      </c>
      <c r="E221" s="622"/>
      <c r="F221" s="334"/>
      <c r="G221" s="334"/>
      <c r="H221" s="602"/>
      <c r="I221" s="334"/>
      <c r="J221" s="334"/>
      <c r="K221" s="334"/>
      <c r="L221" s="334"/>
      <c r="M221" s="334"/>
      <c r="N221" s="334"/>
      <c r="O221" s="334"/>
    </row>
    <row r="222" spans="1:15" ht="12.75" hidden="1" customHeight="1" outlineLevel="1" x14ac:dyDescent="0.2">
      <c r="A222" s="627" t="s">
        <v>1391</v>
      </c>
      <c r="B222" s="628" t="s">
        <v>1040</v>
      </c>
      <c r="C222" s="629" t="s">
        <v>79</v>
      </c>
      <c r="D222" s="630">
        <v>3.8</v>
      </c>
      <c r="E222" s="622"/>
      <c r="F222" s="334"/>
      <c r="G222" s="334"/>
      <c r="H222" s="602"/>
      <c r="I222" s="334"/>
      <c r="J222" s="334"/>
      <c r="K222" s="334"/>
      <c r="L222" s="334"/>
      <c r="M222" s="334"/>
      <c r="N222" s="334"/>
      <c r="O222" s="334"/>
    </row>
    <row r="223" spans="1:15" ht="12.75" hidden="1" customHeight="1" outlineLevel="1" x14ac:dyDescent="0.2">
      <c r="A223" s="623" t="s">
        <v>1392</v>
      </c>
      <c r="B223" s="624" t="s">
        <v>1042</v>
      </c>
      <c r="C223" s="625" t="s">
        <v>79</v>
      </c>
      <c r="D223" s="626">
        <v>8.74</v>
      </c>
      <c r="E223" s="622"/>
      <c r="F223" s="334"/>
      <c r="G223" s="334"/>
      <c r="H223" s="602"/>
      <c r="I223" s="334"/>
      <c r="J223" s="334"/>
      <c r="K223" s="334"/>
      <c r="L223" s="334"/>
      <c r="M223" s="334"/>
      <c r="N223" s="334"/>
      <c r="O223" s="334"/>
    </row>
    <row r="224" spans="1:15" ht="12.75" hidden="1" customHeight="1" outlineLevel="1" x14ac:dyDescent="0.2">
      <c r="A224" s="618" t="s">
        <v>1393</v>
      </c>
      <c r="B224" s="619" t="s">
        <v>1137</v>
      </c>
      <c r="C224" s="620"/>
      <c r="D224" s="621"/>
      <c r="E224" s="622"/>
      <c r="F224" s="334"/>
      <c r="G224" s="334"/>
      <c r="H224" s="602"/>
      <c r="I224" s="334"/>
      <c r="J224" s="334"/>
      <c r="K224" s="334"/>
      <c r="L224" s="334"/>
      <c r="M224" s="334"/>
      <c r="N224" s="334"/>
      <c r="O224" s="334"/>
    </row>
    <row r="225" spans="1:15" ht="12.75" hidden="1" customHeight="1" outlineLevel="1" x14ac:dyDescent="0.2">
      <c r="A225" s="627" t="s">
        <v>1394</v>
      </c>
      <c r="B225" s="628" t="s">
        <v>1036</v>
      </c>
      <c r="C225" s="629" t="s">
        <v>79</v>
      </c>
      <c r="D225" s="630">
        <v>50.93</v>
      </c>
      <c r="E225" s="622"/>
      <c r="F225" s="334"/>
      <c r="G225" s="334"/>
      <c r="H225" s="602"/>
      <c r="I225" s="334"/>
      <c r="J225" s="334"/>
      <c r="K225" s="334"/>
      <c r="L225" s="334"/>
      <c r="M225" s="334"/>
      <c r="N225" s="334"/>
      <c r="O225" s="334"/>
    </row>
    <row r="226" spans="1:15" ht="12.75" hidden="1" customHeight="1" outlineLevel="1" x14ac:dyDescent="0.2">
      <c r="A226" s="623" t="s">
        <v>1395</v>
      </c>
      <c r="B226" s="624" t="s">
        <v>412</v>
      </c>
      <c r="C226" s="625" t="s">
        <v>88</v>
      </c>
      <c r="D226" s="626">
        <v>29.12</v>
      </c>
      <c r="E226" s="622"/>
      <c r="F226" s="334"/>
      <c r="G226" s="334"/>
      <c r="H226" s="602"/>
      <c r="I226" s="334"/>
      <c r="J226" s="334"/>
      <c r="K226" s="334"/>
      <c r="L226" s="334"/>
      <c r="M226" s="334"/>
      <c r="N226" s="334"/>
      <c r="O226" s="334"/>
    </row>
    <row r="227" spans="1:15" ht="12.75" hidden="1" customHeight="1" outlineLevel="1" x14ac:dyDescent="0.2">
      <c r="A227" s="627" t="s">
        <v>1396</v>
      </c>
      <c r="B227" s="628" t="s">
        <v>1042</v>
      </c>
      <c r="C227" s="629" t="s">
        <v>79</v>
      </c>
      <c r="D227" s="630">
        <v>1.94</v>
      </c>
      <c r="E227" s="622"/>
      <c r="F227" s="334"/>
      <c r="G227" s="334"/>
      <c r="H227" s="602"/>
      <c r="I227" s="334"/>
      <c r="J227" s="334"/>
      <c r="K227" s="334"/>
      <c r="L227" s="334"/>
      <c r="M227" s="334"/>
      <c r="N227" s="334"/>
      <c r="O227" s="334"/>
    </row>
    <row r="228" spans="1:15" ht="12.75" hidden="1" customHeight="1" outlineLevel="1" x14ac:dyDescent="0.2">
      <c r="A228" s="618" t="s">
        <v>1397</v>
      </c>
      <c r="B228" s="619" t="s">
        <v>1140</v>
      </c>
      <c r="C228" s="620"/>
      <c r="D228" s="621"/>
      <c r="E228" s="622"/>
      <c r="F228" s="334"/>
      <c r="G228" s="334"/>
      <c r="H228" s="602"/>
      <c r="I228" s="334"/>
      <c r="J228" s="334"/>
      <c r="K228" s="334"/>
      <c r="L228" s="334"/>
      <c r="M228" s="334"/>
      <c r="N228" s="334"/>
      <c r="O228" s="334"/>
    </row>
    <row r="229" spans="1:15" ht="12.75" hidden="1" customHeight="1" outlineLevel="1" x14ac:dyDescent="0.2">
      <c r="A229" s="623" t="s">
        <v>1398</v>
      </c>
      <c r="B229" s="624" t="s">
        <v>1036</v>
      </c>
      <c r="C229" s="625" t="s">
        <v>79</v>
      </c>
      <c r="D229" s="626">
        <v>15.86</v>
      </c>
      <c r="E229" s="622"/>
      <c r="F229" s="334"/>
      <c r="G229" s="334"/>
      <c r="H229" s="602"/>
      <c r="I229" s="334"/>
      <c r="J229" s="334"/>
      <c r="K229" s="334"/>
      <c r="L229" s="334"/>
      <c r="M229" s="334"/>
      <c r="N229" s="334"/>
      <c r="O229" s="334"/>
    </row>
    <row r="230" spans="1:15" ht="12.75" hidden="1" customHeight="1" outlineLevel="1" x14ac:dyDescent="0.2">
      <c r="A230" s="627" t="s">
        <v>1399</v>
      </c>
      <c r="B230" s="628" t="s">
        <v>412</v>
      </c>
      <c r="C230" s="629" t="s">
        <v>88</v>
      </c>
      <c r="D230" s="630">
        <v>8.57</v>
      </c>
      <c r="E230" s="622"/>
      <c r="F230" s="334"/>
      <c r="G230" s="334"/>
      <c r="H230" s="602"/>
      <c r="I230" s="334"/>
      <c r="J230" s="334"/>
      <c r="K230" s="334"/>
      <c r="L230" s="334"/>
      <c r="M230" s="334"/>
      <c r="N230" s="334"/>
      <c r="O230" s="334"/>
    </row>
    <row r="231" spans="1:15" ht="12.75" customHeight="1" collapsed="1" x14ac:dyDescent="0.2">
      <c r="A231" s="614" t="s">
        <v>1400</v>
      </c>
      <c r="B231" s="615" t="s">
        <v>5095</v>
      </c>
      <c r="C231" s="616"/>
      <c r="D231" s="617"/>
      <c r="E231" s="334"/>
      <c r="F231" s="334"/>
      <c r="G231" s="334"/>
      <c r="H231" s="602"/>
      <c r="I231" s="334"/>
      <c r="J231" s="334"/>
      <c r="K231" s="334"/>
      <c r="L231" s="334"/>
      <c r="M231" s="334"/>
      <c r="N231" s="334"/>
      <c r="O231" s="334"/>
    </row>
    <row r="232" spans="1:15" ht="12.75" hidden="1" customHeight="1" outlineLevel="1" x14ac:dyDescent="0.2">
      <c r="A232" s="980" t="s">
        <v>1402</v>
      </c>
      <c r="B232" s="981" t="s">
        <v>1009</v>
      </c>
      <c r="C232" s="982"/>
      <c r="D232" s="983"/>
      <c r="E232" s="975"/>
      <c r="F232" s="334"/>
      <c r="G232" s="334"/>
      <c r="H232" s="602"/>
      <c r="I232" s="334"/>
      <c r="J232" s="334"/>
      <c r="K232" s="334"/>
      <c r="L232" s="334"/>
      <c r="M232" s="334"/>
      <c r="N232" s="334"/>
      <c r="O232" s="334"/>
    </row>
    <row r="233" spans="1:15" ht="12.75" hidden="1" customHeight="1" outlineLevel="1" x14ac:dyDescent="0.2">
      <c r="A233" s="984" t="s">
        <v>1403</v>
      </c>
      <c r="B233" s="985" t="s">
        <v>5096</v>
      </c>
      <c r="C233" s="986" t="s">
        <v>100</v>
      </c>
      <c r="D233" s="987">
        <v>64.430000000000007</v>
      </c>
      <c r="E233" s="975"/>
      <c r="F233" s="334"/>
      <c r="G233" s="334"/>
      <c r="H233" s="602"/>
      <c r="I233" s="334"/>
      <c r="J233" s="334"/>
      <c r="K233" s="334"/>
      <c r="L233" s="334"/>
      <c r="M233" s="334"/>
      <c r="N233" s="334"/>
      <c r="O233" s="334"/>
    </row>
    <row r="234" spans="1:15" ht="12.75" hidden="1" customHeight="1" outlineLevel="1" x14ac:dyDescent="0.2">
      <c r="A234" s="988" t="s">
        <v>1404</v>
      </c>
      <c r="B234" s="989" t="s">
        <v>5097</v>
      </c>
      <c r="C234" s="990" t="s">
        <v>100</v>
      </c>
      <c r="D234" s="991">
        <v>639.79999999999995</v>
      </c>
      <c r="E234" s="975"/>
      <c r="F234" s="334"/>
      <c r="G234" s="334"/>
      <c r="H234" s="602"/>
      <c r="I234" s="334"/>
      <c r="J234" s="334"/>
      <c r="K234" s="334"/>
      <c r="L234" s="334"/>
      <c r="M234" s="334"/>
      <c r="N234" s="334"/>
      <c r="O234" s="334"/>
    </row>
    <row r="235" spans="1:15" ht="12.75" hidden="1" customHeight="1" outlineLevel="1" x14ac:dyDescent="0.2">
      <c r="A235" s="980" t="s">
        <v>1405</v>
      </c>
      <c r="B235" s="981" t="s">
        <v>1017</v>
      </c>
      <c r="C235" s="982"/>
      <c r="D235" s="983"/>
      <c r="E235" s="975"/>
      <c r="F235" s="334"/>
      <c r="G235" s="334"/>
      <c r="H235" s="602"/>
      <c r="I235" s="334"/>
      <c r="J235" s="334"/>
      <c r="K235" s="334"/>
      <c r="L235" s="334"/>
      <c r="M235" s="334"/>
      <c r="N235" s="334"/>
      <c r="O235" s="334"/>
    </row>
    <row r="236" spans="1:15" ht="12.75" hidden="1" customHeight="1" outlineLevel="1" x14ac:dyDescent="0.2">
      <c r="A236" s="984" t="s">
        <v>1406</v>
      </c>
      <c r="B236" s="985" t="s">
        <v>5096</v>
      </c>
      <c r="C236" s="986" t="s">
        <v>100</v>
      </c>
      <c r="D236" s="987">
        <v>95.53</v>
      </c>
      <c r="E236" s="975"/>
      <c r="F236" s="334"/>
      <c r="G236" s="334"/>
      <c r="H236" s="602"/>
      <c r="I236" s="334"/>
      <c r="J236" s="334"/>
      <c r="K236" s="334"/>
      <c r="L236" s="334"/>
      <c r="M236" s="334"/>
      <c r="N236" s="334"/>
      <c r="O236" s="334"/>
    </row>
    <row r="237" spans="1:15" ht="12.75" hidden="1" customHeight="1" outlineLevel="1" x14ac:dyDescent="0.2">
      <c r="A237" s="988" t="s">
        <v>1407</v>
      </c>
      <c r="B237" s="989" t="s">
        <v>5097</v>
      </c>
      <c r="C237" s="990" t="s">
        <v>100</v>
      </c>
      <c r="D237" s="991">
        <v>288.02</v>
      </c>
      <c r="E237" s="975"/>
      <c r="F237" s="334"/>
      <c r="G237" s="334"/>
      <c r="H237" s="602"/>
      <c r="I237" s="334"/>
      <c r="J237" s="334"/>
      <c r="K237" s="334"/>
      <c r="L237" s="334"/>
      <c r="M237" s="334"/>
      <c r="N237" s="334"/>
      <c r="O237" s="334"/>
    </row>
    <row r="238" spans="1:15" ht="12.75" hidden="1" customHeight="1" outlineLevel="1" x14ac:dyDescent="0.2">
      <c r="A238" s="980" t="s">
        <v>5098</v>
      </c>
      <c r="B238" s="981" t="s">
        <v>1021</v>
      </c>
      <c r="C238" s="982"/>
      <c r="D238" s="983"/>
      <c r="E238" s="975"/>
      <c r="F238" s="334"/>
      <c r="G238" s="334"/>
      <c r="H238" s="602"/>
      <c r="I238" s="334"/>
      <c r="J238" s="334"/>
      <c r="K238" s="334"/>
      <c r="L238" s="334"/>
      <c r="M238" s="334"/>
      <c r="N238" s="334"/>
      <c r="O238" s="334"/>
    </row>
    <row r="239" spans="1:15" ht="12.75" hidden="1" customHeight="1" outlineLevel="1" x14ac:dyDescent="0.2">
      <c r="A239" s="984" t="s">
        <v>5099</v>
      </c>
      <c r="B239" s="985" t="s">
        <v>5096</v>
      </c>
      <c r="C239" s="986" t="s">
        <v>100</v>
      </c>
      <c r="D239" s="987">
        <v>76.5</v>
      </c>
      <c r="E239" s="975"/>
      <c r="F239" s="334"/>
      <c r="G239" s="334"/>
      <c r="H239" s="602"/>
      <c r="I239" s="334"/>
      <c r="J239" s="334"/>
      <c r="K239" s="334"/>
      <c r="L239" s="334"/>
      <c r="M239" s="334"/>
      <c r="N239" s="334"/>
      <c r="O239" s="334"/>
    </row>
    <row r="240" spans="1:15" ht="12.75" hidden="1" customHeight="1" outlineLevel="1" x14ac:dyDescent="0.2">
      <c r="A240" s="988" t="s">
        <v>5100</v>
      </c>
      <c r="B240" s="989" t="s">
        <v>5097</v>
      </c>
      <c r="C240" s="990" t="s">
        <v>100</v>
      </c>
      <c r="D240" s="991">
        <v>982.54</v>
      </c>
      <c r="E240" s="975"/>
      <c r="F240" s="334"/>
      <c r="G240" s="334"/>
      <c r="H240" s="602"/>
      <c r="I240" s="334"/>
      <c r="J240" s="334"/>
      <c r="K240" s="334"/>
      <c r="L240" s="334"/>
      <c r="M240" s="334"/>
      <c r="N240" s="334"/>
      <c r="O240" s="334"/>
    </row>
    <row r="241" spans="1:15" ht="12.75" hidden="1" customHeight="1" outlineLevel="1" x14ac:dyDescent="0.2">
      <c r="A241" s="980" t="s">
        <v>5101</v>
      </c>
      <c r="B241" s="981" t="s">
        <v>1030</v>
      </c>
      <c r="C241" s="982"/>
      <c r="D241" s="983"/>
      <c r="E241" s="975"/>
      <c r="F241" s="334"/>
      <c r="G241" s="334"/>
      <c r="H241" s="602"/>
      <c r="I241" s="334"/>
      <c r="J241" s="334"/>
      <c r="K241" s="334"/>
      <c r="L241" s="334"/>
      <c r="M241" s="334"/>
      <c r="N241" s="334"/>
      <c r="O241" s="334"/>
    </row>
    <row r="242" spans="1:15" ht="12.75" hidden="1" customHeight="1" outlineLevel="1" x14ac:dyDescent="0.2">
      <c r="A242" s="984" t="s">
        <v>5102</v>
      </c>
      <c r="B242" s="985" t="s">
        <v>5096</v>
      </c>
      <c r="C242" s="986" t="s">
        <v>100</v>
      </c>
      <c r="D242" s="987">
        <v>76.72</v>
      </c>
      <c r="E242" s="975"/>
      <c r="F242" s="334"/>
      <c r="G242" s="334"/>
      <c r="H242" s="602"/>
      <c r="I242" s="334"/>
      <c r="J242" s="334"/>
      <c r="K242" s="334"/>
      <c r="L242" s="334"/>
      <c r="M242" s="334"/>
      <c r="N242" s="334"/>
      <c r="O242" s="334"/>
    </row>
    <row r="243" spans="1:15" ht="12.75" hidden="1" customHeight="1" outlineLevel="1" x14ac:dyDescent="0.2">
      <c r="A243" s="988" t="s">
        <v>5103</v>
      </c>
      <c r="B243" s="989" t="s">
        <v>5097</v>
      </c>
      <c r="C243" s="990" t="s">
        <v>100</v>
      </c>
      <c r="D243" s="991">
        <v>842.19</v>
      </c>
      <c r="E243" s="975"/>
      <c r="F243" s="334"/>
      <c r="G243" s="334"/>
      <c r="H243" s="602"/>
      <c r="I243" s="334"/>
      <c r="J243" s="334"/>
      <c r="K243" s="334"/>
      <c r="L243" s="334"/>
      <c r="M243" s="334"/>
      <c r="N243" s="334"/>
      <c r="O243" s="334"/>
    </row>
    <row r="244" spans="1:15" ht="12.75" hidden="1" customHeight="1" outlineLevel="1" x14ac:dyDescent="0.2">
      <c r="A244" s="980" t="s">
        <v>5104</v>
      </c>
      <c r="B244" s="981" t="s">
        <v>1039</v>
      </c>
      <c r="C244" s="982"/>
      <c r="D244" s="983"/>
      <c r="E244" s="975"/>
      <c r="F244" s="334"/>
      <c r="G244" s="334"/>
      <c r="H244" s="602"/>
      <c r="I244" s="334"/>
      <c r="J244" s="334"/>
      <c r="K244" s="334"/>
      <c r="L244" s="334"/>
      <c r="M244" s="334"/>
      <c r="N244" s="334"/>
      <c r="O244" s="334"/>
    </row>
    <row r="245" spans="1:15" ht="12.75" hidden="1" customHeight="1" outlineLevel="1" x14ac:dyDescent="0.2">
      <c r="A245" s="984" t="s">
        <v>5105</v>
      </c>
      <c r="B245" s="985" t="s">
        <v>5096</v>
      </c>
      <c r="C245" s="986" t="s">
        <v>100</v>
      </c>
      <c r="D245" s="987">
        <v>76.88</v>
      </c>
      <c r="E245" s="975"/>
      <c r="F245" s="334"/>
      <c r="G245" s="334"/>
      <c r="H245" s="602"/>
      <c r="I245" s="334"/>
      <c r="J245" s="334"/>
      <c r="K245" s="334"/>
      <c r="L245" s="334"/>
      <c r="M245" s="334"/>
      <c r="N245" s="334"/>
      <c r="O245" s="334"/>
    </row>
    <row r="246" spans="1:15" ht="12.75" hidden="1" customHeight="1" outlineLevel="1" x14ac:dyDescent="0.2">
      <c r="A246" s="988" t="s">
        <v>5106</v>
      </c>
      <c r="B246" s="989" t="s">
        <v>5097</v>
      </c>
      <c r="C246" s="990" t="s">
        <v>100</v>
      </c>
      <c r="D246" s="991">
        <v>826.15</v>
      </c>
      <c r="E246" s="975"/>
      <c r="F246" s="334"/>
      <c r="G246" s="334"/>
      <c r="H246" s="602"/>
      <c r="I246" s="334"/>
      <c r="J246" s="334"/>
      <c r="K246" s="334"/>
      <c r="L246" s="334"/>
      <c r="M246" s="334"/>
      <c r="N246" s="334"/>
      <c r="O246" s="334"/>
    </row>
    <row r="247" spans="1:15" ht="12.75" hidden="1" customHeight="1" outlineLevel="1" x14ac:dyDescent="0.2">
      <c r="A247" s="980" t="s">
        <v>5107</v>
      </c>
      <c r="B247" s="981" t="s">
        <v>1047</v>
      </c>
      <c r="C247" s="982"/>
      <c r="D247" s="983"/>
      <c r="E247" s="975"/>
      <c r="F247" s="334"/>
      <c r="G247" s="334"/>
      <c r="H247" s="602"/>
      <c r="I247" s="334"/>
      <c r="J247" s="334"/>
      <c r="K247" s="334"/>
      <c r="L247" s="334"/>
      <c r="M247" s="334"/>
      <c r="N247" s="334"/>
      <c r="O247" s="334"/>
    </row>
    <row r="248" spans="1:15" ht="12.75" hidden="1" customHeight="1" outlineLevel="1" x14ac:dyDescent="0.2">
      <c r="A248" s="984" t="s">
        <v>5108</v>
      </c>
      <c r="B248" s="985" t="s">
        <v>5096</v>
      </c>
      <c r="C248" s="986" t="s">
        <v>100</v>
      </c>
      <c r="D248" s="987">
        <v>76.72</v>
      </c>
      <c r="E248" s="975"/>
      <c r="F248" s="334"/>
      <c r="G248" s="334"/>
      <c r="H248" s="602"/>
      <c r="I248" s="334"/>
      <c r="J248" s="334"/>
      <c r="K248" s="334"/>
      <c r="L248" s="334"/>
      <c r="M248" s="334"/>
      <c r="N248" s="334"/>
      <c r="O248" s="334"/>
    </row>
    <row r="249" spans="1:15" ht="12.75" hidden="1" customHeight="1" outlineLevel="1" x14ac:dyDescent="0.2">
      <c r="A249" s="988" t="s">
        <v>5109</v>
      </c>
      <c r="B249" s="989" t="s">
        <v>5097</v>
      </c>
      <c r="C249" s="990" t="s">
        <v>100</v>
      </c>
      <c r="D249" s="991">
        <v>842.07</v>
      </c>
      <c r="E249" s="975"/>
      <c r="F249" s="334"/>
      <c r="G249" s="334"/>
      <c r="H249" s="602"/>
      <c r="I249" s="334"/>
      <c r="J249" s="334"/>
      <c r="K249" s="334"/>
      <c r="L249" s="334"/>
      <c r="M249" s="334"/>
      <c r="N249" s="334"/>
      <c r="O249" s="334"/>
    </row>
    <row r="250" spans="1:15" ht="12.75" hidden="1" customHeight="1" outlineLevel="1" x14ac:dyDescent="0.2">
      <c r="A250" s="980" t="s">
        <v>5110</v>
      </c>
      <c r="B250" s="981" t="s">
        <v>1058</v>
      </c>
      <c r="C250" s="982"/>
      <c r="D250" s="983"/>
      <c r="E250" s="975"/>
      <c r="F250" s="334"/>
      <c r="G250" s="334"/>
      <c r="H250" s="602"/>
      <c r="I250" s="334"/>
      <c r="J250" s="334"/>
      <c r="K250" s="334"/>
      <c r="L250" s="334"/>
      <c r="M250" s="334"/>
      <c r="N250" s="334"/>
      <c r="O250" s="334"/>
    </row>
    <row r="251" spans="1:15" ht="12.75" hidden="1" customHeight="1" outlineLevel="1" x14ac:dyDescent="0.2">
      <c r="A251" s="984" t="s">
        <v>5111</v>
      </c>
      <c r="B251" s="985" t="s">
        <v>5096</v>
      </c>
      <c r="C251" s="986" t="s">
        <v>100</v>
      </c>
      <c r="D251" s="987">
        <v>76.72</v>
      </c>
      <c r="E251" s="975"/>
      <c r="F251" s="334"/>
      <c r="G251" s="334"/>
      <c r="H251" s="602"/>
      <c r="I251" s="334"/>
      <c r="J251" s="334"/>
      <c r="K251" s="334"/>
      <c r="L251" s="334"/>
      <c r="M251" s="334"/>
      <c r="N251" s="334"/>
      <c r="O251" s="334"/>
    </row>
    <row r="252" spans="1:15" ht="12.75" hidden="1" customHeight="1" outlineLevel="1" x14ac:dyDescent="0.2">
      <c r="A252" s="988" t="s">
        <v>5112</v>
      </c>
      <c r="B252" s="989" t="s">
        <v>5097</v>
      </c>
      <c r="C252" s="990" t="s">
        <v>100</v>
      </c>
      <c r="D252" s="991">
        <v>842.07</v>
      </c>
      <c r="E252" s="975"/>
      <c r="F252" s="334"/>
      <c r="G252" s="334"/>
      <c r="H252" s="602"/>
      <c r="I252" s="334"/>
      <c r="J252" s="334"/>
      <c r="K252" s="334"/>
      <c r="L252" s="334"/>
      <c r="M252" s="334"/>
      <c r="N252" s="334"/>
      <c r="O252" s="334"/>
    </row>
    <row r="253" spans="1:15" ht="12.75" hidden="1" customHeight="1" outlineLevel="1" x14ac:dyDescent="0.2">
      <c r="A253" s="980" t="s">
        <v>5113</v>
      </c>
      <c r="B253" s="981" t="s">
        <v>1069</v>
      </c>
      <c r="C253" s="982"/>
      <c r="D253" s="983"/>
      <c r="E253" s="975"/>
      <c r="F253" s="334"/>
      <c r="G253" s="334"/>
      <c r="H253" s="602"/>
      <c r="I253" s="334"/>
      <c r="J253" s="334"/>
      <c r="K253" s="334"/>
      <c r="L253" s="334"/>
      <c r="M253" s="334"/>
      <c r="N253" s="334"/>
      <c r="O253" s="334"/>
    </row>
    <row r="254" spans="1:15" ht="12.75" hidden="1" customHeight="1" outlineLevel="1" x14ac:dyDescent="0.2">
      <c r="A254" s="984" t="s">
        <v>5114</v>
      </c>
      <c r="B254" s="985" t="s">
        <v>5096</v>
      </c>
      <c r="C254" s="986" t="s">
        <v>100</v>
      </c>
      <c r="D254" s="987">
        <v>76.72</v>
      </c>
      <c r="E254" s="975"/>
      <c r="F254" s="334"/>
      <c r="G254" s="334"/>
      <c r="H254" s="602"/>
      <c r="I254" s="334"/>
      <c r="J254" s="334"/>
      <c r="K254" s="334"/>
      <c r="L254" s="334"/>
      <c r="M254" s="334"/>
      <c r="N254" s="334"/>
      <c r="O254" s="334"/>
    </row>
    <row r="255" spans="1:15" ht="12.75" hidden="1" customHeight="1" outlineLevel="1" x14ac:dyDescent="0.2">
      <c r="A255" s="988" t="s">
        <v>5115</v>
      </c>
      <c r="B255" s="989" t="s">
        <v>5097</v>
      </c>
      <c r="C255" s="990" t="s">
        <v>100</v>
      </c>
      <c r="D255" s="991">
        <v>842.07</v>
      </c>
      <c r="E255" s="975"/>
      <c r="F255" s="334"/>
      <c r="G255" s="334"/>
      <c r="H255" s="602"/>
      <c r="I255" s="334"/>
      <c r="J255" s="334"/>
      <c r="K255" s="334"/>
      <c r="L255" s="334"/>
      <c r="M255" s="334"/>
      <c r="N255" s="334"/>
      <c r="O255" s="334"/>
    </row>
    <row r="256" spans="1:15" ht="12.75" hidden="1" customHeight="1" outlineLevel="1" x14ac:dyDescent="0.2">
      <c r="A256" s="980" t="s">
        <v>5116</v>
      </c>
      <c r="B256" s="981" t="s">
        <v>1079</v>
      </c>
      <c r="C256" s="982"/>
      <c r="D256" s="983"/>
      <c r="E256" s="975"/>
      <c r="F256" s="334"/>
      <c r="G256" s="334"/>
      <c r="H256" s="602"/>
      <c r="I256" s="334"/>
      <c r="J256" s="334"/>
      <c r="K256" s="334"/>
      <c r="L256" s="334"/>
      <c r="M256" s="334"/>
      <c r="N256" s="334"/>
      <c r="O256" s="334"/>
    </row>
    <row r="257" spans="1:15" ht="12.75" hidden="1" customHeight="1" outlineLevel="1" x14ac:dyDescent="0.2">
      <c r="A257" s="984" t="s">
        <v>5117</v>
      </c>
      <c r="B257" s="985" t="s">
        <v>5096</v>
      </c>
      <c r="C257" s="986" t="s">
        <v>100</v>
      </c>
      <c r="D257" s="987">
        <v>76.72</v>
      </c>
      <c r="E257" s="975"/>
      <c r="F257" s="334"/>
      <c r="G257" s="334"/>
      <c r="H257" s="602"/>
      <c r="I257" s="334"/>
      <c r="J257" s="334"/>
      <c r="K257" s="334"/>
      <c r="L257" s="334"/>
      <c r="M257" s="334"/>
      <c r="N257" s="334"/>
      <c r="O257" s="334"/>
    </row>
    <row r="258" spans="1:15" ht="12.75" hidden="1" customHeight="1" outlineLevel="1" x14ac:dyDescent="0.2">
      <c r="A258" s="988" t="s">
        <v>5118</v>
      </c>
      <c r="B258" s="989" t="s">
        <v>5097</v>
      </c>
      <c r="C258" s="990" t="s">
        <v>100</v>
      </c>
      <c r="D258" s="991">
        <v>842.07</v>
      </c>
      <c r="E258" s="975"/>
      <c r="F258" s="334"/>
      <c r="G258" s="334"/>
      <c r="H258" s="602"/>
      <c r="I258" s="334"/>
      <c r="J258" s="334"/>
      <c r="K258" s="334"/>
      <c r="L258" s="334"/>
      <c r="M258" s="334"/>
      <c r="N258" s="334"/>
      <c r="O258" s="334"/>
    </row>
    <row r="259" spans="1:15" ht="12.75" hidden="1" customHeight="1" outlineLevel="1" x14ac:dyDescent="0.2">
      <c r="A259" s="980" t="s">
        <v>5119</v>
      </c>
      <c r="B259" s="981" t="s">
        <v>1086</v>
      </c>
      <c r="C259" s="982"/>
      <c r="D259" s="983"/>
      <c r="E259" s="975"/>
      <c r="F259" s="334"/>
      <c r="G259" s="334"/>
      <c r="H259" s="602"/>
      <c r="I259" s="334"/>
      <c r="J259" s="334"/>
      <c r="K259" s="334"/>
      <c r="L259" s="334"/>
      <c r="M259" s="334"/>
      <c r="N259" s="334"/>
      <c r="O259" s="334"/>
    </row>
    <row r="260" spans="1:15" ht="12.75" hidden="1" customHeight="1" outlineLevel="1" x14ac:dyDescent="0.2">
      <c r="A260" s="984" t="s">
        <v>5120</v>
      </c>
      <c r="B260" s="985" t="s">
        <v>5096</v>
      </c>
      <c r="C260" s="986" t="s">
        <v>100</v>
      </c>
      <c r="D260" s="987">
        <v>76.72</v>
      </c>
      <c r="E260" s="975"/>
      <c r="F260" s="334"/>
      <c r="G260" s="334"/>
      <c r="H260" s="602"/>
      <c r="I260" s="334"/>
      <c r="J260" s="334"/>
      <c r="K260" s="334"/>
      <c r="L260" s="334"/>
      <c r="M260" s="334"/>
      <c r="N260" s="334"/>
      <c r="O260" s="334"/>
    </row>
    <row r="261" spans="1:15" ht="12.75" hidden="1" customHeight="1" outlineLevel="1" x14ac:dyDescent="0.2">
      <c r="A261" s="988" t="s">
        <v>5121</v>
      </c>
      <c r="B261" s="989" t="s">
        <v>5097</v>
      </c>
      <c r="C261" s="990" t="s">
        <v>100</v>
      </c>
      <c r="D261" s="991">
        <v>842.07</v>
      </c>
      <c r="E261" s="975"/>
      <c r="F261" s="334"/>
      <c r="G261" s="334"/>
      <c r="H261" s="602"/>
      <c r="I261" s="334"/>
      <c r="J261" s="334"/>
      <c r="K261" s="334"/>
      <c r="L261" s="334"/>
      <c r="M261" s="334"/>
      <c r="N261" s="334"/>
      <c r="O261" s="334"/>
    </row>
    <row r="262" spans="1:15" ht="12.75" hidden="1" customHeight="1" outlineLevel="1" x14ac:dyDescent="0.2">
      <c r="A262" s="980" t="s">
        <v>5122</v>
      </c>
      <c r="B262" s="981" t="s">
        <v>1094</v>
      </c>
      <c r="C262" s="982"/>
      <c r="D262" s="983"/>
      <c r="E262" s="975"/>
      <c r="F262" s="334"/>
      <c r="G262" s="334"/>
      <c r="H262" s="602"/>
      <c r="I262" s="334"/>
      <c r="J262" s="334"/>
      <c r="K262" s="334"/>
      <c r="L262" s="334"/>
      <c r="M262" s="334"/>
      <c r="N262" s="334"/>
      <c r="O262" s="334"/>
    </row>
    <row r="263" spans="1:15" ht="12.75" hidden="1" customHeight="1" outlineLevel="1" x14ac:dyDescent="0.2">
      <c r="A263" s="984" t="s">
        <v>5123</v>
      </c>
      <c r="B263" s="985" t="s">
        <v>5096</v>
      </c>
      <c r="C263" s="986" t="s">
        <v>100</v>
      </c>
      <c r="D263" s="987">
        <v>76.72</v>
      </c>
      <c r="E263" s="975"/>
      <c r="F263" s="334"/>
      <c r="G263" s="334"/>
      <c r="H263" s="602"/>
      <c r="I263" s="334"/>
      <c r="J263" s="334"/>
      <c r="K263" s="334"/>
      <c r="L263" s="334"/>
      <c r="M263" s="334"/>
      <c r="N263" s="334"/>
      <c r="O263" s="334"/>
    </row>
    <row r="264" spans="1:15" ht="12.75" hidden="1" customHeight="1" outlineLevel="1" x14ac:dyDescent="0.2">
      <c r="A264" s="988" t="s">
        <v>5124</v>
      </c>
      <c r="B264" s="989" t="s">
        <v>5097</v>
      </c>
      <c r="C264" s="990" t="s">
        <v>100</v>
      </c>
      <c r="D264" s="991">
        <v>842.07</v>
      </c>
      <c r="E264" s="975"/>
      <c r="F264" s="334"/>
      <c r="G264" s="334"/>
      <c r="H264" s="602"/>
      <c r="I264" s="334"/>
      <c r="J264" s="334"/>
      <c r="K264" s="334"/>
      <c r="L264" s="334"/>
      <c r="M264" s="334"/>
      <c r="N264" s="334"/>
      <c r="O264" s="334"/>
    </row>
    <row r="265" spans="1:15" ht="12.75" hidden="1" customHeight="1" outlineLevel="1" x14ac:dyDescent="0.2">
      <c r="A265" s="980" t="s">
        <v>5125</v>
      </c>
      <c r="B265" s="981" t="s">
        <v>1102</v>
      </c>
      <c r="C265" s="982"/>
      <c r="D265" s="983"/>
      <c r="E265" s="975"/>
      <c r="F265" s="334"/>
      <c r="G265" s="334"/>
      <c r="H265" s="602"/>
      <c r="I265" s="334"/>
      <c r="J265" s="334"/>
      <c r="K265" s="334"/>
      <c r="L265" s="334"/>
      <c r="M265" s="334"/>
      <c r="N265" s="334"/>
      <c r="O265" s="334"/>
    </row>
    <row r="266" spans="1:15" ht="12.75" hidden="1" customHeight="1" outlineLevel="1" x14ac:dyDescent="0.2">
      <c r="A266" s="984" t="s">
        <v>5126</v>
      </c>
      <c r="B266" s="985" t="s">
        <v>5096</v>
      </c>
      <c r="C266" s="986" t="s">
        <v>100</v>
      </c>
      <c r="D266" s="987">
        <v>68.47</v>
      </c>
      <c r="E266" s="975"/>
      <c r="F266" s="334"/>
      <c r="G266" s="334"/>
      <c r="H266" s="602"/>
      <c r="I266" s="334"/>
      <c r="J266" s="334"/>
      <c r="K266" s="334"/>
      <c r="L266" s="334"/>
      <c r="M266" s="334"/>
      <c r="N266" s="334"/>
      <c r="O266" s="334"/>
    </row>
    <row r="267" spans="1:15" ht="12.75" hidden="1" customHeight="1" outlineLevel="1" x14ac:dyDescent="0.2">
      <c r="A267" s="988" t="s">
        <v>5127</v>
      </c>
      <c r="B267" s="989" t="s">
        <v>5097</v>
      </c>
      <c r="C267" s="990" t="s">
        <v>100</v>
      </c>
      <c r="D267" s="991">
        <v>486.63</v>
      </c>
      <c r="E267" s="975"/>
      <c r="F267" s="334"/>
      <c r="G267" s="334"/>
      <c r="H267" s="602"/>
      <c r="I267" s="334"/>
      <c r="J267" s="334"/>
      <c r="K267" s="334"/>
      <c r="L267" s="334"/>
      <c r="M267" s="334"/>
      <c r="N267" s="334"/>
      <c r="O267" s="334"/>
    </row>
    <row r="268" spans="1:15" ht="12.75" hidden="1" customHeight="1" outlineLevel="1" x14ac:dyDescent="0.2">
      <c r="A268" s="980" t="s">
        <v>5128</v>
      </c>
      <c r="B268" s="981" t="s">
        <v>1112</v>
      </c>
      <c r="C268" s="982"/>
      <c r="D268" s="983"/>
      <c r="E268" s="975"/>
      <c r="F268" s="334"/>
      <c r="G268" s="334"/>
      <c r="H268" s="602"/>
      <c r="I268" s="334"/>
      <c r="J268" s="334"/>
      <c r="K268" s="334"/>
      <c r="L268" s="334"/>
      <c r="M268" s="334"/>
      <c r="N268" s="334"/>
      <c r="O268" s="334"/>
    </row>
    <row r="269" spans="1:15" ht="12.75" hidden="1" customHeight="1" outlineLevel="1" x14ac:dyDescent="0.2">
      <c r="A269" s="984" t="s">
        <v>5129</v>
      </c>
      <c r="B269" s="985" t="s">
        <v>5096</v>
      </c>
      <c r="C269" s="986" t="s">
        <v>100</v>
      </c>
      <c r="D269" s="987">
        <v>65.84</v>
      </c>
      <c r="E269" s="975"/>
      <c r="F269" s="334"/>
      <c r="G269" s="334"/>
      <c r="H269" s="602"/>
      <c r="I269" s="334"/>
      <c r="J269" s="334"/>
      <c r="K269" s="334"/>
      <c r="L269" s="334"/>
      <c r="M269" s="334"/>
      <c r="N269" s="334"/>
      <c r="O269" s="334"/>
    </row>
    <row r="270" spans="1:15" ht="12.75" hidden="1" customHeight="1" outlineLevel="1" x14ac:dyDescent="0.2">
      <c r="A270" s="988" t="s">
        <v>5130</v>
      </c>
      <c r="B270" s="989" t="s">
        <v>5097</v>
      </c>
      <c r="C270" s="990" t="s">
        <v>100</v>
      </c>
      <c r="D270" s="991">
        <v>500.21</v>
      </c>
      <c r="E270" s="975"/>
      <c r="F270" s="334"/>
      <c r="G270" s="334"/>
      <c r="H270" s="602"/>
      <c r="I270" s="334"/>
      <c r="J270" s="334"/>
      <c r="K270" s="334"/>
      <c r="L270" s="334"/>
      <c r="M270" s="334"/>
      <c r="N270" s="334"/>
      <c r="O270" s="334"/>
    </row>
    <row r="271" spans="1:15" ht="12.75" hidden="1" customHeight="1" outlineLevel="1" x14ac:dyDescent="0.2">
      <c r="A271" s="980" t="s">
        <v>5131</v>
      </c>
      <c r="B271" s="981" t="s">
        <v>1120</v>
      </c>
      <c r="C271" s="982"/>
      <c r="D271" s="983"/>
      <c r="E271" s="975"/>
      <c r="F271" s="334"/>
      <c r="G271" s="334"/>
      <c r="H271" s="602"/>
      <c r="I271" s="334"/>
      <c r="J271" s="334"/>
      <c r="K271" s="334"/>
      <c r="L271" s="334"/>
      <c r="M271" s="334"/>
      <c r="N271" s="334"/>
      <c r="O271" s="334"/>
    </row>
    <row r="272" spans="1:15" ht="12.75" hidden="1" customHeight="1" outlineLevel="1" x14ac:dyDescent="0.2">
      <c r="A272" s="984" t="s">
        <v>5132</v>
      </c>
      <c r="B272" s="985" t="s">
        <v>5096</v>
      </c>
      <c r="C272" s="986" t="s">
        <v>100</v>
      </c>
      <c r="D272" s="987">
        <v>7.99</v>
      </c>
      <c r="E272" s="975"/>
      <c r="F272" s="334"/>
      <c r="G272" s="334"/>
      <c r="H272" s="602"/>
      <c r="I272" s="334"/>
      <c r="J272" s="334"/>
      <c r="K272" s="334"/>
      <c r="L272" s="334"/>
      <c r="M272" s="334"/>
      <c r="N272" s="334"/>
      <c r="O272" s="334"/>
    </row>
    <row r="273" spans="1:15" ht="12.75" hidden="1" customHeight="1" outlineLevel="1" x14ac:dyDescent="0.2">
      <c r="A273" s="988" t="s">
        <v>5133</v>
      </c>
      <c r="B273" s="989" t="s">
        <v>5097</v>
      </c>
      <c r="C273" s="990" t="s">
        <v>100</v>
      </c>
      <c r="D273" s="991">
        <v>64.13</v>
      </c>
      <c r="E273" s="975"/>
      <c r="F273" s="334"/>
      <c r="G273" s="334"/>
      <c r="H273" s="602"/>
      <c r="I273" s="334"/>
      <c r="J273" s="334"/>
      <c r="K273" s="334"/>
      <c r="L273" s="334"/>
      <c r="M273" s="334"/>
      <c r="N273" s="334"/>
      <c r="O273" s="334"/>
    </row>
    <row r="274" spans="1:15" ht="12.75" hidden="1" customHeight="1" outlineLevel="1" x14ac:dyDescent="0.2">
      <c r="A274" s="980" t="s">
        <v>5134</v>
      </c>
      <c r="B274" s="981" t="s">
        <v>1127</v>
      </c>
      <c r="C274" s="982"/>
      <c r="D274" s="983"/>
      <c r="E274" s="975"/>
      <c r="F274" s="334"/>
      <c r="G274" s="334"/>
      <c r="H274" s="602"/>
      <c r="I274" s="334"/>
      <c r="J274" s="334"/>
      <c r="K274" s="334"/>
      <c r="L274" s="334"/>
      <c r="M274" s="334"/>
      <c r="N274" s="334"/>
      <c r="O274" s="334"/>
    </row>
    <row r="275" spans="1:15" ht="12.75" hidden="1" customHeight="1" outlineLevel="1" x14ac:dyDescent="0.2">
      <c r="A275" s="984" t="s">
        <v>5135</v>
      </c>
      <c r="B275" s="985" t="s">
        <v>5096</v>
      </c>
      <c r="C275" s="986" t="s">
        <v>100</v>
      </c>
      <c r="D275" s="987">
        <v>70.5</v>
      </c>
      <c r="E275" s="975"/>
      <c r="F275" s="334"/>
      <c r="G275" s="334"/>
      <c r="H275" s="602"/>
      <c r="I275" s="334"/>
      <c r="J275" s="334"/>
      <c r="K275" s="334"/>
      <c r="L275" s="334"/>
      <c r="M275" s="334"/>
      <c r="N275" s="334"/>
      <c r="O275" s="334"/>
    </row>
    <row r="276" spans="1:15" ht="12.75" hidden="1" customHeight="1" outlineLevel="1" x14ac:dyDescent="0.2">
      <c r="A276" s="988" t="s">
        <v>5136</v>
      </c>
      <c r="B276" s="989" t="s">
        <v>5097</v>
      </c>
      <c r="C276" s="990" t="s">
        <v>100</v>
      </c>
      <c r="D276" s="991">
        <v>255.79</v>
      </c>
      <c r="E276" s="975"/>
      <c r="F276" s="334"/>
      <c r="G276" s="334"/>
      <c r="H276" s="602"/>
      <c r="I276" s="334"/>
      <c r="J276" s="334"/>
      <c r="K276" s="334"/>
      <c r="L276" s="334"/>
      <c r="M276" s="334"/>
      <c r="N276" s="334"/>
      <c r="O276" s="334"/>
    </row>
    <row r="277" spans="1:15" ht="12.75" hidden="1" customHeight="1" outlineLevel="1" x14ac:dyDescent="0.2">
      <c r="A277" s="980" t="s">
        <v>5137</v>
      </c>
      <c r="B277" s="981" t="s">
        <v>1137</v>
      </c>
      <c r="C277" s="982"/>
      <c r="D277" s="983"/>
      <c r="E277" s="975"/>
      <c r="F277" s="334"/>
      <c r="G277" s="334"/>
      <c r="H277" s="602"/>
      <c r="I277" s="334"/>
      <c r="J277" s="334"/>
      <c r="K277" s="334"/>
      <c r="L277" s="334"/>
      <c r="M277" s="334"/>
      <c r="N277" s="334"/>
      <c r="O277" s="334"/>
    </row>
    <row r="278" spans="1:15" ht="12.75" hidden="1" customHeight="1" outlineLevel="1" x14ac:dyDescent="0.2">
      <c r="A278" s="984" t="s">
        <v>5138</v>
      </c>
      <c r="B278" s="985" t="s">
        <v>5096</v>
      </c>
      <c r="C278" s="986" t="s">
        <v>100</v>
      </c>
      <c r="D278" s="987">
        <v>26.69</v>
      </c>
      <c r="E278" s="975"/>
      <c r="F278" s="334"/>
      <c r="G278" s="334"/>
      <c r="H278" s="602"/>
      <c r="I278" s="334"/>
      <c r="J278" s="334"/>
      <c r="K278" s="334"/>
      <c r="L278" s="334"/>
      <c r="M278" s="334"/>
      <c r="N278" s="334"/>
      <c r="O278" s="334"/>
    </row>
    <row r="279" spans="1:15" ht="12.75" hidden="1" customHeight="1" outlineLevel="1" x14ac:dyDescent="0.2">
      <c r="A279" s="988" t="s">
        <v>5139</v>
      </c>
      <c r="B279" s="989" t="s">
        <v>5097</v>
      </c>
      <c r="C279" s="990" t="s">
        <v>100</v>
      </c>
      <c r="D279" s="991">
        <v>34.64</v>
      </c>
      <c r="E279" s="975"/>
      <c r="F279" s="334"/>
      <c r="G279" s="334"/>
      <c r="H279" s="602"/>
      <c r="I279" s="334"/>
      <c r="J279" s="334"/>
      <c r="K279" s="334"/>
      <c r="L279" s="334"/>
      <c r="M279" s="334"/>
      <c r="N279" s="334"/>
      <c r="O279" s="334"/>
    </row>
    <row r="280" spans="1:15" ht="12.75" hidden="1" customHeight="1" outlineLevel="1" x14ac:dyDescent="0.2">
      <c r="A280" s="980" t="s">
        <v>5140</v>
      </c>
      <c r="B280" s="981" t="s">
        <v>1140</v>
      </c>
      <c r="C280" s="982"/>
      <c r="D280" s="983"/>
      <c r="E280" s="975"/>
      <c r="F280" s="334"/>
      <c r="G280" s="334"/>
      <c r="H280" s="602"/>
      <c r="I280" s="334"/>
      <c r="J280" s="334"/>
      <c r="K280" s="334"/>
      <c r="L280" s="334"/>
      <c r="M280" s="334"/>
      <c r="N280" s="334"/>
      <c r="O280" s="334"/>
    </row>
    <row r="281" spans="1:15" ht="12.75" hidden="1" customHeight="1" outlineLevel="1" x14ac:dyDescent="0.2">
      <c r="A281" s="984" t="s">
        <v>5141</v>
      </c>
      <c r="B281" s="985" t="s">
        <v>5097</v>
      </c>
      <c r="C281" s="986" t="s">
        <v>100</v>
      </c>
      <c r="D281" s="987">
        <v>17.13</v>
      </c>
      <c r="E281" s="975"/>
      <c r="F281" s="334"/>
      <c r="G281" s="334"/>
      <c r="H281" s="602"/>
      <c r="I281" s="334"/>
      <c r="J281" s="334"/>
      <c r="K281" s="334"/>
      <c r="L281" s="334"/>
      <c r="M281" s="334"/>
      <c r="N281" s="334"/>
      <c r="O281" s="334"/>
    </row>
    <row r="282" spans="1:15" ht="12.75" customHeight="1" collapsed="1" x14ac:dyDescent="0.2">
      <c r="A282" s="614" t="s">
        <v>1400</v>
      </c>
      <c r="B282" s="615" t="s">
        <v>1401</v>
      </c>
      <c r="C282" s="616"/>
      <c r="D282" s="617"/>
      <c r="E282" s="334"/>
      <c r="F282" s="334"/>
      <c r="G282" s="334"/>
      <c r="H282" s="631" t="s">
        <v>1048</v>
      </c>
      <c r="I282" s="632" t="s">
        <v>59</v>
      </c>
      <c r="J282" s="334"/>
      <c r="K282" s="334"/>
      <c r="L282" s="334"/>
      <c r="M282" s="334"/>
      <c r="N282" s="334"/>
      <c r="O282" s="334"/>
    </row>
    <row r="283" spans="1:15" ht="12.75" hidden="1" customHeight="1" outlineLevel="1" x14ac:dyDescent="0.2">
      <c r="A283" s="618" t="s">
        <v>1402</v>
      </c>
      <c r="B283" s="619" t="s">
        <v>1009</v>
      </c>
      <c r="C283" s="620"/>
      <c r="D283" s="621"/>
      <c r="E283" s="622"/>
      <c r="F283" s="334"/>
      <c r="G283" s="334"/>
      <c r="H283" s="633" t="s">
        <v>1050</v>
      </c>
      <c r="I283" s="634">
        <f t="shared" ref="I283:I289" si="1">SUMIF($B$14:$B$4106,H283,$D$14:$D$4106)</f>
        <v>232</v>
      </c>
      <c r="J283" s="334"/>
      <c r="K283" s="334"/>
      <c r="L283" s="334"/>
      <c r="M283" s="334"/>
      <c r="N283" s="334"/>
      <c r="O283" s="334"/>
    </row>
    <row r="284" spans="1:15" ht="12.75" hidden="1" customHeight="1" outlineLevel="1" x14ac:dyDescent="0.2">
      <c r="A284" s="623" t="s">
        <v>1403</v>
      </c>
      <c r="B284" s="624" t="s">
        <v>1050</v>
      </c>
      <c r="C284" s="625" t="s">
        <v>100</v>
      </c>
      <c r="D284" s="626">
        <v>118.34</v>
      </c>
      <c r="E284" s="622"/>
      <c r="F284" s="334"/>
      <c r="G284" s="334"/>
      <c r="H284" s="633" t="s">
        <v>1052</v>
      </c>
      <c r="I284" s="634">
        <f t="shared" si="1"/>
        <v>8.870000000000001</v>
      </c>
      <c r="J284" s="334"/>
      <c r="K284" s="334"/>
      <c r="L284" s="334"/>
      <c r="M284" s="334"/>
      <c r="N284" s="334"/>
      <c r="O284" s="334"/>
    </row>
    <row r="285" spans="1:15" ht="12.75" hidden="1" customHeight="1" outlineLevel="1" x14ac:dyDescent="0.2">
      <c r="A285" s="627" t="s">
        <v>1404</v>
      </c>
      <c r="B285" s="628" t="s">
        <v>1052</v>
      </c>
      <c r="C285" s="629" t="s">
        <v>100</v>
      </c>
      <c r="D285" s="630">
        <v>8.24</v>
      </c>
      <c r="E285" s="622"/>
      <c r="F285" s="334"/>
      <c r="G285" s="334"/>
      <c r="H285" s="633" t="s">
        <v>1054</v>
      </c>
      <c r="I285" s="634">
        <f t="shared" si="1"/>
        <v>12091.920000000002</v>
      </c>
      <c r="J285" s="334"/>
      <c r="K285" s="334"/>
      <c r="L285" s="334"/>
      <c r="M285" s="334"/>
      <c r="N285" s="334"/>
      <c r="O285" s="334"/>
    </row>
    <row r="286" spans="1:15" ht="12.75" hidden="1" customHeight="1" outlineLevel="1" x14ac:dyDescent="0.2">
      <c r="A286" s="618" t="s">
        <v>1405</v>
      </c>
      <c r="B286" s="619" t="s">
        <v>1021</v>
      </c>
      <c r="C286" s="620"/>
      <c r="D286" s="621"/>
      <c r="E286" s="622"/>
      <c r="F286" s="334"/>
      <c r="G286" s="334"/>
      <c r="H286" s="633" t="s">
        <v>1056</v>
      </c>
      <c r="I286" s="634">
        <f t="shared" si="1"/>
        <v>2736.9100000000008</v>
      </c>
      <c r="J286" s="334"/>
      <c r="K286" s="334"/>
      <c r="L286" s="334"/>
      <c r="M286" s="334"/>
      <c r="N286" s="334"/>
      <c r="O286" s="334"/>
    </row>
    <row r="287" spans="1:15" ht="12.75" hidden="1" customHeight="1" outlineLevel="1" x14ac:dyDescent="0.2">
      <c r="A287" s="623" t="s">
        <v>1406</v>
      </c>
      <c r="B287" s="624" t="s">
        <v>1050</v>
      </c>
      <c r="C287" s="625" t="s">
        <v>100</v>
      </c>
      <c r="D287" s="626">
        <v>113.66</v>
      </c>
      <c r="E287" s="622"/>
      <c r="F287" s="334"/>
      <c r="G287" s="334"/>
      <c r="H287" s="633" t="s">
        <v>1059</v>
      </c>
      <c r="I287" s="634">
        <f t="shared" si="1"/>
        <v>14828.839999999998</v>
      </c>
      <c r="J287" s="334"/>
      <c r="K287" s="334"/>
      <c r="L287" s="334"/>
      <c r="M287" s="334"/>
      <c r="N287" s="334"/>
      <c r="O287" s="334"/>
    </row>
    <row r="288" spans="1:15" ht="12.75" hidden="1" customHeight="1" outlineLevel="1" x14ac:dyDescent="0.2">
      <c r="A288" s="627" t="s">
        <v>1407</v>
      </c>
      <c r="B288" s="628" t="s">
        <v>1052</v>
      </c>
      <c r="C288" s="629" t="s">
        <v>100</v>
      </c>
      <c r="D288" s="630">
        <v>0.63</v>
      </c>
      <c r="E288" s="622"/>
      <c r="F288" s="334"/>
      <c r="G288" s="334"/>
      <c r="H288" s="624" t="s">
        <v>1077</v>
      </c>
      <c r="I288" s="634">
        <f t="shared" si="1"/>
        <v>12091.920000000002</v>
      </c>
      <c r="J288" s="334"/>
      <c r="K288" s="334"/>
      <c r="L288" s="334"/>
      <c r="M288" s="334"/>
      <c r="N288" s="334"/>
      <c r="O288" s="334"/>
    </row>
    <row r="289" spans="1:15" ht="12.75" customHeight="1" collapsed="1" x14ac:dyDescent="0.2">
      <c r="A289" s="614" t="s">
        <v>1408</v>
      </c>
      <c r="B289" s="615" t="s">
        <v>1409</v>
      </c>
      <c r="C289" s="616"/>
      <c r="D289" s="617"/>
      <c r="E289" s="334"/>
      <c r="F289" s="334"/>
      <c r="G289" s="334"/>
      <c r="H289" s="624" t="s">
        <v>1080</v>
      </c>
      <c r="I289" s="634">
        <f t="shared" si="1"/>
        <v>2736.9100000000008</v>
      </c>
      <c r="J289" s="334"/>
      <c r="K289" s="334"/>
      <c r="L289" s="334"/>
      <c r="M289" s="334"/>
      <c r="N289" s="334"/>
      <c r="O289" s="334"/>
    </row>
    <row r="290" spans="1:15" ht="12.75" hidden="1" customHeight="1" outlineLevel="1" x14ac:dyDescent="0.2">
      <c r="A290" s="618" t="s">
        <v>1410</v>
      </c>
      <c r="B290" s="619" t="s">
        <v>1009</v>
      </c>
      <c r="C290" s="620"/>
      <c r="D290" s="621"/>
      <c r="E290" s="622"/>
      <c r="F290" s="334"/>
      <c r="G290" s="334"/>
      <c r="J290" s="334"/>
      <c r="K290" s="334"/>
      <c r="L290" s="334"/>
      <c r="M290" s="334"/>
      <c r="N290" s="334"/>
      <c r="O290" s="334"/>
    </row>
    <row r="291" spans="1:15" ht="12.75" hidden="1" customHeight="1" outlineLevel="1" x14ac:dyDescent="0.2">
      <c r="A291" s="623" t="s">
        <v>1411</v>
      </c>
      <c r="B291" s="624" t="s">
        <v>1077</v>
      </c>
      <c r="C291" s="625" t="s">
        <v>100</v>
      </c>
      <c r="D291" s="626">
        <v>942.76</v>
      </c>
      <c r="E291" s="622"/>
      <c r="F291" s="334"/>
      <c r="G291" s="334"/>
      <c r="J291" s="334"/>
      <c r="K291" s="334"/>
      <c r="L291" s="334"/>
      <c r="M291" s="334"/>
      <c r="N291" s="334"/>
      <c r="O291" s="334"/>
    </row>
    <row r="292" spans="1:15" ht="12.75" hidden="1" customHeight="1" outlineLevel="1" x14ac:dyDescent="0.2">
      <c r="A292" s="627" t="s">
        <v>1412</v>
      </c>
      <c r="B292" s="628" t="s">
        <v>1080</v>
      </c>
      <c r="C292" s="629" t="s">
        <v>100</v>
      </c>
      <c r="D292" s="630">
        <v>235.69</v>
      </c>
      <c r="E292" s="622"/>
      <c r="F292" s="334"/>
      <c r="G292" s="334"/>
      <c r="J292" s="334"/>
      <c r="K292" s="334"/>
      <c r="L292" s="334"/>
      <c r="M292" s="334"/>
      <c r="N292" s="334"/>
      <c r="O292" s="334"/>
    </row>
    <row r="293" spans="1:15" ht="12.75" hidden="1" customHeight="1" outlineLevel="1" x14ac:dyDescent="0.2">
      <c r="A293" s="618" t="s">
        <v>1413</v>
      </c>
      <c r="B293" s="619" t="s">
        <v>1017</v>
      </c>
      <c r="C293" s="620"/>
      <c r="D293" s="621"/>
      <c r="E293" s="622"/>
      <c r="F293" s="334"/>
      <c r="G293" s="334"/>
      <c r="J293" s="334"/>
      <c r="K293" s="334"/>
      <c r="L293" s="334"/>
      <c r="M293" s="334"/>
      <c r="N293" s="334"/>
      <c r="O293" s="334"/>
    </row>
    <row r="294" spans="1:15" ht="12.75" hidden="1" customHeight="1" outlineLevel="1" x14ac:dyDescent="0.2">
      <c r="A294" s="623" t="s">
        <v>1414</v>
      </c>
      <c r="B294" s="624" t="s">
        <v>1077</v>
      </c>
      <c r="C294" s="625" t="s">
        <v>100</v>
      </c>
      <c r="D294" s="626">
        <v>447.74</v>
      </c>
      <c r="E294" s="622"/>
      <c r="F294" s="334"/>
      <c r="G294" s="334"/>
      <c r="J294" s="334"/>
      <c r="K294" s="334"/>
      <c r="L294" s="334"/>
      <c r="M294" s="334"/>
      <c r="N294" s="334"/>
      <c r="O294" s="334"/>
    </row>
    <row r="295" spans="1:15" ht="12.75" hidden="1" customHeight="1" outlineLevel="1" x14ac:dyDescent="0.2">
      <c r="A295" s="627" t="s">
        <v>1415</v>
      </c>
      <c r="B295" s="628" t="s">
        <v>1080</v>
      </c>
      <c r="C295" s="629" t="s">
        <v>100</v>
      </c>
      <c r="D295" s="630">
        <v>630.91</v>
      </c>
      <c r="E295" s="622"/>
      <c r="F295" s="334"/>
      <c r="G295" s="334"/>
      <c r="J295" s="334"/>
      <c r="K295" s="334"/>
      <c r="L295" s="334"/>
      <c r="M295" s="334"/>
      <c r="N295" s="334"/>
      <c r="O295" s="334"/>
    </row>
    <row r="296" spans="1:15" ht="12.75" hidden="1" customHeight="1" outlineLevel="1" x14ac:dyDescent="0.2">
      <c r="A296" s="618" t="s">
        <v>1416</v>
      </c>
      <c r="B296" s="619" t="s">
        <v>1021</v>
      </c>
      <c r="C296" s="620"/>
      <c r="D296" s="621"/>
      <c r="E296" s="622"/>
      <c r="F296" s="334"/>
      <c r="G296" s="334"/>
      <c r="J296" s="334"/>
      <c r="K296" s="334"/>
      <c r="L296" s="334"/>
      <c r="M296" s="334"/>
      <c r="N296" s="334"/>
      <c r="O296" s="334"/>
    </row>
    <row r="297" spans="1:15" ht="12.75" hidden="1" customHeight="1" outlineLevel="1" x14ac:dyDescent="0.2">
      <c r="A297" s="623" t="s">
        <v>1417</v>
      </c>
      <c r="B297" s="624" t="s">
        <v>1077</v>
      </c>
      <c r="C297" s="625" t="s">
        <v>100</v>
      </c>
      <c r="D297" s="626">
        <v>1053.33</v>
      </c>
      <c r="E297" s="622"/>
      <c r="F297" s="334"/>
      <c r="G297" s="334"/>
      <c r="J297" s="334"/>
      <c r="K297" s="334"/>
      <c r="L297" s="334"/>
      <c r="M297" s="334"/>
      <c r="N297" s="334"/>
      <c r="O297" s="334"/>
    </row>
    <row r="298" spans="1:15" ht="12.75" hidden="1" customHeight="1" outlineLevel="1" x14ac:dyDescent="0.2">
      <c r="A298" s="627" t="s">
        <v>1418</v>
      </c>
      <c r="B298" s="628" t="s">
        <v>1080</v>
      </c>
      <c r="C298" s="629" t="s">
        <v>100</v>
      </c>
      <c r="D298" s="630">
        <v>185.88</v>
      </c>
      <c r="E298" s="622"/>
      <c r="F298" s="334"/>
      <c r="G298" s="334"/>
      <c r="J298" s="334"/>
      <c r="K298" s="334"/>
      <c r="L298" s="334"/>
      <c r="M298" s="334"/>
      <c r="N298" s="334"/>
      <c r="O298" s="334"/>
    </row>
    <row r="299" spans="1:15" ht="12.75" hidden="1" customHeight="1" outlineLevel="1" x14ac:dyDescent="0.2">
      <c r="A299" s="618" t="s">
        <v>1419</v>
      </c>
      <c r="B299" s="619" t="s">
        <v>1030</v>
      </c>
      <c r="C299" s="620"/>
      <c r="D299" s="621"/>
      <c r="E299" s="622"/>
      <c r="F299" s="334"/>
      <c r="G299" s="334"/>
      <c r="J299" s="334"/>
      <c r="K299" s="334"/>
      <c r="L299" s="334"/>
      <c r="M299" s="334"/>
      <c r="N299" s="334"/>
      <c r="O299" s="334"/>
    </row>
    <row r="300" spans="1:15" ht="12.75" hidden="1" customHeight="1" outlineLevel="1" x14ac:dyDescent="0.2">
      <c r="A300" s="623" t="s">
        <v>1420</v>
      </c>
      <c r="B300" s="624" t="s">
        <v>1077</v>
      </c>
      <c r="C300" s="625" t="s">
        <v>100</v>
      </c>
      <c r="D300" s="626">
        <v>977.78</v>
      </c>
      <c r="E300" s="622"/>
      <c r="F300" s="334"/>
      <c r="G300" s="334"/>
      <c r="J300" s="334"/>
      <c r="K300" s="334"/>
      <c r="L300" s="334"/>
      <c r="M300" s="334"/>
      <c r="N300" s="334"/>
      <c r="O300" s="334"/>
    </row>
    <row r="301" spans="1:15" ht="12.75" hidden="1" customHeight="1" outlineLevel="1" x14ac:dyDescent="0.2">
      <c r="A301" s="627" t="s">
        <v>1421</v>
      </c>
      <c r="B301" s="628" t="s">
        <v>1080</v>
      </c>
      <c r="C301" s="629" t="s">
        <v>100</v>
      </c>
      <c r="D301" s="630">
        <v>142.83000000000001</v>
      </c>
      <c r="E301" s="622"/>
      <c r="F301" s="334"/>
      <c r="G301" s="334"/>
      <c r="J301" s="334"/>
      <c r="K301" s="334"/>
      <c r="L301" s="334"/>
      <c r="M301" s="334"/>
      <c r="N301" s="334"/>
      <c r="O301" s="334"/>
    </row>
    <row r="302" spans="1:15" ht="12.75" hidden="1" customHeight="1" outlineLevel="1" x14ac:dyDescent="0.2">
      <c r="A302" s="618" t="s">
        <v>1422</v>
      </c>
      <c r="B302" s="619" t="s">
        <v>1039</v>
      </c>
      <c r="C302" s="620"/>
      <c r="D302" s="621"/>
      <c r="E302" s="622"/>
      <c r="F302" s="334"/>
      <c r="K302" s="334"/>
      <c r="L302" s="334"/>
      <c r="M302" s="334"/>
      <c r="N302" s="334"/>
      <c r="O302" s="334"/>
    </row>
    <row r="303" spans="1:15" ht="12.75" hidden="1" customHeight="1" outlineLevel="1" x14ac:dyDescent="0.2">
      <c r="A303" s="623" t="s">
        <v>1423</v>
      </c>
      <c r="B303" s="624" t="s">
        <v>1077</v>
      </c>
      <c r="C303" s="625" t="s">
        <v>100</v>
      </c>
      <c r="D303" s="626">
        <v>1005.87</v>
      </c>
      <c r="E303" s="622"/>
      <c r="F303" s="334"/>
      <c r="K303" s="334"/>
      <c r="L303" s="334"/>
      <c r="M303" s="334"/>
      <c r="N303" s="334"/>
      <c r="O303" s="334"/>
    </row>
    <row r="304" spans="1:15" ht="12.75" hidden="1" customHeight="1" outlineLevel="1" x14ac:dyDescent="0.2">
      <c r="A304" s="627" t="s">
        <v>1424</v>
      </c>
      <c r="B304" s="628" t="s">
        <v>1080</v>
      </c>
      <c r="C304" s="629" t="s">
        <v>100</v>
      </c>
      <c r="D304" s="630">
        <v>141.6</v>
      </c>
      <c r="E304" s="622"/>
      <c r="F304" s="334"/>
      <c r="K304" s="334"/>
      <c r="L304" s="334"/>
      <c r="M304" s="334"/>
      <c r="N304" s="334"/>
      <c r="O304" s="334"/>
    </row>
    <row r="305" spans="1:15" ht="12.75" hidden="1" customHeight="1" outlineLevel="1" x14ac:dyDescent="0.2">
      <c r="A305" s="618" t="s">
        <v>1425</v>
      </c>
      <c r="B305" s="619" t="s">
        <v>1047</v>
      </c>
      <c r="C305" s="620"/>
      <c r="D305" s="621"/>
      <c r="E305" s="622"/>
      <c r="F305" s="334"/>
      <c r="K305" s="334"/>
      <c r="L305" s="334"/>
      <c r="M305" s="334"/>
      <c r="N305" s="334"/>
      <c r="O305" s="334"/>
    </row>
    <row r="306" spans="1:15" ht="12.75" hidden="1" customHeight="1" outlineLevel="1" x14ac:dyDescent="0.2">
      <c r="A306" s="623" t="s">
        <v>1426</v>
      </c>
      <c r="B306" s="624" t="s">
        <v>1077</v>
      </c>
      <c r="C306" s="625" t="s">
        <v>100</v>
      </c>
      <c r="D306" s="626">
        <v>977.86</v>
      </c>
      <c r="E306" s="622"/>
      <c r="F306" s="334"/>
      <c r="K306" s="334"/>
      <c r="L306" s="334"/>
      <c r="M306" s="334"/>
      <c r="N306" s="334"/>
      <c r="O306" s="334"/>
    </row>
    <row r="307" spans="1:15" ht="12.75" hidden="1" customHeight="1" outlineLevel="1" x14ac:dyDescent="0.2">
      <c r="A307" s="627" t="s">
        <v>1427</v>
      </c>
      <c r="B307" s="628" t="s">
        <v>1080</v>
      </c>
      <c r="C307" s="629" t="s">
        <v>100</v>
      </c>
      <c r="D307" s="630">
        <v>142.71</v>
      </c>
      <c r="E307" s="622"/>
      <c r="F307" s="334"/>
      <c r="K307" s="334"/>
      <c r="L307" s="334"/>
      <c r="M307" s="334"/>
      <c r="N307" s="334"/>
      <c r="O307" s="334"/>
    </row>
    <row r="308" spans="1:15" ht="12.75" hidden="1" customHeight="1" outlineLevel="1" x14ac:dyDescent="0.2">
      <c r="A308" s="618" t="s">
        <v>1428</v>
      </c>
      <c r="B308" s="619" t="s">
        <v>1058</v>
      </c>
      <c r="C308" s="620"/>
      <c r="D308" s="621"/>
      <c r="E308" s="622"/>
      <c r="F308" s="334"/>
      <c r="K308" s="334"/>
      <c r="L308" s="334"/>
      <c r="M308" s="334"/>
      <c r="N308" s="334"/>
      <c r="O308" s="334"/>
    </row>
    <row r="309" spans="1:15" ht="12.75" hidden="1" customHeight="1" outlineLevel="1" x14ac:dyDescent="0.2">
      <c r="A309" s="623" t="s">
        <v>1429</v>
      </c>
      <c r="B309" s="624" t="s">
        <v>1077</v>
      </c>
      <c r="C309" s="625" t="s">
        <v>100</v>
      </c>
      <c r="D309" s="626">
        <v>977.86</v>
      </c>
      <c r="E309" s="622"/>
      <c r="F309" s="334"/>
      <c r="K309" s="334"/>
      <c r="L309" s="334"/>
      <c r="M309" s="334"/>
      <c r="N309" s="334"/>
      <c r="O309" s="334"/>
    </row>
    <row r="310" spans="1:15" ht="12.75" hidden="1" customHeight="1" outlineLevel="1" x14ac:dyDescent="0.2">
      <c r="A310" s="627" t="s">
        <v>1430</v>
      </c>
      <c r="B310" s="628" t="s">
        <v>1080</v>
      </c>
      <c r="C310" s="629" t="s">
        <v>100</v>
      </c>
      <c r="D310" s="630">
        <v>142.71</v>
      </c>
      <c r="E310" s="622"/>
      <c r="F310" s="334"/>
      <c r="K310" s="334"/>
      <c r="L310" s="334"/>
      <c r="M310" s="334"/>
      <c r="N310" s="334"/>
      <c r="O310" s="334"/>
    </row>
    <row r="311" spans="1:15" ht="12.75" hidden="1" customHeight="1" outlineLevel="1" x14ac:dyDescent="0.2">
      <c r="A311" s="618" t="s">
        <v>1431</v>
      </c>
      <c r="B311" s="619" t="s">
        <v>1069</v>
      </c>
      <c r="C311" s="620"/>
      <c r="D311" s="621"/>
      <c r="E311" s="622"/>
      <c r="F311" s="334"/>
      <c r="K311" s="334"/>
      <c r="L311" s="334"/>
      <c r="M311" s="334"/>
      <c r="N311" s="334"/>
      <c r="O311" s="334"/>
    </row>
    <row r="312" spans="1:15" ht="12.75" hidden="1" customHeight="1" outlineLevel="1" x14ac:dyDescent="0.2">
      <c r="A312" s="623" t="s">
        <v>1432</v>
      </c>
      <c r="B312" s="624" t="s">
        <v>1077</v>
      </c>
      <c r="C312" s="625" t="s">
        <v>100</v>
      </c>
      <c r="D312" s="626">
        <v>977.86</v>
      </c>
      <c r="E312" s="622"/>
      <c r="F312" s="334"/>
      <c r="K312" s="334"/>
      <c r="L312" s="334"/>
      <c r="M312" s="334"/>
      <c r="N312" s="334"/>
      <c r="O312" s="334"/>
    </row>
    <row r="313" spans="1:15" ht="12.75" hidden="1" customHeight="1" outlineLevel="1" x14ac:dyDescent="0.2">
      <c r="A313" s="627" t="s">
        <v>1433</v>
      </c>
      <c r="B313" s="628" t="s">
        <v>1080</v>
      </c>
      <c r="C313" s="629" t="s">
        <v>100</v>
      </c>
      <c r="D313" s="630">
        <v>142.71</v>
      </c>
      <c r="E313" s="622"/>
      <c r="F313" s="334"/>
      <c r="K313" s="334"/>
      <c r="L313" s="334"/>
      <c r="M313" s="334"/>
      <c r="N313" s="334"/>
      <c r="O313" s="334"/>
    </row>
    <row r="314" spans="1:15" ht="12.75" hidden="1" customHeight="1" outlineLevel="1" x14ac:dyDescent="0.2">
      <c r="A314" s="618" t="s">
        <v>1434</v>
      </c>
      <c r="B314" s="619" t="s">
        <v>1079</v>
      </c>
      <c r="C314" s="620"/>
      <c r="D314" s="621"/>
      <c r="E314" s="622"/>
      <c r="F314" s="334"/>
      <c r="K314" s="334"/>
      <c r="L314" s="334"/>
      <c r="M314" s="334"/>
      <c r="N314" s="334"/>
      <c r="O314" s="334"/>
    </row>
    <row r="315" spans="1:15" ht="12.75" hidden="1" customHeight="1" outlineLevel="1" x14ac:dyDescent="0.2">
      <c r="A315" s="623" t="s">
        <v>1435</v>
      </c>
      <c r="B315" s="624" t="s">
        <v>1077</v>
      </c>
      <c r="C315" s="625" t="s">
        <v>100</v>
      </c>
      <c r="D315" s="626">
        <v>977.86</v>
      </c>
      <c r="E315" s="622"/>
      <c r="F315" s="334"/>
      <c r="K315" s="334"/>
      <c r="L315" s="334"/>
      <c r="M315" s="334"/>
      <c r="N315" s="334"/>
      <c r="O315" s="334"/>
    </row>
    <row r="316" spans="1:15" ht="12.75" hidden="1" customHeight="1" outlineLevel="1" x14ac:dyDescent="0.2">
      <c r="A316" s="627" t="s">
        <v>1436</v>
      </c>
      <c r="B316" s="628" t="s">
        <v>1080</v>
      </c>
      <c r="C316" s="629" t="s">
        <v>100</v>
      </c>
      <c r="D316" s="630">
        <v>142.71</v>
      </c>
      <c r="E316" s="622"/>
      <c r="F316" s="334"/>
      <c r="K316" s="334"/>
      <c r="L316" s="334"/>
      <c r="M316" s="334"/>
      <c r="N316" s="334"/>
      <c r="O316" s="334"/>
    </row>
    <row r="317" spans="1:15" ht="12.75" hidden="1" customHeight="1" outlineLevel="1" x14ac:dyDescent="0.2">
      <c r="A317" s="618" t="s">
        <v>1437</v>
      </c>
      <c r="B317" s="619" t="s">
        <v>1086</v>
      </c>
      <c r="C317" s="620"/>
      <c r="D317" s="621"/>
      <c r="E317" s="622"/>
      <c r="F317" s="334"/>
      <c r="K317" s="334"/>
      <c r="L317" s="334"/>
      <c r="M317" s="334"/>
      <c r="N317" s="334"/>
      <c r="O317" s="334"/>
    </row>
    <row r="318" spans="1:15" ht="12.75" hidden="1" customHeight="1" outlineLevel="1" x14ac:dyDescent="0.2">
      <c r="A318" s="623" t="s">
        <v>1438</v>
      </c>
      <c r="B318" s="624" t="s">
        <v>1077</v>
      </c>
      <c r="C318" s="625" t="s">
        <v>100</v>
      </c>
      <c r="D318" s="626">
        <v>977.86</v>
      </c>
      <c r="E318" s="622"/>
      <c r="F318" s="334"/>
      <c r="K318" s="334"/>
      <c r="L318" s="334"/>
      <c r="M318" s="334"/>
      <c r="N318" s="334"/>
      <c r="O318" s="334"/>
    </row>
    <row r="319" spans="1:15" ht="12.75" hidden="1" customHeight="1" outlineLevel="1" x14ac:dyDescent="0.2">
      <c r="A319" s="627" t="s">
        <v>1439</v>
      </c>
      <c r="B319" s="628" t="s">
        <v>1080</v>
      </c>
      <c r="C319" s="629" t="s">
        <v>100</v>
      </c>
      <c r="D319" s="630">
        <v>142.71</v>
      </c>
      <c r="E319" s="622"/>
      <c r="F319" s="334"/>
      <c r="K319" s="334"/>
      <c r="L319" s="334"/>
      <c r="M319" s="334"/>
      <c r="N319" s="334"/>
      <c r="O319" s="334"/>
    </row>
    <row r="320" spans="1:15" ht="12.75" hidden="1" customHeight="1" outlineLevel="1" x14ac:dyDescent="0.2">
      <c r="A320" s="618" t="s">
        <v>1440</v>
      </c>
      <c r="B320" s="619" t="s">
        <v>1094</v>
      </c>
      <c r="C320" s="620"/>
      <c r="D320" s="621"/>
      <c r="E320" s="622"/>
      <c r="F320" s="334"/>
      <c r="K320" s="334"/>
      <c r="L320" s="334"/>
      <c r="M320" s="334"/>
      <c r="N320" s="334"/>
      <c r="O320" s="334"/>
    </row>
    <row r="321" spans="1:15" ht="12.75" hidden="1" customHeight="1" outlineLevel="1" x14ac:dyDescent="0.2">
      <c r="A321" s="623" t="s">
        <v>1441</v>
      </c>
      <c r="B321" s="624" t="s">
        <v>1077</v>
      </c>
      <c r="C321" s="625" t="s">
        <v>100</v>
      </c>
      <c r="D321" s="626">
        <v>977.86</v>
      </c>
      <c r="E321" s="622"/>
      <c r="F321" s="334"/>
      <c r="K321" s="334"/>
      <c r="L321" s="334"/>
      <c r="M321" s="334"/>
      <c r="N321" s="334"/>
      <c r="O321" s="334"/>
    </row>
    <row r="322" spans="1:15" ht="12.75" hidden="1" customHeight="1" outlineLevel="1" x14ac:dyDescent="0.2">
      <c r="A322" s="627" t="s">
        <v>1442</v>
      </c>
      <c r="B322" s="628" t="s">
        <v>1080</v>
      </c>
      <c r="C322" s="629" t="s">
        <v>100</v>
      </c>
      <c r="D322" s="630">
        <v>142.71</v>
      </c>
      <c r="E322" s="622"/>
      <c r="F322" s="334"/>
      <c r="K322" s="334"/>
      <c r="L322" s="334"/>
      <c r="M322" s="334"/>
      <c r="N322" s="334"/>
      <c r="O322" s="334"/>
    </row>
    <row r="323" spans="1:15" ht="12.75" hidden="1" customHeight="1" outlineLevel="1" x14ac:dyDescent="0.2">
      <c r="A323" s="618" t="s">
        <v>1443</v>
      </c>
      <c r="B323" s="619" t="s">
        <v>1102</v>
      </c>
      <c r="C323" s="620"/>
      <c r="D323" s="621"/>
      <c r="E323" s="622"/>
      <c r="F323" s="334"/>
      <c r="K323" s="334"/>
      <c r="L323" s="334"/>
      <c r="M323" s="334"/>
      <c r="N323" s="334"/>
      <c r="O323" s="334"/>
    </row>
    <row r="324" spans="1:15" ht="12.75" hidden="1" customHeight="1" outlineLevel="1" x14ac:dyDescent="0.2">
      <c r="A324" s="623" t="s">
        <v>1444</v>
      </c>
      <c r="B324" s="624" t="s">
        <v>1077</v>
      </c>
      <c r="C324" s="625" t="s">
        <v>100</v>
      </c>
      <c r="D324" s="626">
        <v>604.02</v>
      </c>
      <c r="E324" s="622"/>
      <c r="F324" s="334"/>
      <c r="K324" s="334"/>
      <c r="L324" s="334"/>
      <c r="M324" s="334"/>
      <c r="N324" s="334"/>
      <c r="O324" s="334"/>
    </row>
    <row r="325" spans="1:15" ht="12.75" hidden="1" customHeight="1" outlineLevel="1" x14ac:dyDescent="0.2">
      <c r="A325" s="627" t="s">
        <v>1445</v>
      </c>
      <c r="B325" s="628" t="s">
        <v>1080</v>
      </c>
      <c r="C325" s="629" t="s">
        <v>100</v>
      </c>
      <c r="D325" s="630">
        <v>202.53</v>
      </c>
      <c r="E325" s="622"/>
      <c r="F325" s="334"/>
      <c r="K325" s="334"/>
      <c r="L325" s="334"/>
      <c r="M325" s="334"/>
      <c r="N325" s="334"/>
      <c r="O325" s="334"/>
    </row>
    <row r="326" spans="1:15" ht="12.75" hidden="1" customHeight="1" outlineLevel="1" x14ac:dyDescent="0.2">
      <c r="A326" s="618" t="s">
        <v>1446</v>
      </c>
      <c r="B326" s="619" t="s">
        <v>1112</v>
      </c>
      <c r="C326" s="620"/>
      <c r="D326" s="621"/>
      <c r="E326" s="622"/>
      <c r="F326" s="334"/>
      <c r="K326" s="334"/>
      <c r="L326" s="334"/>
      <c r="M326" s="334"/>
      <c r="N326" s="334"/>
      <c r="O326" s="334"/>
    </row>
    <row r="327" spans="1:15" ht="12.75" hidden="1" customHeight="1" outlineLevel="1" x14ac:dyDescent="0.2">
      <c r="A327" s="623" t="s">
        <v>1447</v>
      </c>
      <c r="B327" s="624" t="s">
        <v>1077</v>
      </c>
      <c r="C327" s="625" t="s">
        <v>100</v>
      </c>
      <c r="D327" s="626">
        <v>661.31</v>
      </c>
      <c r="E327" s="622"/>
      <c r="F327" s="334"/>
      <c r="K327" s="334"/>
      <c r="L327" s="334"/>
      <c r="M327" s="334"/>
      <c r="N327" s="334"/>
      <c r="O327" s="334"/>
    </row>
    <row r="328" spans="1:15" ht="12.75" hidden="1" customHeight="1" outlineLevel="1" x14ac:dyDescent="0.2">
      <c r="A328" s="627" t="s">
        <v>1448</v>
      </c>
      <c r="B328" s="628" t="s">
        <v>1080</v>
      </c>
      <c r="C328" s="629" t="s">
        <v>100</v>
      </c>
      <c r="D328" s="630">
        <v>115.27</v>
      </c>
      <c r="E328" s="622"/>
      <c r="F328" s="334"/>
      <c r="K328" s="334"/>
      <c r="L328" s="334"/>
      <c r="M328" s="334"/>
      <c r="N328" s="334"/>
      <c r="O328" s="334"/>
    </row>
    <row r="329" spans="1:15" ht="12.75" hidden="1" customHeight="1" outlineLevel="1" x14ac:dyDescent="0.2">
      <c r="A329" s="618" t="s">
        <v>1449</v>
      </c>
      <c r="B329" s="619" t="s">
        <v>1120</v>
      </c>
      <c r="C329" s="620"/>
      <c r="D329" s="621"/>
      <c r="E329" s="622"/>
      <c r="F329" s="334"/>
      <c r="K329" s="334"/>
      <c r="L329" s="334"/>
      <c r="M329" s="334"/>
      <c r="N329" s="334"/>
      <c r="O329" s="334"/>
    </row>
    <row r="330" spans="1:15" ht="12.75" hidden="1" customHeight="1" outlineLevel="1" x14ac:dyDescent="0.2">
      <c r="A330" s="623" t="s">
        <v>1450</v>
      </c>
      <c r="B330" s="624" t="s">
        <v>1077</v>
      </c>
      <c r="C330" s="625" t="s">
        <v>100</v>
      </c>
      <c r="D330" s="626">
        <v>25.04</v>
      </c>
      <c r="E330" s="622"/>
      <c r="F330" s="334"/>
      <c r="K330" s="334"/>
      <c r="L330" s="334"/>
      <c r="M330" s="334"/>
      <c r="N330" s="334"/>
      <c r="O330" s="334"/>
    </row>
    <row r="331" spans="1:15" ht="12.75" hidden="1" customHeight="1" outlineLevel="1" x14ac:dyDescent="0.2">
      <c r="A331" s="627" t="s">
        <v>1451</v>
      </c>
      <c r="B331" s="628" t="s">
        <v>1080</v>
      </c>
      <c r="C331" s="629" t="s">
        <v>100</v>
      </c>
      <c r="D331" s="630">
        <v>21.4</v>
      </c>
      <c r="E331" s="622"/>
      <c r="F331" s="334"/>
      <c r="K331" s="334"/>
      <c r="L331" s="334"/>
      <c r="M331" s="334"/>
      <c r="N331" s="334"/>
      <c r="O331" s="334"/>
    </row>
    <row r="332" spans="1:15" ht="12.75" hidden="1" customHeight="1" outlineLevel="1" x14ac:dyDescent="0.2">
      <c r="A332" s="618" t="s">
        <v>1452</v>
      </c>
      <c r="B332" s="619" t="s">
        <v>1127</v>
      </c>
      <c r="C332" s="620"/>
      <c r="D332" s="621"/>
      <c r="E332" s="622"/>
      <c r="F332" s="334"/>
      <c r="K332" s="334"/>
      <c r="L332" s="334"/>
      <c r="M332" s="334"/>
      <c r="N332" s="334"/>
      <c r="O332" s="334"/>
    </row>
    <row r="333" spans="1:15" ht="12.75" hidden="1" customHeight="1" outlineLevel="1" x14ac:dyDescent="0.2">
      <c r="A333" s="623" t="s">
        <v>1453</v>
      </c>
      <c r="B333" s="624" t="s">
        <v>1077</v>
      </c>
      <c r="C333" s="625" t="s">
        <v>100</v>
      </c>
      <c r="D333" s="626">
        <v>319.92</v>
      </c>
      <c r="E333" s="622"/>
      <c r="F333" s="334"/>
      <c r="K333" s="334"/>
      <c r="L333" s="334"/>
      <c r="M333" s="334"/>
      <c r="N333" s="334"/>
      <c r="O333" s="334"/>
    </row>
    <row r="334" spans="1:15" ht="12.75" hidden="1" customHeight="1" outlineLevel="1" x14ac:dyDescent="0.2">
      <c r="A334" s="627" t="s">
        <v>1454</v>
      </c>
      <c r="B334" s="628" t="s">
        <v>1080</v>
      </c>
      <c r="C334" s="629" t="s">
        <v>100</v>
      </c>
      <c r="D334" s="630">
        <v>133.38</v>
      </c>
      <c r="E334" s="622"/>
      <c r="F334" s="334"/>
      <c r="K334" s="334"/>
      <c r="L334" s="334"/>
      <c r="M334" s="334"/>
      <c r="N334" s="334"/>
      <c r="O334" s="334"/>
    </row>
    <row r="335" spans="1:15" ht="12.75" hidden="1" customHeight="1" outlineLevel="1" x14ac:dyDescent="0.2">
      <c r="A335" s="618" t="s">
        <v>1455</v>
      </c>
      <c r="B335" s="619" t="s">
        <v>1137</v>
      </c>
      <c r="C335" s="620"/>
      <c r="D335" s="621"/>
      <c r="E335" s="622"/>
      <c r="F335" s="334"/>
      <c r="K335" s="334"/>
      <c r="L335" s="334"/>
      <c r="M335" s="334"/>
      <c r="N335" s="334"/>
      <c r="O335" s="334"/>
    </row>
    <row r="336" spans="1:15" ht="12.75" hidden="1" customHeight="1" outlineLevel="1" x14ac:dyDescent="0.2">
      <c r="A336" s="623" t="s">
        <v>1456</v>
      </c>
      <c r="B336" s="624" t="s">
        <v>1077</v>
      </c>
      <c r="C336" s="625" t="s">
        <v>100</v>
      </c>
      <c r="D336" s="626">
        <v>37.35</v>
      </c>
      <c r="E336" s="622"/>
      <c r="F336" s="334"/>
      <c r="K336" s="334"/>
      <c r="L336" s="334"/>
      <c r="M336" s="334"/>
      <c r="N336" s="334"/>
      <c r="O336" s="334"/>
    </row>
    <row r="337" spans="1:15" ht="12.75" hidden="1" customHeight="1" outlineLevel="1" x14ac:dyDescent="0.2">
      <c r="A337" s="627" t="s">
        <v>1457</v>
      </c>
      <c r="B337" s="628" t="s">
        <v>1080</v>
      </c>
      <c r="C337" s="629" t="s">
        <v>100</v>
      </c>
      <c r="D337" s="630">
        <v>26.78</v>
      </c>
      <c r="E337" s="622"/>
      <c r="F337" s="334"/>
      <c r="K337" s="334"/>
      <c r="L337" s="334"/>
      <c r="M337" s="334"/>
      <c r="N337" s="334"/>
      <c r="O337" s="334"/>
    </row>
    <row r="338" spans="1:15" ht="12.75" hidden="1" customHeight="1" outlineLevel="1" x14ac:dyDescent="0.2">
      <c r="A338" s="618" t="s">
        <v>1458</v>
      </c>
      <c r="B338" s="619" t="s">
        <v>1140</v>
      </c>
      <c r="C338" s="620"/>
      <c r="D338" s="621"/>
      <c r="E338" s="622"/>
      <c r="F338" s="334"/>
      <c r="K338" s="334"/>
      <c r="L338" s="334"/>
      <c r="M338" s="334"/>
      <c r="N338" s="334"/>
      <c r="O338" s="334"/>
    </row>
    <row r="339" spans="1:15" ht="12.75" hidden="1" customHeight="1" outlineLevel="1" x14ac:dyDescent="0.2">
      <c r="A339" s="623" t="s">
        <v>1459</v>
      </c>
      <c r="B339" s="624" t="s">
        <v>1077</v>
      </c>
      <c r="C339" s="625" t="s">
        <v>100</v>
      </c>
      <c r="D339" s="626">
        <v>40.36</v>
      </c>
      <c r="E339" s="622"/>
      <c r="F339" s="334"/>
      <c r="K339" s="334"/>
      <c r="L339" s="334"/>
      <c r="M339" s="334"/>
      <c r="N339" s="334"/>
      <c r="O339" s="334"/>
    </row>
    <row r="340" spans="1:15" ht="12.75" hidden="1" customHeight="1" outlineLevel="1" x14ac:dyDescent="0.2">
      <c r="A340" s="627" t="s">
        <v>1460</v>
      </c>
      <c r="B340" s="628" t="s">
        <v>1080</v>
      </c>
      <c r="C340" s="629" t="s">
        <v>100</v>
      </c>
      <c r="D340" s="630">
        <v>44.38</v>
      </c>
      <c r="E340" s="622"/>
      <c r="F340" s="334"/>
      <c r="K340" s="334"/>
      <c r="L340" s="334"/>
      <c r="M340" s="334"/>
      <c r="N340" s="334"/>
      <c r="O340" s="334"/>
    </row>
    <row r="341" spans="1:15" ht="12.75" hidden="1" customHeight="1" outlineLevel="1" x14ac:dyDescent="0.2">
      <c r="A341" s="618" t="s">
        <v>1461</v>
      </c>
      <c r="B341" s="619" t="s">
        <v>1462</v>
      </c>
      <c r="C341" s="620"/>
      <c r="D341" s="621"/>
      <c r="E341" s="622"/>
      <c r="F341" s="334"/>
      <c r="K341" s="334"/>
      <c r="L341" s="334"/>
      <c r="M341" s="334"/>
      <c r="N341" s="334"/>
      <c r="O341" s="334"/>
    </row>
    <row r="342" spans="1:15" ht="12.75" hidden="1" customHeight="1" outlineLevel="1" x14ac:dyDescent="0.2">
      <c r="A342" s="623" t="s">
        <v>1463</v>
      </c>
      <c r="B342" s="624" t="s">
        <v>1077</v>
      </c>
      <c r="C342" s="625" t="s">
        <v>100</v>
      </c>
      <c r="D342" s="626">
        <v>109.28</v>
      </c>
      <c r="E342" s="622"/>
      <c r="F342" s="334"/>
      <c r="K342" s="334"/>
      <c r="L342" s="334"/>
      <c r="M342" s="334"/>
      <c r="N342" s="334"/>
      <c r="O342" s="334"/>
    </row>
    <row r="343" spans="1:15" ht="12.75" customHeight="1" collapsed="1" x14ac:dyDescent="0.2">
      <c r="A343" s="614" t="s">
        <v>1464</v>
      </c>
      <c r="B343" s="615" t="s">
        <v>1465</v>
      </c>
      <c r="C343" s="616"/>
      <c r="D343" s="617"/>
      <c r="E343" s="334"/>
      <c r="F343" s="334"/>
      <c r="K343" s="334"/>
      <c r="L343" s="334"/>
      <c r="M343" s="334"/>
      <c r="N343" s="334"/>
      <c r="O343" s="334"/>
    </row>
    <row r="344" spans="1:15" ht="12.75" hidden="1" customHeight="1" outlineLevel="1" x14ac:dyDescent="0.2">
      <c r="A344" s="618" t="s">
        <v>1466</v>
      </c>
      <c r="B344" s="619" t="s">
        <v>1009</v>
      </c>
      <c r="C344" s="620"/>
      <c r="D344" s="621"/>
      <c r="E344" s="622"/>
      <c r="F344" s="334"/>
      <c r="K344" s="334"/>
      <c r="L344" s="334"/>
      <c r="M344" s="334"/>
      <c r="N344" s="334"/>
      <c r="O344" s="334"/>
    </row>
    <row r="345" spans="1:15" ht="12.75" hidden="1" customHeight="1" outlineLevel="1" x14ac:dyDescent="0.2">
      <c r="A345" s="627" t="s">
        <v>1467</v>
      </c>
      <c r="B345" s="628" t="s">
        <v>1054</v>
      </c>
      <c r="C345" s="629" t="s">
        <v>100</v>
      </c>
      <c r="D345" s="630">
        <v>942.76</v>
      </c>
      <c r="E345" s="622"/>
      <c r="F345" s="334"/>
      <c r="K345" s="334"/>
      <c r="L345" s="334"/>
      <c r="M345" s="334"/>
      <c r="N345" s="334"/>
      <c r="O345" s="334"/>
    </row>
    <row r="346" spans="1:15" ht="12.75" hidden="1" customHeight="1" outlineLevel="1" x14ac:dyDescent="0.2">
      <c r="A346" s="623" t="s">
        <v>1468</v>
      </c>
      <c r="B346" s="624" t="s">
        <v>1056</v>
      </c>
      <c r="C346" s="625" t="s">
        <v>100</v>
      </c>
      <c r="D346" s="626">
        <v>235.69</v>
      </c>
      <c r="E346" s="622"/>
      <c r="F346" s="334"/>
      <c r="K346" s="334"/>
      <c r="L346" s="334"/>
      <c r="M346" s="334"/>
      <c r="N346" s="334"/>
      <c r="O346" s="334"/>
    </row>
    <row r="347" spans="1:15" ht="12.75" hidden="1" customHeight="1" outlineLevel="1" x14ac:dyDescent="0.2">
      <c r="A347" s="618" t="s">
        <v>1469</v>
      </c>
      <c r="B347" s="619" t="s">
        <v>1017</v>
      </c>
      <c r="C347" s="620"/>
      <c r="D347" s="621"/>
      <c r="E347" s="622"/>
      <c r="F347" s="334"/>
      <c r="K347" s="334"/>
      <c r="L347" s="334"/>
      <c r="M347" s="334"/>
      <c r="N347" s="334"/>
      <c r="O347" s="334"/>
    </row>
    <row r="348" spans="1:15" ht="12.75" hidden="1" customHeight="1" outlineLevel="1" x14ac:dyDescent="0.2">
      <c r="A348" s="627" t="s">
        <v>1470</v>
      </c>
      <c r="B348" s="628" t="s">
        <v>1054</v>
      </c>
      <c r="C348" s="629" t="s">
        <v>100</v>
      </c>
      <c r="D348" s="630">
        <v>447.74</v>
      </c>
      <c r="E348" s="622"/>
      <c r="F348" s="334"/>
      <c r="K348" s="334"/>
      <c r="L348" s="334"/>
      <c r="M348" s="334"/>
      <c r="N348" s="334"/>
      <c r="O348" s="334"/>
    </row>
    <row r="349" spans="1:15" ht="12.75" hidden="1" customHeight="1" outlineLevel="1" x14ac:dyDescent="0.2">
      <c r="A349" s="623" t="s">
        <v>1471</v>
      </c>
      <c r="B349" s="624" t="s">
        <v>1056</v>
      </c>
      <c r="C349" s="625" t="s">
        <v>100</v>
      </c>
      <c r="D349" s="626">
        <v>630.91</v>
      </c>
      <c r="E349" s="622"/>
      <c r="F349" s="334"/>
      <c r="K349" s="334"/>
      <c r="L349" s="334"/>
      <c r="M349" s="334"/>
      <c r="N349" s="334"/>
      <c r="O349" s="334"/>
    </row>
    <row r="350" spans="1:15" ht="12.75" hidden="1" customHeight="1" outlineLevel="1" x14ac:dyDescent="0.2">
      <c r="A350" s="618" t="s">
        <v>1472</v>
      </c>
      <c r="B350" s="619" t="s">
        <v>1021</v>
      </c>
      <c r="C350" s="620"/>
      <c r="D350" s="621"/>
      <c r="E350" s="622"/>
      <c r="F350" s="334"/>
      <c r="K350" s="334"/>
      <c r="L350" s="334"/>
      <c r="M350" s="334"/>
      <c r="N350" s="334"/>
      <c r="O350" s="334"/>
    </row>
    <row r="351" spans="1:15" ht="12.75" hidden="1" customHeight="1" outlineLevel="1" x14ac:dyDescent="0.2">
      <c r="A351" s="627" t="s">
        <v>1473</v>
      </c>
      <c r="B351" s="628" t="s">
        <v>1054</v>
      </c>
      <c r="C351" s="629" t="s">
        <v>100</v>
      </c>
      <c r="D351" s="630">
        <v>1053.33</v>
      </c>
      <c r="E351" s="622"/>
      <c r="F351" s="334"/>
      <c r="K351" s="334"/>
      <c r="L351" s="334"/>
      <c r="M351" s="334"/>
      <c r="N351" s="334"/>
      <c r="O351" s="334"/>
    </row>
    <row r="352" spans="1:15" ht="12.75" hidden="1" customHeight="1" outlineLevel="1" x14ac:dyDescent="0.2">
      <c r="A352" s="623" t="s">
        <v>1474</v>
      </c>
      <c r="B352" s="624" t="s">
        <v>1056</v>
      </c>
      <c r="C352" s="625" t="s">
        <v>100</v>
      </c>
      <c r="D352" s="626">
        <v>185.88</v>
      </c>
      <c r="E352" s="622"/>
      <c r="F352" s="334"/>
      <c r="K352" s="334"/>
      <c r="L352" s="334"/>
      <c r="M352" s="334"/>
      <c r="N352" s="334"/>
      <c r="O352" s="334"/>
    </row>
    <row r="353" spans="1:15" ht="12.75" hidden="1" customHeight="1" outlineLevel="1" x14ac:dyDescent="0.2">
      <c r="A353" s="618" t="s">
        <v>1475</v>
      </c>
      <c r="B353" s="619" t="s">
        <v>1030</v>
      </c>
      <c r="C353" s="620"/>
      <c r="D353" s="621"/>
      <c r="E353" s="622"/>
      <c r="F353" s="334"/>
      <c r="K353" s="334"/>
      <c r="L353" s="334"/>
      <c r="M353" s="334"/>
      <c r="N353" s="334"/>
      <c r="O353" s="334"/>
    </row>
    <row r="354" spans="1:15" ht="12.75" hidden="1" customHeight="1" outlineLevel="1" x14ac:dyDescent="0.2">
      <c r="A354" s="627" t="s">
        <v>1476</v>
      </c>
      <c r="B354" s="628" t="s">
        <v>1054</v>
      </c>
      <c r="C354" s="629" t="s">
        <v>100</v>
      </c>
      <c r="D354" s="630">
        <v>977.78</v>
      </c>
      <c r="E354" s="622"/>
      <c r="F354" s="334"/>
      <c r="K354" s="334"/>
      <c r="L354" s="334"/>
      <c r="M354" s="334"/>
      <c r="N354" s="334"/>
      <c r="O354" s="334"/>
    </row>
    <row r="355" spans="1:15" ht="12.75" hidden="1" customHeight="1" outlineLevel="1" x14ac:dyDescent="0.2">
      <c r="A355" s="623" t="s">
        <v>1477</v>
      </c>
      <c r="B355" s="624" t="s">
        <v>1056</v>
      </c>
      <c r="C355" s="625" t="s">
        <v>100</v>
      </c>
      <c r="D355" s="626">
        <v>142.83000000000001</v>
      </c>
      <c r="E355" s="622"/>
      <c r="F355" s="334"/>
      <c r="K355" s="334"/>
      <c r="L355" s="334"/>
      <c r="M355" s="334"/>
      <c r="N355" s="334"/>
      <c r="O355" s="334"/>
    </row>
    <row r="356" spans="1:15" ht="12.75" hidden="1" customHeight="1" outlineLevel="1" x14ac:dyDescent="0.2">
      <c r="A356" s="618" t="s">
        <v>1478</v>
      </c>
      <c r="B356" s="619" t="s">
        <v>1039</v>
      </c>
      <c r="C356" s="620"/>
      <c r="D356" s="621"/>
      <c r="E356" s="622"/>
      <c r="F356" s="334"/>
      <c r="K356" s="334"/>
      <c r="L356" s="334"/>
      <c r="M356" s="334"/>
      <c r="N356" s="334"/>
      <c r="O356" s="334"/>
    </row>
    <row r="357" spans="1:15" ht="12.75" hidden="1" customHeight="1" outlineLevel="1" x14ac:dyDescent="0.2">
      <c r="A357" s="627" t="s">
        <v>1479</v>
      </c>
      <c r="B357" s="628" t="s">
        <v>1054</v>
      </c>
      <c r="C357" s="629" t="s">
        <v>100</v>
      </c>
      <c r="D357" s="630">
        <v>1005.87</v>
      </c>
      <c r="E357" s="622"/>
      <c r="F357" s="334"/>
      <c r="K357" s="334"/>
      <c r="L357" s="334"/>
      <c r="M357" s="334"/>
      <c r="N357" s="334"/>
      <c r="O357" s="334"/>
    </row>
    <row r="358" spans="1:15" ht="12.75" hidden="1" customHeight="1" outlineLevel="1" x14ac:dyDescent="0.2">
      <c r="A358" s="623" t="s">
        <v>1480</v>
      </c>
      <c r="B358" s="624" t="s">
        <v>1056</v>
      </c>
      <c r="C358" s="625" t="s">
        <v>100</v>
      </c>
      <c r="D358" s="626">
        <v>141.6</v>
      </c>
      <c r="E358" s="622"/>
      <c r="F358" s="334"/>
      <c r="K358" s="334"/>
      <c r="L358" s="334"/>
      <c r="M358" s="334"/>
      <c r="N358" s="334"/>
      <c r="O358" s="334"/>
    </row>
    <row r="359" spans="1:15" ht="12.75" hidden="1" customHeight="1" outlineLevel="1" x14ac:dyDescent="0.2">
      <c r="A359" s="618" t="s">
        <v>1481</v>
      </c>
      <c r="B359" s="619" t="s">
        <v>1047</v>
      </c>
      <c r="C359" s="620"/>
      <c r="D359" s="621"/>
      <c r="E359" s="622"/>
      <c r="F359" s="334"/>
      <c r="K359" s="334"/>
      <c r="L359" s="334"/>
      <c r="M359" s="334"/>
      <c r="N359" s="334"/>
      <c r="O359" s="334"/>
    </row>
    <row r="360" spans="1:15" ht="12.75" hidden="1" customHeight="1" outlineLevel="1" x14ac:dyDescent="0.2">
      <c r="A360" s="627" t="s">
        <v>1482</v>
      </c>
      <c r="B360" s="628" t="s">
        <v>1054</v>
      </c>
      <c r="C360" s="629" t="s">
        <v>100</v>
      </c>
      <c r="D360" s="630">
        <v>977.86</v>
      </c>
      <c r="E360" s="622"/>
      <c r="F360" s="334"/>
      <c r="K360" s="334"/>
      <c r="L360" s="334"/>
      <c r="M360" s="334"/>
      <c r="N360" s="334"/>
      <c r="O360" s="334"/>
    </row>
    <row r="361" spans="1:15" ht="12.75" hidden="1" customHeight="1" outlineLevel="1" x14ac:dyDescent="0.2">
      <c r="A361" s="623" t="s">
        <v>1483</v>
      </c>
      <c r="B361" s="624" t="s">
        <v>1056</v>
      </c>
      <c r="C361" s="625" t="s">
        <v>100</v>
      </c>
      <c r="D361" s="626">
        <v>142.71</v>
      </c>
      <c r="E361" s="622"/>
      <c r="F361" s="334"/>
      <c r="K361" s="334"/>
      <c r="L361" s="334"/>
      <c r="M361" s="334"/>
      <c r="N361" s="334"/>
      <c r="O361" s="334"/>
    </row>
    <row r="362" spans="1:15" ht="12.75" hidden="1" customHeight="1" outlineLevel="1" x14ac:dyDescent="0.2">
      <c r="A362" s="618" t="s">
        <v>1484</v>
      </c>
      <c r="B362" s="619" t="s">
        <v>1058</v>
      </c>
      <c r="C362" s="620"/>
      <c r="D362" s="621"/>
      <c r="E362" s="622"/>
      <c r="F362" s="334"/>
      <c r="K362" s="334"/>
      <c r="L362" s="334"/>
      <c r="M362" s="334"/>
      <c r="N362" s="334"/>
      <c r="O362" s="334"/>
    </row>
    <row r="363" spans="1:15" ht="12.75" hidden="1" customHeight="1" outlineLevel="1" x14ac:dyDescent="0.2">
      <c r="A363" s="627" t="s">
        <v>1485</v>
      </c>
      <c r="B363" s="628" t="s">
        <v>1054</v>
      </c>
      <c r="C363" s="629" t="s">
        <v>100</v>
      </c>
      <c r="D363" s="630">
        <v>977.86</v>
      </c>
      <c r="E363" s="622"/>
      <c r="F363" s="334"/>
      <c r="K363" s="334"/>
      <c r="L363" s="334"/>
      <c r="M363" s="334"/>
      <c r="N363" s="334"/>
      <c r="O363" s="334"/>
    </row>
    <row r="364" spans="1:15" ht="12.75" hidden="1" customHeight="1" outlineLevel="1" x14ac:dyDescent="0.2">
      <c r="A364" s="623" t="s">
        <v>1486</v>
      </c>
      <c r="B364" s="624" t="s">
        <v>1056</v>
      </c>
      <c r="C364" s="625" t="s">
        <v>100</v>
      </c>
      <c r="D364" s="626">
        <v>142.71</v>
      </c>
      <c r="E364" s="622"/>
      <c r="F364" s="334"/>
      <c r="K364" s="334"/>
      <c r="L364" s="334"/>
      <c r="M364" s="334"/>
      <c r="N364" s="334"/>
      <c r="O364" s="334"/>
    </row>
    <row r="365" spans="1:15" ht="12.75" hidden="1" customHeight="1" outlineLevel="1" x14ac:dyDescent="0.2">
      <c r="A365" s="618" t="s">
        <v>1487</v>
      </c>
      <c r="B365" s="619" t="s">
        <v>1069</v>
      </c>
      <c r="C365" s="620"/>
      <c r="D365" s="621"/>
      <c r="E365" s="622"/>
      <c r="F365" s="334"/>
      <c r="K365" s="334"/>
      <c r="L365" s="334"/>
      <c r="M365" s="334"/>
      <c r="N365" s="334"/>
      <c r="O365" s="334"/>
    </row>
    <row r="366" spans="1:15" ht="12.75" hidden="1" customHeight="1" outlineLevel="1" x14ac:dyDescent="0.2">
      <c r="A366" s="627" t="s">
        <v>1488</v>
      </c>
      <c r="B366" s="628" t="s">
        <v>1054</v>
      </c>
      <c r="C366" s="629" t="s">
        <v>100</v>
      </c>
      <c r="D366" s="630">
        <v>977.86</v>
      </c>
      <c r="E366" s="622"/>
      <c r="F366" s="334"/>
      <c r="K366" s="334"/>
      <c r="L366" s="334"/>
      <c r="M366" s="334"/>
      <c r="N366" s="334"/>
      <c r="O366" s="334"/>
    </row>
    <row r="367" spans="1:15" ht="12.75" hidden="1" customHeight="1" outlineLevel="1" x14ac:dyDescent="0.2">
      <c r="A367" s="623" t="s">
        <v>1489</v>
      </c>
      <c r="B367" s="624" t="s">
        <v>1056</v>
      </c>
      <c r="C367" s="625" t="s">
        <v>100</v>
      </c>
      <c r="D367" s="626">
        <v>142.71</v>
      </c>
      <c r="E367" s="622"/>
      <c r="F367" s="334"/>
      <c r="K367" s="334"/>
      <c r="L367" s="334"/>
      <c r="M367" s="334"/>
      <c r="N367" s="334"/>
      <c r="O367" s="334"/>
    </row>
    <row r="368" spans="1:15" ht="12.75" hidden="1" customHeight="1" outlineLevel="1" x14ac:dyDescent="0.2">
      <c r="A368" s="618" t="s">
        <v>1490</v>
      </c>
      <c r="B368" s="619" t="s">
        <v>1079</v>
      </c>
      <c r="C368" s="620"/>
      <c r="D368" s="621"/>
      <c r="E368" s="622"/>
      <c r="F368" s="334"/>
      <c r="K368" s="334"/>
      <c r="L368" s="334"/>
      <c r="M368" s="334"/>
      <c r="N368" s="334"/>
      <c r="O368" s="334"/>
    </row>
    <row r="369" spans="1:15" ht="12.75" hidden="1" customHeight="1" outlineLevel="1" x14ac:dyDescent="0.2">
      <c r="A369" s="627" t="s">
        <v>1491</v>
      </c>
      <c r="B369" s="628" t="s">
        <v>1054</v>
      </c>
      <c r="C369" s="629" t="s">
        <v>100</v>
      </c>
      <c r="D369" s="630">
        <v>977.86</v>
      </c>
      <c r="E369" s="622"/>
      <c r="F369" s="334"/>
      <c r="K369" s="334"/>
      <c r="L369" s="334"/>
      <c r="M369" s="334"/>
      <c r="N369" s="334"/>
      <c r="O369" s="334"/>
    </row>
    <row r="370" spans="1:15" ht="12.75" hidden="1" customHeight="1" outlineLevel="1" x14ac:dyDescent="0.2">
      <c r="A370" s="623" t="s">
        <v>1492</v>
      </c>
      <c r="B370" s="624" t="s">
        <v>1056</v>
      </c>
      <c r="C370" s="625" t="s">
        <v>100</v>
      </c>
      <c r="D370" s="626">
        <v>142.71</v>
      </c>
      <c r="E370" s="622"/>
      <c r="F370" s="334"/>
      <c r="K370" s="334"/>
      <c r="L370" s="334"/>
      <c r="M370" s="334"/>
      <c r="N370" s="334"/>
      <c r="O370" s="334"/>
    </row>
    <row r="371" spans="1:15" ht="12.75" hidden="1" customHeight="1" outlineLevel="1" x14ac:dyDescent="0.2">
      <c r="A371" s="618" t="s">
        <v>1493</v>
      </c>
      <c r="B371" s="619" t="s">
        <v>1086</v>
      </c>
      <c r="C371" s="620"/>
      <c r="D371" s="621"/>
      <c r="E371" s="622"/>
      <c r="F371" s="334"/>
      <c r="K371" s="334"/>
      <c r="L371" s="334"/>
      <c r="M371" s="334"/>
      <c r="N371" s="334"/>
      <c r="O371" s="334"/>
    </row>
    <row r="372" spans="1:15" ht="12.75" hidden="1" customHeight="1" outlineLevel="1" x14ac:dyDescent="0.2">
      <c r="A372" s="627" t="s">
        <v>1494</v>
      </c>
      <c r="B372" s="628" t="s">
        <v>1054</v>
      </c>
      <c r="C372" s="629" t="s">
        <v>100</v>
      </c>
      <c r="D372" s="630">
        <v>977.86</v>
      </c>
      <c r="E372" s="622"/>
      <c r="F372" s="334"/>
      <c r="K372" s="334"/>
      <c r="L372" s="334"/>
      <c r="M372" s="334"/>
      <c r="N372" s="334"/>
      <c r="O372" s="334"/>
    </row>
    <row r="373" spans="1:15" ht="12.75" hidden="1" customHeight="1" outlineLevel="1" x14ac:dyDescent="0.2">
      <c r="A373" s="623" t="s">
        <v>1495</v>
      </c>
      <c r="B373" s="624" t="s">
        <v>1056</v>
      </c>
      <c r="C373" s="625" t="s">
        <v>100</v>
      </c>
      <c r="D373" s="626">
        <v>142.71</v>
      </c>
      <c r="E373" s="622"/>
      <c r="F373" s="334"/>
      <c r="K373" s="334"/>
      <c r="L373" s="334"/>
      <c r="M373" s="334"/>
      <c r="N373" s="334"/>
      <c r="O373" s="334"/>
    </row>
    <row r="374" spans="1:15" ht="12.75" hidden="1" customHeight="1" outlineLevel="1" x14ac:dyDescent="0.2">
      <c r="A374" s="618" t="s">
        <v>1496</v>
      </c>
      <c r="B374" s="619" t="s">
        <v>1094</v>
      </c>
      <c r="C374" s="620"/>
      <c r="D374" s="621"/>
      <c r="E374" s="622"/>
      <c r="F374" s="334"/>
      <c r="K374" s="334"/>
      <c r="L374" s="334"/>
      <c r="M374" s="334"/>
      <c r="N374" s="334"/>
      <c r="O374" s="334"/>
    </row>
    <row r="375" spans="1:15" ht="12.75" hidden="1" customHeight="1" outlineLevel="1" x14ac:dyDescent="0.2">
      <c r="A375" s="627" t="s">
        <v>1497</v>
      </c>
      <c r="B375" s="628" t="s">
        <v>1054</v>
      </c>
      <c r="C375" s="629" t="s">
        <v>100</v>
      </c>
      <c r="D375" s="630">
        <v>977.86</v>
      </c>
      <c r="E375" s="622"/>
      <c r="F375" s="334"/>
      <c r="K375" s="334"/>
      <c r="L375" s="334"/>
      <c r="M375" s="334"/>
      <c r="N375" s="334"/>
      <c r="O375" s="334"/>
    </row>
    <row r="376" spans="1:15" ht="12.75" hidden="1" customHeight="1" outlineLevel="1" x14ac:dyDescent="0.2">
      <c r="A376" s="623" t="s">
        <v>1498</v>
      </c>
      <c r="B376" s="624" t="s">
        <v>1056</v>
      </c>
      <c r="C376" s="625" t="s">
        <v>100</v>
      </c>
      <c r="D376" s="626">
        <v>142.71</v>
      </c>
      <c r="E376" s="622"/>
      <c r="F376" s="334"/>
      <c r="K376" s="334"/>
      <c r="L376" s="334"/>
      <c r="M376" s="334"/>
      <c r="N376" s="334"/>
      <c r="O376" s="334"/>
    </row>
    <row r="377" spans="1:15" ht="12.75" hidden="1" customHeight="1" outlineLevel="1" x14ac:dyDescent="0.2">
      <c r="A377" s="618" t="s">
        <v>1499</v>
      </c>
      <c r="B377" s="619" t="s">
        <v>1102</v>
      </c>
      <c r="C377" s="620"/>
      <c r="D377" s="621"/>
      <c r="E377" s="622"/>
      <c r="F377" s="334"/>
      <c r="K377" s="334"/>
      <c r="L377" s="334"/>
      <c r="M377" s="334"/>
      <c r="N377" s="334"/>
      <c r="O377" s="334"/>
    </row>
    <row r="378" spans="1:15" ht="12.75" hidden="1" customHeight="1" outlineLevel="1" x14ac:dyDescent="0.2">
      <c r="A378" s="627" t="s">
        <v>1500</v>
      </c>
      <c r="B378" s="628" t="s">
        <v>1054</v>
      </c>
      <c r="C378" s="629" t="s">
        <v>100</v>
      </c>
      <c r="D378" s="630">
        <v>604.02</v>
      </c>
      <c r="E378" s="622"/>
      <c r="F378" s="334"/>
      <c r="K378" s="334"/>
      <c r="L378" s="334"/>
      <c r="M378" s="334"/>
      <c r="N378" s="334"/>
      <c r="O378" s="334"/>
    </row>
    <row r="379" spans="1:15" ht="12.75" hidden="1" customHeight="1" outlineLevel="1" x14ac:dyDescent="0.2">
      <c r="A379" s="623" t="s">
        <v>1501</v>
      </c>
      <c r="B379" s="624" t="s">
        <v>1056</v>
      </c>
      <c r="C379" s="625" t="s">
        <v>100</v>
      </c>
      <c r="D379" s="626">
        <v>202.53</v>
      </c>
      <c r="E379" s="622"/>
      <c r="F379" s="334"/>
      <c r="K379" s="334"/>
      <c r="L379" s="334"/>
      <c r="M379" s="334"/>
      <c r="N379" s="334"/>
      <c r="O379" s="334"/>
    </row>
    <row r="380" spans="1:15" ht="12.75" hidden="1" customHeight="1" outlineLevel="1" x14ac:dyDescent="0.2">
      <c r="A380" s="618" t="s">
        <v>1502</v>
      </c>
      <c r="B380" s="619" t="s">
        <v>1112</v>
      </c>
      <c r="C380" s="620"/>
      <c r="D380" s="621"/>
      <c r="E380" s="622"/>
      <c r="F380" s="334"/>
      <c r="K380" s="334"/>
      <c r="L380" s="334"/>
      <c r="M380" s="334"/>
      <c r="N380" s="334"/>
      <c r="O380" s="334"/>
    </row>
    <row r="381" spans="1:15" ht="12.75" hidden="1" customHeight="1" outlineLevel="1" x14ac:dyDescent="0.2">
      <c r="A381" s="627" t="s">
        <v>1503</v>
      </c>
      <c r="B381" s="628" t="s">
        <v>1054</v>
      </c>
      <c r="C381" s="629" t="s">
        <v>100</v>
      </c>
      <c r="D381" s="630">
        <v>661.31</v>
      </c>
      <c r="E381" s="622"/>
      <c r="F381" s="334"/>
      <c r="K381" s="334"/>
      <c r="L381" s="334"/>
      <c r="M381" s="334"/>
      <c r="N381" s="334"/>
      <c r="O381" s="334"/>
    </row>
    <row r="382" spans="1:15" ht="12.75" hidden="1" customHeight="1" outlineLevel="1" x14ac:dyDescent="0.2">
      <c r="A382" s="627" t="s">
        <v>1504</v>
      </c>
      <c r="B382" s="628" t="s">
        <v>1056</v>
      </c>
      <c r="C382" s="629" t="s">
        <v>100</v>
      </c>
      <c r="D382" s="630">
        <v>115.27</v>
      </c>
      <c r="E382" s="622"/>
      <c r="F382" s="334"/>
      <c r="K382" s="334"/>
      <c r="L382" s="334"/>
      <c r="M382" s="334"/>
      <c r="N382" s="334"/>
      <c r="O382" s="334"/>
    </row>
    <row r="383" spans="1:15" ht="12.75" hidden="1" customHeight="1" outlineLevel="1" x14ac:dyDescent="0.2">
      <c r="A383" s="618" t="s">
        <v>1505</v>
      </c>
      <c r="B383" s="619" t="s">
        <v>1120</v>
      </c>
      <c r="C383" s="620"/>
      <c r="D383" s="621"/>
      <c r="E383" s="622"/>
      <c r="F383" s="334"/>
      <c r="K383" s="334"/>
      <c r="L383" s="334"/>
      <c r="M383" s="334"/>
      <c r="N383" s="334"/>
      <c r="O383" s="334"/>
    </row>
    <row r="384" spans="1:15" ht="12.75" hidden="1" customHeight="1" outlineLevel="1" x14ac:dyDescent="0.2">
      <c r="A384" s="627" t="s">
        <v>1506</v>
      </c>
      <c r="B384" s="628" t="s">
        <v>1054</v>
      </c>
      <c r="C384" s="629" t="s">
        <v>100</v>
      </c>
      <c r="D384" s="630">
        <v>25.04</v>
      </c>
      <c r="E384" s="622"/>
      <c r="F384" s="334"/>
      <c r="K384" s="334"/>
      <c r="L384" s="334"/>
      <c r="M384" s="334"/>
      <c r="N384" s="334"/>
      <c r="O384" s="334"/>
    </row>
    <row r="385" spans="1:15" ht="12.75" hidden="1" customHeight="1" outlineLevel="1" x14ac:dyDescent="0.2">
      <c r="A385" s="623" t="s">
        <v>1507</v>
      </c>
      <c r="B385" s="624" t="s">
        <v>1056</v>
      </c>
      <c r="C385" s="625" t="s">
        <v>100</v>
      </c>
      <c r="D385" s="626">
        <v>21.4</v>
      </c>
      <c r="E385" s="622"/>
      <c r="F385" s="334"/>
      <c r="K385" s="334"/>
      <c r="L385" s="334"/>
      <c r="M385" s="334"/>
      <c r="N385" s="334"/>
      <c r="O385" s="334"/>
    </row>
    <row r="386" spans="1:15" ht="12.75" hidden="1" customHeight="1" outlineLevel="1" x14ac:dyDescent="0.2">
      <c r="A386" s="618" t="s">
        <v>1508</v>
      </c>
      <c r="B386" s="619" t="s">
        <v>1127</v>
      </c>
      <c r="C386" s="620"/>
      <c r="D386" s="621"/>
      <c r="E386" s="622"/>
      <c r="F386" s="334"/>
      <c r="K386" s="334"/>
      <c r="L386" s="334"/>
      <c r="M386" s="334"/>
      <c r="N386" s="334"/>
      <c r="O386" s="334"/>
    </row>
    <row r="387" spans="1:15" ht="12.75" hidden="1" customHeight="1" outlineLevel="1" x14ac:dyDescent="0.2">
      <c r="A387" s="627" t="s">
        <v>1509</v>
      </c>
      <c r="B387" s="628" t="s">
        <v>1054</v>
      </c>
      <c r="C387" s="629" t="s">
        <v>100</v>
      </c>
      <c r="D387" s="630">
        <v>319.92</v>
      </c>
      <c r="E387" s="622"/>
      <c r="F387" s="334"/>
      <c r="K387" s="334"/>
      <c r="L387" s="334"/>
      <c r="M387" s="334"/>
      <c r="N387" s="334"/>
      <c r="O387" s="334"/>
    </row>
    <row r="388" spans="1:15" ht="12.75" hidden="1" customHeight="1" outlineLevel="1" x14ac:dyDescent="0.2">
      <c r="A388" s="623" t="s">
        <v>1510</v>
      </c>
      <c r="B388" s="624" t="s">
        <v>1056</v>
      </c>
      <c r="C388" s="625" t="s">
        <v>100</v>
      </c>
      <c r="D388" s="626">
        <v>133.38</v>
      </c>
      <c r="E388" s="622"/>
      <c r="F388" s="334"/>
      <c r="K388" s="334"/>
      <c r="L388" s="334"/>
      <c r="M388" s="334"/>
      <c r="N388" s="334"/>
      <c r="O388" s="334"/>
    </row>
    <row r="389" spans="1:15" ht="12.75" hidden="1" customHeight="1" outlineLevel="1" x14ac:dyDescent="0.2">
      <c r="A389" s="618" t="s">
        <v>1511</v>
      </c>
      <c r="B389" s="619" t="s">
        <v>1137</v>
      </c>
      <c r="C389" s="620"/>
      <c r="D389" s="621"/>
      <c r="E389" s="622"/>
      <c r="F389" s="334"/>
      <c r="K389" s="334"/>
      <c r="L389" s="334"/>
      <c r="M389" s="334"/>
      <c r="N389" s="334"/>
      <c r="O389" s="334"/>
    </row>
    <row r="390" spans="1:15" ht="12.75" hidden="1" customHeight="1" outlineLevel="1" x14ac:dyDescent="0.2">
      <c r="A390" s="627" t="s">
        <v>1512</v>
      </c>
      <c r="B390" s="628" t="s">
        <v>1054</v>
      </c>
      <c r="C390" s="629" t="s">
        <v>100</v>
      </c>
      <c r="D390" s="630">
        <v>37.35</v>
      </c>
      <c r="E390" s="622"/>
      <c r="F390" s="334"/>
      <c r="K390" s="334"/>
      <c r="L390" s="334"/>
      <c r="M390" s="334"/>
      <c r="N390" s="334"/>
      <c r="O390" s="334"/>
    </row>
    <row r="391" spans="1:15" ht="12.75" hidden="1" customHeight="1" outlineLevel="1" x14ac:dyDescent="0.2">
      <c r="A391" s="623" t="s">
        <v>1513</v>
      </c>
      <c r="B391" s="624" t="s">
        <v>1056</v>
      </c>
      <c r="C391" s="625" t="s">
        <v>100</v>
      </c>
      <c r="D391" s="626">
        <v>26.78</v>
      </c>
      <c r="E391" s="622"/>
      <c r="F391" s="334"/>
      <c r="K391" s="334"/>
      <c r="L391" s="334"/>
      <c r="M391" s="334"/>
      <c r="N391" s="334"/>
      <c r="O391" s="334"/>
    </row>
    <row r="392" spans="1:15" ht="12.75" hidden="1" customHeight="1" outlineLevel="1" x14ac:dyDescent="0.2">
      <c r="A392" s="618" t="s">
        <v>1514</v>
      </c>
      <c r="B392" s="619" t="s">
        <v>1140</v>
      </c>
      <c r="C392" s="620"/>
      <c r="D392" s="621"/>
      <c r="E392" s="622"/>
      <c r="F392" s="334"/>
      <c r="K392" s="334"/>
      <c r="L392" s="334"/>
      <c r="M392" s="334"/>
      <c r="N392" s="334"/>
      <c r="O392" s="334"/>
    </row>
    <row r="393" spans="1:15" ht="12.75" hidden="1" customHeight="1" outlineLevel="1" x14ac:dyDescent="0.2">
      <c r="A393" s="627" t="s">
        <v>1515</v>
      </c>
      <c r="B393" s="628" t="s">
        <v>1054</v>
      </c>
      <c r="C393" s="629" t="s">
        <v>100</v>
      </c>
      <c r="D393" s="630">
        <v>40.36</v>
      </c>
      <c r="E393" s="622"/>
      <c r="F393" s="334"/>
      <c r="K393" s="334"/>
      <c r="L393" s="334"/>
      <c r="M393" s="334"/>
      <c r="N393" s="334"/>
      <c r="O393" s="334"/>
    </row>
    <row r="394" spans="1:15" ht="12.75" hidden="1" customHeight="1" outlineLevel="1" x14ac:dyDescent="0.2">
      <c r="A394" s="623" t="s">
        <v>1516</v>
      </c>
      <c r="B394" s="624" t="s">
        <v>1056</v>
      </c>
      <c r="C394" s="625" t="s">
        <v>100</v>
      </c>
      <c r="D394" s="626">
        <v>44.38</v>
      </c>
      <c r="E394" s="622"/>
      <c r="F394" s="334"/>
      <c r="K394" s="334"/>
      <c r="L394" s="334"/>
      <c r="M394" s="334"/>
      <c r="N394" s="334"/>
      <c r="O394" s="334"/>
    </row>
    <row r="395" spans="1:15" ht="12.75" hidden="1" customHeight="1" outlineLevel="1" x14ac:dyDescent="0.2">
      <c r="A395" s="618" t="s">
        <v>1517</v>
      </c>
      <c r="B395" s="619" t="s">
        <v>1462</v>
      </c>
      <c r="C395" s="620"/>
      <c r="D395" s="621"/>
      <c r="E395" s="622"/>
      <c r="F395" s="334"/>
      <c r="K395" s="334"/>
      <c r="L395" s="334"/>
      <c r="M395" s="334"/>
      <c r="N395" s="334"/>
      <c r="O395" s="334"/>
    </row>
    <row r="396" spans="1:15" ht="12.75" hidden="1" customHeight="1" outlineLevel="1" x14ac:dyDescent="0.2">
      <c r="A396" s="627" t="s">
        <v>1518</v>
      </c>
      <c r="B396" s="628" t="s">
        <v>1054</v>
      </c>
      <c r="C396" s="629" t="s">
        <v>100</v>
      </c>
      <c r="D396" s="630">
        <v>109.28</v>
      </c>
      <c r="E396" s="622"/>
      <c r="F396" s="334"/>
      <c r="K396" s="334"/>
      <c r="L396" s="334"/>
      <c r="M396" s="334"/>
      <c r="N396" s="334"/>
      <c r="O396" s="334"/>
    </row>
    <row r="397" spans="1:15" ht="12.75" customHeight="1" collapsed="1" x14ac:dyDescent="0.2">
      <c r="A397" s="614" t="s">
        <v>1519</v>
      </c>
      <c r="B397" s="615" t="s">
        <v>1520</v>
      </c>
      <c r="C397" s="616"/>
      <c r="D397" s="617"/>
      <c r="E397" s="334"/>
      <c r="F397" s="334"/>
      <c r="K397" s="334"/>
      <c r="L397" s="334"/>
      <c r="M397" s="334"/>
      <c r="N397" s="334"/>
      <c r="O397" s="334"/>
    </row>
    <row r="398" spans="1:15" ht="12.75" hidden="1" customHeight="1" outlineLevel="1" x14ac:dyDescent="0.2">
      <c r="A398" s="618" t="s">
        <v>1521</v>
      </c>
      <c r="B398" s="619" t="s">
        <v>1009</v>
      </c>
      <c r="C398" s="620"/>
      <c r="D398" s="621"/>
      <c r="E398" s="622"/>
      <c r="F398" s="334"/>
      <c r="K398" s="334"/>
      <c r="L398" s="334"/>
      <c r="M398" s="334"/>
      <c r="N398" s="334"/>
      <c r="O398" s="334"/>
    </row>
    <row r="399" spans="1:15" ht="12.75" hidden="1" customHeight="1" outlineLevel="1" x14ac:dyDescent="0.2">
      <c r="A399" s="623" t="s">
        <v>1522</v>
      </c>
      <c r="B399" s="624" t="s">
        <v>1059</v>
      </c>
      <c r="C399" s="625" t="s">
        <v>100</v>
      </c>
      <c r="D399" s="626">
        <v>1178.45</v>
      </c>
      <c r="E399" s="622"/>
      <c r="F399" s="334"/>
      <c r="K399" s="334"/>
      <c r="L399" s="334"/>
      <c r="M399" s="334"/>
      <c r="N399" s="334"/>
      <c r="O399" s="334"/>
    </row>
    <row r="400" spans="1:15" ht="12.75" hidden="1" customHeight="1" outlineLevel="1" x14ac:dyDescent="0.2">
      <c r="A400" s="618" t="s">
        <v>1523</v>
      </c>
      <c r="B400" s="619" t="s">
        <v>1017</v>
      </c>
      <c r="C400" s="620"/>
      <c r="D400" s="621"/>
      <c r="E400" s="622"/>
      <c r="F400" s="334"/>
      <c r="K400" s="334"/>
      <c r="L400" s="334"/>
      <c r="M400" s="334"/>
      <c r="N400" s="334"/>
      <c r="O400" s="334"/>
    </row>
    <row r="401" spans="1:15" ht="12.75" hidden="1" customHeight="1" outlineLevel="1" x14ac:dyDescent="0.2">
      <c r="A401" s="627" t="s">
        <v>1524</v>
      </c>
      <c r="B401" s="628" t="s">
        <v>1059</v>
      </c>
      <c r="C401" s="629" t="s">
        <v>100</v>
      </c>
      <c r="D401" s="630">
        <v>1078.6500000000001</v>
      </c>
      <c r="E401" s="622"/>
      <c r="F401" s="334"/>
      <c r="K401" s="334"/>
      <c r="L401" s="334"/>
      <c r="M401" s="334"/>
      <c r="N401" s="334"/>
      <c r="O401" s="334"/>
    </row>
    <row r="402" spans="1:15" ht="12.75" hidden="1" customHeight="1" outlineLevel="1" x14ac:dyDescent="0.2">
      <c r="A402" s="618" t="s">
        <v>1525</v>
      </c>
      <c r="B402" s="619" t="s">
        <v>1021</v>
      </c>
      <c r="C402" s="620"/>
      <c r="D402" s="621"/>
      <c r="E402" s="622"/>
      <c r="F402" s="334"/>
      <c r="K402" s="334"/>
      <c r="L402" s="334"/>
      <c r="M402" s="334"/>
      <c r="N402" s="334"/>
      <c r="O402" s="334"/>
    </row>
    <row r="403" spans="1:15" ht="12.75" hidden="1" customHeight="1" outlineLevel="1" x14ac:dyDescent="0.2">
      <c r="A403" s="623" t="s">
        <v>1526</v>
      </c>
      <c r="B403" s="624" t="s">
        <v>1059</v>
      </c>
      <c r="C403" s="625" t="s">
        <v>100</v>
      </c>
      <c r="D403" s="626">
        <v>1239.21</v>
      </c>
      <c r="E403" s="622"/>
      <c r="F403" s="334"/>
      <c r="K403" s="334"/>
      <c r="L403" s="334"/>
      <c r="M403" s="334"/>
      <c r="N403" s="334"/>
      <c r="O403" s="334"/>
    </row>
    <row r="404" spans="1:15" ht="12.75" hidden="1" customHeight="1" outlineLevel="1" x14ac:dyDescent="0.2">
      <c r="A404" s="618" t="s">
        <v>1527</v>
      </c>
      <c r="B404" s="619" t="s">
        <v>1030</v>
      </c>
      <c r="C404" s="620"/>
      <c r="D404" s="621"/>
      <c r="E404" s="622"/>
      <c r="F404" s="334"/>
      <c r="K404" s="334"/>
      <c r="L404" s="334"/>
      <c r="M404" s="334"/>
      <c r="N404" s="334"/>
      <c r="O404" s="334"/>
    </row>
    <row r="405" spans="1:15" ht="12.75" hidden="1" customHeight="1" outlineLevel="1" x14ac:dyDescent="0.2">
      <c r="A405" s="627" t="s">
        <v>1528</v>
      </c>
      <c r="B405" s="628" t="s">
        <v>1059</v>
      </c>
      <c r="C405" s="629" t="s">
        <v>100</v>
      </c>
      <c r="D405" s="630">
        <v>1120.6099999999999</v>
      </c>
      <c r="E405" s="622"/>
      <c r="F405" s="334"/>
      <c r="K405" s="334"/>
      <c r="L405" s="334"/>
      <c r="M405" s="334"/>
      <c r="N405" s="334"/>
      <c r="O405" s="334"/>
    </row>
    <row r="406" spans="1:15" ht="12.75" hidden="1" customHeight="1" outlineLevel="1" x14ac:dyDescent="0.2">
      <c r="A406" s="618" t="s">
        <v>1529</v>
      </c>
      <c r="B406" s="619" t="s">
        <v>1039</v>
      </c>
      <c r="C406" s="620"/>
      <c r="D406" s="621"/>
      <c r="E406" s="622"/>
      <c r="F406" s="334"/>
      <c r="K406" s="334"/>
      <c r="L406" s="334"/>
      <c r="M406" s="334"/>
      <c r="N406" s="334"/>
      <c r="O406" s="334"/>
    </row>
    <row r="407" spans="1:15" ht="12.75" hidden="1" customHeight="1" outlineLevel="1" x14ac:dyDescent="0.2">
      <c r="A407" s="623" t="s">
        <v>1530</v>
      </c>
      <c r="B407" s="624" t="s">
        <v>1059</v>
      </c>
      <c r="C407" s="625" t="s">
        <v>100</v>
      </c>
      <c r="D407" s="626">
        <v>1147.47</v>
      </c>
      <c r="E407" s="622"/>
      <c r="F407" s="334"/>
      <c r="K407" s="334"/>
      <c r="L407" s="334"/>
      <c r="M407" s="334"/>
      <c r="N407" s="334"/>
      <c r="O407" s="334"/>
    </row>
    <row r="408" spans="1:15" ht="12.75" hidden="1" customHeight="1" outlineLevel="1" x14ac:dyDescent="0.2">
      <c r="A408" s="618" t="s">
        <v>1531</v>
      </c>
      <c r="B408" s="619" t="s">
        <v>1047</v>
      </c>
      <c r="C408" s="620"/>
      <c r="D408" s="621"/>
      <c r="E408" s="622"/>
      <c r="F408" s="334"/>
      <c r="K408" s="334"/>
      <c r="L408" s="334"/>
      <c r="M408" s="334"/>
      <c r="N408" s="334"/>
      <c r="O408" s="334"/>
    </row>
    <row r="409" spans="1:15" ht="12.75" hidden="1" customHeight="1" outlineLevel="1" x14ac:dyDescent="0.2">
      <c r="A409" s="627" t="s">
        <v>1532</v>
      </c>
      <c r="B409" s="628" t="s">
        <v>1059</v>
      </c>
      <c r="C409" s="629" t="s">
        <v>100</v>
      </c>
      <c r="D409" s="630">
        <v>1120.57</v>
      </c>
      <c r="E409" s="622"/>
      <c r="F409" s="334"/>
      <c r="K409" s="334"/>
      <c r="L409" s="334"/>
      <c r="M409" s="334"/>
      <c r="N409" s="334"/>
      <c r="O409" s="334"/>
    </row>
    <row r="410" spans="1:15" ht="12.75" hidden="1" customHeight="1" outlineLevel="1" x14ac:dyDescent="0.2">
      <c r="A410" s="618" t="s">
        <v>1533</v>
      </c>
      <c r="B410" s="619" t="s">
        <v>1058</v>
      </c>
      <c r="C410" s="620"/>
      <c r="D410" s="621"/>
      <c r="E410" s="622"/>
      <c r="F410" s="334"/>
      <c r="K410" s="334"/>
      <c r="L410" s="334"/>
      <c r="M410" s="334"/>
      <c r="N410" s="334"/>
      <c r="O410" s="334"/>
    </row>
    <row r="411" spans="1:15" ht="12.75" hidden="1" customHeight="1" outlineLevel="1" x14ac:dyDescent="0.2">
      <c r="A411" s="623" t="s">
        <v>1534</v>
      </c>
      <c r="B411" s="624" t="s">
        <v>1059</v>
      </c>
      <c r="C411" s="625" t="s">
        <v>100</v>
      </c>
      <c r="D411" s="626">
        <v>1120.57</v>
      </c>
      <c r="E411" s="622"/>
      <c r="F411" s="334"/>
      <c r="K411" s="334"/>
      <c r="L411" s="334"/>
      <c r="M411" s="334"/>
      <c r="N411" s="334"/>
      <c r="O411" s="334"/>
    </row>
    <row r="412" spans="1:15" ht="12.75" hidden="1" customHeight="1" outlineLevel="1" x14ac:dyDescent="0.2">
      <c r="A412" s="618" t="s">
        <v>1535</v>
      </c>
      <c r="B412" s="619" t="s">
        <v>1069</v>
      </c>
      <c r="C412" s="620"/>
      <c r="D412" s="621"/>
      <c r="E412" s="622"/>
      <c r="F412" s="334"/>
      <c r="K412" s="334"/>
      <c r="L412" s="334"/>
      <c r="M412" s="334"/>
      <c r="N412" s="334"/>
      <c r="O412" s="334"/>
    </row>
    <row r="413" spans="1:15" ht="12.75" hidden="1" customHeight="1" outlineLevel="1" x14ac:dyDescent="0.2">
      <c r="A413" s="627" t="s">
        <v>1536</v>
      </c>
      <c r="B413" s="628" t="s">
        <v>1059</v>
      </c>
      <c r="C413" s="629" t="s">
        <v>100</v>
      </c>
      <c r="D413" s="630">
        <v>1120.57</v>
      </c>
      <c r="E413" s="622"/>
      <c r="F413" s="334"/>
      <c r="K413" s="334"/>
      <c r="L413" s="334"/>
      <c r="M413" s="334"/>
      <c r="N413" s="334"/>
      <c r="O413" s="334"/>
    </row>
    <row r="414" spans="1:15" ht="12.75" hidden="1" customHeight="1" outlineLevel="1" x14ac:dyDescent="0.2">
      <c r="A414" s="618" t="s">
        <v>1537</v>
      </c>
      <c r="B414" s="619" t="s">
        <v>1079</v>
      </c>
      <c r="C414" s="620"/>
      <c r="D414" s="621"/>
      <c r="E414" s="622"/>
      <c r="F414" s="334"/>
      <c r="K414" s="334"/>
      <c r="L414" s="334"/>
      <c r="M414" s="334"/>
      <c r="N414" s="334"/>
      <c r="O414" s="334"/>
    </row>
    <row r="415" spans="1:15" ht="12.75" hidden="1" customHeight="1" outlineLevel="1" x14ac:dyDescent="0.2">
      <c r="A415" s="623" t="s">
        <v>1538</v>
      </c>
      <c r="B415" s="624" t="s">
        <v>1059</v>
      </c>
      <c r="C415" s="625" t="s">
        <v>100</v>
      </c>
      <c r="D415" s="626">
        <v>1120.57</v>
      </c>
      <c r="E415" s="622"/>
      <c r="F415" s="334"/>
      <c r="K415" s="334"/>
      <c r="L415" s="334"/>
      <c r="M415" s="334"/>
      <c r="N415" s="334"/>
      <c r="O415" s="334"/>
    </row>
    <row r="416" spans="1:15" ht="12.75" hidden="1" customHeight="1" outlineLevel="1" x14ac:dyDescent="0.2">
      <c r="A416" s="618" t="s">
        <v>1539</v>
      </c>
      <c r="B416" s="619" t="s">
        <v>1086</v>
      </c>
      <c r="C416" s="620"/>
      <c r="D416" s="621"/>
      <c r="E416" s="622"/>
      <c r="F416" s="334"/>
      <c r="K416" s="334"/>
      <c r="L416" s="334"/>
      <c r="M416" s="334"/>
      <c r="N416" s="334"/>
      <c r="O416" s="334"/>
    </row>
    <row r="417" spans="1:15" ht="12.75" hidden="1" customHeight="1" outlineLevel="1" x14ac:dyDescent="0.2">
      <c r="A417" s="627" t="s">
        <v>1540</v>
      </c>
      <c r="B417" s="628" t="s">
        <v>1059</v>
      </c>
      <c r="C417" s="629" t="s">
        <v>100</v>
      </c>
      <c r="D417" s="630">
        <v>1120.57</v>
      </c>
      <c r="E417" s="622"/>
      <c r="F417" s="334"/>
      <c r="K417" s="334"/>
      <c r="L417" s="334"/>
      <c r="M417" s="334"/>
      <c r="N417" s="334"/>
      <c r="O417" s="334"/>
    </row>
    <row r="418" spans="1:15" ht="12.75" hidden="1" customHeight="1" outlineLevel="1" x14ac:dyDescent="0.2">
      <c r="A418" s="618" t="s">
        <v>1541</v>
      </c>
      <c r="B418" s="619" t="s">
        <v>1094</v>
      </c>
      <c r="C418" s="620"/>
      <c r="D418" s="621"/>
      <c r="E418" s="622"/>
      <c r="F418" s="334"/>
      <c r="K418" s="334"/>
      <c r="L418" s="334"/>
      <c r="M418" s="334"/>
      <c r="N418" s="334"/>
      <c r="O418" s="334"/>
    </row>
    <row r="419" spans="1:15" ht="12.75" hidden="1" customHeight="1" outlineLevel="1" x14ac:dyDescent="0.2">
      <c r="A419" s="623" t="s">
        <v>1542</v>
      </c>
      <c r="B419" s="624" t="s">
        <v>1059</v>
      </c>
      <c r="C419" s="625" t="s">
        <v>100</v>
      </c>
      <c r="D419" s="626">
        <v>1120.57</v>
      </c>
      <c r="E419" s="622"/>
      <c r="F419" s="334"/>
      <c r="K419" s="334"/>
      <c r="L419" s="334"/>
      <c r="M419" s="334"/>
      <c r="N419" s="334"/>
      <c r="O419" s="334"/>
    </row>
    <row r="420" spans="1:15" ht="12.75" hidden="1" customHeight="1" outlineLevel="1" x14ac:dyDescent="0.2">
      <c r="A420" s="618" t="s">
        <v>1543</v>
      </c>
      <c r="B420" s="619" t="s">
        <v>1102</v>
      </c>
      <c r="C420" s="620"/>
      <c r="D420" s="621"/>
      <c r="E420" s="622"/>
      <c r="F420" s="334"/>
      <c r="K420" s="334"/>
      <c r="L420" s="334"/>
      <c r="M420" s="334"/>
      <c r="N420" s="334"/>
      <c r="O420" s="334"/>
    </row>
    <row r="421" spans="1:15" ht="12.75" hidden="1" customHeight="1" outlineLevel="1" x14ac:dyDescent="0.2">
      <c r="A421" s="627" t="s">
        <v>1544</v>
      </c>
      <c r="B421" s="628" t="s">
        <v>1059</v>
      </c>
      <c r="C421" s="629" t="s">
        <v>100</v>
      </c>
      <c r="D421" s="630">
        <v>806.55</v>
      </c>
      <c r="E421" s="622"/>
      <c r="F421" s="334"/>
      <c r="K421" s="334"/>
      <c r="L421" s="334"/>
      <c r="M421" s="334"/>
      <c r="N421" s="334"/>
      <c r="O421" s="334"/>
    </row>
    <row r="422" spans="1:15" ht="12.75" hidden="1" customHeight="1" outlineLevel="1" x14ac:dyDescent="0.2">
      <c r="A422" s="618" t="s">
        <v>1545</v>
      </c>
      <c r="B422" s="619" t="s">
        <v>1112</v>
      </c>
      <c r="C422" s="620"/>
      <c r="D422" s="621"/>
      <c r="E422" s="622"/>
      <c r="F422" s="334"/>
      <c r="K422" s="334"/>
      <c r="L422" s="334"/>
      <c r="M422" s="334"/>
      <c r="N422" s="334"/>
      <c r="O422" s="334"/>
    </row>
    <row r="423" spans="1:15" ht="12.75" hidden="1" customHeight="1" outlineLevel="1" x14ac:dyDescent="0.2">
      <c r="A423" s="623" t="s">
        <v>1546</v>
      </c>
      <c r="B423" s="624" t="s">
        <v>1059</v>
      </c>
      <c r="C423" s="625" t="s">
        <v>100</v>
      </c>
      <c r="D423" s="626">
        <v>776.57</v>
      </c>
      <c r="E423" s="622"/>
      <c r="F423" s="334"/>
      <c r="K423" s="334"/>
      <c r="L423" s="334"/>
      <c r="M423" s="334"/>
      <c r="N423" s="334"/>
      <c r="O423" s="334"/>
    </row>
    <row r="424" spans="1:15" ht="12.75" hidden="1" customHeight="1" outlineLevel="1" x14ac:dyDescent="0.2">
      <c r="A424" s="618" t="s">
        <v>1547</v>
      </c>
      <c r="B424" s="619" t="s">
        <v>1120</v>
      </c>
      <c r="C424" s="620"/>
      <c r="D424" s="621"/>
      <c r="E424" s="622"/>
      <c r="F424" s="334"/>
      <c r="K424" s="334"/>
      <c r="L424" s="334"/>
      <c r="M424" s="334"/>
      <c r="N424" s="334"/>
      <c r="O424" s="334"/>
    </row>
    <row r="425" spans="1:15" ht="12.75" hidden="1" customHeight="1" outlineLevel="1" x14ac:dyDescent="0.2">
      <c r="A425" s="623" t="s">
        <v>1548</v>
      </c>
      <c r="B425" s="624" t="s">
        <v>1059</v>
      </c>
      <c r="C425" s="625" t="s">
        <v>100</v>
      </c>
      <c r="D425" s="626">
        <v>46.44</v>
      </c>
      <c r="E425" s="622"/>
      <c r="F425" s="334"/>
      <c r="K425" s="334"/>
      <c r="L425" s="334"/>
      <c r="M425" s="334"/>
      <c r="N425" s="334"/>
      <c r="O425" s="334"/>
    </row>
    <row r="426" spans="1:15" ht="12.75" hidden="1" customHeight="1" outlineLevel="1" x14ac:dyDescent="0.2">
      <c r="A426" s="618" t="s">
        <v>1549</v>
      </c>
      <c r="B426" s="619" t="s">
        <v>1127</v>
      </c>
      <c r="C426" s="620"/>
      <c r="D426" s="621"/>
      <c r="E426" s="622"/>
      <c r="F426" s="334"/>
      <c r="K426" s="334"/>
      <c r="L426" s="334"/>
      <c r="M426" s="334"/>
      <c r="N426" s="334"/>
      <c r="O426" s="334"/>
    </row>
    <row r="427" spans="1:15" ht="12.75" hidden="1" customHeight="1" outlineLevel="1" x14ac:dyDescent="0.2">
      <c r="A427" s="623" t="s">
        <v>1550</v>
      </c>
      <c r="B427" s="624" t="s">
        <v>1059</v>
      </c>
      <c r="C427" s="625" t="s">
        <v>100</v>
      </c>
      <c r="D427" s="626">
        <v>453.3</v>
      </c>
      <c r="E427" s="622"/>
      <c r="F427" s="334"/>
      <c r="K427" s="334"/>
      <c r="L427" s="334"/>
      <c r="M427" s="334"/>
      <c r="N427" s="334"/>
      <c r="O427" s="334"/>
    </row>
    <row r="428" spans="1:15" ht="12.75" hidden="1" customHeight="1" outlineLevel="1" x14ac:dyDescent="0.2">
      <c r="A428" s="618" t="s">
        <v>1551</v>
      </c>
      <c r="B428" s="619" t="s">
        <v>1137</v>
      </c>
      <c r="C428" s="620"/>
      <c r="D428" s="621"/>
      <c r="E428" s="622"/>
      <c r="F428" s="334"/>
      <c r="K428" s="334"/>
      <c r="L428" s="334"/>
      <c r="M428" s="334"/>
      <c r="N428" s="334"/>
      <c r="O428" s="334"/>
    </row>
    <row r="429" spans="1:15" ht="12.75" hidden="1" customHeight="1" outlineLevel="1" x14ac:dyDescent="0.2">
      <c r="A429" s="627" t="s">
        <v>1552</v>
      </c>
      <c r="B429" s="628" t="s">
        <v>1059</v>
      </c>
      <c r="C429" s="629" t="s">
        <v>100</v>
      </c>
      <c r="D429" s="630">
        <v>64.14</v>
      </c>
      <c r="E429" s="622"/>
      <c r="F429" s="334"/>
      <c r="K429" s="334"/>
      <c r="L429" s="334"/>
      <c r="M429" s="334"/>
      <c r="N429" s="334"/>
      <c r="O429" s="334"/>
    </row>
    <row r="430" spans="1:15" ht="12.75" hidden="1" customHeight="1" outlineLevel="1" x14ac:dyDescent="0.2">
      <c r="A430" s="618" t="s">
        <v>1553</v>
      </c>
      <c r="B430" s="619" t="s">
        <v>1140</v>
      </c>
      <c r="C430" s="620"/>
      <c r="D430" s="621"/>
      <c r="E430" s="622"/>
      <c r="F430" s="334"/>
      <c r="K430" s="334"/>
      <c r="L430" s="334"/>
      <c r="M430" s="334"/>
      <c r="N430" s="334"/>
      <c r="O430" s="334"/>
    </row>
    <row r="431" spans="1:15" ht="12.75" hidden="1" customHeight="1" outlineLevel="1" x14ac:dyDescent="0.2">
      <c r="A431" s="623" t="s">
        <v>1554</v>
      </c>
      <c r="B431" s="624" t="s">
        <v>1059</v>
      </c>
      <c r="C431" s="625" t="s">
        <v>100</v>
      </c>
      <c r="D431" s="626">
        <v>84.75</v>
      </c>
      <c r="E431" s="622"/>
      <c r="F431" s="334"/>
      <c r="K431" s="334"/>
      <c r="L431" s="334"/>
      <c r="M431" s="334"/>
      <c r="N431" s="334"/>
      <c r="O431" s="334"/>
    </row>
    <row r="432" spans="1:15" ht="12.75" hidden="1" customHeight="1" outlineLevel="1" x14ac:dyDescent="0.2">
      <c r="A432" s="618" t="s">
        <v>1555</v>
      </c>
      <c r="B432" s="619" t="s">
        <v>1462</v>
      </c>
      <c r="C432" s="620"/>
      <c r="D432" s="621"/>
      <c r="E432" s="622"/>
      <c r="F432" s="334"/>
      <c r="K432" s="334"/>
      <c r="L432" s="334"/>
      <c r="M432" s="334"/>
      <c r="N432" s="334"/>
      <c r="O432" s="334"/>
    </row>
    <row r="433" spans="1:15" ht="12.75" hidden="1" customHeight="1" outlineLevel="1" x14ac:dyDescent="0.2">
      <c r="A433" s="627" t="s">
        <v>1556</v>
      </c>
      <c r="B433" s="628" t="s">
        <v>1059</v>
      </c>
      <c r="C433" s="629" t="s">
        <v>100</v>
      </c>
      <c r="D433" s="630">
        <v>109.28</v>
      </c>
      <c r="E433" s="622"/>
      <c r="F433" s="334"/>
      <c r="K433" s="334"/>
      <c r="L433" s="334"/>
      <c r="M433" s="334"/>
      <c r="N433" s="334"/>
      <c r="O433" s="334"/>
    </row>
    <row r="434" spans="1:15" ht="12.75" customHeight="1" collapsed="1" x14ac:dyDescent="0.2">
      <c r="A434" s="614" t="s">
        <v>1605</v>
      </c>
      <c r="B434" s="615" t="s">
        <v>5142</v>
      </c>
      <c r="C434" s="616"/>
      <c r="D434" s="617"/>
      <c r="E434" s="334"/>
      <c r="F434" s="334"/>
      <c r="G434" s="334"/>
      <c r="K434" s="334"/>
      <c r="L434" s="334"/>
      <c r="M434" s="334"/>
      <c r="N434" s="334"/>
      <c r="O434" s="334"/>
    </row>
    <row r="435" spans="1:15" ht="12.75" hidden="1" customHeight="1" outlineLevel="1" x14ac:dyDescent="0.2">
      <c r="A435" s="980" t="s">
        <v>1607</v>
      </c>
      <c r="B435" s="981" t="s">
        <v>1009</v>
      </c>
      <c r="C435" s="982"/>
      <c r="D435" s="983"/>
      <c r="E435" s="975"/>
      <c r="F435" s="334"/>
      <c r="G435" s="334"/>
      <c r="K435" s="334"/>
      <c r="L435" s="334"/>
      <c r="M435" s="334"/>
      <c r="N435" s="334"/>
      <c r="O435" s="334"/>
    </row>
    <row r="436" spans="1:15" ht="12.75" hidden="1" customHeight="1" outlineLevel="1" x14ac:dyDescent="0.2">
      <c r="A436" s="988" t="s">
        <v>1608</v>
      </c>
      <c r="B436" s="989" t="s">
        <v>5143</v>
      </c>
      <c r="C436" s="990" t="s">
        <v>100</v>
      </c>
      <c r="D436" s="991">
        <v>1222.4000000000001</v>
      </c>
      <c r="E436" s="975"/>
      <c r="F436" s="334"/>
      <c r="G436" s="334"/>
      <c r="K436" s="334"/>
      <c r="L436" s="334"/>
      <c r="M436" s="334"/>
      <c r="N436" s="334"/>
      <c r="O436" s="334"/>
    </row>
    <row r="437" spans="1:15" ht="12.75" hidden="1" customHeight="1" outlineLevel="1" x14ac:dyDescent="0.2">
      <c r="A437" s="980" t="s">
        <v>1609</v>
      </c>
      <c r="B437" s="981" t="s">
        <v>1017</v>
      </c>
      <c r="C437" s="982"/>
      <c r="D437" s="983"/>
      <c r="E437" s="975"/>
      <c r="F437" s="334"/>
      <c r="G437" s="334"/>
      <c r="K437" s="334"/>
      <c r="L437" s="334"/>
      <c r="M437" s="334"/>
      <c r="N437" s="334"/>
      <c r="O437" s="334"/>
    </row>
    <row r="438" spans="1:15" ht="12.75" hidden="1" customHeight="1" outlineLevel="1" x14ac:dyDescent="0.2">
      <c r="A438" s="984" t="s">
        <v>1610</v>
      </c>
      <c r="B438" s="985" t="s">
        <v>5143</v>
      </c>
      <c r="C438" s="986" t="s">
        <v>100</v>
      </c>
      <c r="D438" s="987">
        <v>1102.23</v>
      </c>
      <c r="E438" s="975"/>
      <c r="F438" s="334"/>
      <c r="G438" s="334"/>
      <c r="K438" s="334"/>
      <c r="L438" s="334"/>
      <c r="M438" s="334"/>
      <c r="N438" s="334"/>
      <c r="O438" s="334"/>
    </row>
    <row r="439" spans="1:15" ht="12.75" hidden="1" customHeight="1" outlineLevel="1" x14ac:dyDescent="0.2">
      <c r="A439" s="980" t="s">
        <v>1611</v>
      </c>
      <c r="B439" s="981" t="s">
        <v>1021</v>
      </c>
      <c r="C439" s="982"/>
      <c r="D439" s="983"/>
      <c r="E439" s="975"/>
      <c r="F439" s="334"/>
      <c r="G439" s="334"/>
      <c r="K439" s="334"/>
      <c r="L439" s="334"/>
      <c r="M439" s="334"/>
      <c r="N439" s="334"/>
      <c r="O439" s="334"/>
    </row>
    <row r="440" spans="1:15" ht="12.75" hidden="1" customHeight="1" outlineLevel="1" x14ac:dyDescent="0.2">
      <c r="A440" s="988" t="s">
        <v>1612</v>
      </c>
      <c r="B440" s="989" t="s">
        <v>5143</v>
      </c>
      <c r="C440" s="990" t="s">
        <v>100</v>
      </c>
      <c r="D440" s="991">
        <v>1359.19</v>
      </c>
      <c r="E440" s="975"/>
      <c r="F440" s="334"/>
      <c r="G440" s="334"/>
      <c r="K440" s="334"/>
      <c r="L440" s="334"/>
      <c r="M440" s="334"/>
      <c r="N440" s="334"/>
      <c r="O440" s="334"/>
    </row>
    <row r="441" spans="1:15" ht="12.75" hidden="1" customHeight="1" outlineLevel="1" x14ac:dyDescent="0.2">
      <c r="A441" s="980" t="s">
        <v>1613</v>
      </c>
      <c r="B441" s="981" t="s">
        <v>1030</v>
      </c>
      <c r="C441" s="982"/>
      <c r="D441" s="983"/>
      <c r="E441" s="975"/>
      <c r="F441" s="334"/>
      <c r="G441" s="334"/>
      <c r="K441" s="334"/>
      <c r="L441" s="334"/>
      <c r="M441" s="334"/>
      <c r="N441" s="334"/>
      <c r="O441" s="334"/>
    </row>
    <row r="442" spans="1:15" ht="12.75" hidden="1" customHeight="1" outlineLevel="1" x14ac:dyDescent="0.2">
      <c r="A442" s="984" t="s">
        <v>1614</v>
      </c>
      <c r="B442" s="985" t="s">
        <v>5143</v>
      </c>
      <c r="C442" s="986" t="s">
        <v>100</v>
      </c>
      <c r="D442" s="987">
        <v>1222.1099999999999</v>
      </c>
      <c r="E442" s="975"/>
      <c r="F442" s="334"/>
      <c r="G442" s="334"/>
      <c r="K442" s="334"/>
      <c r="L442" s="334"/>
      <c r="M442" s="334"/>
      <c r="N442" s="334"/>
      <c r="O442" s="334"/>
    </row>
    <row r="443" spans="1:15" ht="12.75" hidden="1" customHeight="1" outlineLevel="1" x14ac:dyDescent="0.2">
      <c r="A443" s="980" t="s">
        <v>1615</v>
      </c>
      <c r="B443" s="981" t="s">
        <v>1039</v>
      </c>
      <c r="C443" s="982"/>
      <c r="D443" s="983"/>
      <c r="E443" s="975"/>
      <c r="F443" s="334"/>
      <c r="G443" s="334"/>
      <c r="K443" s="334"/>
      <c r="L443" s="334"/>
      <c r="M443" s="334"/>
      <c r="N443" s="334"/>
      <c r="O443" s="334"/>
    </row>
    <row r="444" spans="1:15" ht="12.75" hidden="1" customHeight="1" outlineLevel="1" x14ac:dyDescent="0.2">
      <c r="A444" s="988" t="s">
        <v>1616</v>
      </c>
      <c r="B444" s="989" t="s">
        <v>5143</v>
      </c>
      <c r="C444" s="990" t="s">
        <v>100</v>
      </c>
      <c r="D444" s="991">
        <v>1274.1300000000001</v>
      </c>
      <c r="E444" s="975"/>
      <c r="F444" s="334"/>
      <c r="G444" s="334"/>
      <c r="K444" s="334"/>
      <c r="L444" s="334"/>
      <c r="M444" s="334"/>
      <c r="N444" s="334"/>
      <c r="O444" s="334"/>
    </row>
    <row r="445" spans="1:15" ht="12.75" hidden="1" customHeight="1" outlineLevel="1" x14ac:dyDescent="0.2">
      <c r="A445" s="980" t="s">
        <v>1617</v>
      </c>
      <c r="B445" s="981" t="s">
        <v>1047</v>
      </c>
      <c r="C445" s="982"/>
      <c r="D445" s="983"/>
      <c r="E445" s="975"/>
      <c r="F445" s="334"/>
      <c r="G445" s="334"/>
      <c r="K445" s="334"/>
      <c r="L445" s="334"/>
      <c r="M445" s="334"/>
      <c r="N445" s="334"/>
      <c r="O445" s="334"/>
    </row>
    <row r="446" spans="1:15" ht="12.75" hidden="1" customHeight="1" outlineLevel="1" x14ac:dyDescent="0.2">
      <c r="A446" s="984" t="s">
        <v>1618</v>
      </c>
      <c r="B446" s="985" t="s">
        <v>5143</v>
      </c>
      <c r="C446" s="986" t="s">
        <v>100</v>
      </c>
      <c r="D446" s="987">
        <v>1222.0999999999999</v>
      </c>
      <c r="E446" s="975"/>
      <c r="F446" s="334"/>
      <c r="G446" s="334"/>
      <c r="K446" s="334"/>
      <c r="L446" s="334"/>
      <c r="M446" s="334"/>
      <c r="N446" s="334"/>
      <c r="O446" s="334"/>
    </row>
    <row r="447" spans="1:15" ht="12.75" hidden="1" customHeight="1" outlineLevel="1" x14ac:dyDescent="0.2">
      <c r="A447" s="980" t="s">
        <v>1619</v>
      </c>
      <c r="B447" s="981" t="s">
        <v>1058</v>
      </c>
      <c r="C447" s="982"/>
      <c r="D447" s="983"/>
      <c r="E447" s="975"/>
      <c r="F447" s="334"/>
      <c r="G447" s="334"/>
      <c r="K447" s="334"/>
      <c r="L447" s="334"/>
      <c r="M447" s="334"/>
      <c r="N447" s="334"/>
      <c r="O447" s="334"/>
    </row>
    <row r="448" spans="1:15" ht="12.75" hidden="1" customHeight="1" outlineLevel="1" x14ac:dyDescent="0.2">
      <c r="A448" s="988" t="s">
        <v>1620</v>
      </c>
      <c r="B448" s="989" t="s">
        <v>5143</v>
      </c>
      <c r="C448" s="990" t="s">
        <v>100</v>
      </c>
      <c r="D448" s="991">
        <v>1222.0999999999999</v>
      </c>
      <c r="E448" s="975"/>
      <c r="F448" s="334"/>
      <c r="G448" s="334"/>
      <c r="K448" s="334"/>
      <c r="L448" s="334"/>
      <c r="M448" s="334"/>
      <c r="N448" s="334"/>
      <c r="O448" s="334"/>
    </row>
    <row r="449" spans="1:15" ht="12.75" hidden="1" customHeight="1" outlineLevel="1" x14ac:dyDescent="0.2">
      <c r="A449" s="980" t="s">
        <v>1621</v>
      </c>
      <c r="B449" s="981" t="s">
        <v>1069</v>
      </c>
      <c r="C449" s="982"/>
      <c r="D449" s="983"/>
      <c r="E449" s="975"/>
      <c r="F449" s="334"/>
      <c r="G449" s="334"/>
      <c r="K449" s="334"/>
      <c r="L449" s="334"/>
      <c r="M449" s="334"/>
      <c r="N449" s="334"/>
      <c r="O449" s="334"/>
    </row>
    <row r="450" spans="1:15" ht="12.75" hidden="1" customHeight="1" outlineLevel="1" x14ac:dyDescent="0.2">
      <c r="A450" s="984" t="s">
        <v>1622</v>
      </c>
      <c r="B450" s="985" t="s">
        <v>5143</v>
      </c>
      <c r="C450" s="986" t="s">
        <v>100</v>
      </c>
      <c r="D450" s="987">
        <v>1222.0999999999999</v>
      </c>
      <c r="E450" s="975"/>
      <c r="F450" s="334"/>
      <c r="G450" s="334"/>
      <c r="K450" s="334"/>
      <c r="L450" s="334"/>
      <c r="M450" s="334"/>
      <c r="N450" s="334"/>
      <c r="O450" s="334"/>
    </row>
    <row r="451" spans="1:15" ht="12.75" hidden="1" customHeight="1" outlineLevel="1" x14ac:dyDescent="0.2">
      <c r="A451" s="980" t="s">
        <v>1623</v>
      </c>
      <c r="B451" s="981" t="s">
        <v>1079</v>
      </c>
      <c r="C451" s="982"/>
      <c r="D451" s="983"/>
      <c r="E451" s="975"/>
      <c r="F451" s="334"/>
      <c r="G451" s="334"/>
      <c r="K451" s="334"/>
      <c r="L451" s="334"/>
      <c r="M451" s="334"/>
      <c r="N451" s="334"/>
      <c r="O451" s="334"/>
    </row>
    <row r="452" spans="1:15" ht="12.75" hidden="1" customHeight="1" outlineLevel="1" x14ac:dyDescent="0.2">
      <c r="A452" s="988" t="s">
        <v>1624</v>
      </c>
      <c r="B452" s="989" t="s">
        <v>5143</v>
      </c>
      <c r="C452" s="990" t="s">
        <v>100</v>
      </c>
      <c r="D452" s="991">
        <v>1222.0999999999999</v>
      </c>
      <c r="E452" s="975"/>
      <c r="F452" s="334"/>
      <c r="G452" s="334"/>
      <c r="K452" s="334"/>
      <c r="L452" s="334"/>
      <c r="M452" s="334"/>
      <c r="N452" s="334"/>
      <c r="O452" s="334"/>
    </row>
    <row r="453" spans="1:15" ht="12.75" hidden="1" customHeight="1" outlineLevel="1" x14ac:dyDescent="0.2">
      <c r="A453" s="980" t="s">
        <v>1625</v>
      </c>
      <c r="B453" s="981" t="s">
        <v>1086</v>
      </c>
      <c r="C453" s="982"/>
      <c r="D453" s="983"/>
      <c r="E453" s="975"/>
      <c r="F453" s="334"/>
      <c r="G453" s="334"/>
      <c r="K453" s="334"/>
      <c r="L453" s="334"/>
      <c r="M453" s="334"/>
      <c r="N453" s="334"/>
      <c r="O453" s="334"/>
    </row>
    <row r="454" spans="1:15" ht="12.75" hidden="1" customHeight="1" outlineLevel="1" x14ac:dyDescent="0.2">
      <c r="A454" s="984" t="s">
        <v>1626</v>
      </c>
      <c r="B454" s="985" t="s">
        <v>5143</v>
      </c>
      <c r="C454" s="986" t="s">
        <v>100</v>
      </c>
      <c r="D454" s="987">
        <v>1222.0999999999999</v>
      </c>
      <c r="E454" s="975"/>
      <c r="F454" s="334"/>
      <c r="G454" s="334"/>
      <c r="K454" s="334"/>
      <c r="L454" s="334"/>
      <c r="M454" s="334"/>
      <c r="N454" s="334"/>
      <c r="O454" s="334"/>
    </row>
    <row r="455" spans="1:15" ht="12.75" hidden="1" customHeight="1" outlineLevel="1" x14ac:dyDescent="0.2">
      <c r="A455" s="980" t="s">
        <v>1627</v>
      </c>
      <c r="B455" s="981" t="s">
        <v>1094</v>
      </c>
      <c r="C455" s="982"/>
      <c r="D455" s="983"/>
      <c r="E455" s="975"/>
      <c r="F455" s="334"/>
      <c r="G455" s="334"/>
      <c r="K455" s="334"/>
      <c r="L455" s="334"/>
      <c r="M455" s="334"/>
      <c r="N455" s="334"/>
      <c r="O455" s="334"/>
    </row>
    <row r="456" spans="1:15" ht="12.75" hidden="1" customHeight="1" outlineLevel="1" x14ac:dyDescent="0.2">
      <c r="A456" s="988" t="s">
        <v>1628</v>
      </c>
      <c r="B456" s="989" t="s">
        <v>5143</v>
      </c>
      <c r="C456" s="990" t="s">
        <v>100</v>
      </c>
      <c r="D456" s="991">
        <v>1222.0999999999999</v>
      </c>
      <c r="E456" s="975"/>
      <c r="F456" s="334"/>
      <c r="G456" s="334"/>
      <c r="K456" s="334"/>
      <c r="L456" s="334"/>
      <c r="M456" s="334"/>
      <c r="N456" s="334"/>
      <c r="O456" s="334"/>
    </row>
    <row r="457" spans="1:15" ht="12.75" hidden="1" customHeight="1" outlineLevel="1" x14ac:dyDescent="0.2">
      <c r="A457" s="980" t="s">
        <v>1629</v>
      </c>
      <c r="B457" s="981" t="s">
        <v>1102</v>
      </c>
      <c r="C457" s="982"/>
      <c r="D457" s="983"/>
      <c r="E457" s="975"/>
      <c r="F457" s="334"/>
      <c r="G457" s="334"/>
      <c r="K457" s="334"/>
      <c r="L457" s="334"/>
      <c r="M457" s="334"/>
      <c r="N457" s="334"/>
      <c r="O457" s="334"/>
    </row>
    <row r="458" spans="1:15" ht="12.75" hidden="1" customHeight="1" outlineLevel="1" x14ac:dyDescent="0.2">
      <c r="A458" s="984" t="s">
        <v>1630</v>
      </c>
      <c r="B458" s="985" t="s">
        <v>5143</v>
      </c>
      <c r="C458" s="986" t="s">
        <v>100</v>
      </c>
      <c r="D458" s="987">
        <v>900.07</v>
      </c>
      <c r="E458" s="975"/>
      <c r="F458" s="334"/>
      <c r="G458" s="334"/>
      <c r="K458" s="334"/>
      <c r="L458" s="334"/>
      <c r="M458" s="334"/>
      <c r="N458" s="334"/>
      <c r="O458" s="334"/>
    </row>
    <row r="459" spans="1:15" ht="12.75" hidden="1" customHeight="1" outlineLevel="1" x14ac:dyDescent="0.2">
      <c r="A459" s="980" t="s">
        <v>1631</v>
      </c>
      <c r="B459" s="981" t="s">
        <v>1112</v>
      </c>
      <c r="C459" s="982"/>
      <c r="D459" s="983"/>
      <c r="E459" s="975"/>
      <c r="F459" s="334"/>
      <c r="G459" s="334"/>
      <c r="K459" s="334"/>
      <c r="L459" s="334"/>
      <c r="M459" s="334"/>
      <c r="N459" s="334"/>
      <c r="O459" s="334"/>
    </row>
    <row r="460" spans="1:15" ht="12.75" hidden="1" customHeight="1" outlineLevel="1" x14ac:dyDescent="0.2">
      <c r="A460" s="988" t="s">
        <v>1632</v>
      </c>
      <c r="B460" s="989" t="s">
        <v>5143</v>
      </c>
      <c r="C460" s="990" t="s">
        <v>100</v>
      </c>
      <c r="D460" s="991">
        <v>837.84</v>
      </c>
      <c r="E460" s="975"/>
      <c r="F460" s="334"/>
      <c r="G460" s="334"/>
      <c r="K460" s="334"/>
      <c r="L460" s="334"/>
      <c r="M460" s="334"/>
      <c r="N460" s="334"/>
      <c r="O460" s="334"/>
    </row>
    <row r="461" spans="1:15" ht="12.75" hidden="1" customHeight="1" outlineLevel="1" x14ac:dyDescent="0.2">
      <c r="A461" s="980" t="s">
        <v>1633</v>
      </c>
      <c r="B461" s="981" t="s">
        <v>1120</v>
      </c>
      <c r="C461" s="982"/>
      <c r="D461" s="983"/>
      <c r="E461" s="975"/>
      <c r="F461" s="334"/>
      <c r="G461" s="334"/>
      <c r="J461" s="334"/>
      <c r="K461" s="334"/>
      <c r="L461" s="334"/>
      <c r="M461" s="334"/>
      <c r="N461" s="334"/>
      <c r="O461" s="334"/>
    </row>
    <row r="462" spans="1:15" ht="12.75" hidden="1" customHeight="1" outlineLevel="1" x14ac:dyDescent="0.2">
      <c r="A462" s="984" t="s">
        <v>1634</v>
      </c>
      <c r="B462" s="985" t="s">
        <v>5143</v>
      </c>
      <c r="C462" s="986" t="s">
        <v>100</v>
      </c>
      <c r="D462" s="987">
        <v>46.88</v>
      </c>
      <c r="E462" s="975"/>
      <c r="F462" s="334"/>
      <c r="G462" s="334"/>
      <c r="J462" s="334"/>
      <c r="K462" s="334"/>
      <c r="L462" s="334"/>
      <c r="M462" s="334"/>
      <c r="N462" s="334"/>
      <c r="O462" s="334"/>
    </row>
    <row r="463" spans="1:15" ht="12.75" hidden="1" customHeight="1" outlineLevel="1" x14ac:dyDescent="0.2">
      <c r="A463" s="980" t="s">
        <v>5144</v>
      </c>
      <c r="B463" s="981" t="s">
        <v>1127</v>
      </c>
      <c r="C463" s="982"/>
      <c r="D463" s="983"/>
      <c r="E463" s="975"/>
      <c r="F463" s="334"/>
      <c r="K463" s="334"/>
      <c r="L463" s="334"/>
      <c r="M463" s="334"/>
      <c r="N463" s="334"/>
      <c r="O463" s="334"/>
    </row>
    <row r="464" spans="1:15" ht="12.75" hidden="1" customHeight="1" outlineLevel="1" x14ac:dyDescent="0.2">
      <c r="A464" s="988" t="s">
        <v>5145</v>
      </c>
      <c r="B464" s="989" t="s">
        <v>5143</v>
      </c>
      <c r="C464" s="990" t="s">
        <v>100</v>
      </c>
      <c r="D464" s="991">
        <v>497.76</v>
      </c>
      <c r="E464" s="975"/>
      <c r="F464" s="334"/>
      <c r="K464" s="334"/>
      <c r="L464" s="334"/>
      <c r="M464" s="334"/>
      <c r="N464" s="334"/>
      <c r="O464" s="334"/>
    </row>
    <row r="465" spans="1:15" ht="12.75" hidden="1" customHeight="1" outlineLevel="1" x14ac:dyDescent="0.2">
      <c r="A465" s="980" t="s">
        <v>5146</v>
      </c>
      <c r="B465" s="981" t="s">
        <v>1137</v>
      </c>
      <c r="C465" s="982"/>
      <c r="D465" s="983"/>
      <c r="E465" s="975"/>
      <c r="F465" s="334"/>
      <c r="K465" s="334"/>
      <c r="L465" s="334"/>
      <c r="M465" s="334"/>
      <c r="N465" s="334"/>
      <c r="O465" s="334"/>
    </row>
    <row r="466" spans="1:15" ht="12.75" hidden="1" customHeight="1" outlineLevel="1" x14ac:dyDescent="0.2">
      <c r="A466" s="984" t="s">
        <v>5147</v>
      </c>
      <c r="B466" s="985" t="s">
        <v>5143</v>
      </c>
      <c r="C466" s="986" t="s">
        <v>100</v>
      </c>
      <c r="D466" s="987">
        <v>67.39</v>
      </c>
      <c r="E466" s="975"/>
      <c r="F466" s="334"/>
      <c r="K466" s="334"/>
      <c r="L466" s="334"/>
      <c r="M466" s="334"/>
      <c r="N466" s="334"/>
      <c r="O466" s="334"/>
    </row>
    <row r="467" spans="1:15" ht="12.75" hidden="1" customHeight="1" outlineLevel="1" x14ac:dyDescent="0.2">
      <c r="A467" s="980" t="s">
        <v>5148</v>
      </c>
      <c r="B467" s="981" t="s">
        <v>1140</v>
      </c>
      <c r="C467" s="982"/>
      <c r="D467" s="983"/>
      <c r="E467" s="975"/>
      <c r="F467" s="334"/>
      <c r="K467" s="334"/>
      <c r="L467" s="334"/>
      <c r="M467" s="334"/>
      <c r="N467" s="334"/>
      <c r="O467" s="334"/>
    </row>
    <row r="468" spans="1:15" ht="12.75" hidden="1" customHeight="1" outlineLevel="1" x14ac:dyDescent="0.2">
      <c r="A468" s="988" t="s">
        <v>5149</v>
      </c>
      <c r="B468" s="989" t="s">
        <v>5143</v>
      </c>
      <c r="C468" s="990" t="s">
        <v>100</v>
      </c>
      <c r="D468" s="991">
        <v>84.75</v>
      </c>
      <c r="E468" s="975"/>
      <c r="F468" s="334"/>
      <c r="K468" s="334"/>
      <c r="L468" s="334"/>
      <c r="M468" s="334"/>
      <c r="N468" s="334"/>
      <c r="O468" s="334"/>
    </row>
    <row r="469" spans="1:15" ht="12.75" hidden="1" customHeight="1" outlineLevel="1" x14ac:dyDescent="0.2">
      <c r="A469" s="980" t="s">
        <v>5150</v>
      </c>
      <c r="B469" s="981" t="s">
        <v>1462</v>
      </c>
      <c r="C469" s="982"/>
      <c r="D469" s="983"/>
      <c r="E469" s="975"/>
      <c r="F469" s="334"/>
      <c r="K469" s="334"/>
      <c r="L469" s="334"/>
      <c r="M469" s="334"/>
      <c r="N469" s="334"/>
      <c r="O469" s="334"/>
    </row>
    <row r="470" spans="1:15" ht="12.75" hidden="1" customHeight="1" outlineLevel="1" x14ac:dyDescent="0.2">
      <c r="A470" s="984" t="s">
        <v>5151</v>
      </c>
      <c r="B470" s="985" t="s">
        <v>5143</v>
      </c>
      <c r="C470" s="986" t="s">
        <v>100</v>
      </c>
      <c r="D470" s="987">
        <v>109.29</v>
      </c>
      <c r="E470" s="975"/>
      <c r="F470" s="334"/>
      <c r="K470" s="334"/>
      <c r="L470" s="334"/>
      <c r="M470" s="334"/>
      <c r="N470" s="334"/>
      <c r="O470" s="334"/>
    </row>
    <row r="471" spans="1:15" ht="12.75" customHeight="1" collapsed="1" x14ac:dyDescent="0.2">
      <c r="A471" s="614" t="s">
        <v>1557</v>
      </c>
      <c r="B471" s="615" t="s">
        <v>1558</v>
      </c>
      <c r="C471" s="616"/>
      <c r="D471" s="617"/>
      <c r="E471" s="334"/>
      <c r="F471" s="334"/>
      <c r="H471" s="631" t="s">
        <v>1048</v>
      </c>
      <c r="I471" s="632" t="s">
        <v>59</v>
      </c>
      <c r="K471" s="334"/>
      <c r="L471" s="334"/>
      <c r="M471" s="334"/>
      <c r="N471" s="334"/>
      <c r="O471" s="334"/>
    </row>
    <row r="472" spans="1:15" ht="12.75" hidden="1" customHeight="1" outlineLevel="1" x14ac:dyDescent="0.2">
      <c r="A472" s="618" t="s">
        <v>1559</v>
      </c>
      <c r="B472" s="619" t="s">
        <v>1009</v>
      </c>
      <c r="C472" s="620"/>
      <c r="D472" s="621"/>
      <c r="E472" s="622"/>
      <c r="F472" s="334"/>
      <c r="H472" s="633" t="s">
        <v>1061</v>
      </c>
      <c r="I472" s="634">
        <f t="shared" ref="I472:I479" si="2">SUMIF($B$14:$B$4106,H472,$D$14:$D$4106)</f>
        <v>2429.7799999999993</v>
      </c>
      <c r="K472" s="334"/>
      <c r="L472" s="334"/>
      <c r="M472" s="334"/>
      <c r="N472" s="334"/>
      <c r="O472" s="334"/>
    </row>
    <row r="473" spans="1:15" ht="12.75" hidden="1" customHeight="1" outlineLevel="1" x14ac:dyDescent="0.2">
      <c r="A473" s="623" t="s">
        <v>1560</v>
      </c>
      <c r="B473" s="624" t="s">
        <v>1061</v>
      </c>
      <c r="C473" s="625" t="s">
        <v>100</v>
      </c>
      <c r="D473" s="626">
        <v>20.239999999999998</v>
      </c>
      <c r="E473" s="622"/>
      <c r="F473" s="334"/>
      <c r="H473" s="633" t="s">
        <v>1063</v>
      </c>
      <c r="I473" s="634">
        <f t="shared" si="2"/>
        <v>69.83</v>
      </c>
      <c r="K473" s="334"/>
      <c r="L473" s="334"/>
      <c r="M473" s="334"/>
      <c r="N473" s="334"/>
      <c r="O473" s="334"/>
    </row>
    <row r="474" spans="1:15" ht="12.75" hidden="1" customHeight="1" outlineLevel="1" x14ac:dyDescent="0.2">
      <c r="A474" s="627" t="s">
        <v>1561</v>
      </c>
      <c r="B474" s="624" t="s">
        <v>1061</v>
      </c>
      <c r="C474" s="629" t="s">
        <v>100</v>
      </c>
      <c r="D474" s="630">
        <v>36.25</v>
      </c>
      <c r="E474" s="622"/>
      <c r="F474" s="334"/>
      <c r="H474" s="633" t="s">
        <v>1065</v>
      </c>
      <c r="I474" s="634">
        <f t="shared" si="2"/>
        <v>115.91</v>
      </c>
      <c r="K474" s="334"/>
      <c r="L474" s="334"/>
      <c r="M474" s="334"/>
      <c r="N474" s="334"/>
      <c r="O474" s="334"/>
    </row>
    <row r="475" spans="1:15" ht="12.75" hidden="1" customHeight="1" outlineLevel="1" x14ac:dyDescent="0.2">
      <c r="A475" s="623" t="s">
        <v>1562</v>
      </c>
      <c r="B475" s="624" t="s">
        <v>1063</v>
      </c>
      <c r="C475" s="625" t="s">
        <v>100</v>
      </c>
      <c r="D475" s="626">
        <v>44.86</v>
      </c>
      <c r="E475" s="622"/>
      <c r="F475" s="334"/>
      <c r="H475" s="633" t="s">
        <v>1067</v>
      </c>
      <c r="I475" s="634">
        <f t="shared" si="2"/>
        <v>176.39999999999995</v>
      </c>
      <c r="J475" s="964" t="s">
        <v>79</v>
      </c>
      <c r="K475" s="334"/>
      <c r="L475" s="334"/>
      <c r="M475" s="334"/>
      <c r="N475" s="334"/>
      <c r="O475" s="334"/>
    </row>
    <row r="476" spans="1:15" ht="12.75" hidden="1" customHeight="1" outlineLevel="1" x14ac:dyDescent="0.2">
      <c r="A476" s="627" t="s">
        <v>1563</v>
      </c>
      <c r="B476" s="624" t="s">
        <v>1063</v>
      </c>
      <c r="C476" s="629" t="s">
        <v>100</v>
      </c>
      <c r="D476" s="630">
        <v>24.97</v>
      </c>
      <c r="E476" s="622"/>
      <c r="F476" s="334"/>
      <c r="H476" s="633" t="s">
        <v>1166</v>
      </c>
      <c r="I476" s="634">
        <f t="shared" si="2"/>
        <v>137.16000000000003</v>
      </c>
      <c r="K476" s="334"/>
      <c r="L476" s="334"/>
      <c r="M476" s="334"/>
      <c r="N476" s="334"/>
      <c r="O476" s="334"/>
    </row>
    <row r="477" spans="1:15" ht="12.75" hidden="1" customHeight="1" outlineLevel="1" x14ac:dyDescent="0.2">
      <c r="A477" s="618" t="s">
        <v>1564</v>
      </c>
      <c r="B477" s="619" t="s">
        <v>1021</v>
      </c>
      <c r="C477" s="620"/>
      <c r="D477" s="621"/>
      <c r="E477" s="622"/>
      <c r="F477" s="334"/>
      <c r="H477" s="633" t="s">
        <v>1168</v>
      </c>
      <c r="I477" s="634">
        <f t="shared" si="2"/>
        <v>5.3199999999999994</v>
      </c>
      <c r="K477" s="334"/>
      <c r="L477" s="334"/>
      <c r="M477" s="334"/>
      <c r="N477" s="334"/>
      <c r="O477" s="334"/>
    </row>
    <row r="478" spans="1:15" ht="12.75" hidden="1" customHeight="1" outlineLevel="1" x14ac:dyDescent="0.2">
      <c r="A478" s="623" t="s">
        <v>1565</v>
      </c>
      <c r="B478" s="624" t="s">
        <v>1061</v>
      </c>
      <c r="C478" s="625" t="s">
        <v>100</v>
      </c>
      <c r="D478" s="626">
        <v>68.099999999999994</v>
      </c>
      <c r="E478" s="622"/>
      <c r="F478" s="334"/>
      <c r="H478" s="633" t="s">
        <v>1170</v>
      </c>
      <c r="I478" s="634">
        <f t="shared" si="2"/>
        <v>53.349999999999994</v>
      </c>
      <c r="K478" s="334"/>
      <c r="L478" s="334"/>
      <c r="M478" s="334"/>
      <c r="N478" s="334"/>
      <c r="O478" s="334"/>
    </row>
    <row r="479" spans="1:15" ht="12.75" hidden="1" customHeight="1" outlineLevel="1" x14ac:dyDescent="0.2">
      <c r="A479" s="627" t="s">
        <v>1566</v>
      </c>
      <c r="B479" s="624" t="s">
        <v>1061</v>
      </c>
      <c r="C479" s="629" t="s">
        <v>100</v>
      </c>
      <c r="D479" s="630">
        <v>137.08000000000001</v>
      </c>
      <c r="E479" s="622"/>
      <c r="F479" s="334"/>
      <c r="H479" s="633" t="s">
        <v>2290</v>
      </c>
      <c r="I479" s="634">
        <f t="shared" si="2"/>
        <v>92.94</v>
      </c>
      <c r="K479" s="334"/>
      <c r="L479" s="334"/>
      <c r="M479" s="334"/>
      <c r="N479" s="334"/>
      <c r="O479" s="334"/>
    </row>
    <row r="480" spans="1:15" ht="12.75" hidden="1" customHeight="1" outlineLevel="1" x14ac:dyDescent="0.2">
      <c r="A480" s="623" t="s">
        <v>1567</v>
      </c>
      <c r="B480" s="624" t="s">
        <v>1061</v>
      </c>
      <c r="C480" s="625" t="s">
        <v>100</v>
      </c>
      <c r="D480" s="626">
        <v>23.47</v>
      </c>
      <c r="E480" s="622"/>
      <c r="F480" s="334"/>
      <c r="K480" s="334"/>
      <c r="L480" s="334"/>
      <c r="M480" s="334"/>
      <c r="N480" s="334"/>
      <c r="O480" s="334"/>
    </row>
    <row r="481" spans="1:15" ht="12.75" hidden="1" customHeight="1" outlineLevel="1" x14ac:dyDescent="0.2">
      <c r="A481" s="627" t="s">
        <v>1568</v>
      </c>
      <c r="B481" s="624" t="s">
        <v>1061</v>
      </c>
      <c r="C481" s="629" t="s">
        <v>100</v>
      </c>
      <c r="D481" s="630">
        <v>49.04</v>
      </c>
      <c r="E481" s="622"/>
      <c r="F481" s="334"/>
      <c r="K481" s="334"/>
      <c r="L481" s="334"/>
      <c r="M481" s="334"/>
      <c r="N481" s="334"/>
      <c r="O481" s="334"/>
    </row>
    <row r="482" spans="1:15" ht="12.75" hidden="1" customHeight="1" outlineLevel="1" x14ac:dyDescent="0.2">
      <c r="A482" s="623" t="s">
        <v>1569</v>
      </c>
      <c r="B482" s="624" t="s">
        <v>1065</v>
      </c>
      <c r="C482" s="625" t="s">
        <v>100</v>
      </c>
      <c r="D482" s="626">
        <v>43.37</v>
      </c>
      <c r="E482" s="622"/>
      <c r="F482" s="334"/>
      <c r="K482" s="334"/>
      <c r="L482" s="334"/>
      <c r="M482" s="334"/>
      <c r="N482" s="334"/>
      <c r="O482" s="334"/>
    </row>
    <row r="483" spans="1:15" ht="12.75" hidden="1" customHeight="1" outlineLevel="1" x14ac:dyDescent="0.2">
      <c r="A483" s="618" t="s">
        <v>1570</v>
      </c>
      <c r="B483" s="619" t="s">
        <v>1030</v>
      </c>
      <c r="C483" s="620"/>
      <c r="D483" s="621"/>
      <c r="E483" s="622"/>
      <c r="F483" s="334"/>
      <c r="K483" s="334"/>
      <c r="L483" s="334"/>
      <c r="M483" s="334"/>
      <c r="N483" s="334"/>
      <c r="O483" s="334"/>
    </row>
    <row r="484" spans="1:15" ht="12.75" hidden="1" customHeight="1" outlineLevel="1" x14ac:dyDescent="0.2">
      <c r="A484" s="627" t="s">
        <v>1571</v>
      </c>
      <c r="B484" s="624" t="s">
        <v>1061</v>
      </c>
      <c r="C484" s="629" t="s">
        <v>100</v>
      </c>
      <c r="D484" s="630">
        <v>208.36</v>
      </c>
      <c r="E484" s="622"/>
      <c r="F484" s="334"/>
      <c r="K484" s="334"/>
      <c r="L484" s="334"/>
      <c r="M484" s="334"/>
      <c r="N484" s="334"/>
      <c r="O484" s="334"/>
    </row>
    <row r="485" spans="1:15" ht="12.75" hidden="1" customHeight="1" outlineLevel="1" x14ac:dyDescent="0.2">
      <c r="A485" s="623" t="s">
        <v>1572</v>
      </c>
      <c r="B485" s="624" t="s">
        <v>1061</v>
      </c>
      <c r="C485" s="625" t="s">
        <v>100</v>
      </c>
      <c r="D485" s="626">
        <v>25.86</v>
      </c>
      <c r="E485" s="622"/>
      <c r="F485" s="334"/>
      <c r="K485" s="334"/>
      <c r="L485" s="334"/>
      <c r="M485" s="334"/>
      <c r="N485" s="334"/>
      <c r="O485" s="334"/>
    </row>
    <row r="486" spans="1:15" ht="12.75" hidden="1" customHeight="1" outlineLevel="1" x14ac:dyDescent="0.2">
      <c r="A486" s="618" t="s">
        <v>1573</v>
      </c>
      <c r="B486" s="619" t="s">
        <v>1039</v>
      </c>
      <c r="C486" s="620"/>
      <c r="D486" s="621"/>
      <c r="E486" s="622"/>
      <c r="F486" s="334"/>
      <c r="K486" s="334"/>
      <c r="L486" s="334"/>
      <c r="M486" s="334"/>
      <c r="N486" s="334"/>
      <c r="O486" s="334"/>
    </row>
    <row r="487" spans="1:15" ht="12.75" hidden="1" customHeight="1" outlineLevel="1" x14ac:dyDescent="0.2">
      <c r="A487" s="627" t="s">
        <v>1574</v>
      </c>
      <c r="B487" s="624" t="s">
        <v>1061</v>
      </c>
      <c r="C487" s="629" t="s">
        <v>100</v>
      </c>
      <c r="D487" s="630">
        <v>45.43</v>
      </c>
      <c r="E487" s="622"/>
      <c r="F487" s="334"/>
      <c r="K487" s="334"/>
      <c r="L487" s="334"/>
      <c r="M487" s="334"/>
      <c r="N487" s="334"/>
      <c r="O487" s="334"/>
    </row>
    <row r="488" spans="1:15" ht="12.75" hidden="1" customHeight="1" outlineLevel="1" x14ac:dyDescent="0.2">
      <c r="A488" s="623" t="s">
        <v>1575</v>
      </c>
      <c r="B488" s="624" t="s">
        <v>1061</v>
      </c>
      <c r="C488" s="625" t="s">
        <v>100</v>
      </c>
      <c r="D488" s="626">
        <v>38.869999999999997</v>
      </c>
      <c r="E488" s="622"/>
      <c r="F488" s="334"/>
      <c r="K488" s="334"/>
      <c r="L488" s="334"/>
      <c r="M488" s="334"/>
      <c r="N488" s="334"/>
      <c r="O488" s="334"/>
    </row>
    <row r="489" spans="1:15" ht="12.75" hidden="1" customHeight="1" outlineLevel="1" x14ac:dyDescent="0.2">
      <c r="A489" s="627" t="s">
        <v>1576</v>
      </c>
      <c r="B489" s="624" t="s">
        <v>1061</v>
      </c>
      <c r="C489" s="629" t="s">
        <v>100</v>
      </c>
      <c r="D489" s="630">
        <v>115.74</v>
      </c>
      <c r="E489" s="622"/>
      <c r="F489" s="334"/>
      <c r="K489" s="334"/>
      <c r="L489" s="334"/>
      <c r="M489" s="334"/>
      <c r="N489" s="334"/>
      <c r="O489" s="334"/>
    </row>
    <row r="490" spans="1:15" ht="12.75" hidden="1" customHeight="1" outlineLevel="1" x14ac:dyDescent="0.2">
      <c r="A490" s="623" t="s">
        <v>1577</v>
      </c>
      <c r="B490" s="624" t="s">
        <v>1061</v>
      </c>
      <c r="C490" s="625" t="s">
        <v>100</v>
      </c>
      <c r="D490" s="626">
        <v>22.38</v>
      </c>
      <c r="E490" s="622"/>
      <c r="F490" s="334"/>
      <c r="K490" s="334"/>
      <c r="L490" s="334"/>
      <c r="M490" s="334"/>
      <c r="N490" s="334"/>
      <c r="O490" s="334"/>
    </row>
    <row r="491" spans="1:15" ht="12.75" hidden="1" customHeight="1" outlineLevel="1" x14ac:dyDescent="0.2">
      <c r="A491" s="618" t="s">
        <v>1578</v>
      </c>
      <c r="B491" s="619" t="s">
        <v>1047</v>
      </c>
      <c r="C491" s="620"/>
      <c r="D491" s="621"/>
      <c r="E491" s="622"/>
      <c r="F491" s="334"/>
      <c r="K491" s="334"/>
      <c r="L491" s="334"/>
      <c r="M491" s="334"/>
      <c r="N491" s="334"/>
      <c r="O491" s="334"/>
    </row>
    <row r="492" spans="1:15" ht="12.75" hidden="1" customHeight="1" outlineLevel="1" x14ac:dyDescent="0.2">
      <c r="A492" s="627" t="s">
        <v>1579</v>
      </c>
      <c r="B492" s="624" t="s">
        <v>1061</v>
      </c>
      <c r="C492" s="629" t="s">
        <v>100</v>
      </c>
      <c r="D492" s="630">
        <v>208.36</v>
      </c>
      <c r="E492" s="622"/>
      <c r="F492" s="334"/>
      <c r="K492" s="334"/>
      <c r="L492" s="334"/>
      <c r="M492" s="334"/>
      <c r="N492" s="334"/>
      <c r="O492" s="334"/>
    </row>
    <row r="493" spans="1:15" ht="12.75" hidden="1" customHeight="1" outlineLevel="1" x14ac:dyDescent="0.2">
      <c r="A493" s="623" t="s">
        <v>1580</v>
      </c>
      <c r="B493" s="624" t="s">
        <v>1061</v>
      </c>
      <c r="C493" s="625" t="s">
        <v>100</v>
      </c>
      <c r="D493" s="626">
        <v>25.86</v>
      </c>
      <c r="E493" s="622"/>
      <c r="F493" s="334"/>
      <c r="K493" s="334"/>
      <c r="L493" s="334"/>
      <c r="M493" s="334"/>
      <c r="N493" s="334"/>
      <c r="O493" s="334"/>
    </row>
    <row r="494" spans="1:15" ht="12.75" hidden="1" customHeight="1" outlineLevel="1" x14ac:dyDescent="0.2">
      <c r="A494" s="618" t="s">
        <v>1581</v>
      </c>
      <c r="B494" s="619" t="s">
        <v>1058</v>
      </c>
      <c r="C494" s="620"/>
      <c r="D494" s="621"/>
      <c r="E494" s="622"/>
      <c r="F494" s="334"/>
      <c r="K494" s="334"/>
      <c r="L494" s="334"/>
      <c r="M494" s="334"/>
      <c r="N494" s="334"/>
      <c r="O494" s="334"/>
    </row>
    <row r="495" spans="1:15" ht="12.75" hidden="1" customHeight="1" outlineLevel="1" x14ac:dyDescent="0.2">
      <c r="A495" s="627" t="s">
        <v>1582</v>
      </c>
      <c r="B495" s="624" t="s">
        <v>1061</v>
      </c>
      <c r="C495" s="629" t="s">
        <v>100</v>
      </c>
      <c r="D495" s="630">
        <v>208.36</v>
      </c>
      <c r="E495" s="622"/>
      <c r="F495" s="334"/>
      <c r="K495" s="334"/>
      <c r="L495" s="334"/>
      <c r="M495" s="334"/>
      <c r="N495" s="334"/>
      <c r="O495" s="334"/>
    </row>
    <row r="496" spans="1:15" ht="12.75" hidden="1" customHeight="1" outlineLevel="1" x14ac:dyDescent="0.2">
      <c r="A496" s="623" t="s">
        <v>1583</v>
      </c>
      <c r="B496" s="624" t="s">
        <v>1061</v>
      </c>
      <c r="C496" s="625" t="s">
        <v>100</v>
      </c>
      <c r="D496" s="626">
        <v>25.86</v>
      </c>
      <c r="E496" s="622"/>
      <c r="F496" s="334"/>
      <c r="K496" s="334"/>
      <c r="L496" s="334"/>
      <c r="M496" s="334"/>
      <c r="N496" s="334"/>
      <c r="O496" s="334"/>
    </row>
    <row r="497" spans="1:15" ht="12.75" hidden="1" customHeight="1" outlineLevel="1" x14ac:dyDescent="0.2">
      <c r="A497" s="618" t="s">
        <v>1584</v>
      </c>
      <c r="B497" s="619" t="s">
        <v>1069</v>
      </c>
      <c r="C497" s="620"/>
      <c r="D497" s="621"/>
      <c r="E497" s="622"/>
      <c r="F497" s="334"/>
      <c r="K497" s="334"/>
      <c r="L497" s="334"/>
      <c r="M497" s="334"/>
      <c r="N497" s="334"/>
      <c r="O497" s="334"/>
    </row>
    <row r="498" spans="1:15" ht="12.75" hidden="1" customHeight="1" outlineLevel="1" x14ac:dyDescent="0.2">
      <c r="A498" s="627" t="s">
        <v>1585</v>
      </c>
      <c r="B498" s="624" t="s">
        <v>1061</v>
      </c>
      <c r="C498" s="629" t="s">
        <v>100</v>
      </c>
      <c r="D498" s="630">
        <v>208.36</v>
      </c>
      <c r="E498" s="622"/>
      <c r="F498" s="334"/>
      <c r="K498" s="334"/>
      <c r="L498" s="334"/>
      <c r="M498" s="334"/>
      <c r="N498" s="334"/>
      <c r="O498" s="334"/>
    </row>
    <row r="499" spans="1:15" ht="12.75" hidden="1" customHeight="1" outlineLevel="1" x14ac:dyDescent="0.2">
      <c r="A499" s="623" t="s">
        <v>1586</v>
      </c>
      <c r="B499" s="624" t="s">
        <v>1061</v>
      </c>
      <c r="C499" s="625" t="s">
        <v>100</v>
      </c>
      <c r="D499" s="626">
        <v>25.86</v>
      </c>
      <c r="E499" s="622"/>
      <c r="F499" s="334"/>
      <c r="K499" s="334"/>
      <c r="L499" s="334"/>
      <c r="M499" s="334"/>
      <c r="N499" s="334"/>
      <c r="O499" s="334"/>
    </row>
    <row r="500" spans="1:15" ht="12.75" hidden="1" customHeight="1" outlineLevel="1" x14ac:dyDescent="0.2">
      <c r="A500" s="618" t="s">
        <v>1587</v>
      </c>
      <c r="B500" s="619" t="s">
        <v>1079</v>
      </c>
      <c r="C500" s="620"/>
      <c r="D500" s="621"/>
      <c r="E500" s="622"/>
      <c r="F500" s="334"/>
      <c r="K500" s="334"/>
      <c r="L500" s="334"/>
      <c r="M500" s="334"/>
      <c r="N500" s="334"/>
      <c r="O500" s="334"/>
    </row>
    <row r="501" spans="1:15" ht="12.75" hidden="1" customHeight="1" outlineLevel="1" x14ac:dyDescent="0.2">
      <c r="A501" s="627" t="s">
        <v>1588</v>
      </c>
      <c r="B501" s="624" t="s">
        <v>1061</v>
      </c>
      <c r="C501" s="629" t="s">
        <v>100</v>
      </c>
      <c r="D501" s="630">
        <v>208.36</v>
      </c>
      <c r="E501" s="622"/>
      <c r="F501" s="334"/>
      <c r="K501" s="334"/>
      <c r="L501" s="334"/>
      <c r="M501" s="334"/>
      <c r="N501" s="334"/>
      <c r="O501" s="334"/>
    </row>
    <row r="502" spans="1:15" ht="12.75" hidden="1" customHeight="1" outlineLevel="1" x14ac:dyDescent="0.2">
      <c r="A502" s="623" t="s">
        <v>1589</v>
      </c>
      <c r="B502" s="624" t="s">
        <v>1061</v>
      </c>
      <c r="C502" s="625" t="s">
        <v>100</v>
      </c>
      <c r="D502" s="626">
        <v>25.86</v>
      </c>
      <c r="E502" s="622"/>
      <c r="F502" s="334"/>
      <c r="K502" s="334"/>
      <c r="L502" s="334"/>
      <c r="M502" s="334"/>
      <c r="N502" s="334"/>
      <c r="O502" s="334"/>
    </row>
    <row r="503" spans="1:15" ht="12.75" hidden="1" customHeight="1" outlineLevel="1" x14ac:dyDescent="0.2">
      <c r="A503" s="618" t="s">
        <v>1590</v>
      </c>
      <c r="B503" s="619" t="s">
        <v>1086</v>
      </c>
      <c r="C503" s="620"/>
      <c r="D503" s="621"/>
      <c r="E503" s="622"/>
      <c r="F503" s="334"/>
      <c r="K503" s="334"/>
      <c r="L503" s="334"/>
      <c r="M503" s="334"/>
      <c r="N503" s="334"/>
      <c r="O503" s="334"/>
    </row>
    <row r="504" spans="1:15" ht="12.75" hidden="1" customHeight="1" outlineLevel="1" x14ac:dyDescent="0.2">
      <c r="A504" s="627" t="s">
        <v>1591</v>
      </c>
      <c r="B504" s="624" t="s">
        <v>1061</v>
      </c>
      <c r="C504" s="629" t="s">
        <v>100</v>
      </c>
      <c r="D504" s="630">
        <v>208.36</v>
      </c>
      <c r="E504" s="622"/>
      <c r="F504" s="334"/>
      <c r="K504" s="334"/>
      <c r="L504" s="334"/>
      <c r="M504" s="334"/>
      <c r="N504" s="334"/>
      <c r="O504" s="334"/>
    </row>
    <row r="505" spans="1:15" ht="12.75" hidden="1" customHeight="1" outlineLevel="1" x14ac:dyDescent="0.2">
      <c r="A505" s="623" t="s">
        <v>1592</v>
      </c>
      <c r="B505" s="624" t="s">
        <v>1061</v>
      </c>
      <c r="C505" s="625" t="s">
        <v>100</v>
      </c>
      <c r="D505" s="626">
        <v>25.86</v>
      </c>
      <c r="E505" s="622"/>
      <c r="F505" s="334"/>
      <c r="K505" s="334"/>
      <c r="L505" s="334"/>
      <c r="M505" s="334"/>
      <c r="N505" s="334"/>
      <c r="O505" s="334"/>
    </row>
    <row r="506" spans="1:15" ht="12.75" hidden="1" customHeight="1" outlineLevel="1" x14ac:dyDescent="0.2">
      <c r="A506" s="618" t="s">
        <v>1593</v>
      </c>
      <c r="B506" s="619" t="s">
        <v>1094</v>
      </c>
      <c r="C506" s="620"/>
      <c r="D506" s="621"/>
      <c r="E506" s="622"/>
      <c r="F506" s="334"/>
      <c r="K506" s="334"/>
      <c r="L506" s="334"/>
      <c r="M506" s="334"/>
      <c r="N506" s="334"/>
      <c r="O506" s="334"/>
    </row>
    <row r="507" spans="1:15" ht="12.75" hidden="1" customHeight="1" outlineLevel="1" x14ac:dyDescent="0.2">
      <c r="A507" s="627" t="s">
        <v>1594</v>
      </c>
      <c r="B507" s="624" t="s">
        <v>1061</v>
      </c>
      <c r="C507" s="629" t="s">
        <v>100</v>
      </c>
      <c r="D507" s="630">
        <v>208.36</v>
      </c>
      <c r="E507" s="622"/>
      <c r="F507" s="334"/>
      <c r="K507" s="334"/>
      <c r="L507" s="334"/>
      <c r="M507" s="334"/>
      <c r="N507" s="334"/>
      <c r="O507" s="334"/>
    </row>
    <row r="508" spans="1:15" ht="12.75" hidden="1" customHeight="1" outlineLevel="1" x14ac:dyDescent="0.2">
      <c r="A508" s="623" t="s">
        <v>1595</v>
      </c>
      <c r="B508" s="624" t="s">
        <v>1061</v>
      </c>
      <c r="C508" s="625" t="s">
        <v>100</v>
      </c>
      <c r="D508" s="626">
        <v>25.86</v>
      </c>
      <c r="E508" s="622"/>
      <c r="F508" s="334"/>
      <c r="K508" s="334"/>
      <c r="L508" s="334"/>
      <c r="M508" s="334"/>
      <c r="N508" s="334"/>
      <c r="O508" s="334"/>
    </row>
    <row r="509" spans="1:15" ht="12.75" hidden="1" customHeight="1" outlineLevel="1" x14ac:dyDescent="0.2">
      <c r="A509" s="618" t="s">
        <v>1596</v>
      </c>
      <c r="B509" s="619" t="s">
        <v>1102</v>
      </c>
      <c r="C509" s="620"/>
      <c r="D509" s="621"/>
      <c r="E509" s="622"/>
      <c r="F509" s="334"/>
      <c r="K509" s="334"/>
      <c r="L509" s="334"/>
      <c r="M509" s="334"/>
      <c r="N509" s="334"/>
      <c r="O509" s="334"/>
    </row>
    <row r="510" spans="1:15" ht="12.75" hidden="1" customHeight="1" outlineLevel="1" x14ac:dyDescent="0.2">
      <c r="A510" s="627" t="s">
        <v>1597</v>
      </c>
      <c r="B510" s="624" t="s">
        <v>1061</v>
      </c>
      <c r="C510" s="629" t="s">
        <v>100</v>
      </c>
      <c r="D510" s="630">
        <v>41.95</v>
      </c>
      <c r="E510" s="622"/>
      <c r="F510" s="334"/>
      <c r="K510" s="334"/>
      <c r="L510" s="334"/>
      <c r="M510" s="334"/>
      <c r="N510" s="334"/>
      <c r="O510" s="334"/>
    </row>
    <row r="511" spans="1:15" ht="12.75" hidden="1" customHeight="1" outlineLevel="1" x14ac:dyDescent="0.2">
      <c r="A511" s="623" t="s">
        <v>1598</v>
      </c>
      <c r="B511" s="624" t="s">
        <v>1061</v>
      </c>
      <c r="C511" s="625" t="s">
        <v>100</v>
      </c>
      <c r="D511" s="626">
        <v>68.41</v>
      </c>
      <c r="E511" s="622"/>
      <c r="F511" s="334"/>
      <c r="K511" s="334"/>
      <c r="L511" s="334"/>
      <c r="M511" s="334"/>
      <c r="N511" s="334"/>
      <c r="O511" s="334"/>
    </row>
    <row r="512" spans="1:15" ht="12.75" hidden="1" customHeight="1" outlineLevel="1" x14ac:dyDescent="0.2">
      <c r="A512" s="618" t="s">
        <v>1599</v>
      </c>
      <c r="B512" s="619" t="s">
        <v>1112</v>
      </c>
      <c r="C512" s="620"/>
      <c r="D512" s="621"/>
      <c r="E512" s="622"/>
      <c r="F512" s="334"/>
      <c r="K512" s="334"/>
      <c r="L512" s="334"/>
      <c r="M512" s="334"/>
      <c r="N512" s="334"/>
      <c r="O512" s="334"/>
    </row>
    <row r="513" spans="1:15" ht="12.75" hidden="1" customHeight="1" outlineLevel="1" x14ac:dyDescent="0.2">
      <c r="A513" s="627" t="s">
        <v>1600</v>
      </c>
      <c r="B513" s="624" t="s">
        <v>1061</v>
      </c>
      <c r="C513" s="629" t="s">
        <v>100</v>
      </c>
      <c r="D513" s="630">
        <v>77.28</v>
      </c>
      <c r="E513" s="622"/>
      <c r="F513" s="334"/>
      <c r="K513" s="334"/>
      <c r="L513" s="334"/>
      <c r="M513" s="334"/>
      <c r="N513" s="334"/>
      <c r="O513" s="334"/>
    </row>
    <row r="514" spans="1:15" ht="12.75" hidden="1" customHeight="1" outlineLevel="1" x14ac:dyDescent="0.2">
      <c r="A514" s="623" t="s">
        <v>1601</v>
      </c>
      <c r="B514" s="624" t="s">
        <v>1061</v>
      </c>
      <c r="C514" s="625" t="s">
        <v>100</v>
      </c>
      <c r="D514" s="626">
        <v>21.9</v>
      </c>
      <c r="E514" s="622"/>
      <c r="F514" s="334"/>
      <c r="K514" s="334"/>
      <c r="L514" s="334"/>
      <c r="M514" s="334"/>
      <c r="N514" s="334"/>
      <c r="O514" s="334"/>
    </row>
    <row r="515" spans="1:15" ht="12.75" hidden="1" customHeight="1" outlineLevel="1" x14ac:dyDescent="0.2">
      <c r="A515" s="618" t="s">
        <v>1602</v>
      </c>
      <c r="B515" s="619" t="s">
        <v>1127</v>
      </c>
      <c r="C515" s="620"/>
      <c r="D515" s="621"/>
      <c r="E515" s="622"/>
      <c r="F515" s="334"/>
      <c r="K515" s="334"/>
      <c r="L515" s="334"/>
      <c r="M515" s="334"/>
      <c r="N515" s="334"/>
      <c r="O515" s="334"/>
    </row>
    <row r="516" spans="1:15" ht="12.75" hidden="1" customHeight="1" outlineLevel="1" x14ac:dyDescent="0.2">
      <c r="A516" s="627" t="s">
        <v>1603</v>
      </c>
      <c r="B516" s="628" t="s">
        <v>1065</v>
      </c>
      <c r="C516" s="629" t="s">
        <v>100</v>
      </c>
      <c r="D516" s="630">
        <v>72.540000000000006</v>
      </c>
      <c r="E516" s="622"/>
      <c r="F516" s="334"/>
      <c r="K516" s="334"/>
      <c r="L516" s="334"/>
      <c r="M516" s="334"/>
      <c r="N516" s="334"/>
      <c r="O516" s="334"/>
    </row>
    <row r="517" spans="1:15" ht="12.75" hidden="1" customHeight="1" outlineLevel="1" x14ac:dyDescent="0.2">
      <c r="A517" s="623" t="s">
        <v>1604</v>
      </c>
      <c r="B517" s="624" t="s">
        <v>1061</v>
      </c>
      <c r="C517" s="625" t="s">
        <v>100</v>
      </c>
      <c r="D517" s="626">
        <v>24.1</v>
      </c>
      <c r="E517" s="622"/>
      <c r="F517" s="334"/>
      <c r="K517" s="334"/>
      <c r="L517" s="334"/>
      <c r="M517" s="334"/>
      <c r="N517" s="334"/>
      <c r="O517" s="334"/>
    </row>
    <row r="518" spans="1:15" ht="12.75" customHeight="1" collapsed="1" x14ac:dyDescent="0.2">
      <c r="A518" s="614" t="s">
        <v>1605</v>
      </c>
      <c r="B518" s="615" t="s">
        <v>1606</v>
      </c>
      <c r="C518" s="616"/>
      <c r="D518" s="617"/>
      <c r="E518" s="622"/>
      <c r="F518" s="334"/>
      <c r="K518" s="334"/>
      <c r="L518" s="334"/>
      <c r="M518" s="334"/>
      <c r="N518" s="334"/>
      <c r="O518" s="334"/>
    </row>
    <row r="519" spans="1:15" ht="12.75" hidden="1" customHeight="1" outlineLevel="1" x14ac:dyDescent="0.2">
      <c r="A519" s="618" t="s">
        <v>1607</v>
      </c>
      <c r="B519" s="619" t="s">
        <v>1009</v>
      </c>
      <c r="C519" s="620"/>
      <c r="D519" s="621"/>
      <c r="E519" s="622"/>
      <c r="F519" s="334"/>
      <c r="K519" s="334"/>
      <c r="L519" s="334"/>
      <c r="M519" s="334"/>
      <c r="N519" s="334"/>
      <c r="O519" s="334"/>
    </row>
    <row r="520" spans="1:15" ht="12.75" hidden="1" customHeight="1" outlineLevel="1" x14ac:dyDescent="0.2">
      <c r="A520" s="627" t="s">
        <v>1608</v>
      </c>
      <c r="B520" s="628" t="s">
        <v>1067</v>
      </c>
      <c r="C520" s="629" t="s">
        <v>79</v>
      </c>
      <c r="D520" s="630">
        <v>12.6</v>
      </c>
      <c r="E520" s="622"/>
      <c r="F520" s="334"/>
      <c r="K520" s="334"/>
      <c r="L520" s="334"/>
      <c r="M520" s="334"/>
      <c r="N520" s="334"/>
      <c r="O520" s="334"/>
    </row>
    <row r="521" spans="1:15" ht="12.75" hidden="1" customHeight="1" outlineLevel="1" x14ac:dyDescent="0.2">
      <c r="A521" s="618" t="s">
        <v>1609</v>
      </c>
      <c r="B521" s="619" t="s">
        <v>1017</v>
      </c>
      <c r="C521" s="620"/>
      <c r="D521" s="621"/>
      <c r="E521" s="622"/>
      <c r="F521" s="334"/>
      <c r="K521" s="334"/>
      <c r="L521" s="334"/>
      <c r="M521" s="334"/>
      <c r="N521" s="334"/>
      <c r="O521" s="334"/>
    </row>
    <row r="522" spans="1:15" ht="12.75" hidden="1" customHeight="1" outlineLevel="1" x14ac:dyDescent="0.2">
      <c r="A522" s="623" t="s">
        <v>1610</v>
      </c>
      <c r="B522" s="624" t="s">
        <v>1067</v>
      </c>
      <c r="C522" s="625" t="s">
        <v>79</v>
      </c>
      <c r="D522" s="626">
        <v>12.6</v>
      </c>
      <c r="E522" s="622"/>
      <c r="F522" s="334"/>
      <c r="K522" s="334"/>
      <c r="L522" s="334"/>
      <c r="M522" s="334"/>
      <c r="N522" s="334"/>
      <c r="O522" s="334"/>
    </row>
    <row r="523" spans="1:15" ht="12.75" hidden="1" customHeight="1" outlineLevel="1" x14ac:dyDescent="0.2">
      <c r="A523" s="618" t="s">
        <v>1611</v>
      </c>
      <c r="B523" s="619" t="s">
        <v>1021</v>
      </c>
      <c r="C523" s="620"/>
      <c r="D523" s="621"/>
      <c r="E523" s="622"/>
      <c r="F523" s="334"/>
      <c r="K523" s="334"/>
      <c r="L523" s="334"/>
      <c r="M523" s="334"/>
      <c r="N523" s="334"/>
      <c r="O523" s="334"/>
    </row>
    <row r="524" spans="1:15" ht="12.75" hidden="1" customHeight="1" outlineLevel="1" x14ac:dyDescent="0.2">
      <c r="A524" s="627" t="s">
        <v>1612</v>
      </c>
      <c r="B524" s="628" t="s">
        <v>1067</v>
      </c>
      <c r="C524" s="629" t="s">
        <v>79</v>
      </c>
      <c r="D524" s="630">
        <v>12.6</v>
      </c>
      <c r="E524" s="622"/>
      <c r="F524" s="334"/>
      <c r="K524" s="334"/>
      <c r="L524" s="334"/>
      <c r="M524" s="334"/>
      <c r="N524" s="334"/>
      <c r="O524" s="334"/>
    </row>
    <row r="525" spans="1:15" ht="12.75" hidden="1" customHeight="1" outlineLevel="1" x14ac:dyDescent="0.2">
      <c r="A525" s="618" t="s">
        <v>1613</v>
      </c>
      <c r="B525" s="619" t="s">
        <v>1030</v>
      </c>
      <c r="C525" s="620"/>
      <c r="D525" s="621"/>
      <c r="E525" s="622"/>
      <c r="F525" s="334"/>
      <c r="K525" s="334"/>
      <c r="L525" s="334"/>
      <c r="M525" s="334"/>
      <c r="N525" s="334"/>
      <c r="O525" s="334"/>
    </row>
    <row r="526" spans="1:15" ht="12.75" hidden="1" customHeight="1" outlineLevel="1" x14ac:dyDescent="0.2">
      <c r="A526" s="623" t="s">
        <v>1614</v>
      </c>
      <c r="B526" s="624" t="s">
        <v>1067</v>
      </c>
      <c r="C526" s="625" t="s">
        <v>79</v>
      </c>
      <c r="D526" s="626">
        <v>12.6</v>
      </c>
      <c r="E526" s="622"/>
      <c r="F526" s="334"/>
      <c r="K526" s="334"/>
      <c r="L526" s="334"/>
      <c r="M526" s="334"/>
      <c r="N526" s="334"/>
      <c r="O526" s="334"/>
    </row>
    <row r="527" spans="1:15" ht="12.75" hidden="1" customHeight="1" outlineLevel="1" x14ac:dyDescent="0.2">
      <c r="A527" s="618" t="s">
        <v>1615</v>
      </c>
      <c r="B527" s="619" t="s">
        <v>1039</v>
      </c>
      <c r="C527" s="620"/>
      <c r="D527" s="621"/>
      <c r="E527" s="622"/>
      <c r="F527" s="334"/>
      <c r="K527" s="334"/>
      <c r="L527" s="334"/>
      <c r="M527" s="334"/>
      <c r="N527" s="334"/>
      <c r="O527" s="334"/>
    </row>
    <row r="528" spans="1:15" ht="12.75" hidden="1" customHeight="1" outlineLevel="1" x14ac:dyDescent="0.2">
      <c r="A528" s="627" t="s">
        <v>1616</v>
      </c>
      <c r="B528" s="628" t="s">
        <v>1067</v>
      </c>
      <c r="C528" s="629" t="s">
        <v>79</v>
      </c>
      <c r="D528" s="630">
        <v>12.6</v>
      </c>
      <c r="E528" s="622"/>
      <c r="F528" s="334"/>
      <c r="K528" s="334"/>
      <c r="L528" s="334"/>
      <c r="M528" s="334"/>
      <c r="N528" s="334"/>
      <c r="O528" s="334"/>
    </row>
    <row r="529" spans="1:15" ht="12.75" hidden="1" customHeight="1" outlineLevel="1" x14ac:dyDescent="0.2">
      <c r="A529" s="618" t="s">
        <v>1617</v>
      </c>
      <c r="B529" s="619" t="s">
        <v>1047</v>
      </c>
      <c r="C529" s="620"/>
      <c r="D529" s="621"/>
      <c r="E529" s="622"/>
      <c r="F529" s="334"/>
      <c r="K529" s="334"/>
      <c r="L529" s="334"/>
      <c r="M529" s="334"/>
      <c r="N529" s="334"/>
      <c r="O529" s="334"/>
    </row>
    <row r="530" spans="1:15" ht="12.75" hidden="1" customHeight="1" outlineLevel="1" x14ac:dyDescent="0.2">
      <c r="A530" s="623" t="s">
        <v>1618</v>
      </c>
      <c r="B530" s="624" t="s">
        <v>1067</v>
      </c>
      <c r="C530" s="625" t="s">
        <v>79</v>
      </c>
      <c r="D530" s="626">
        <v>12.6</v>
      </c>
      <c r="E530" s="622"/>
      <c r="F530" s="334"/>
      <c r="K530" s="334"/>
      <c r="L530" s="334"/>
      <c r="M530" s="334"/>
      <c r="N530" s="334"/>
      <c r="O530" s="334"/>
    </row>
    <row r="531" spans="1:15" ht="12.75" hidden="1" customHeight="1" outlineLevel="1" x14ac:dyDescent="0.2">
      <c r="A531" s="618" t="s">
        <v>1619</v>
      </c>
      <c r="B531" s="619" t="s">
        <v>1058</v>
      </c>
      <c r="C531" s="620"/>
      <c r="D531" s="621"/>
      <c r="E531" s="622"/>
      <c r="F531" s="334"/>
      <c r="K531" s="334"/>
      <c r="L531" s="334"/>
      <c r="M531" s="334"/>
      <c r="N531" s="334"/>
      <c r="O531" s="334"/>
    </row>
    <row r="532" spans="1:15" ht="12.75" hidden="1" customHeight="1" outlineLevel="1" x14ac:dyDescent="0.2">
      <c r="A532" s="627" t="s">
        <v>1620</v>
      </c>
      <c r="B532" s="628" t="s">
        <v>1067</v>
      </c>
      <c r="C532" s="629" t="s">
        <v>79</v>
      </c>
      <c r="D532" s="630">
        <v>12.6</v>
      </c>
      <c r="E532" s="622"/>
      <c r="F532" s="334"/>
      <c r="K532" s="334"/>
      <c r="L532" s="334"/>
      <c r="M532" s="334"/>
      <c r="N532" s="334"/>
      <c r="O532" s="334"/>
    </row>
    <row r="533" spans="1:15" ht="12.75" hidden="1" customHeight="1" outlineLevel="1" x14ac:dyDescent="0.2">
      <c r="A533" s="618" t="s">
        <v>1621</v>
      </c>
      <c r="B533" s="619" t="s">
        <v>1069</v>
      </c>
      <c r="C533" s="620"/>
      <c r="D533" s="621"/>
      <c r="E533" s="622"/>
      <c r="F533" s="334"/>
      <c r="K533" s="334"/>
      <c r="L533" s="334"/>
      <c r="M533" s="334"/>
      <c r="N533" s="334"/>
      <c r="O533" s="334"/>
    </row>
    <row r="534" spans="1:15" ht="12.75" hidden="1" customHeight="1" outlineLevel="1" x14ac:dyDescent="0.2">
      <c r="A534" s="623" t="s">
        <v>1622</v>
      </c>
      <c r="B534" s="624" t="s">
        <v>1067</v>
      </c>
      <c r="C534" s="625" t="s">
        <v>79</v>
      </c>
      <c r="D534" s="626">
        <v>12.6</v>
      </c>
      <c r="E534" s="622"/>
      <c r="F534" s="334"/>
      <c r="K534" s="334"/>
      <c r="L534" s="334"/>
      <c r="M534" s="334"/>
      <c r="N534" s="334"/>
      <c r="O534" s="334"/>
    </row>
    <row r="535" spans="1:15" ht="12.75" hidden="1" customHeight="1" outlineLevel="1" x14ac:dyDescent="0.2">
      <c r="A535" s="618" t="s">
        <v>1623</v>
      </c>
      <c r="B535" s="619" t="s">
        <v>1079</v>
      </c>
      <c r="C535" s="620"/>
      <c r="D535" s="621"/>
      <c r="E535" s="622"/>
      <c r="F535" s="334"/>
      <c r="K535" s="334"/>
      <c r="L535" s="334"/>
      <c r="M535" s="334"/>
      <c r="N535" s="334"/>
      <c r="O535" s="334"/>
    </row>
    <row r="536" spans="1:15" ht="12.75" hidden="1" customHeight="1" outlineLevel="1" x14ac:dyDescent="0.2">
      <c r="A536" s="627" t="s">
        <v>1624</v>
      </c>
      <c r="B536" s="628" t="s">
        <v>1067</v>
      </c>
      <c r="C536" s="629" t="s">
        <v>79</v>
      </c>
      <c r="D536" s="630">
        <v>12.6</v>
      </c>
      <c r="E536" s="622"/>
      <c r="F536" s="334"/>
      <c r="K536" s="334"/>
      <c r="L536" s="334"/>
      <c r="M536" s="334"/>
      <c r="N536" s="334"/>
      <c r="O536" s="334"/>
    </row>
    <row r="537" spans="1:15" ht="12.75" hidden="1" customHeight="1" outlineLevel="1" x14ac:dyDescent="0.2">
      <c r="A537" s="618" t="s">
        <v>1625</v>
      </c>
      <c r="B537" s="619" t="s">
        <v>1086</v>
      </c>
      <c r="C537" s="620"/>
      <c r="D537" s="621"/>
      <c r="E537" s="622"/>
      <c r="F537" s="334"/>
      <c r="K537" s="334"/>
      <c r="L537" s="334"/>
      <c r="M537" s="334"/>
      <c r="N537" s="334"/>
      <c r="O537" s="334"/>
    </row>
    <row r="538" spans="1:15" ht="12.75" hidden="1" customHeight="1" outlineLevel="1" x14ac:dyDescent="0.2">
      <c r="A538" s="623" t="s">
        <v>1626</v>
      </c>
      <c r="B538" s="624" t="s">
        <v>1067</v>
      </c>
      <c r="C538" s="625" t="s">
        <v>79</v>
      </c>
      <c r="D538" s="626">
        <v>12.6</v>
      </c>
      <c r="E538" s="622"/>
      <c r="F538" s="334"/>
      <c r="K538" s="334"/>
      <c r="L538" s="334"/>
      <c r="M538" s="334"/>
      <c r="N538" s="334"/>
      <c r="O538" s="334"/>
    </row>
    <row r="539" spans="1:15" ht="12.75" hidden="1" customHeight="1" outlineLevel="1" x14ac:dyDescent="0.2">
      <c r="A539" s="618" t="s">
        <v>1627</v>
      </c>
      <c r="B539" s="619" t="s">
        <v>1094</v>
      </c>
      <c r="C539" s="620"/>
      <c r="D539" s="621"/>
      <c r="E539" s="622"/>
      <c r="F539" s="334"/>
      <c r="K539" s="334"/>
      <c r="L539" s="334"/>
      <c r="M539" s="334"/>
      <c r="N539" s="334"/>
      <c r="O539" s="334"/>
    </row>
    <row r="540" spans="1:15" ht="12.75" hidden="1" customHeight="1" outlineLevel="1" x14ac:dyDescent="0.2">
      <c r="A540" s="627" t="s">
        <v>1628</v>
      </c>
      <c r="B540" s="628" t="s">
        <v>1067</v>
      </c>
      <c r="C540" s="629" t="s">
        <v>79</v>
      </c>
      <c r="D540" s="630">
        <v>12.6</v>
      </c>
      <c r="E540" s="622"/>
      <c r="F540" s="334"/>
      <c r="K540" s="334"/>
      <c r="L540" s="334"/>
      <c r="M540" s="334"/>
      <c r="N540" s="334"/>
      <c r="O540" s="334"/>
    </row>
    <row r="541" spans="1:15" ht="12.75" hidden="1" customHeight="1" outlineLevel="1" x14ac:dyDescent="0.2">
      <c r="A541" s="618" t="s">
        <v>1629</v>
      </c>
      <c r="B541" s="619" t="s">
        <v>1102</v>
      </c>
      <c r="C541" s="620"/>
      <c r="D541" s="621"/>
      <c r="E541" s="622"/>
      <c r="F541" s="334"/>
      <c r="K541" s="334"/>
      <c r="L541" s="334"/>
      <c r="M541" s="334"/>
      <c r="N541" s="334"/>
      <c r="O541" s="334"/>
    </row>
    <row r="542" spans="1:15" ht="12.75" hidden="1" customHeight="1" outlineLevel="1" x14ac:dyDescent="0.2">
      <c r="A542" s="623" t="s">
        <v>1630</v>
      </c>
      <c r="B542" s="624" t="s">
        <v>1067</v>
      </c>
      <c r="C542" s="625" t="s">
        <v>79</v>
      </c>
      <c r="D542" s="626">
        <v>12.6</v>
      </c>
      <c r="E542" s="622"/>
      <c r="F542" s="334"/>
      <c r="K542" s="334"/>
      <c r="L542" s="334"/>
      <c r="M542" s="334"/>
      <c r="N542" s="334"/>
      <c r="O542" s="334"/>
    </row>
    <row r="543" spans="1:15" ht="12.75" hidden="1" customHeight="1" outlineLevel="1" x14ac:dyDescent="0.2">
      <c r="A543" s="618" t="s">
        <v>1631</v>
      </c>
      <c r="B543" s="619" t="s">
        <v>1112</v>
      </c>
      <c r="C543" s="620"/>
      <c r="D543" s="621"/>
      <c r="E543" s="622"/>
      <c r="F543" s="334"/>
      <c r="K543" s="334"/>
      <c r="L543" s="334"/>
      <c r="M543" s="334"/>
      <c r="N543" s="334"/>
      <c r="O543" s="334"/>
    </row>
    <row r="544" spans="1:15" ht="12.75" hidden="1" customHeight="1" outlineLevel="1" x14ac:dyDescent="0.2">
      <c r="A544" s="627" t="s">
        <v>1632</v>
      </c>
      <c r="B544" s="628" t="s">
        <v>1067</v>
      </c>
      <c r="C544" s="629" t="s">
        <v>79</v>
      </c>
      <c r="D544" s="630">
        <v>12.6</v>
      </c>
      <c r="E544" s="622"/>
      <c r="F544" s="334"/>
      <c r="K544" s="334"/>
      <c r="L544" s="334"/>
      <c r="M544" s="334"/>
      <c r="N544" s="334"/>
      <c r="O544" s="334"/>
    </row>
    <row r="545" spans="1:15" ht="12.75" hidden="1" customHeight="1" outlineLevel="1" x14ac:dyDescent="0.2">
      <c r="A545" s="618" t="s">
        <v>1633</v>
      </c>
      <c r="B545" s="619" t="s">
        <v>1127</v>
      </c>
      <c r="C545" s="620"/>
      <c r="D545" s="621"/>
      <c r="E545" s="622"/>
      <c r="F545" s="334"/>
      <c r="K545" s="334"/>
      <c r="L545" s="334"/>
      <c r="M545" s="334"/>
      <c r="N545" s="334"/>
      <c r="O545" s="334"/>
    </row>
    <row r="546" spans="1:15" ht="12.75" hidden="1" customHeight="1" outlineLevel="1" x14ac:dyDescent="0.2">
      <c r="A546" s="623" t="s">
        <v>1634</v>
      </c>
      <c r="B546" s="624" t="s">
        <v>1067</v>
      </c>
      <c r="C546" s="625" t="s">
        <v>79</v>
      </c>
      <c r="D546" s="626">
        <v>12.6</v>
      </c>
      <c r="E546" s="622"/>
      <c r="F546" s="334"/>
      <c r="K546" s="334"/>
      <c r="L546" s="334"/>
      <c r="M546" s="334"/>
      <c r="N546" s="334"/>
      <c r="O546" s="334"/>
    </row>
    <row r="547" spans="1:15" ht="12.75" customHeight="1" x14ac:dyDescent="0.2">
      <c r="A547" s="614" t="s">
        <v>1635</v>
      </c>
      <c r="B547" s="615" t="s">
        <v>416</v>
      </c>
      <c r="C547" s="616"/>
      <c r="D547" s="617"/>
      <c r="E547" s="622"/>
      <c r="F547" s="334"/>
      <c r="H547" s="631" t="s">
        <v>1087</v>
      </c>
      <c r="I547" s="632" t="s">
        <v>59</v>
      </c>
      <c r="J547" s="334"/>
      <c r="K547" s="334"/>
      <c r="L547" s="334"/>
      <c r="M547" s="334"/>
      <c r="N547" s="334"/>
      <c r="O547" s="334"/>
    </row>
    <row r="548" spans="1:15" ht="12.75" customHeight="1" outlineLevel="1" x14ac:dyDescent="0.2">
      <c r="A548" s="980" t="s">
        <v>1636</v>
      </c>
      <c r="B548" s="981" t="s">
        <v>1009</v>
      </c>
      <c r="C548" s="982"/>
      <c r="D548" s="983"/>
      <c r="E548" s="622"/>
      <c r="F548" s="334"/>
      <c r="H548" t="s">
        <v>1110</v>
      </c>
      <c r="I548" s="636">
        <f>SUMIF($B$14:$B$4106,H548,$D$14:$D$4106)</f>
        <v>610.32999999999993</v>
      </c>
      <c r="J548" s="334" t="s">
        <v>5493</v>
      </c>
      <c r="K548" s="334"/>
      <c r="L548" s="334"/>
      <c r="M548" s="334"/>
      <c r="N548" s="334"/>
      <c r="O548" s="334"/>
    </row>
    <row r="549" spans="1:15" ht="12.75" customHeight="1" outlineLevel="1" x14ac:dyDescent="0.2">
      <c r="A549" s="988" t="s">
        <v>1637</v>
      </c>
      <c r="B549" s="989" t="s">
        <v>1638</v>
      </c>
      <c r="C549" s="990" t="s">
        <v>100</v>
      </c>
      <c r="D549" s="991">
        <v>39.369999999999997</v>
      </c>
      <c r="E549" s="622"/>
      <c r="F549" s="334"/>
      <c r="H549" s="1039" t="s">
        <v>5405</v>
      </c>
      <c r="I549" s="636">
        <f t="shared" ref="I549:I568" si="3">SUMIF($B$14:$B$4106,H549,$D$14:$D$4106)</f>
        <v>389.50000000000017</v>
      </c>
      <c r="J549" s="334" t="s">
        <v>5494</v>
      </c>
      <c r="K549" s="334"/>
      <c r="L549" s="334"/>
      <c r="M549" s="334"/>
      <c r="N549" s="334"/>
      <c r="O549" s="334"/>
    </row>
    <row r="550" spans="1:15" ht="12.75" customHeight="1" outlineLevel="1" x14ac:dyDescent="0.2">
      <c r="A550" s="984" t="s">
        <v>5394</v>
      </c>
      <c r="B550" s="985" t="s">
        <v>1073</v>
      </c>
      <c r="C550" s="986" t="s">
        <v>100</v>
      </c>
      <c r="D550" s="987">
        <v>165.71</v>
      </c>
      <c r="E550" s="622"/>
      <c r="F550" s="334"/>
      <c r="H550" s="1039" t="s">
        <v>5407</v>
      </c>
      <c r="I550" s="636">
        <f t="shared" si="3"/>
        <v>263.33999999999997</v>
      </c>
      <c r="J550" s="334" t="s">
        <v>5494</v>
      </c>
      <c r="K550" s="334"/>
      <c r="L550" s="334"/>
      <c r="M550" s="334"/>
      <c r="N550" s="334"/>
      <c r="O550" s="334"/>
    </row>
    <row r="551" spans="1:15" ht="12.75" customHeight="1" outlineLevel="1" x14ac:dyDescent="0.2">
      <c r="A551" s="980" t="s">
        <v>1639</v>
      </c>
      <c r="B551" s="981" t="s">
        <v>1017</v>
      </c>
      <c r="C551" s="982"/>
      <c r="D551" s="983"/>
      <c r="E551" s="622"/>
      <c r="F551" s="334"/>
      <c r="H551" t="s">
        <v>5409</v>
      </c>
      <c r="I551" s="636">
        <f t="shared" si="3"/>
        <v>6.29</v>
      </c>
      <c r="J551" s="334" t="s">
        <v>5493</v>
      </c>
      <c r="K551" s="334"/>
      <c r="L551" s="334"/>
      <c r="M551" s="334"/>
      <c r="N551" s="334"/>
      <c r="O551" s="334"/>
    </row>
    <row r="552" spans="1:15" ht="12.75" customHeight="1" outlineLevel="1" x14ac:dyDescent="0.2">
      <c r="A552" s="988" t="s">
        <v>1640</v>
      </c>
      <c r="B552" s="989" t="s">
        <v>1638</v>
      </c>
      <c r="C552" s="990" t="s">
        <v>100</v>
      </c>
      <c r="D552" s="991">
        <v>27.61</v>
      </c>
      <c r="E552" s="622"/>
      <c r="F552" s="334"/>
      <c r="H552" s="1036" t="s">
        <v>5411</v>
      </c>
      <c r="I552" s="636">
        <f t="shared" si="3"/>
        <v>627.26</v>
      </c>
      <c r="J552" s="334" t="s">
        <v>5494</v>
      </c>
      <c r="K552" s="334"/>
      <c r="L552" s="334"/>
      <c r="M552" s="334"/>
      <c r="N552" s="334"/>
      <c r="O552" s="334"/>
    </row>
    <row r="553" spans="1:15" ht="12.75" customHeight="1" outlineLevel="1" x14ac:dyDescent="0.2">
      <c r="A553" s="980" t="s">
        <v>1641</v>
      </c>
      <c r="B553" s="981" t="s">
        <v>1021</v>
      </c>
      <c r="C553" s="982"/>
      <c r="D553" s="983"/>
      <c r="E553" s="622"/>
      <c r="F553" s="334"/>
      <c r="H553" s="1035" t="s">
        <v>5414</v>
      </c>
      <c r="I553" s="636">
        <f t="shared" si="3"/>
        <v>822.4100000000002</v>
      </c>
      <c r="J553" s="334" t="s">
        <v>5495</v>
      </c>
      <c r="K553" s="334"/>
      <c r="L553" s="334"/>
      <c r="M553" s="334"/>
      <c r="N553" s="334"/>
      <c r="O553" s="334"/>
    </row>
    <row r="554" spans="1:15" ht="12.75" customHeight="1" outlineLevel="1" x14ac:dyDescent="0.2">
      <c r="A554" s="984" t="s">
        <v>1642</v>
      </c>
      <c r="B554" s="985" t="s">
        <v>1638</v>
      </c>
      <c r="C554" s="986" t="s">
        <v>100</v>
      </c>
      <c r="D554" s="987">
        <v>42.15</v>
      </c>
      <c r="E554" s="622"/>
      <c r="F554" s="334"/>
      <c r="H554" s="1034" t="s">
        <v>5417</v>
      </c>
      <c r="I554" s="636">
        <f t="shared" si="3"/>
        <v>196.03</v>
      </c>
      <c r="J554" s="334" t="s">
        <v>5496</v>
      </c>
      <c r="K554" s="334"/>
      <c r="L554" s="334"/>
      <c r="M554" s="334"/>
      <c r="N554" s="334"/>
      <c r="O554" s="334"/>
    </row>
    <row r="555" spans="1:15" ht="12.75" customHeight="1" outlineLevel="1" x14ac:dyDescent="0.2">
      <c r="A555" s="988" t="s">
        <v>5395</v>
      </c>
      <c r="B555" s="989" t="s">
        <v>1073</v>
      </c>
      <c r="C555" s="990" t="s">
        <v>100</v>
      </c>
      <c r="D555" s="991">
        <v>724.66</v>
      </c>
      <c r="E555" s="622"/>
      <c r="F555" s="334"/>
      <c r="H555" s="1035" t="s">
        <v>5420</v>
      </c>
      <c r="I555" s="636">
        <f t="shared" si="3"/>
        <v>255.62999999999997</v>
      </c>
      <c r="J555" s="334" t="s">
        <v>5495</v>
      </c>
      <c r="K555" s="334"/>
      <c r="L555" s="334"/>
      <c r="M555" s="334"/>
      <c r="N555" s="334"/>
      <c r="O555" s="334"/>
    </row>
    <row r="556" spans="1:15" ht="12.75" customHeight="1" outlineLevel="1" x14ac:dyDescent="0.2">
      <c r="A556" s="980" t="s">
        <v>1643</v>
      </c>
      <c r="B556" s="981" t="s">
        <v>1030</v>
      </c>
      <c r="C556" s="982"/>
      <c r="D556" s="983"/>
      <c r="E556" s="622"/>
      <c r="F556" s="334"/>
      <c r="H556" s="1035" t="s">
        <v>5422</v>
      </c>
      <c r="I556" s="636">
        <f t="shared" si="3"/>
        <v>104.53999999999999</v>
      </c>
      <c r="J556" s="334" t="s">
        <v>5495</v>
      </c>
      <c r="K556" s="334"/>
      <c r="L556" s="334"/>
      <c r="M556" s="334"/>
      <c r="N556" s="334"/>
      <c r="O556" s="334"/>
    </row>
    <row r="557" spans="1:15" ht="12.75" customHeight="1" outlineLevel="1" x14ac:dyDescent="0.2">
      <c r="A557" s="984" t="s">
        <v>1644</v>
      </c>
      <c r="B557" s="985" t="s">
        <v>1638</v>
      </c>
      <c r="C557" s="986" t="s">
        <v>100</v>
      </c>
      <c r="D557" s="987">
        <v>46.4</v>
      </c>
      <c r="E557" s="622"/>
      <c r="F557" s="334"/>
      <c r="H557" s="1034" t="s">
        <v>5424</v>
      </c>
      <c r="I557" s="636">
        <f t="shared" si="3"/>
        <v>114.59</v>
      </c>
      <c r="J557" s="334" t="s">
        <v>5496</v>
      </c>
      <c r="K557" s="334"/>
      <c r="L557" s="334"/>
      <c r="M557" s="334"/>
      <c r="N557" s="334"/>
      <c r="O557" s="334"/>
    </row>
    <row r="558" spans="1:15" ht="12.75" customHeight="1" outlineLevel="1" x14ac:dyDescent="0.2">
      <c r="A558" s="988" t="s">
        <v>1645</v>
      </c>
      <c r="B558" s="989" t="s">
        <v>1073</v>
      </c>
      <c r="C558" s="990" t="s">
        <v>100</v>
      </c>
      <c r="D558" s="991">
        <v>221.69</v>
      </c>
      <c r="E558" s="622"/>
      <c r="F558" s="334"/>
      <c r="H558" s="1033" t="s">
        <v>5427</v>
      </c>
      <c r="I558" s="636">
        <f t="shared" si="3"/>
        <v>116.58</v>
      </c>
      <c r="J558" s="334" t="s">
        <v>5494</v>
      </c>
      <c r="K558" s="334"/>
      <c r="L558" s="334"/>
      <c r="M558" s="334"/>
      <c r="N558" s="334"/>
      <c r="O558" s="334"/>
    </row>
    <row r="559" spans="1:15" ht="12.75" customHeight="1" outlineLevel="1" x14ac:dyDescent="0.2">
      <c r="A559" s="980" t="s">
        <v>1646</v>
      </c>
      <c r="B559" s="981" t="s">
        <v>1039</v>
      </c>
      <c r="C559" s="982"/>
      <c r="D559" s="983"/>
      <c r="E559" s="622"/>
      <c r="F559" s="334"/>
      <c r="H559" s="1035" t="s">
        <v>5429</v>
      </c>
      <c r="I559" s="636">
        <f t="shared" si="3"/>
        <v>218.10000000000002</v>
      </c>
      <c r="J559" s="334" t="s">
        <v>5495</v>
      </c>
      <c r="K559" s="334"/>
      <c r="L559" s="334"/>
      <c r="M559" s="334"/>
      <c r="N559" s="334"/>
      <c r="O559" s="334"/>
    </row>
    <row r="560" spans="1:15" ht="12.75" customHeight="1" outlineLevel="1" x14ac:dyDescent="0.2">
      <c r="A560" s="984" t="s">
        <v>1647</v>
      </c>
      <c r="B560" s="985" t="s">
        <v>1638</v>
      </c>
      <c r="C560" s="986" t="s">
        <v>100</v>
      </c>
      <c r="D560" s="987">
        <v>42.49</v>
      </c>
      <c r="E560" s="622"/>
      <c r="F560" s="334"/>
      <c r="H560" s="1033" t="s">
        <v>5432</v>
      </c>
      <c r="I560" s="636">
        <f t="shared" si="3"/>
        <v>80.56</v>
      </c>
      <c r="J560" s="334" t="s">
        <v>5494</v>
      </c>
      <c r="K560" s="334" t="s">
        <v>1108</v>
      </c>
      <c r="L560" s="334"/>
      <c r="M560" s="334"/>
      <c r="N560" s="334"/>
      <c r="O560" s="334"/>
    </row>
    <row r="561" spans="1:15" ht="12.75" customHeight="1" outlineLevel="1" x14ac:dyDescent="0.2">
      <c r="A561" s="988" t="s">
        <v>1648</v>
      </c>
      <c r="B561" s="989" t="s">
        <v>1073</v>
      </c>
      <c r="C561" s="990" t="s">
        <v>100</v>
      </c>
      <c r="D561" s="991">
        <v>217.21</v>
      </c>
      <c r="E561" s="622"/>
      <c r="F561" s="334"/>
      <c r="H561" s="1035" t="s">
        <v>5467</v>
      </c>
      <c r="I561" s="636">
        <f t="shared" si="3"/>
        <v>35.29</v>
      </c>
      <c r="J561" s="334" t="s">
        <v>5495</v>
      </c>
      <c r="K561" s="334"/>
      <c r="L561" s="334"/>
      <c r="M561" s="334"/>
      <c r="N561" s="334"/>
      <c r="O561" s="334"/>
    </row>
    <row r="562" spans="1:15" ht="12.75" customHeight="1" outlineLevel="1" x14ac:dyDescent="0.2">
      <c r="A562" s="980" t="s">
        <v>1649</v>
      </c>
      <c r="B562" s="981" t="s">
        <v>1047</v>
      </c>
      <c r="C562" s="982"/>
      <c r="D562" s="983"/>
      <c r="E562" s="622"/>
      <c r="F562" s="334"/>
      <c r="H562" s="1035" t="s">
        <v>5470</v>
      </c>
      <c r="I562" s="636">
        <f t="shared" si="3"/>
        <v>333.81000000000006</v>
      </c>
      <c r="J562" s="334" t="s">
        <v>5495</v>
      </c>
      <c r="K562" s="334"/>
      <c r="L562" s="334"/>
      <c r="M562" s="334"/>
      <c r="N562" s="334"/>
      <c r="O562" s="334"/>
    </row>
    <row r="563" spans="1:15" ht="12.75" customHeight="1" outlineLevel="1" x14ac:dyDescent="0.2">
      <c r="A563" s="984" t="s">
        <v>1650</v>
      </c>
      <c r="B563" s="985" t="s">
        <v>1638</v>
      </c>
      <c r="C563" s="986" t="s">
        <v>100</v>
      </c>
      <c r="D563" s="987">
        <v>46.4</v>
      </c>
      <c r="E563" s="622"/>
      <c r="F563" s="334"/>
      <c r="H563" t="s">
        <v>1771</v>
      </c>
      <c r="I563" s="636">
        <f t="shared" si="3"/>
        <v>174.4</v>
      </c>
      <c r="J563" s="334" t="s">
        <v>276</v>
      </c>
      <c r="K563" s="334"/>
      <c r="L563" s="334"/>
      <c r="M563" s="334"/>
      <c r="N563" s="334"/>
      <c r="O563" s="334"/>
    </row>
    <row r="564" spans="1:15" ht="12.75" customHeight="1" outlineLevel="1" x14ac:dyDescent="0.2">
      <c r="A564" s="988" t="s">
        <v>5396</v>
      </c>
      <c r="B564" s="989" t="s">
        <v>1073</v>
      </c>
      <c r="C564" s="990" t="s">
        <v>100</v>
      </c>
      <c r="D564" s="991">
        <v>221.69</v>
      </c>
      <c r="E564" s="622"/>
      <c r="F564" s="334"/>
      <c r="H564" s="1036" t="s">
        <v>5481</v>
      </c>
      <c r="I564" s="636">
        <f t="shared" si="3"/>
        <v>0.03</v>
      </c>
      <c r="J564" s="334" t="s">
        <v>5494</v>
      </c>
      <c r="K564" s="334"/>
      <c r="L564" s="334"/>
      <c r="M564" s="334"/>
      <c r="N564" s="334"/>
      <c r="O564" s="334"/>
    </row>
    <row r="565" spans="1:15" ht="12.75" customHeight="1" outlineLevel="1" x14ac:dyDescent="0.2">
      <c r="A565" s="980" t="s">
        <v>1651</v>
      </c>
      <c r="B565" s="981" t="s">
        <v>1058</v>
      </c>
      <c r="C565" s="982"/>
      <c r="D565" s="983"/>
      <c r="E565" s="622"/>
      <c r="F565" s="334"/>
      <c r="H565" s="1037" t="s">
        <v>5484</v>
      </c>
      <c r="I565" s="636">
        <f t="shared" si="3"/>
        <v>164.91</v>
      </c>
      <c r="J565" s="334" t="s">
        <v>5497</v>
      </c>
      <c r="K565" s="334"/>
      <c r="L565" s="334"/>
      <c r="M565" s="334"/>
      <c r="N565" s="334"/>
      <c r="O565" s="334"/>
    </row>
    <row r="566" spans="1:15" ht="12.75" customHeight="1" outlineLevel="1" x14ac:dyDescent="0.2">
      <c r="A566" s="984" t="s">
        <v>1652</v>
      </c>
      <c r="B566" s="985" t="s">
        <v>1638</v>
      </c>
      <c r="C566" s="986" t="s">
        <v>100</v>
      </c>
      <c r="D566" s="987">
        <v>46.4</v>
      </c>
      <c r="E566" s="622"/>
      <c r="F566" s="334"/>
      <c r="H566" s="1038" t="s">
        <v>5485</v>
      </c>
      <c r="I566" s="636">
        <f t="shared" si="3"/>
        <v>49.65</v>
      </c>
      <c r="J566" s="334" t="s">
        <v>5495</v>
      </c>
      <c r="K566" s="334"/>
      <c r="L566" s="334"/>
      <c r="M566" s="334"/>
      <c r="N566" s="334"/>
      <c r="O566" s="334"/>
    </row>
    <row r="567" spans="1:15" ht="12.75" customHeight="1" outlineLevel="1" x14ac:dyDescent="0.2">
      <c r="A567" s="988" t="s">
        <v>1653</v>
      </c>
      <c r="B567" s="989" t="s">
        <v>1073</v>
      </c>
      <c r="C567" s="990" t="s">
        <v>100</v>
      </c>
      <c r="D567" s="991">
        <v>221.69</v>
      </c>
      <c r="E567" s="622"/>
      <c r="F567" s="334"/>
      <c r="H567" s="1038" t="s">
        <v>5488</v>
      </c>
      <c r="I567" s="636">
        <f t="shared" si="3"/>
        <v>170.81</v>
      </c>
      <c r="J567" s="334" t="s">
        <v>5495</v>
      </c>
      <c r="K567" s="334"/>
      <c r="L567" s="334"/>
      <c r="M567" s="334"/>
      <c r="N567" s="334"/>
      <c r="O567" s="334"/>
    </row>
    <row r="568" spans="1:15" ht="12.75" customHeight="1" outlineLevel="1" x14ac:dyDescent="0.2">
      <c r="A568" s="980" t="s">
        <v>1654</v>
      </c>
      <c r="B568" s="981" t="s">
        <v>1069</v>
      </c>
      <c r="C568" s="982"/>
      <c r="D568" s="983"/>
      <c r="E568" s="622"/>
      <c r="F568" s="334"/>
      <c r="H568" s="1037" t="s">
        <v>5492</v>
      </c>
      <c r="I568" s="636">
        <f t="shared" si="3"/>
        <v>31.2</v>
      </c>
      <c r="J568" s="334" t="s">
        <v>5497</v>
      </c>
      <c r="K568" s="334"/>
      <c r="L568" s="334"/>
      <c r="M568" s="334"/>
      <c r="N568" s="334"/>
      <c r="O568" s="334"/>
    </row>
    <row r="569" spans="1:15" ht="12.75" customHeight="1" outlineLevel="1" x14ac:dyDescent="0.2">
      <c r="A569" s="984" t="s">
        <v>1655</v>
      </c>
      <c r="B569" s="985" t="s">
        <v>1638</v>
      </c>
      <c r="C569" s="986" t="s">
        <v>100</v>
      </c>
      <c r="D569" s="987">
        <v>46.4</v>
      </c>
      <c r="E569" s="622"/>
      <c r="F569" s="334"/>
      <c r="I569" s="636"/>
      <c r="J569" s="334"/>
      <c r="K569" s="334"/>
      <c r="L569" s="334"/>
      <c r="M569" s="334"/>
      <c r="N569" s="334"/>
      <c r="O569" s="334"/>
    </row>
    <row r="570" spans="1:15" ht="12.75" customHeight="1" outlineLevel="1" x14ac:dyDescent="0.2">
      <c r="A570" s="988" t="s">
        <v>5397</v>
      </c>
      <c r="B570" s="989" t="s">
        <v>1073</v>
      </c>
      <c r="C570" s="990" t="s">
        <v>100</v>
      </c>
      <c r="D570" s="991">
        <v>221.69</v>
      </c>
      <c r="E570" s="622"/>
      <c r="F570" s="334"/>
      <c r="H570" s="633" t="s">
        <v>1071</v>
      </c>
      <c r="I570" s="634">
        <f>SUMIF($B$14:$B$4106,H570,$D$14:$D$4106)</f>
        <v>0</v>
      </c>
      <c r="J570" s="334"/>
      <c r="K570" s="334"/>
      <c r="L570" s="334"/>
      <c r="M570" s="334"/>
      <c r="N570" s="334"/>
      <c r="O570" s="334"/>
    </row>
    <row r="571" spans="1:15" ht="12.75" customHeight="1" outlineLevel="1" x14ac:dyDescent="0.2">
      <c r="A571" s="980" t="s">
        <v>1656</v>
      </c>
      <c r="B571" s="981" t="s">
        <v>1079</v>
      </c>
      <c r="C571" s="982"/>
      <c r="D571" s="983"/>
      <c r="E571" s="622"/>
      <c r="F571" s="334"/>
      <c r="H571" s="633" t="s">
        <v>1073</v>
      </c>
      <c r="I571" s="634">
        <f>SUMIF($B$14:$B$4106,H571,$D$14:$D$4106)</f>
        <v>4065.9</v>
      </c>
      <c r="J571" s="334"/>
      <c r="K571" s="334"/>
      <c r="L571" s="334"/>
      <c r="M571" s="334"/>
      <c r="N571" s="334"/>
      <c r="O571" s="334"/>
    </row>
    <row r="572" spans="1:15" ht="12.75" customHeight="1" outlineLevel="1" x14ac:dyDescent="0.2">
      <c r="A572" s="984" t="s">
        <v>1657</v>
      </c>
      <c r="B572" s="985" t="s">
        <v>1638</v>
      </c>
      <c r="C572" s="986" t="s">
        <v>100</v>
      </c>
      <c r="D572" s="987">
        <v>46.4</v>
      </c>
      <c r="E572" s="622"/>
      <c r="F572" s="334"/>
      <c r="J572" s="334"/>
      <c r="K572" s="334"/>
      <c r="L572" s="334"/>
      <c r="M572" s="334"/>
      <c r="N572" s="334"/>
      <c r="O572" s="334"/>
    </row>
    <row r="573" spans="1:15" ht="12.75" customHeight="1" outlineLevel="1" x14ac:dyDescent="0.2">
      <c r="A573" s="988" t="s">
        <v>1658</v>
      </c>
      <c r="B573" s="989" t="s">
        <v>1073</v>
      </c>
      <c r="C573" s="990" t="s">
        <v>100</v>
      </c>
      <c r="D573" s="991">
        <v>221.69</v>
      </c>
      <c r="E573" s="622"/>
      <c r="F573" s="334"/>
      <c r="J573" s="334"/>
      <c r="K573" s="334"/>
      <c r="L573" s="334"/>
      <c r="M573" s="334"/>
      <c r="N573" s="334"/>
      <c r="O573" s="334"/>
    </row>
    <row r="574" spans="1:15" ht="12.75" customHeight="1" outlineLevel="1" x14ac:dyDescent="0.2">
      <c r="A574" s="980" t="s">
        <v>1659</v>
      </c>
      <c r="B574" s="981" t="s">
        <v>1086</v>
      </c>
      <c r="C574" s="982"/>
      <c r="D574" s="983"/>
      <c r="E574" s="622"/>
      <c r="F574" s="334"/>
      <c r="K574" s="334"/>
      <c r="L574" s="334"/>
      <c r="M574" s="334"/>
      <c r="N574" s="334"/>
      <c r="O574" s="334"/>
    </row>
    <row r="575" spans="1:15" ht="12.75" customHeight="1" outlineLevel="1" x14ac:dyDescent="0.2">
      <c r="A575" s="984" t="s">
        <v>1660</v>
      </c>
      <c r="B575" s="985" t="s">
        <v>1638</v>
      </c>
      <c r="C575" s="986" t="s">
        <v>100</v>
      </c>
      <c r="D575" s="987">
        <v>46.4</v>
      </c>
      <c r="E575" s="622"/>
      <c r="F575" s="334"/>
      <c r="K575" s="334"/>
      <c r="L575" s="334"/>
      <c r="M575" s="334"/>
      <c r="N575" s="334"/>
      <c r="O575" s="334"/>
    </row>
    <row r="576" spans="1:15" ht="12.75" customHeight="1" outlineLevel="1" x14ac:dyDescent="0.2">
      <c r="A576" s="988" t="s">
        <v>5398</v>
      </c>
      <c r="B576" s="989" t="s">
        <v>1073</v>
      </c>
      <c r="C576" s="990" t="s">
        <v>100</v>
      </c>
      <c r="D576" s="991">
        <v>221.69</v>
      </c>
      <c r="E576" s="622"/>
      <c r="F576" s="334"/>
      <c r="K576" s="334"/>
      <c r="L576" s="334"/>
      <c r="M576" s="334"/>
      <c r="N576" s="334"/>
      <c r="O576" s="334"/>
    </row>
    <row r="577" spans="1:15" ht="12.75" customHeight="1" outlineLevel="1" x14ac:dyDescent="0.2">
      <c r="A577" s="980" t="s">
        <v>1661</v>
      </c>
      <c r="B577" s="981" t="s">
        <v>1094</v>
      </c>
      <c r="C577" s="982"/>
      <c r="D577" s="983"/>
      <c r="E577" s="622"/>
      <c r="F577" s="334"/>
      <c r="K577" s="334"/>
      <c r="L577" s="334"/>
      <c r="M577" s="334"/>
      <c r="N577" s="334"/>
      <c r="O577" s="334"/>
    </row>
    <row r="578" spans="1:15" ht="12.75" customHeight="1" outlineLevel="1" x14ac:dyDescent="0.2">
      <c r="A578" s="984" t="s">
        <v>1662</v>
      </c>
      <c r="B578" s="985" t="s">
        <v>1638</v>
      </c>
      <c r="C578" s="986" t="s">
        <v>100</v>
      </c>
      <c r="D578" s="987">
        <v>46.4</v>
      </c>
      <c r="E578" s="622"/>
      <c r="F578" s="334"/>
      <c r="K578" s="334"/>
      <c r="L578" s="334"/>
      <c r="M578" s="334"/>
      <c r="N578" s="334"/>
      <c r="O578" s="334"/>
    </row>
    <row r="579" spans="1:15" ht="12.75" customHeight="1" outlineLevel="1" x14ac:dyDescent="0.2">
      <c r="A579" s="988" t="s">
        <v>5399</v>
      </c>
      <c r="B579" s="989" t="s">
        <v>1073</v>
      </c>
      <c r="C579" s="990" t="s">
        <v>100</v>
      </c>
      <c r="D579" s="991">
        <v>221.69</v>
      </c>
      <c r="E579" s="622"/>
      <c r="F579" s="334"/>
      <c r="K579" s="334"/>
      <c r="L579" s="334"/>
      <c r="M579" s="334"/>
      <c r="N579" s="334"/>
      <c r="O579" s="334"/>
    </row>
    <row r="580" spans="1:15" ht="12.75" customHeight="1" outlineLevel="1" x14ac:dyDescent="0.2">
      <c r="A580" s="980" t="s">
        <v>1663</v>
      </c>
      <c r="B580" s="981" t="s">
        <v>1102</v>
      </c>
      <c r="C580" s="982"/>
      <c r="D580" s="983"/>
      <c r="E580" s="622"/>
      <c r="F580" s="334"/>
      <c r="K580" s="334"/>
      <c r="L580" s="334"/>
      <c r="M580" s="334"/>
      <c r="N580" s="334"/>
      <c r="O580" s="334"/>
    </row>
    <row r="581" spans="1:15" ht="12.75" customHeight="1" outlineLevel="1" x14ac:dyDescent="0.2">
      <c r="A581" s="984" t="s">
        <v>1664</v>
      </c>
      <c r="B581" s="985" t="s">
        <v>1638</v>
      </c>
      <c r="C581" s="986" t="s">
        <v>100</v>
      </c>
      <c r="D581" s="987">
        <v>38.29</v>
      </c>
      <c r="E581" s="622"/>
      <c r="F581" s="334"/>
      <c r="K581" s="334"/>
      <c r="L581" s="334"/>
      <c r="M581" s="334"/>
      <c r="N581" s="334"/>
      <c r="O581" s="334"/>
    </row>
    <row r="582" spans="1:15" ht="12.75" customHeight="1" outlineLevel="1" x14ac:dyDescent="0.2">
      <c r="A582" s="988" t="s">
        <v>5400</v>
      </c>
      <c r="B582" s="989" t="s">
        <v>1073</v>
      </c>
      <c r="C582" s="990" t="s">
        <v>100</v>
      </c>
      <c r="D582" s="991">
        <v>247.87</v>
      </c>
      <c r="E582" s="622"/>
      <c r="F582" s="334"/>
      <c r="K582" s="334"/>
      <c r="L582" s="334"/>
      <c r="M582" s="334"/>
      <c r="N582" s="334"/>
      <c r="O582" s="334"/>
    </row>
    <row r="583" spans="1:15" ht="12.75" customHeight="1" outlineLevel="1" x14ac:dyDescent="0.2">
      <c r="A583" s="980" t="s">
        <v>1665</v>
      </c>
      <c r="B583" s="981" t="s">
        <v>1112</v>
      </c>
      <c r="C583" s="982"/>
      <c r="D583" s="983"/>
      <c r="E583" s="622"/>
      <c r="F583" s="334"/>
      <c r="K583" s="334"/>
      <c r="L583" s="334"/>
      <c r="M583" s="334"/>
      <c r="N583" s="334"/>
      <c r="O583" s="334"/>
    </row>
    <row r="584" spans="1:15" ht="12.75" customHeight="1" outlineLevel="1" x14ac:dyDescent="0.2">
      <c r="A584" s="984" t="s">
        <v>1666</v>
      </c>
      <c r="B584" s="985" t="s">
        <v>1638</v>
      </c>
      <c r="C584" s="986" t="s">
        <v>100</v>
      </c>
      <c r="D584" s="987">
        <v>38.01</v>
      </c>
      <c r="E584" s="622"/>
      <c r="F584" s="334"/>
      <c r="K584" s="334"/>
      <c r="L584" s="334"/>
      <c r="M584" s="334"/>
      <c r="N584" s="334"/>
      <c r="O584" s="334"/>
    </row>
    <row r="585" spans="1:15" ht="12.75" customHeight="1" outlineLevel="1" x14ac:dyDescent="0.2">
      <c r="A585" s="988" t="s">
        <v>1667</v>
      </c>
      <c r="B585" s="989" t="s">
        <v>1073</v>
      </c>
      <c r="C585" s="990" t="s">
        <v>100</v>
      </c>
      <c r="D585" s="991">
        <v>88.67</v>
      </c>
      <c r="E585" s="622"/>
      <c r="F585" s="334"/>
      <c r="K585" s="334"/>
      <c r="L585" s="334"/>
      <c r="M585" s="334"/>
      <c r="N585" s="334"/>
      <c r="O585" s="334"/>
    </row>
    <row r="586" spans="1:15" ht="12.75" customHeight="1" outlineLevel="1" x14ac:dyDescent="0.2">
      <c r="A586" s="980" t="s">
        <v>1668</v>
      </c>
      <c r="B586" s="981" t="s">
        <v>1120</v>
      </c>
      <c r="C586" s="982"/>
      <c r="D586" s="983"/>
      <c r="E586" s="622"/>
      <c r="F586" s="334"/>
      <c r="K586" s="334"/>
      <c r="L586" s="334"/>
      <c r="M586" s="334"/>
      <c r="N586" s="334"/>
      <c r="O586" s="334"/>
    </row>
    <row r="587" spans="1:15" ht="12.75" customHeight="1" outlineLevel="1" x14ac:dyDescent="0.2">
      <c r="A587" s="984" t="s">
        <v>1669</v>
      </c>
      <c r="B587" s="985" t="s">
        <v>1638</v>
      </c>
      <c r="C587" s="986" t="s">
        <v>100</v>
      </c>
      <c r="D587" s="987">
        <v>18.05</v>
      </c>
      <c r="E587" s="622"/>
      <c r="F587" s="334"/>
      <c r="K587" s="334"/>
      <c r="L587" s="334"/>
      <c r="M587" s="334"/>
      <c r="N587" s="334"/>
      <c r="O587" s="334"/>
    </row>
    <row r="588" spans="1:15" ht="12.75" customHeight="1" outlineLevel="1" x14ac:dyDescent="0.2">
      <c r="A588" s="988" t="s">
        <v>5401</v>
      </c>
      <c r="B588" s="989" t="s">
        <v>1075</v>
      </c>
      <c r="C588" s="990" t="s">
        <v>100</v>
      </c>
      <c r="D588" s="991">
        <v>174.4</v>
      </c>
      <c r="E588" s="622"/>
      <c r="F588" s="334"/>
      <c r="K588" s="334"/>
      <c r="L588" s="334"/>
      <c r="M588" s="334"/>
      <c r="N588" s="334"/>
      <c r="O588" s="334"/>
    </row>
    <row r="589" spans="1:15" ht="12.75" customHeight="1" outlineLevel="1" x14ac:dyDescent="0.2">
      <c r="A589" s="984" t="s">
        <v>5402</v>
      </c>
      <c r="B589" s="985" t="s">
        <v>1073</v>
      </c>
      <c r="C589" s="986" t="s">
        <v>100</v>
      </c>
      <c r="D589" s="987">
        <v>365.36</v>
      </c>
      <c r="E589" s="622"/>
      <c r="F589" s="334"/>
      <c r="K589" s="334"/>
      <c r="L589" s="334"/>
      <c r="M589" s="334"/>
      <c r="N589" s="334"/>
      <c r="O589" s="334"/>
    </row>
    <row r="590" spans="1:15" ht="12.75" customHeight="1" outlineLevel="1" x14ac:dyDescent="0.2">
      <c r="A590" s="980" t="s">
        <v>1670</v>
      </c>
      <c r="B590" s="981" t="s">
        <v>1127</v>
      </c>
      <c r="C590" s="982"/>
      <c r="D590" s="983"/>
      <c r="E590" s="622"/>
      <c r="F590" s="334"/>
      <c r="K590" s="334"/>
      <c r="L590" s="334"/>
      <c r="M590" s="334"/>
      <c r="N590" s="334"/>
      <c r="O590" s="334"/>
    </row>
    <row r="591" spans="1:15" ht="12.75" customHeight="1" outlineLevel="1" x14ac:dyDescent="0.2">
      <c r="A591" s="988" t="s">
        <v>1671</v>
      </c>
      <c r="B591" s="989" t="s">
        <v>1638</v>
      </c>
      <c r="C591" s="990" t="s">
        <v>100</v>
      </c>
      <c r="D591" s="991">
        <v>39.56</v>
      </c>
      <c r="E591" s="622"/>
      <c r="F591" s="334"/>
      <c r="K591" s="334"/>
      <c r="L591" s="334"/>
      <c r="M591" s="334"/>
      <c r="N591" s="334"/>
      <c r="O591" s="334"/>
    </row>
    <row r="592" spans="1:15" ht="12.75" customHeight="1" outlineLevel="1" x14ac:dyDescent="0.2">
      <c r="A592" s="984" t="s">
        <v>5403</v>
      </c>
      <c r="B592" s="985" t="s">
        <v>1073</v>
      </c>
      <c r="C592" s="986" t="s">
        <v>100</v>
      </c>
      <c r="D592" s="987">
        <v>253.02</v>
      </c>
      <c r="E592" s="622"/>
      <c r="F592" s="334"/>
      <c r="K592" s="334"/>
      <c r="L592" s="334"/>
      <c r="M592" s="334"/>
      <c r="N592" s="334"/>
      <c r="O592" s="334"/>
    </row>
    <row r="593" spans="1:15" ht="12.75" customHeight="1" outlineLevel="1" x14ac:dyDescent="0.2">
      <c r="A593" s="980" t="s">
        <v>1672</v>
      </c>
      <c r="B593" s="981" t="s">
        <v>1137</v>
      </c>
      <c r="C593" s="982"/>
      <c r="D593" s="983"/>
      <c r="E593" s="622"/>
      <c r="F593" s="334"/>
      <c r="K593" s="334"/>
      <c r="L593" s="334"/>
      <c r="M593" s="334"/>
      <c r="N593" s="334"/>
      <c r="O593" s="334"/>
    </row>
    <row r="594" spans="1:15" ht="12.75" customHeight="1" outlineLevel="1" x14ac:dyDescent="0.2">
      <c r="A594" s="988" t="s">
        <v>1673</v>
      </c>
      <c r="B594" s="989" t="s">
        <v>1073</v>
      </c>
      <c r="C594" s="990" t="s">
        <v>100</v>
      </c>
      <c r="D594" s="991">
        <v>174.45</v>
      </c>
      <c r="E594" s="622"/>
      <c r="F594" s="334"/>
      <c r="K594" s="334"/>
      <c r="L594" s="334"/>
      <c r="M594" s="334"/>
      <c r="N594" s="334"/>
      <c r="O594" s="334"/>
    </row>
    <row r="595" spans="1:15" ht="12.75" customHeight="1" outlineLevel="1" x14ac:dyDescent="0.2">
      <c r="A595" s="980" t="s">
        <v>1674</v>
      </c>
      <c r="B595" s="981" t="s">
        <v>1140</v>
      </c>
      <c r="C595" s="982"/>
      <c r="D595" s="983"/>
      <c r="E595" s="622"/>
      <c r="F595" s="334"/>
      <c r="K595" s="334"/>
      <c r="L595" s="334"/>
      <c r="M595" s="334"/>
      <c r="N595" s="334"/>
      <c r="O595" s="334"/>
    </row>
    <row r="596" spans="1:15" ht="12.75" customHeight="1" outlineLevel="1" x14ac:dyDescent="0.2">
      <c r="A596" s="984" t="s">
        <v>1675</v>
      </c>
      <c r="B596" s="985" t="s">
        <v>1073</v>
      </c>
      <c r="C596" s="986" t="s">
        <v>100</v>
      </c>
      <c r="D596" s="987">
        <v>100.25</v>
      </c>
      <c r="E596" s="622"/>
      <c r="F596" s="334"/>
      <c r="K596" s="334"/>
      <c r="L596" s="334"/>
      <c r="M596" s="334"/>
      <c r="N596" s="334"/>
      <c r="O596" s="334"/>
    </row>
    <row r="597" spans="1:15" ht="12.75" customHeight="1" outlineLevel="1" x14ac:dyDescent="0.2">
      <c r="A597" s="980" t="s">
        <v>1676</v>
      </c>
      <c r="B597" s="981" t="s">
        <v>1462</v>
      </c>
      <c r="C597" s="982"/>
      <c r="D597" s="983"/>
      <c r="E597" s="622"/>
      <c r="F597" s="334"/>
      <c r="K597" s="334"/>
      <c r="L597" s="334"/>
      <c r="M597" s="334"/>
      <c r="N597" s="334"/>
      <c r="O597" s="334"/>
    </row>
    <row r="598" spans="1:15" ht="12.75" customHeight="1" outlineLevel="1" x14ac:dyDescent="0.2">
      <c r="A598" s="988" t="s">
        <v>1677</v>
      </c>
      <c r="B598" s="989" t="s">
        <v>1073</v>
      </c>
      <c r="C598" s="990" t="s">
        <v>100</v>
      </c>
      <c r="D598" s="991">
        <v>145.66999999999999</v>
      </c>
      <c r="E598" s="622"/>
      <c r="F598" s="334"/>
      <c r="K598" s="334"/>
      <c r="L598" s="334"/>
      <c r="M598" s="334"/>
      <c r="N598" s="334"/>
      <c r="O598" s="334"/>
    </row>
    <row r="599" spans="1:15" ht="12.75" customHeight="1" outlineLevel="1" x14ac:dyDescent="0.2">
      <c r="A599" s="980" t="s">
        <v>1678</v>
      </c>
      <c r="B599" s="981" t="s">
        <v>2035</v>
      </c>
      <c r="C599" s="982"/>
      <c r="D599" s="983"/>
      <c r="E599" s="622"/>
      <c r="F599" s="334"/>
      <c r="K599" s="334"/>
      <c r="L599" s="334"/>
      <c r="M599" s="334"/>
      <c r="N599" s="334"/>
      <c r="O599" s="334"/>
    </row>
    <row r="600" spans="1:15" ht="12.75" customHeight="1" outlineLevel="1" x14ac:dyDescent="0.2">
      <c r="A600" s="984" t="s">
        <v>1679</v>
      </c>
      <c r="B600" s="985" t="s">
        <v>1073</v>
      </c>
      <c r="C600" s="986" t="s">
        <v>100</v>
      </c>
      <c r="D600" s="987">
        <v>31.2</v>
      </c>
      <c r="E600" s="622"/>
      <c r="F600" s="334"/>
      <c r="K600" s="334"/>
      <c r="L600" s="334"/>
      <c r="M600" s="334"/>
      <c r="N600" s="334"/>
      <c r="O600" s="334"/>
    </row>
    <row r="601" spans="1:15" ht="12.75" customHeight="1" x14ac:dyDescent="0.2">
      <c r="A601" s="614" t="s">
        <v>1680</v>
      </c>
      <c r="B601" s="615" t="s">
        <v>1681</v>
      </c>
      <c r="C601" s="616"/>
      <c r="D601" s="617"/>
      <c r="E601" s="622"/>
      <c r="F601" s="334"/>
      <c r="K601" s="334"/>
      <c r="L601" s="334"/>
      <c r="M601" s="334"/>
      <c r="N601" s="334"/>
      <c r="O601" s="334"/>
    </row>
    <row r="602" spans="1:15" ht="12.75" customHeight="1" outlineLevel="1" x14ac:dyDescent="0.2">
      <c r="A602" s="980" t="s">
        <v>1682</v>
      </c>
      <c r="B602" s="981" t="s">
        <v>1009</v>
      </c>
      <c r="C602" s="982"/>
      <c r="D602" s="983"/>
      <c r="E602" s="622"/>
      <c r="F602" s="334"/>
      <c r="G602" s="334"/>
      <c r="H602" s="602"/>
      <c r="I602" s="334"/>
      <c r="J602" s="334"/>
      <c r="K602" s="334"/>
      <c r="L602" s="334"/>
      <c r="M602" s="334"/>
      <c r="N602" s="334"/>
      <c r="O602" s="334"/>
    </row>
    <row r="603" spans="1:15" ht="12.75" customHeight="1" outlineLevel="1" x14ac:dyDescent="0.2">
      <c r="A603" s="988" t="s">
        <v>1683</v>
      </c>
      <c r="B603" s="989" t="s">
        <v>1110</v>
      </c>
      <c r="C603" s="990" t="s">
        <v>100</v>
      </c>
      <c r="D603" s="991">
        <v>39.369999999999997</v>
      </c>
      <c r="E603" s="622"/>
      <c r="F603" s="334"/>
      <c r="G603" s="334"/>
      <c r="H603" s="602"/>
      <c r="I603" s="334"/>
      <c r="J603" s="334"/>
      <c r="K603" s="334"/>
      <c r="L603" s="334"/>
      <c r="M603" s="334"/>
      <c r="N603" s="334"/>
      <c r="O603" s="334"/>
    </row>
    <row r="604" spans="1:15" ht="12.75" customHeight="1" outlineLevel="1" x14ac:dyDescent="0.2">
      <c r="A604" s="984" t="s">
        <v>5404</v>
      </c>
      <c r="B604" s="985" t="s">
        <v>5405</v>
      </c>
      <c r="C604" s="986" t="s">
        <v>100</v>
      </c>
      <c r="D604" s="987">
        <v>107.23</v>
      </c>
      <c r="E604" s="622"/>
      <c r="F604" s="334"/>
      <c r="G604" s="334"/>
      <c r="H604" s="602"/>
      <c r="I604" s="334"/>
      <c r="J604" s="334"/>
      <c r="K604" s="334"/>
      <c r="L604" s="334"/>
      <c r="M604" s="334"/>
      <c r="N604" s="334"/>
      <c r="O604" s="334"/>
    </row>
    <row r="605" spans="1:15" ht="12.75" customHeight="1" outlineLevel="1" x14ac:dyDescent="0.2">
      <c r="A605" s="988" t="s">
        <v>5406</v>
      </c>
      <c r="B605" s="989" t="s">
        <v>5407</v>
      </c>
      <c r="C605" s="990" t="s">
        <v>100</v>
      </c>
      <c r="D605" s="991">
        <v>38.57</v>
      </c>
      <c r="E605" s="622"/>
      <c r="F605" s="334"/>
      <c r="G605" s="334"/>
      <c r="H605" s="602"/>
      <c r="I605" s="334"/>
      <c r="J605" s="334"/>
      <c r="K605" s="334"/>
      <c r="L605" s="334"/>
      <c r="M605" s="334"/>
      <c r="N605" s="334"/>
      <c r="O605" s="334"/>
    </row>
    <row r="606" spans="1:15" ht="12.75" customHeight="1" outlineLevel="1" x14ac:dyDescent="0.2">
      <c r="A606" s="984" t="s">
        <v>5408</v>
      </c>
      <c r="B606" s="985" t="s">
        <v>5409</v>
      </c>
      <c r="C606" s="986" t="s">
        <v>100</v>
      </c>
      <c r="D606" s="987">
        <v>6.29</v>
      </c>
      <c r="E606" s="622"/>
      <c r="F606" s="334"/>
      <c r="G606" s="334"/>
      <c r="H606" s="602"/>
      <c r="I606" s="334"/>
      <c r="J606" s="334"/>
      <c r="K606" s="334"/>
      <c r="L606" s="334"/>
      <c r="M606" s="334"/>
      <c r="N606" s="334"/>
      <c r="O606" s="334"/>
    </row>
    <row r="607" spans="1:15" ht="12.75" customHeight="1" outlineLevel="1" x14ac:dyDescent="0.2">
      <c r="A607" s="988" t="s">
        <v>5410</v>
      </c>
      <c r="B607" s="989" t="s">
        <v>5411</v>
      </c>
      <c r="C607" s="990" t="s">
        <v>100</v>
      </c>
      <c r="D607" s="991">
        <v>13.62</v>
      </c>
      <c r="E607" s="622"/>
      <c r="F607" s="334"/>
      <c r="G607" s="334"/>
      <c r="H607" s="602"/>
      <c r="I607" s="334"/>
      <c r="J607" s="334"/>
      <c r="K607" s="334"/>
      <c r="L607" s="334"/>
      <c r="M607" s="334"/>
      <c r="N607" s="334"/>
      <c r="O607" s="334"/>
    </row>
    <row r="608" spans="1:15" ht="12.75" customHeight="1" outlineLevel="1" x14ac:dyDescent="0.2">
      <c r="A608" s="980" t="s">
        <v>1684</v>
      </c>
      <c r="B608" s="981" t="s">
        <v>1017</v>
      </c>
      <c r="C608" s="982"/>
      <c r="D608" s="983"/>
      <c r="E608" s="622"/>
      <c r="F608" s="334"/>
      <c r="G608" s="334"/>
      <c r="H608" s="602"/>
      <c r="I608" s="334"/>
      <c r="J608" s="334"/>
      <c r="K608" s="334"/>
      <c r="L608" s="334"/>
      <c r="M608" s="334"/>
      <c r="N608" s="334"/>
      <c r="O608" s="334"/>
    </row>
    <row r="609" spans="1:15" ht="12.75" customHeight="1" outlineLevel="1" x14ac:dyDescent="0.2">
      <c r="A609" s="984" t="s">
        <v>1685</v>
      </c>
      <c r="B609" s="985" t="s">
        <v>1110</v>
      </c>
      <c r="C609" s="986" t="s">
        <v>100</v>
      </c>
      <c r="D609" s="987">
        <v>27.61</v>
      </c>
      <c r="E609" s="622"/>
      <c r="F609" s="334"/>
      <c r="G609" s="334"/>
      <c r="H609" s="602"/>
      <c r="I609" s="334"/>
      <c r="J609" s="334"/>
      <c r="K609" s="334"/>
      <c r="L609" s="334"/>
      <c r="M609" s="334"/>
      <c r="N609" s="334"/>
      <c r="O609" s="334"/>
    </row>
    <row r="610" spans="1:15" ht="12.75" customHeight="1" outlineLevel="1" x14ac:dyDescent="0.2">
      <c r="A610" s="980" t="s">
        <v>1686</v>
      </c>
      <c r="B610" s="981" t="s">
        <v>1021</v>
      </c>
      <c r="C610" s="982"/>
      <c r="D610" s="983"/>
      <c r="E610" s="622"/>
      <c r="F610" s="334"/>
      <c r="G610" s="334"/>
      <c r="H610" s="602"/>
      <c r="I610" s="334"/>
      <c r="J610" s="334"/>
      <c r="K610" s="334"/>
      <c r="L610" s="334"/>
      <c r="M610" s="334"/>
      <c r="N610" s="334"/>
      <c r="O610" s="334"/>
    </row>
    <row r="611" spans="1:15" ht="12.75" customHeight="1" outlineLevel="1" x14ac:dyDescent="0.2">
      <c r="A611" s="988" t="s">
        <v>1687</v>
      </c>
      <c r="B611" s="989" t="s">
        <v>5412</v>
      </c>
      <c r="C611" s="990" t="s">
        <v>100</v>
      </c>
      <c r="D611" s="991">
        <v>22.36</v>
      </c>
      <c r="E611" s="622"/>
      <c r="F611" s="334"/>
      <c r="G611" s="334"/>
      <c r="H611" s="602"/>
      <c r="I611" s="334"/>
      <c r="J611" s="334"/>
      <c r="K611" s="334"/>
      <c r="L611" s="334"/>
      <c r="M611" s="334"/>
      <c r="N611" s="334"/>
      <c r="O611" s="334"/>
    </row>
    <row r="612" spans="1:15" ht="12.75" customHeight="1" outlineLevel="1" x14ac:dyDescent="0.2">
      <c r="A612" s="984" t="s">
        <v>5413</v>
      </c>
      <c r="B612" s="985" t="s">
        <v>5414</v>
      </c>
      <c r="C612" s="986" t="s">
        <v>100</v>
      </c>
      <c r="D612" s="987">
        <v>81.790000000000006</v>
      </c>
      <c r="E612" s="622"/>
      <c r="F612" s="334"/>
      <c r="G612" s="334"/>
      <c r="H612" s="602"/>
      <c r="I612" s="334"/>
      <c r="J612" s="334"/>
      <c r="K612" s="334"/>
      <c r="L612" s="334"/>
      <c r="M612" s="334"/>
      <c r="N612" s="334"/>
      <c r="O612" s="334"/>
    </row>
    <row r="613" spans="1:15" ht="12.75" customHeight="1" outlineLevel="1" x14ac:dyDescent="0.2">
      <c r="A613" s="988" t="s">
        <v>5415</v>
      </c>
      <c r="B613" s="989" t="s">
        <v>1110</v>
      </c>
      <c r="C613" s="990" t="s">
        <v>100</v>
      </c>
      <c r="D613" s="991">
        <v>42.15</v>
      </c>
      <c r="E613" s="622"/>
      <c r="F613" s="334"/>
      <c r="G613" s="334"/>
      <c r="H613" s="602"/>
      <c r="I613" s="334"/>
      <c r="J613" s="334"/>
      <c r="K613" s="334"/>
      <c r="L613" s="334"/>
      <c r="M613" s="334"/>
      <c r="N613" s="334"/>
      <c r="O613" s="334"/>
    </row>
    <row r="614" spans="1:15" ht="12.75" customHeight="1" outlineLevel="1" x14ac:dyDescent="0.2">
      <c r="A614" s="984" t="s">
        <v>5416</v>
      </c>
      <c r="B614" s="985" t="s">
        <v>5417</v>
      </c>
      <c r="C614" s="986" t="s">
        <v>100</v>
      </c>
      <c r="D614" s="987">
        <v>8.4</v>
      </c>
      <c r="E614" s="622"/>
      <c r="F614" s="334"/>
      <c r="G614" s="334"/>
      <c r="H614" s="602"/>
      <c r="I614" s="334"/>
      <c r="J614" s="334"/>
      <c r="K614" s="334"/>
      <c r="L614" s="334"/>
      <c r="M614" s="334"/>
      <c r="N614" s="334"/>
      <c r="O614" s="334"/>
    </row>
    <row r="615" spans="1:15" ht="12.75" customHeight="1" outlineLevel="1" x14ac:dyDescent="0.2">
      <c r="A615" s="988" t="s">
        <v>5418</v>
      </c>
      <c r="B615" s="989" t="s">
        <v>5405</v>
      </c>
      <c r="C615" s="990" t="s">
        <v>100</v>
      </c>
      <c r="D615" s="991">
        <v>123.8</v>
      </c>
      <c r="E615" s="622"/>
      <c r="F615" s="334"/>
      <c r="G615" s="334"/>
      <c r="H615" s="602"/>
      <c r="I615" s="334"/>
      <c r="J615" s="334"/>
      <c r="K615" s="334"/>
      <c r="L615" s="334"/>
      <c r="M615" s="334"/>
      <c r="N615" s="334"/>
      <c r="O615" s="334"/>
    </row>
    <row r="616" spans="1:15" ht="12.75" customHeight="1" outlineLevel="1" x14ac:dyDescent="0.2">
      <c r="A616" s="984" t="s">
        <v>5419</v>
      </c>
      <c r="B616" s="985" t="s">
        <v>5420</v>
      </c>
      <c r="C616" s="986" t="s">
        <v>100</v>
      </c>
      <c r="D616" s="987">
        <v>23.16</v>
      </c>
      <c r="E616" s="622"/>
      <c r="F616" s="334"/>
      <c r="G616" s="334"/>
      <c r="H616" s="602"/>
      <c r="I616" s="334"/>
      <c r="J616" s="334"/>
      <c r="K616" s="334"/>
      <c r="L616" s="334"/>
      <c r="M616" s="334"/>
      <c r="N616" s="334"/>
      <c r="O616" s="334"/>
    </row>
    <row r="617" spans="1:15" ht="12.75" customHeight="1" outlineLevel="1" x14ac:dyDescent="0.2">
      <c r="A617" s="988" t="s">
        <v>5421</v>
      </c>
      <c r="B617" s="989" t="s">
        <v>5422</v>
      </c>
      <c r="C617" s="990" t="s">
        <v>100</v>
      </c>
      <c r="D617" s="991">
        <v>9.77</v>
      </c>
      <c r="E617" s="622"/>
      <c r="F617" s="334"/>
      <c r="G617" s="334"/>
      <c r="H617" s="602"/>
      <c r="I617" s="334"/>
      <c r="J617" s="334"/>
      <c r="K617" s="334"/>
      <c r="L617" s="334"/>
      <c r="M617" s="334"/>
      <c r="N617" s="334"/>
      <c r="O617" s="334"/>
    </row>
    <row r="618" spans="1:15" ht="12.75" customHeight="1" outlineLevel="1" x14ac:dyDescent="0.2">
      <c r="A618" s="984" t="s">
        <v>5423</v>
      </c>
      <c r="B618" s="985" t="s">
        <v>5424</v>
      </c>
      <c r="C618" s="986" t="s">
        <v>100</v>
      </c>
      <c r="D618" s="987">
        <v>4.04</v>
      </c>
      <c r="E618" s="622"/>
      <c r="F618" s="334"/>
      <c r="G618" s="334"/>
      <c r="H618" s="602"/>
      <c r="I618" s="334"/>
      <c r="J618" s="334"/>
      <c r="K618" s="334"/>
      <c r="L618" s="334"/>
      <c r="M618" s="334"/>
      <c r="N618" s="334"/>
      <c r="O618" s="334"/>
    </row>
    <row r="619" spans="1:15" ht="12.75" customHeight="1" outlineLevel="1" x14ac:dyDescent="0.2">
      <c r="A619" s="988" t="s">
        <v>5425</v>
      </c>
      <c r="B619" s="989" t="s">
        <v>5407</v>
      </c>
      <c r="C619" s="990" t="s">
        <v>100</v>
      </c>
      <c r="D619" s="991">
        <v>106.92</v>
      </c>
      <c r="E619" s="622"/>
      <c r="F619" s="334"/>
      <c r="G619" s="334"/>
      <c r="H619" s="602"/>
      <c r="I619" s="334"/>
      <c r="J619" s="334"/>
      <c r="K619" s="334"/>
      <c r="L619" s="334"/>
      <c r="M619" s="334"/>
      <c r="N619" s="334"/>
      <c r="O619" s="334"/>
    </row>
    <row r="620" spans="1:15" ht="12.75" customHeight="1" outlineLevel="1" x14ac:dyDescent="0.2">
      <c r="A620" s="984" t="s">
        <v>5426</v>
      </c>
      <c r="B620" s="985" t="s">
        <v>5427</v>
      </c>
      <c r="C620" s="986" t="s">
        <v>100</v>
      </c>
      <c r="D620" s="987">
        <v>74.42</v>
      </c>
      <c r="E620" s="622"/>
      <c r="F620" s="334"/>
      <c r="G620" s="334"/>
      <c r="H620" s="602"/>
      <c r="I620" s="334"/>
      <c r="J620" s="334"/>
      <c r="K620" s="334"/>
      <c r="L620" s="334"/>
      <c r="M620" s="334"/>
      <c r="N620" s="334"/>
      <c r="O620" s="334"/>
    </row>
    <row r="621" spans="1:15" ht="12.75" customHeight="1" outlineLevel="1" x14ac:dyDescent="0.2">
      <c r="A621" s="988" t="s">
        <v>5428</v>
      </c>
      <c r="B621" s="989" t="s">
        <v>5429</v>
      </c>
      <c r="C621" s="990" t="s">
        <v>100</v>
      </c>
      <c r="D621" s="991">
        <v>23.86</v>
      </c>
      <c r="E621" s="622"/>
      <c r="F621" s="334"/>
      <c r="G621" s="334"/>
      <c r="H621" s="602"/>
      <c r="I621" s="334"/>
      <c r="J621" s="334"/>
      <c r="K621" s="334"/>
      <c r="L621" s="334"/>
      <c r="M621" s="334"/>
      <c r="N621" s="334"/>
      <c r="O621" s="334"/>
    </row>
    <row r="622" spans="1:15" ht="12.75" customHeight="1" outlineLevel="1" x14ac:dyDescent="0.2">
      <c r="A622" s="984" t="s">
        <v>5430</v>
      </c>
      <c r="B622" s="985" t="s">
        <v>5411</v>
      </c>
      <c r="C622" s="986" t="s">
        <v>100</v>
      </c>
      <c r="D622" s="987">
        <v>210.51</v>
      </c>
      <c r="E622" s="622"/>
      <c r="F622" s="334"/>
      <c r="G622" s="334"/>
      <c r="H622" s="602"/>
      <c r="I622" s="334"/>
      <c r="J622" s="334"/>
      <c r="K622" s="334"/>
      <c r="L622" s="334"/>
      <c r="M622" s="334"/>
      <c r="N622" s="334"/>
      <c r="O622" s="334"/>
    </row>
    <row r="623" spans="1:15" ht="12.75" customHeight="1" outlineLevel="1" x14ac:dyDescent="0.2">
      <c r="A623" s="988" t="s">
        <v>5431</v>
      </c>
      <c r="B623" s="989" t="s">
        <v>5432</v>
      </c>
      <c r="C623" s="990" t="s">
        <v>100</v>
      </c>
      <c r="D623" s="991">
        <v>35.64</v>
      </c>
      <c r="E623" s="622"/>
      <c r="F623" s="334"/>
      <c r="G623" s="334"/>
      <c r="H623" s="602"/>
      <c r="I623" s="334"/>
      <c r="J623" s="334"/>
      <c r="K623" s="334"/>
      <c r="L623" s="334"/>
      <c r="M623" s="334"/>
      <c r="N623" s="334"/>
      <c r="O623" s="334"/>
    </row>
    <row r="624" spans="1:15" ht="12.75" customHeight="1" outlineLevel="1" x14ac:dyDescent="0.2">
      <c r="A624" s="980" t="s">
        <v>1688</v>
      </c>
      <c r="B624" s="981" t="s">
        <v>1030</v>
      </c>
      <c r="C624" s="982"/>
      <c r="D624" s="983"/>
      <c r="E624" s="622"/>
      <c r="F624" s="334"/>
      <c r="G624" s="334"/>
      <c r="H624" s="602"/>
      <c r="I624" s="334"/>
      <c r="J624" s="334"/>
      <c r="K624" s="334"/>
      <c r="L624" s="334"/>
      <c r="M624" s="334"/>
      <c r="N624" s="334"/>
      <c r="O624" s="334"/>
    </row>
    <row r="625" spans="1:15" ht="12.75" customHeight="1" outlineLevel="1" x14ac:dyDescent="0.2">
      <c r="A625" s="984" t="s">
        <v>1689</v>
      </c>
      <c r="B625" s="985" t="s">
        <v>5412</v>
      </c>
      <c r="C625" s="986" t="s">
        <v>100</v>
      </c>
      <c r="D625" s="987">
        <v>23.27</v>
      </c>
      <c r="E625" s="622"/>
      <c r="F625" s="334"/>
      <c r="G625" s="334"/>
      <c r="H625" s="602"/>
      <c r="I625" s="334"/>
      <c r="J625" s="334"/>
      <c r="K625" s="334"/>
      <c r="L625" s="334"/>
      <c r="M625" s="334"/>
      <c r="N625" s="334"/>
      <c r="O625" s="334"/>
    </row>
    <row r="626" spans="1:15" ht="12.75" customHeight="1" outlineLevel="1" x14ac:dyDescent="0.2">
      <c r="A626" s="988" t="s">
        <v>1690</v>
      </c>
      <c r="B626" s="989" t="s">
        <v>5414</v>
      </c>
      <c r="C626" s="990" t="s">
        <v>100</v>
      </c>
      <c r="D626" s="991">
        <v>83.59</v>
      </c>
      <c r="E626" s="622"/>
      <c r="F626" s="334"/>
      <c r="G626" s="334"/>
      <c r="H626" s="602"/>
      <c r="I626" s="334"/>
      <c r="J626" s="334"/>
      <c r="K626" s="334"/>
      <c r="L626" s="334"/>
      <c r="M626" s="334"/>
      <c r="N626" s="334"/>
      <c r="O626" s="334"/>
    </row>
    <row r="627" spans="1:15" ht="12.75" customHeight="1" outlineLevel="1" x14ac:dyDescent="0.2">
      <c r="A627" s="984" t="s">
        <v>1691</v>
      </c>
      <c r="B627" s="985" t="s">
        <v>1110</v>
      </c>
      <c r="C627" s="986" t="s">
        <v>100</v>
      </c>
      <c r="D627" s="987">
        <v>46.4</v>
      </c>
      <c r="E627" s="622"/>
      <c r="F627" s="334"/>
      <c r="G627" s="334"/>
      <c r="H627" s="602"/>
      <c r="I627" s="334"/>
      <c r="J627" s="334"/>
      <c r="K627" s="334"/>
      <c r="L627" s="334"/>
      <c r="M627" s="334"/>
      <c r="N627" s="334"/>
      <c r="O627" s="334"/>
    </row>
    <row r="628" spans="1:15" ht="12.75" customHeight="1" outlineLevel="1" x14ac:dyDescent="0.2">
      <c r="A628" s="988" t="s">
        <v>1692</v>
      </c>
      <c r="B628" s="989" t="s">
        <v>5417</v>
      </c>
      <c r="C628" s="990" t="s">
        <v>100</v>
      </c>
      <c r="D628" s="991">
        <v>17.87</v>
      </c>
      <c r="E628" s="622"/>
      <c r="F628" s="334"/>
      <c r="G628" s="334"/>
      <c r="H628" s="602"/>
      <c r="I628" s="334"/>
      <c r="J628" s="334"/>
      <c r="K628" s="334"/>
      <c r="L628" s="334"/>
      <c r="M628" s="334"/>
      <c r="N628" s="334"/>
      <c r="O628" s="334"/>
    </row>
    <row r="629" spans="1:15" ht="12.75" customHeight="1" outlineLevel="1" x14ac:dyDescent="0.2">
      <c r="A629" s="984" t="s">
        <v>1693</v>
      </c>
      <c r="B629" s="985" t="s">
        <v>5405</v>
      </c>
      <c r="C629" s="986" t="s">
        <v>100</v>
      </c>
      <c r="D629" s="987">
        <v>20.66</v>
      </c>
      <c r="E629" s="622"/>
      <c r="F629" s="334"/>
      <c r="G629" s="334"/>
      <c r="H629" s="602"/>
      <c r="I629" s="334"/>
      <c r="J629" s="334"/>
      <c r="K629" s="334"/>
      <c r="L629" s="334"/>
      <c r="M629" s="334"/>
      <c r="N629" s="334"/>
      <c r="O629" s="334"/>
    </row>
    <row r="630" spans="1:15" ht="12.75" customHeight="1" outlineLevel="1" x14ac:dyDescent="0.2">
      <c r="A630" s="988" t="s">
        <v>1694</v>
      </c>
      <c r="B630" s="989" t="s">
        <v>5420</v>
      </c>
      <c r="C630" s="990" t="s">
        <v>100</v>
      </c>
      <c r="D630" s="991">
        <v>23.69</v>
      </c>
      <c r="E630" s="622"/>
      <c r="F630" s="334"/>
      <c r="G630" s="334"/>
      <c r="H630" s="602"/>
      <c r="I630" s="334"/>
      <c r="J630" s="334"/>
      <c r="K630" s="334"/>
      <c r="L630" s="334"/>
      <c r="M630" s="334"/>
      <c r="N630" s="334"/>
      <c r="O630" s="334"/>
    </row>
    <row r="631" spans="1:15" ht="12.75" customHeight="1" outlineLevel="1" x14ac:dyDescent="0.2">
      <c r="A631" s="984" t="s">
        <v>1695</v>
      </c>
      <c r="B631" s="985" t="s">
        <v>5422</v>
      </c>
      <c r="C631" s="986" t="s">
        <v>100</v>
      </c>
      <c r="D631" s="987">
        <v>10.27</v>
      </c>
      <c r="E631" s="622"/>
      <c r="F631" s="334"/>
      <c r="G631" s="334"/>
      <c r="H631" s="602"/>
      <c r="I631" s="334"/>
      <c r="J631" s="334"/>
      <c r="K631" s="334"/>
      <c r="L631" s="334"/>
      <c r="M631" s="334"/>
      <c r="N631" s="334"/>
      <c r="O631" s="334"/>
    </row>
    <row r="632" spans="1:15" ht="12.75" customHeight="1" outlineLevel="1" x14ac:dyDescent="0.2">
      <c r="A632" s="988" t="s">
        <v>1696</v>
      </c>
      <c r="B632" s="989" t="s">
        <v>5424</v>
      </c>
      <c r="C632" s="990" t="s">
        <v>100</v>
      </c>
      <c r="D632" s="991">
        <v>10.64</v>
      </c>
      <c r="E632" s="622"/>
      <c r="F632" s="334"/>
      <c r="G632" s="334"/>
      <c r="H632" s="602"/>
      <c r="I632" s="334"/>
      <c r="J632" s="334"/>
      <c r="K632" s="334"/>
      <c r="L632" s="334"/>
      <c r="M632" s="334"/>
      <c r="N632" s="334"/>
      <c r="O632" s="334"/>
    </row>
    <row r="633" spans="1:15" ht="12.75" customHeight="1" outlineLevel="1" x14ac:dyDescent="0.2">
      <c r="A633" s="984" t="s">
        <v>1697</v>
      </c>
      <c r="B633" s="985" t="s">
        <v>5407</v>
      </c>
      <c r="C633" s="986" t="s">
        <v>100</v>
      </c>
      <c r="D633" s="987">
        <v>7.85</v>
      </c>
      <c r="E633" s="622"/>
      <c r="F633" s="334"/>
      <c r="G633" s="334"/>
      <c r="H633" s="602"/>
      <c r="I633" s="334"/>
      <c r="J633" s="334"/>
      <c r="K633" s="334"/>
      <c r="L633" s="334"/>
      <c r="M633" s="334"/>
      <c r="N633" s="334"/>
      <c r="O633" s="334"/>
    </row>
    <row r="634" spans="1:15" ht="12.75" customHeight="1" outlineLevel="1" x14ac:dyDescent="0.2">
      <c r="A634" s="988" t="s">
        <v>1698</v>
      </c>
      <c r="B634" s="989" t="s">
        <v>5429</v>
      </c>
      <c r="C634" s="990" t="s">
        <v>100</v>
      </c>
      <c r="D634" s="991">
        <v>23.86</v>
      </c>
      <c r="E634" s="622"/>
      <c r="F634" s="334"/>
      <c r="G634" s="334"/>
      <c r="H634" s="602"/>
      <c r="I634" s="334"/>
      <c r="J634" s="334"/>
      <c r="K634" s="334"/>
      <c r="L634" s="334"/>
      <c r="M634" s="334"/>
      <c r="N634" s="334"/>
      <c r="O634" s="334"/>
    </row>
    <row r="635" spans="1:15" ht="12.75" customHeight="1" outlineLevel="1" x14ac:dyDescent="0.2">
      <c r="A635" s="980" t="s">
        <v>1699</v>
      </c>
      <c r="B635" s="981" t="s">
        <v>1039</v>
      </c>
      <c r="C635" s="982"/>
      <c r="D635" s="983"/>
      <c r="E635" s="622"/>
      <c r="F635" s="334"/>
      <c r="G635" s="334"/>
      <c r="H635" s="602"/>
      <c r="I635" s="334"/>
      <c r="J635" s="334"/>
      <c r="K635" s="334"/>
      <c r="L635" s="334"/>
      <c r="M635" s="334"/>
      <c r="N635" s="334"/>
      <c r="O635" s="334"/>
    </row>
    <row r="636" spans="1:15" ht="12.75" customHeight="1" outlineLevel="1" x14ac:dyDescent="0.2">
      <c r="A636" s="984" t="s">
        <v>1700</v>
      </c>
      <c r="B636" s="985" t="s">
        <v>5412</v>
      </c>
      <c r="C636" s="986" t="s">
        <v>100</v>
      </c>
      <c r="D636" s="987">
        <v>26.58</v>
      </c>
      <c r="E636" s="622"/>
      <c r="F636" s="334"/>
      <c r="G636" s="334"/>
      <c r="H636" s="602"/>
      <c r="I636" s="334"/>
      <c r="J636" s="334"/>
      <c r="K636" s="334"/>
      <c r="L636" s="334"/>
      <c r="M636" s="334"/>
      <c r="N636" s="334"/>
      <c r="O636" s="334"/>
    </row>
    <row r="637" spans="1:15" ht="12.75" customHeight="1" outlineLevel="1" x14ac:dyDescent="0.2">
      <c r="A637" s="988" t="s">
        <v>1701</v>
      </c>
      <c r="B637" s="989" t="s">
        <v>5414</v>
      </c>
      <c r="C637" s="990" t="s">
        <v>100</v>
      </c>
      <c r="D637" s="991">
        <v>79.760000000000005</v>
      </c>
      <c r="E637" s="622"/>
      <c r="F637" s="334"/>
      <c r="G637" s="334"/>
      <c r="H637" s="602"/>
      <c r="I637" s="334"/>
      <c r="J637" s="334"/>
      <c r="K637" s="334"/>
      <c r="L637" s="334"/>
      <c r="M637" s="334"/>
      <c r="N637" s="334"/>
      <c r="O637" s="334"/>
    </row>
    <row r="638" spans="1:15" ht="12.75" customHeight="1" outlineLevel="1" x14ac:dyDescent="0.2">
      <c r="A638" s="984" t="s">
        <v>1702</v>
      </c>
      <c r="B638" s="985" t="s">
        <v>1110</v>
      </c>
      <c r="C638" s="986" t="s">
        <v>100</v>
      </c>
      <c r="D638" s="987">
        <v>42.49</v>
      </c>
      <c r="E638" s="622"/>
      <c r="F638" s="334"/>
      <c r="G638" s="334"/>
      <c r="H638" s="602"/>
      <c r="I638" s="334"/>
      <c r="J638" s="334"/>
      <c r="K638" s="334"/>
      <c r="L638" s="334"/>
      <c r="M638" s="334"/>
      <c r="N638" s="334"/>
      <c r="O638" s="334"/>
    </row>
    <row r="639" spans="1:15" ht="12.75" customHeight="1" outlineLevel="1" x14ac:dyDescent="0.2">
      <c r="A639" s="988" t="s">
        <v>1703</v>
      </c>
      <c r="B639" s="989" t="s">
        <v>5417</v>
      </c>
      <c r="C639" s="990" t="s">
        <v>100</v>
      </c>
      <c r="D639" s="991">
        <v>17.87</v>
      </c>
      <c r="E639" s="622"/>
      <c r="F639" s="334"/>
      <c r="G639" s="334"/>
      <c r="H639" s="602"/>
      <c r="I639" s="334"/>
      <c r="J639" s="334"/>
      <c r="K639" s="334"/>
      <c r="L639" s="334"/>
      <c r="M639" s="334"/>
      <c r="N639" s="334"/>
      <c r="O639" s="334"/>
    </row>
    <row r="640" spans="1:15" ht="12.75" customHeight="1" outlineLevel="1" x14ac:dyDescent="0.2">
      <c r="A640" s="984" t="s">
        <v>1704</v>
      </c>
      <c r="B640" s="985" t="s">
        <v>5405</v>
      </c>
      <c r="C640" s="986" t="s">
        <v>100</v>
      </c>
      <c r="D640" s="987">
        <v>13.85</v>
      </c>
      <c r="E640" s="622"/>
      <c r="F640" s="334"/>
      <c r="G640" s="334"/>
      <c r="H640" s="602"/>
      <c r="I640" s="334"/>
      <c r="J640" s="334"/>
      <c r="K640" s="334"/>
      <c r="L640" s="334"/>
      <c r="M640" s="334"/>
      <c r="N640" s="334"/>
      <c r="O640" s="334"/>
    </row>
    <row r="641" spans="1:15" ht="12.75" customHeight="1" outlineLevel="1" x14ac:dyDescent="0.2">
      <c r="A641" s="988" t="s">
        <v>1705</v>
      </c>
      <c r="B641" s="989" t="s">
        <v>5420</v>
      </c>
      <c r="C641" s="990" t="s">
        <v>100</v>
      </c>
      <c r="D641" s="991">
        <v>26.31</v>
      </c>
      <c r="E641" s="622"/>
      <c r="F641" s="334"/>
      <c r="G641" s="334"/>
      <c r="H641" s="602"/>
      <c r="I641" s="334"/>
      <c r="J641" s="334"/>
      <c r="K641" s="334"/>
      <c r="L641" s="334"/>
      <c r="M641" s="334"/>
      <c r="N641" s="334"/>
      <c r="O641" s="334"/>
    </row>
    <row r="642" spans="1:15" ht="12.75" customHeight="1" outlineLevel="1" x14ac:dyDescent="0.2">
      <c r="A642" s="984" t="s">
        <v>1706</v>
      </c>
      <c r="B642" s="985" t="s">
        <v>5422</v>
      </c>
      <c r="C642" s="986" t="s">
        <v>100</v>
      </c>
      <c r="D642" s="987">
        <v>9.7200000000000006</v>
      </c>
      <c r="E642" s="622"/>
      <c r="F642" s="334"/>
      <c r="G642" s="334"/>
      <c r="H642" s="602"/>
      <c r="I642" s="334"/>
      <c r="J642" s="334"/>
      <c r="K642" s="334"/>
      <c r="L642" s="334"/>
      <c r="M642" s="334"/>
      <c r="N642" s="334"/>
      <c r="O642" s="334"/>
    </row>
    <row r="643" spans="1:15" ht="12.75" customHeight="1" outlineLevel="1" x14ac:dyDescent="0.2">
      <c r="A643" s="988" t="s">
        <v>1707</v>
      </c>
      <c r="B643" s="989" t="s">
        <v>5424</v>
      </c>
      <c r="C643" s="990" t="s">
        <v>100</v>
      </c>
      <c r="D643" s="991">
        <v>10.64</v>
      </c>
      <c r="E643" s="622"/>
      <c r="F643" s="334"/>
      <c r="G643" s="334"/>
      <c r="H643" s="602"/>
      <c r="I643" s="334"/>
      <c r="J643" s="334"/>
      <c r="K643" s="334"/>
      <c r="L643" s="334"/>
      <c r="M643" s="334"/>
      <c r="N643" s="334"/>
      <c r="O643" s="334"/>
    </row>
    <row r="644" spans="1:15" ht="12.75" customHeight="1" outlineLevel="1" x14ac:dyDescent="0.2">
      <c r="A644" s="984" t="s">
        <v>1708</v>
      </c>
      <c r="B644" s="985" t="s">
        <v>5407</v>
      </c>
      <c r="C644" s="986" t="s">
        <v>100</v>
      </c>
      <c r="D644" s="987">
        <v>5.27</v>
      </c>
      <c r="E644" s="622"/>
      <c r="F644" s="334"/>
      <c r="G644" s="334"/>
      <c r="H644" s="602"/>
      <c r="I644" s="334"/>
      <c r="J644" s="334"/>
      <c r="K644" s="334"/>
      <c r="L644" s="334"/>
      <c r="M644" s="334"/>
      <c r="N644" s="334"/>
      <c r="O644" s="334"/>
    </row>
    <row r="645" spans="1:15" ht="12.75" customHeight="1" outlineLevel="1" x14ac:dyDescent="0.2">
      <c r="A645" s="988" t="s">
        <v>1709</v>
      </c>
      <c r="B645" s="989" t="s">
        <v>5429</v>
      </c>
      <c r="C645" s="990" t="s">
        <v>100</v>
      </c>
      <c r="D645" s="991">
        <v>27.22</v>
      </c>
      <c r="E645" s="622"/>
      <c r="F645" s="334"/>
      <c r="G645" s="334"/>
      <c r="H645" s="602"/>
      <c r="I645" s="334"/>
      <c r="J645" s="334"/>
      <c r="K645" s="334"/>
      <c r="L645" s="334"/>
      <c r="M645" s="334"/>
      <c r="N645" s="334"/>
      <c r="O645" s="334"/>
    </row>
    <row r="646" spans="1:15" ht="12.75" customHeight="1" outlineLevel="1" x14ac:dyDescent="0.2">
      <c r="A646" s="980" t="s">
        <v>1710</v>
      </c>
      <c r="B646" s="981" t="s">
        <v>1047</v>
      </c>
      <c r="C646" s="982"/>
      <c r="D646" s="983"/>
      <c r="E646" s="622"/>
      <c r="F646" s="334"/>
      <c r="G646" s="334"/>
      <c r="H646" s="602"/>
      <c r="I646" s="334"/>
      <c r="J646" s="334"/>
      <c r="K646" s="334"/>
      <c r="L646" s="334"/>
      <c r="M646" s="334"/>
      <c r="N646" s="334"/>
      <c r="O646" s="334"/>
    </row>
    <row r="647" spans="1:15" ht="12.75" customHeight="1" outlineLevel="1" x14ac:dyDescent="0.2">
      <c r="A647" s="984" t="s">
        <v>1711</v>
      </c>
      <c r="B647" s="985" t="s">
        <v>5412</v>
      </c>
      <c r="C647" s="986" t="s">
        <v>100</v>
      </c>
      <c r="D647" s="987">
        <v>23.27</v>
      </c>
      <c r="E647" s="622"/>
      <c r="F647" s="334"/>
      <c r="G647" s="334"/>
      <c r="H647" s="602"/>
      <c r="I647" s="334"/>
      <c r="J647" s="334"/>
      <c r="K647" s="334"/>
      <c r="L647" s="334"/>
      <c r="M647" s="334"/>
      <c r="N647" s="334"/>
      <c r="O647" s="334"/>
    </row>
    <row r="648" spans="1:15" ht="12.75" customHeight="1" outlineLevel="1" x14ac:dyDescent="0.2">
      <c r="A648" s="988" t="s">
        <v>5433</v>
      </c>
      <c r="B648" s="989" t="s">
        <v>5414</v>
      </c>
      <c r="C648" s="990" t="s">
        <v>100</v>
      </c>
      <c r="D648" s="991">
        <v>83.59</v>
      </c>
      <c r="E648" s="622"/>
      <c r="F648" s="334"/>
      <c r="G648" s="334"/>
      <c r="H648" s="602"/>
      <c r="I648" s="334"/>
      <c r="J648" s="334"/>
      <c r="K648" s="334"/>
      <c r="L648" s="334"/>
      <c r="M648" s="334"/>
      <c r="N648" s="334"/>
      <c r="O648" s="334"/>
    </row>
    <row r="649" spans="1:15" ht="12.75" customHeight="1" outlineLevel="1" x14ac:dyDescent="0.2">
      <c r="A649" s="984" t="s">
        <v>5434</v>
      </c>
      <c r="B649" s="985" t="s">
        <v>1110</v>
      </c>
      <c r="C649" s="986" t="s">
        <v>100</v>
      </c>
      <c r="D649" s="987">
        <v>46.4</v>
      </c>
      <c r="E649" s="622"/>
      <c r="F649" s="334"/>
      <c r="G649" s="334"/>
      <c r="H649" s="602"/>
      <c r="I649" s="334"/>
      <c r="J649" s="334"/>
      <c r="K649" s="334"/>
      <c r="L649" s="334"/>
      <c r="M649" s="334"/>
      <c r="N649" s="334"/>
      <c r="O649" s="334"/>
    </row>
    <row r="650" spans="1:15" ht="12.75" customHeight="1" outlineLevel="1" x14ac:dyDescent="0.2">
      <c r="A650" s="988" t="s">
        <v>5435</v>
      </c>
      <c r="B650" s="989" t="s">
        <v>5417</v>
      </c>
      <c r="C650" s="990" t="s">
        <v>100</v>
      </c>
      <c r="D650" s="991">
        <v>17.87</v>
      </c>
      <c r="E650" s="622"/>
      <c r="F650" s="334"/>
      <c r="G650" s="334"/>
      <c r="H650" s="602"/>
      <c r="I650" s="334"/>
      <c r="J650" s="334"/>
      <c r="K650" s="334"/>
      <c r="L650" s="334"/>
      <c r="M650" s="334"/>
      <c r="N650" s="334"/>
      <c r="O650" s="334"/>
    </row>
    <row r="651" spans="1:15" ht="12.75" customHeight="1" outlineLevel="1" x14ac:dyDescent="0.2">
      <c r="A651" s="984" t="s">
        <v>5436</v>
      </c>
      <c r="B651" s="985" t="s">
        <v>5405</v>
      </c>
      <c r="C651" s="986" t="s">
        <v>100</v>
      </c>
      <c r="D651" s="987">
        <v>20.66</v>
      </c>
      <c r="E651" s="622"/>
      <c r="F651" s="334"/>
      <c r="G651" s="334"/>
      <c r="H651" s="602"/>
      <c r="I651" s="334"/>
      <c r="J651" s="334"/>
      <c r="K651" s="334"/>
      <c r="L651" s="334"/>
      <c r="M651" s="334"/>
      <c r="N651" s="334"/>
      <c r="O651" s="334"/>
    </row>
    <row r="652" spans="1:15" ht="12.75" customHeight="1" outlineLevel="1" x14ac:dyDescent="0.2">
      <c r="A652" s="988" t="s">
        <v>5437</v>
      </c>
      <c r="B652" s="989" t="s">
        <v>5420</v>
      </c>
      <c r="C652" s="990" t="s">
        <v>100</v>
      </c>
      <c r="D652" s="991">
        <v>23.69</v>
      </c>
      <c r="E652" s="622"/>
      <c r="F652" s="334"/>
      <c r="G652" s="334"/>
      <c r="H652" s="602"/>
      <c r="I652" s="334"/>
      <c r="J652" s="334"/>
      <c r="K652" s="334"/>
      <c r="L652" s="334"/>
      <c r="M652" s="334"/>
      <c r="N652" s="334"/>
      <c r="O652" s="334"/>
    </row>
    <row r="653" spans="1:15" ht="12.75" customHeight="1" outlineLevel="1" x14ac:dyDescent="0.2">
      <c r="A653" s="984" t="s">
        <v>5438</v>
      </c>
      <c r="B653" s="985" t="s">
        <v>5422</v>
      </c>
      <c r="C653" s="986" t="s">
        <v>100</v>
      </c>
      <c r="D653" s="987">
        <v>10.27</v>
      </c>
      <c r="E653" s="622"/>
      <c r="F653" s="334"/>
      <c r="G653" s="334"/>
      <c r="H653" s="602"/>
      <c r="I653" s="334"/>
      <c r="J653" s="334"/>
      <c r="K653" s="334"/>
      <c r="L653" s="334"/>
      <c r="M653" s="334"/>
      <c r="N653" s="334"/>
      <c r="O653" s="334"/>
    </row>
    <row r="654" spans="1:15" ht="12.75" customHeight="1" outlineLevel="1" x14ac:dyDescent="0.2">
      <c r="A654" s="988" t="s">
        <v>5439</v>
      </c>
      <c r="B654" s="989" t="s">
        <v>5424</v>
      </c>
      <c r="C654" s="990" t="s">
        <v>100</v>
      </c>
      <c r="D654" s="991">
        <v>10.64</v>
      </c>
      <c r="E654" s="622"/>
      <c r="F654" s="334"/>
      <c r="G654" s="334"/>
      <c r="H654" s="602"/>
      <c r="I654" s="334"/>
      <c r="J654" s="334"/>
      <c r="K654" s="334"/>
      <c r="L654" s="334"/>
      <c r="M654" s="334"/>
      <c r="N654" s="334"/>
      <c r="O654" s="334"/>
    </row>
    <row r="655" spans="1:15" ht="12.75" customHeight="1" outlineLevel="1" x14ac:dyDescent="0.2">
      <c r="A655" s="984" t="s">
        <v>5440</v>
      </c>
      <c r="B655" s="985" t="s">
        <v>5407</v>
      </c>
      <c r="C655" s="986" t="s">
        <v>100</v>
      </c>
      <c r="D655" s="987">
        <v>7.85</v>
      </c>
      <c r="E655" s="622"/>
      <c r="F655" s="334"/>
      <c r="G655" s="334"/>
      <c r="H655" s="602"/>
      <c r="I655" s="334"/>
      <c r="J655" s="334"/>
      <c r="K655" s="334"/>
      <c r="L655" s="334"/>
      <c r="M655" s="334"/>
      <c r="N655" s="334"/>
      <c r="O655" s="334"/>
    </row>
    <row r="656" spans="1:15" ht="12.75" customHeight="1" outlineLevel="1" x14ac:dyDescent="0.2">
      <c r="A656" s="988" t="s">
        <v>5441</v>
      </c>
      <c r="B656" s="989" t="s">
        <v>5429</v>
      </c>
      <c r="C656" s="990" t="s">
        <v>100</v>
      </c>
      <c r="D656" s="991">
        <v>23.86</v>
      </c>
      <c r="E656" s="622"/>
      <c r="F656" s="334"/>
      <c r="G656" s="334"/>
      <c r="H656" s="602"/>
      <c r="I656" s="334"/>
      <c r="J656" s="334"/>
      <c r="K656" s="334"/>
      <c r="L656" s="334"/>
      <c r="M656" s="334"/>
      <c r="N656" s="334"/>
      <c r="O656" s="334"/>
    </row>
    <row r="657" spans="1:15" ht="12.75" customHeight="1" outlineLevel="1" x14ac:dyDescent="0.2">
      <c r="A657" s="980" t="s">
        <v>1712</v>
      </c>
      <c r="B657" s="981" t="s">
        <v>1058</v>
      </c>
      <c r="C657" s="982"/>
      <c r="D657" s="983"/>
      <c r="E657" s="622"/>
      <c r="F657" s="334"/>
      <c r="G657" s="334"/>
      <c r="H657" s="602"/>
      <c r="I657" s="334"/>
      <c r="J657" s="334"/>
      <c r="K657" s="334"/>
      <c r="L657" s="334"/>
      <c r="M657" s="334"/>
      <c r="N657" s="334"/>
      <c r="O657" s="334"/>
    </row>
    <row r="658" spans="1:15" ht="12.75" customHeight="1" outlineLevel="1" x14ac:dyDescent="0.2">
      <c r="A658" s="984" t="s">
        <v>1713</v>
      </c>
      <c r="B658" s="985" t="s">
        <v>5412</v>
      </c>
      <c r="C658" s="986" t="s">
        <v>100</v>
      </c>
      <c r="D658" s="987">
        <v>23.27</v>
      </c>
      <c r="E658" s="622"/>
      <c r="F658" s="334"/>
      <c r="G658" s="334"/>
      <c r="H658" s="602"/>
      <c r="I658" s="334"/>
      <c r="J658" s="334"/>
      <c r="K658" s="334"/>
      <c r="L658" s="334"/>
      <c r="M658" s="334"/>
      <c r="N658" s="334"/>
      <c r="O658" s="334"/>
    </row>
    <row r="659" spans="1:15" ht="12.75" customHeight="1" outlineLevel="1" x14ac:dyDescent="0.2">
      <c r="A659" s="988" t="s">
        <v>1714</v>
      </c>
      <c r="B659" s="989" t="s">
        <v>5414</v>
      </c>
      <c r="C659" s="990" t="s">
        <v>100</v>
      </c>
      <c r="D659" s="991">
        <v>83.59</v>
      </c>
      <c r="E659" s="622"/>
      <c r="F659" s="334"/>
      <c r="G659" s="334"/>
      <c r="H659" s="602"/>
      <c r="I659" s="334"/>
      <c r="J659" s="334"/>
      <c r="K659" s="334"/>
      <c r="L659" s="334"/>
      <c r="M659" s="334"/>
      <c r="N659" s="334"/>
      <c r="O659" s="334"/>
    </row>
    <row r="660" spans="1:15" ht="12.75" customHeight="1" outlineLevel="1" x14ac:dyDescent="0.2">
      <c r="A660" s="984" t="s">
        <v>1715</v>
      </c>
      <c r="B660" s="985" t="s">
        <v>1110</v>
      </c>
      <c r="C660" s="986" t="s">
        <v>100</v>
      </c>
      <c r="D660" s="987">
        <v>46.4</v>
      </c>
      <c r="E660" s="622"/>
      <c r="F660" s="334"/>
      <c r="G660" s="334"/>
      <c r="H660" s="602"/>
      <c r="I660" s="334"/>
      <c r="J660" s="334"/>
      <c r="K660" s="334"/>
      <c r="L660" s="334"/>
      <c r="M660" s="334"/>
      <c r="N660" s="334"/>
      <c r="O660" s="334"/>
    </row>
    <row r="661" spans="1:15" ht="12.75" customHeight="1" outlineLevel="1" x14ac:dyDescent="0.2">
      <c r="A661" s="988" t="s">
        <v>1716</v>
      </c>
      <c r="B661" s="989" t="s">
        <v>5417</v>
      </c>
      <c r="C661" s="990" t="s">
        <v>100</v>
      </c>
      <c r="D661" s="991">
        <v>17.87</v>
      </c>
      <c r="E661" s="622"/>
      <c r="F661" s="334"/>
      <c r="G661" s="334"/>
      <c r="H661" s="602"/>
      <c r="I661" s="334"/>
      <c r="J661" s="334"/>
      <c r="K661" s="334"/>
      <c r="L661" s="334"/>
      <c r="M661" s="334"/>
      <c r="N661" s="334"/>
      <c r="O661" s="334"/>
    </row>
    <row r="662" spans="1:15" ht="12.75" customHeight="1" outlineLevel="1" x14ac:dyDescent="0.2">
      <c r="A662" s="984" t="s">
        <v>1717</v>
      </c>
      <c r="B662" s="985" t="s">
        <v>5405</v>
      </c>
      <c r="C662" s="986" t="s">
        <v>100</v>
      </c>
      <c r="D662" s="987">
        <v>20.66</v>
      </c>
      <c r="E662" s="622"/>
      <c r="F662" s="334"/>
      <c r="G662" s="334"/>
      <c r="H662" s="602"/>
      <c r="I662" s="334"/>
      <c r="J662" s="334"/>
      <c r="K662" s="334"/>
      <c r="L662" s="334"/>
      <c r="M662" s="334"/>
      <c r="N662" s="334"/>
      <c r="O662" s="334"/>
    </row>
    <row r="663" spans="1:15" ht="12.75" customHeight="1" outlineLevel="1" x14ac:dyDescent="0.2">
      <c r="A663" s="988" t="s">
        <v>1718</v>
      </c>
      <c r="B663" s="989" t="s">
        <v>5420</v>
      </c>
      <c r="C663" s="990" t="s">
        <v>100</v>
      </c>
      <c r="D663" s="991">
        <v>23.69</v>
      </c>
      <c r="E663" s="622"/>
      <c r="F663" s="334"/>
      <c r="G663" s="334"/>
      <c r="H663" s="602"/>
      <c r="I663" s="334"/>
      <c r="J663" s="334"/>
      <c r="K663" s="334"/>
      <c r="L663" s="334"/>
      <c r="M663" s="334"/>
      <c r="N663" s="334"/>
      <c r="O663" s="334"/>
    </row>
    <row r="664" spans="1:15" ht="12.75" customHeight="1" outlineLevel="1" x14ac:dyDescent="0.2">
      <c r="A664" s="984" t="s">
        <v>1719</v>
      </c>
      <c r="B664" s="985" t="s">
        <v>5422</v>
      </c>
      <c r="C664" s="986" t="s">
        <v>100</v>
      </c>
      <c r="D664" s="987">
        <v>10.27</v>
      </c>
      <c r="E664" s="622"/>
      <c r="F664" s="334"/>
      <c r="G664" s="334"/>
      <c r="H664" s="602"/>
      <c r="I664" s="334"/>
      <c r="J664" s="334"/>
      <c r="K664" s="334"/>
      <c r="L664" s="334"/>
      <c r="M664" s="334"/>
      <c r="N664" s="334"/>
      <c r="O664" s="334"/>
    </row>
    <row r="665" spans="1:15" ht="12.75" customHeight="1" outlineLevel="1" x14ac:dyDescent="0.2">
      <c r="A665" s="988" t="s">
        <v>1720</v>
      </c>
      <c r="B665" s="989" t="s">
        <v>5424</v>
      </c>
      <c r="C665" s="990" t="s">
        <v>100</v>
      </c>
      <c r="D665" s="991">
        <v>10.64</v>
      </c>
      <c r="E665" s="622"/>
      <c r="F665" s="334"/>
      <c r="G665" s="334"/>
      <c r="H665" s="602"/>
      <c r="I665" s="334"/>
      <c r="J665" s="334"/>
      <c r="K665" s="334"/>
      <c r="L665" s="334"/>
      <c r="M665" s="334"/>
      <c r="N665" s="334"/>
      <c r="O665" s="334"/>
    </row>
    <row r="666" spans="1:15" ht="12.75" customHeight="1" outlineLevel="1" x14ac:dyDescent="0.2">
      <c r="A666" s="984" t="s">
        <v>1721</v>
      </c>
      <c r="B666" s="985" t="s">
        <v>5407</v>
      </c>
      <c r="C666" s="986" t="s">
        <v>100</v>
      </c>
      <c r="D666" s="987">
        <v>7.85</v>
      </c>
      <c r="E666" s="622"/>
      <c r="F666" s="334"/>
      <c r="G666" s="334"/>
      <c r="H666" s="602"/>
      <c r="I666" s="334"/>
      <c r="J666" s="334"/>
      <c r="K666" s="334"/>
      <c r="L666" s="334"/>
      <c r="M666" s="334"/>
      <c r="N666" s="334"/>
      <c r="O666" s="334"/>
    </row>
    <row r="667" spans="1:15" ht="12.75" customHeight="1" outlineLevel="1" x14ac:dyDescent="0.2">
      <c r="A667" s="988" t="s">
        <v>1722</v>
      </c>
      <c r="B667" s="989" t="s">
        <v>5429</v>
      </c>
      <c r="C667" s="990" t="s">
        <v>100</v>
      </c>
      <c r="D667" s="991">
        <v>23.86</v>
      </c>
      <c r="E667" s="622"/>
      <c r="F667" s="334"/>
      <c r="G667" s="334"/>
      <c r="H667" s="602"/>
      <c r="I667" s="334"/>
      <c r="J667" s="334"/>
      <c r="K667" s="334"/>
      <c r="L667" s="334"/>
      <c r="M667" s="334"/>
      <c r="N667" s="334"/>
      <c r="O667" s="334"/>
    </row>
    <row r="668" spans="1:15" ht="12.75" customHeight="1" outlineLevel="1" x14ac:dyDescent="0.2">
      <c r="A668" s="980" t="s">
        <v>1723</v>
      </c>
      <c r="B668" s="981" t="s">
        <v>1069</v>
      </c>
      <c r="C668" s="982"/>
      <c r="D668" s="983"/>
      <c r="E668" s="622"/>
      <c r="F668" s="334"/>
      <c r="G668" s="334"/>
      <c r="H668" s="602"/>
      <c r="I668" s="334"/>
      <c r="J668" s="334"/>
      <c r="K668" s="334"/>
      <c r="L668" s="334"/>
      <c r="M668" s="334"/>
      <c r="N668" s="334"/>
      <c r="O668" s="334"/>
    </row>
    <row r="669" spans="1:15" ht="12.75" customHeight="1" outlineLevel="1" x14ac:dyDescent="0.2">
      <c r="A669" s="984" t="s">
        <v>1724</v>
      </c>
      <c r="B669" s="985" t="s">
        <v>5412</v>
      </c>
      <c r="C669" s="986" t="s">
        <v>100</v>
      </c>
      <c r="D669" s="987">
        <v>23.27</v>
      </c>
      <c r="E669" s="622"/>
      <c r="F669" s="334"/>
      <c r="G669" s="334"/>
      <c r="H669" s="602"/>
      <c r="I669" s="334"/>
      <c r="J669" s="334"/>
      <c r="K669" s="334"/>
      <c r="L669" s="334"/>
      <c r="M669" s="334"/>
      <c r="N669" s="334"/>
      <c r="O669" s="334"/>
    </row>
    <row r="670" spans="1:15" ht="12.75" customHeight="1" outlineLevel="1" x14ac:dyDescent="0.2">
      <c r="A670" s="988" t="s">
        <v>5442</v>
      </c>
      <c r="B670" s="989" t="s">
        <v>5414</v>
      </c>
      <c r="C670" s="990" t="s">
        <v>100</v>
      </c>
      <c r="D670" s="991">
        <v>83.59</v>
      </c>
      <c r="E670" s="622"/>
      <c r="F670" s="334"/>
      <c r="G670" s="334"/>
      <c r="H670" s="602"/>
      <c r="I670" s="334"/>
      <c r="J670" s="334"/>
      <c r="K670" s="334"/>
      <c r="L670" s="334"/>
      <c r="M670" s="334"/>
      <c r="N670" s="334"/>
      <c r="O670" s="334"/>
    </row>
    <row r="671" spans="1:15" ht="12.75" customHeight="1" outlineLevel="1" x14ac:dyDescent="0.2">
      <c r="A671" s="984" t="s">
        <v>5443</v>
      </c>
      <c r="B671" s="985" t="s">
        <v>1110</v>
      </c>
      <c r="C671" s="986" t="s">
        <v>100</v>
      </c>
      <c r="D671" s="987">
        <v>46.4</v>
      </c>
      <c r="E671" s="622"/>
      <c r="F671" s="334"/>
      <c r="G671" s="334"/>
      <c r="H671" s="602"/>
      <c r="I671" s="334"/>
      <c r="J671" s="334"/>
      <c r="K671" s="334"/>
      <c r="L671" s="334"/>
      <c r="M671" s="334"/>
      <c r="N671" s="334"/>
      <c r="O671" s="334"/>
    </row>
    <row r="672" spans="1:15" ht="12.75" customHeight="1" outlineLevel="1" x14ac:dyDescent="0.2">
      <c r="A672" s="988" t="s">
        <v>5444</v>
      </c>
      <c r="B672" s="989" t="s">
        <v>5417</v>
      </c>
      <c r="C672" s="990" t="s">
        <v>100</v>
      </c>
      <c r="D672" s="991">
        <v>17.87</v>
      </c>
      <c r="E672" s="622"/>
      <c r="F672" s="334"/>
      <c r="G672" s="334"/>
      <c r="H672" s="602"/>
      <c r="I672" s="334"/>
      <c r="J672" s="334"/>
      <c r="K672" s="334"/>
      <c r="L672" s="334"/>
      <c r="M672" s="334"/>
      <c r="N672" s="334"/>
      <c r="O672" s="334"/>
    </row>
    <row r="673" spans="1:15" ht="12.75" customHeight="1" outlineLevel="1" x14ac:dyDescent="0.2">
      <c r="A673" s="984" t="s">
        <v>5445</v>
      </c>
      <c r="B673" s="985" t="s">
        <v>5405</v>
      </c>
      <c r="C673" s="986" t="s">
        <v>100</v>
      </c>
      <c r="D673" s="987">
        <v>20.66</v>
      </c>
      <c r="E673" s="622"/>
      <c r="F673" s="334"/>
      <c r="G673" s="334"/>
      <c r="H673" s="602"/>
      <c r="I673" s="334"/>
      <c r="J673" s="334"/>
      <c r="K673" s="334"/>
      <c r="L673" s="334"/>
      <c r="M673" s="334"/>
      <c r="N673" s="334"/>
      <c r="O673" s="334"/>
    </row>
    <row r="674" spans="1:15" ht="12.75" customHeight="1" outlineLevel="1" x14ac:dyDescent="0.2">
      <c r="A674" s="988" t="s">
        <v>5446</v>
      </c>
      <c r="B674" s="989" t="s">
        <v>5420</v>
      </c>
      <c r="C674" s="990" t="s">
        <v>100</v>
      </c>
      <c r="D674" s="991">
        <v>23.69</v>
      </c>
      <c r="E674" s="622"/>
      <c r="F674" s="334"/>
      <c r="G674" s="334"/>
      <c r="H674" s="602"/>
      <c r="I674" s="334"/>
      <c r="J674" s="334"/>
      <c r="K674" s="334"/>
      <c r="L674" s="334"/>
      <c r="M674" s="334"/>
      <c r="N674" s="334"/>
      <c r="O674" s="334"/>
    </row>
    <row r="675" spans="1:15" ht="12.75" customHeight="1" outlineLevel="1" x14ac:dyDescent="0.2">
      <c r="A675" s="984" t="s">
        <v>5447</v>
      </c>
      <c r="B675" s="985" t="s">
        <v>5422</v>
      </c>
      <c r="C675" s="986" t="s">
        <v>100</v>
      </c>
      <c r="D675" s="987">
        <v>10.27</v>
      </c>
      <c r="E675" s="622"/>
      <c r="F675" s="334"/>
      <c r="G675" s="334"/>
      <c r="H675" s="602"/>
      <c r="I675" s="334"/>
      <c r="J675" s="334"/>
      <c r="K675" s="334"/>
      <c r="L675" s="334"/>
      <c r="M675" s="334"/>
      <c r="N675" s="334"/>
      <c r="O675" s="334"/>
    </row>
    <row r="676" spans="1:15" ht="12.75" customHeight="1" outlineLevel="1" x14ac:dyDescent="0.2">
      <c r="A676" s="988" t="s">
        <v>5448</v>
      </c>
      <c r="B676" s="989" t="s">
        <v>5424</v>
      </c>
      <c r="C676" s="990" t="s">
        <v>100</v>
      </c>
      <c r="D676" s="991">
        <v>10.64</v>
      </c>
      <c r="E676" s="622"/>
      <c r="F676" s="334"/>
      <c r="G676" s="334"/>
      <c r="H676" s="602"/>
      <c r="I676" s="334"/>
      <c r="J676" s="334"/>
      <c r="K676" s="334"/>
      <c r="L676" s="334"/>
      <c r="M676" s="334"/>
      <c r="N676" s="334"/>
      <c r="O676" s="334"/>
    </row>
    <row r="677" spans="1:15" ht="12.75" customHeight="1" outlineLevel="1" x14ac:dyDescent="0.2">
      <c r="A677" s="984" t="s">
        <v>5449</v>
      </c>
      <c r="B677" s="985" t="s">
        <v>5407</v>
      </c>
      <c r="C677" s="986" t="s">
        <v>100</v>
      </c>
      <c r="D677" s="987">
        <v>7.85</v>
      </c>
      <c r="E677" s="622"/>
      <c r="F677" s="334"/>
      <c r="G677" s="334"/>
      <c r="H677" s="602"/>
      <c r="I677" s="334"/>
      <c r="J677" s="334"/>
      <c r="K677" s="334"/>
      <c r="L677" s="334"/>
      <c r="M677" s="334"/>
      <c r="N677" s="334"/>
      <c r="O677" s="334"/>
    </row>
    <row r="678" spans="1:15" ht="12.75" customHeight="1" outlineLevel="1" x14ac:dyDescent="0.2">
      <c r="A678" s="988" t="s">
        <v>5450</v>
      </c>
      <c r="B678" s="989" t="s">
        <v>5429</v>
      </c>
      <c r="C678" s="990" t="s">
        <v>100</v>
      </c>
      <c r="D678" s="991">
        <v>23.86</v>
      </c>
      <c r="E678" s="622"/>
      <c r="F678" s="334"/>
      <c r="G678" s="334"/>
      <c r="H678" s="602"/>
      <c r="I678" s="334"/>
      <c r="J678" s="334"/>
      <c r="K678" s="334"/>
      <c r="L678" s="334"/>
      <c r="M678" s="334"/>
      <c r="N678" s="334"/>
      <c r="O678" s="334"/>
    </row>
    <row r="679" spans="1:15" ht="12.75" customHeight="1" outlineLevel="1" x14ac:dyDescent="0.2">
      <c r="A679" s="980" t="s">
        <v>1725</v>
      </c>
      <c r="B679" s="981" t="s">
        <v>1079</v>
      </c>
      <c r="C679" s="982"/>
      <c r="D679" s="983"/>
      <c r="E679" s="622"/>
      <c r="F679" s="334"/>
      <c r="G679" s="334"/>
      <c r="H679" s="602"/>
      <c r="I679" s="334"/>
      <c r="J679" s="334"/>
      <c r="K679" s="334"/>
      <c r="L679" s="334"/>
      <c r="M679" s="334"/>
      <c r="N679" s="334"/>
      <c r="O679" s="334"/>
    </row>
    <row r="680" spans="1:15" ht="12.75" customHeight="1" outlineLevel="1" x14ac:dyDescent="0.2">
      <c r="A680" s="984" t="s">
        <v>1726</v>
      </c>
      <c r="B680" s="985" t="s">
        <v>5412</v>
      </c>
      <c r="C680" s="986" t="s">
        <v>100</v>
      </c>
      <c r="D680" s="987">
        <v>23.27</v>
      </c>
      <c r="E680" s="622"/>
      <c r="F680" s="334"/>
      <c r="G680" s="334"/>
      <c r="H680" s="602"/>
      <c r="I680" s="334"/>
      <c r="J680" s="334"/>
      <c r="K680" s="334"/>
      <c r="L680" s="334"/>
      <c r="M680" s="334"/>
      <c r="N680" s="334"/>
      <c r="O680" s="334"/>
    </row>
    <row r="681" spans="1:15" ht="12.75" customHeight="1" outlineLevel="1" x14ac:dyDescent="0.2">
      <c r="A681" s="988" t="s">
        <v>1727</v>
      </c>
      <c r="B681" s="989" t="s">
        <v>5414</v>
      </c>
      <c r="C681" s="990" t="s">
        <v>100</v>
      </c>
      <c r="D681" s="991">
        <v>83.59</v>
      </c>
      <c r="E681" s="622"/>
      <c r="F681" s="334"/>
      <c r="G681" s="334"/>
      <c r="H681" s="602"/>
      <c r="I681" s="334"/>
      <c r="J681" s="334"/>
      <c r="K681" s="334"/>
      <c r="L681" s="334"/>
      <c r="M681" s="334"/>
      <c r="N681" s="334"/>
      <c r="O681" s="334"/>
    </row>
    <row r="682" spans="1:15" ht="12.75" customHeight="1" outlineLevel="1" x14ac:dyDescent="0.2">
      <c r="A682" s="984" t="s">
        <v>1728</v>
      </c>
      <c r="B682" s="985" t="s">
        <v>1110</v>
      </c>
      <c r="C682" s="986" t="s">
        <v>100</v>
      </c>
      <c r="D682" s="987">
        <v>46.4</v>
      </c>
      <c r="E682" s="622"/>
      <c r="F682" s="334"/>
      <c r="G682" s="334"/>
      <c r="H682" s="602"/>
      <c r="I682" s="334"/>
      <c r="J682" s="334"/>
      <c r="K682" s="334"/>
      <c r="L682" s="334"/>
      <c r="M682" s="334"/>
      <c r="N682" s="334"/>
      <c r="O682" s="334"/>
    </row>
    <row r="683" spans="1:15" ht="12.75" customHeight="1" outlineLevel="1" x14ac:dyDescent="0.2">
      <c r="A683" s="988" t="s">
        <v>1729</v>
      </c>
      <c r="B683" s="989" t="s">
        <v>5417</v>
      </c>
      <c r="C683" s="990" t="s">
        <v>100</v>
      </c>
      <c r="D683" s="991">
        <v>17.87</v>
      </c>
      <c r="E683" s="622"/>
      <c r="F683" s="334"/>
      <c r="G683" s="334"/>
      <c r="H683" s="602"/>
      <c r="I683" s="334"/>
      <c r="J683" s="334"/>
      <c r="K683" s="334"/>
      <c r="L683" s="334"/>
      <c r="M683" s="334"/>
      <c r="N683" s="334"/>
      <c r="O683" s="334"/>
    </row>
    <row r="684" spans="1:15" ht="12.75" customHeight="1" outlineLevel="1" x14ac:dyDescent="0.2">
      <c r="A684" s="984" t="s">
        <v>1730</v>
      </c>
      <c r="B684" s="985" t="s">
        <v>5405</v>
      </c>
      <c r="C684" s="986" t="s">
        <v>100</v>
      </c>
      <c r="D684" s="987">
        <v>20.66</v>
      </c>
      <c r="E684" s="622"/>
      <c r="F684" s="334"/>
      <c r="G684" s="334"/>
      <c r="H684" s="602"/>
      <c r="I684" s="334"/>
      <c r="J684" s="334"/>
      <c r="K684" s="334"/>
      <c r="L684" s="334"/>
      <c r="M684" s="334"/>
      <c r="N684" s="334"/>
      <c r="O684" s="334"/>
    </row>
    <row r="685" spans="1:15" ht="12.75" customHeight="1" outlineLevel="1" x14ac:dyDescent="0.2">
      <c r="A685" s="988" t="s">
        <v>1731</v>
      </c>
      <c r="B685" s="989" t="s">
        <v>5420</v>
      </c>
      <c r="C685" s="990" t="s">
        <v>100</v>
      </c>
      <c r="D685" s="991">
        <v>23.69</v>
      </c>
      <c r="E685" s="622"/>
      <c r="F685" s="334"/>
      <c r="G685" s="334"/>
      <c r="H685" s="602"/>
      <c r="I685" s="334"/>
      <c r="J685" s="334"/>
      <c r="K685" s="334"/>
      <c r="L685" s="334"/>
      <c r="M685" s="334"/>
      <c r="N685" s="334"/>
      <c r="O685" s="334"/>
    </row>
    <row r="686" spans="1:15" ht="12.75" customHeight="1" outlineLevel="1" x14ac:dyDescent="0.2">
      <c r="A686" s="984" t="s">
        <v>1732</v>
      </c>
      <c r="B686" s="985" t="s">
        <v>5422</v>
      </c>
      <c r="C686" s="986" t="s">
        <v>100</v>
      </c>
      <c r="D686" s="987">
        <v>10.27</v>
      </c>
      <c r="E686" s="622"/>
      <c r="F686" s="334"/>
      <c r="G686" s="334"/>
      <c r="H686" s="602"/>
      <c r="I686" s="334"/>
      <c r="J686" s="334"/>
      <c r="K686" s="334"/>
      <c r="L686" s="334"/>
      <c r="M686" s="334"/>
      <c r="N686" s="334"/>
      <c r="O686" s="334"/>
    </row>
    <row r="687" spans="1:15" ht="12.75" customHeight="1" outlineLevel="1" x14ac:dyDescent="0.2">
      <c r="A687" s="988" t="s">
        <v>1733</v>
      </c>
      <c r="B687" s="989" t="s">
        <v>5424</v>
      </c>
      <c r="C687" s="990" t="s">
        <v>100</v>
      </c>
      <c r="D687" s="991">
        <v>10.64</v>
      </c>
      <c r="E687" s="622"/>
      <c r="F687" s="334"/>
      <c r="G687" s="334"/>
      <c r="H687" s="602"/>
      <c r="I687" s="334"/>
      <c r="J687" s="334"/>
      <c r="K687" s="334"/>
      <c r="L687" s="334"/>
      <c r="M687" s="334"/>
      <c r="N687" s="334"/>
      <c r="O687" s="334"/>
    </row>
    <row r="688" spans="1:15" ht="12.75" customHeight="1" outlineLevel="1" x14ac:dyDescent="0.2">
      <c r="A688" s="984" t="s">
        <v>1734</v>
      </c>
      <c r="B688" s="985" t="s">
        <v>5407</v>
      </c>
      <c r="C688" s="986" t="s">
        <v>100</v>
      </c>
      <c r="D688" s="987">
        <v>7.85</v>
      </c>
      <c r="E688" s="622"/>
      <c r="F688" s="334"/>
      <c r="G688" s="334"/>
      <c r="H688" s="602"/>
      <c r="I688" s="334"/>
      <c r="J688" s="334"/>
      <c r="K688" s="334"/>
      <c r="L688" s="334"/>
      <c r="M688" s="334"/>
      <c r="N688" s="334"/>
      <c r="O688" s="334"/>
    </row>
    <row r="689" spans="1:15" ht="12.75" customHeight="1" outlineLevel="1" x14ac:dyDescent="0.2">
      <c r="A689" s="988" t="s">
        <v>1735</v>
      </c>
      <c r="B689" s="989" t="s">
        <v>5429</v>
      </c>
      <c r="C689" s="990" t="s">
        <v>100</v>
      </c>
      <c r="D689" s="991">
        <v>23.86</v>
      </c>
      <c r="E689" s="622"/>
      <c r="F689" s="334"/>
      <c r="G689" s="334"/>
      <c r="H689" s="602"/>
      <c r="I689" s="334"/>
      <c r="J689" s="334"/>
      <c r="K689" s="334"/>
      <c r="L689" s="334"/>
      <c r="M689" s="334"/>
      <c r="N689" s="334"/>
      <c r="O689" s="334"/>
    </row>
    <row r="690" spans="1:15" ht="12.75" customHeight="1" outlineLevel="1" x14ac:dyDescent="0.2">
      <c r="A690" s="980" t="s">
        <v>1736</v>
      </c>
      <c r="B690" s="981" t="s">
        <v>1086</v>
      </c>
      <c r="C690" s="982"/>
      <c r="D690" s="983"/>
      <c r="E690" s="622"/>
      <c r="F690" s="334"/>
      <c r="G690" s="334"/>
      <c r="H690" s="602"/>
      <c r="I690" s="334"/>
      <c r="J690" s="334"/>
      <c r="K690" s="334"/>
      <c r="L690" s="334"/>
      <c r="M690" s="334"/>
      <c r="N690" s="334"/>
      <c r="O690" s="334"/>
    </row>
    <row r="691" spans="1:15" ht="12.75" customHeight="1" outlineLevel="1" x14ac:dyDescent="0.2">
      <c r="A691" s="984" t="s">
        <v>1737</v>
      </c>
      <c r="B691" s="985" t="s">
        <v>5412</v>
      </c>
      <c r="C691" s="986" t="s">
        <v>100</v>
      </c>
      <c r="D691" s="987">
        <v>23.27</v>
      </c>
      <c r="E691" s="622"/>
      <c r="F691" s="334"/>
      <c r="G691" s="334"/>
      <c r="H691" s="602"/>
      <c r="I691" s="334"/>
      <c r="J691" s="334"/>
      <c r="K691" s="334"/>
      <c r="L691" s="334"/>
      <c r="M691" s="334"/>
      <c r="N691" s="334"/>
      <c r="O691" s="334"/>
    </row>
    <row r="692" spans="1:15" ht="12.75" customHeight="1" outlineLevel="1" x14ac:dyDescent="0.2">
      <c r="A692" s="988" t="s">
        <v>5451</v>
      </c>
      <c r="B692" s="989" t="s">
        <v>5414</v>
      </c>
      <c r="C692" s="990" t="s">
        <v>100</v>
      </c>
      <c r="D692" s="991">
        <v>83.59</v>
      </c>
      <c r="E692" s="622"/>
      <c r="F692" s="334"/>
      <c r="G692" s="334"/>
      <c r="H692" s="602"/>
      <c r="I692" s="334"/>
      <c r="J692" s="334"/>
      <c r="K692" s="334"/>
      <c r="L692" s="334"/>
      <c r="M692" s="334"/>
      <c r="N692" s="334"/>
      <c r="O692" s="334"/>
    </row>
    <row r="693" spans="1:15" ht="12.75" customHeight="1" outlineLevel="1" x14ac:dyDescent="0.2">
      <c r="A693" s="984" t="s">
        <v>5452</v>
      </c>
      <c r="B693" s="985" t="s">
        <v>1110</v>
      </c>
      <c r="C693" s="986" t="s">
        <v>100</v>
      </c>
      <c r="D693" s="987">
        <v>46.4</v>
      </c>
      <c r="E693" s="622"/>
      <c r="F693" s="334"/>
      <c r="G693" s="334"/>
      <c r="H693" s="602"/>
      <c r="I693" s="334"/>
      <c r="J693" s="334"/>
      <c r="K693" s="334"/>
      <c r="L693" s="334"/>
      <c r="M693" s="334"/>
      <c r="N693" s="334"/>
      <c r="O693" s="334"/>
    </row>
    <row r="694" spans="1:15" ht="12.75" customHeight="1" outlineLevel="1" x14ac:dyDescent="0.2">
      <c r="A694" s="988" t="s">
        <v>5453</v>
      </c>
      <c r="B694" s="989" t="s">
        <v>5417</v>
      </c>
      <c r="C694" s="990" t="s">
        <v>100</v>
      </c>
      <c r="D694" s="991">
        <v>17.87</v>
      </c>
      <c r="E694" s="622"/>
      <c r="F694" s="334"/>
      <c r="G694" s="334"/>
      <c r="H694" s="602"/>
      <c r="I694" s="334"/>
      <c r="J694" s="334"/>
      <c r="K694" s="334"/>
      <c r="L694" s="334"/>
      <c r="M694" s="334"/>
      <c r="N694" s="334"/>
      <c r="O694" s="334"/>
    </row>
    <row r="695" spans="1:15" ht="12.75" customHeight="1" outlineLevel="1" x14ac:dyDescent="0.2">
      <c r="A695" s="984" t="s">
        <v>5454</v>
      </c>
      <c r="B695" s="985" t="s">
        <v>5405</v>
      </c>
      <c r="C695" s="986" t="s">
        <v>100</v>
      </c>
      <c r="D695" s="987">
        <v>20.66</v>
      </c>
      <c r="E695" s="622"/>
      <c r="F695" s="334"/>
      <c r="G695" s="334"/>
      <c r="H695" s="602"/>
      <c r="I695" s="334"/>
      <c r="J695" s="334"/>
      <c r="K695" s="334"/>
      <c r="L695" s="334"/>
      <c r="M695" s="334"/>
      <c r="N695" s="334"/>
      <c r="O695" s="334"/>
    </row>
    <row r="696" spans="1:15" ht="12.75" customHeight="1" outlineLevel="1" x14ac:dyDescent="0.2">
      <c r="A696" s="988" t="s">
        <v>5455</v>
      </c>
      <c r="B696" s="989" t="s">
        <v>5420</v>
      </c>
      <c r="C696" s="990" t="s">
        <v>100</v>
      </c>
      <c r="D696" s="991">
        <v>23.69</v>
      </c>
      <c r="E696" s="622"/>
      <c r="F696" s="334"/>
      <c r="G696" s="334"/>
      <c r="H696" s="602"/>
      <c r="I696" s="334"/>
      <c r="J696" s="334"/>
      <c r="K696" s="334"/>
      <c r="L696" s="334"/>
      <c r="M696" s="334"/>
      <c r="N696" s="334"/>
      <c r="O696" s="334"/>
    </row>
    <row r="697" spans="1:15" ht="12.75" customHeight="1" outlineLevel="1" x14ac:dyDescent="0.2">
      <c r="A697" s="984" t="s">
        <v>5456</v>
      </c>
      <c r="B697" s="985" t="s">
        <v>5422</v>
      </c>
      <c r="C697" s="986" t="s">
        <v>100</v>
      </c>
      <c r="D697" s="987">
        <v>10.27</v>
      </c>
      <c r="E697" s="622"/>
      <c r="F697" s="334"/>
      <c r="G697" s="334"/>
      <c r="H697" s="602"/>
      <c r="I697" s="334"/>
      <c r="J697" s="334"/>
      <c r="K697" s="334"/>
      <c r="L697" s="334"/>
      <c r="M697" s="334"/>
      <c r="N697" s="334"/>
      <c r="O697" s="334"/>
    </row>
    <row r="698" spans="1:15" ht="12.75" customHeight="1" outlineLevel="1" x14ac:dyDescent="0.2">
      <c r="A698" s="988" t="s">
        <v>5457</v>
      </c>
      <c r="B698" s="989" t="s">
        <v>5424</v>
      </c>
      <c r="C698" s="990" t="s">
        <v>100</v>
      </c>
      <c r="D698" s="991">
        <v>10.64</v>
      </c>
      <c r="E698" s="622"/>
      <c r="F698" s="334"/>
      <c r="G698" s="334"/>
      <c r="H698" s="602"/>
      <c r="I698" s="334"/>
      <c r="J698" s="334"/>
      <c r="K698" s="334"/>
      <c r="L698" s="334"/>
      <c r="M698" s="334"/>
      <c r="N698" s="334"/>
      <c r="O698" s="334"/>
    </row>
    <row r="699" spans="1:15" ht="12.75" customHeight="1" outlineLevel="1" x14ac:dyDescent="0.2">
      <c r="A699" s="984" t="s">
        <v>5458</v>
      </c>
      <c r="B699" s="985" t="s">
        <v>5407</v>
      </c>
      <c r="C699" s="986" t="s">
        <v>100</v>
      </c>
      <c r="D699" s="987">
        <v>7.85</v>
      </c>
      <c r="E699" s="622"/>
      <c r="F699" s="334"/>
      <c r="G699" s="334"/>
      <c r="H699" s="602"/>
      <c r="I699" s="334"/>
      <c r="J699" s="334"/>
      <c r="K699" s="334"/>
      <c r="L699" s="334"/>
      <c r="M699" s="334"/>
      <c r="N699" s="334"/>
      <c r="O699" s="334"/>
    </row>
    <row r="700" spans="1:15" ht="12.75" customHeight="1" outlineLevel="1" x14ac:dyDescent="0.2">
      <c r="A700" s="988" t="s">
        <v>5459</v>
      </c>
      <c r="B700" s="989" t="s">
        <v>5429</v>
      </c>
      <c r="C700" s="990" t="s">
        <v>100</v>
      </c>
      <c r="D700" s="991">
        <v>23.86</v>
      </c>
      <c r="E700" s="622"/>
      <c r="F700" s="334"/>
      <c r="G700" s="334"/>
      <c r="H700" s="602"/>
      <c r="I700" s="334"/>
      <c r="J700" s="334"/>
      <c r="K700" s="334"/>
      <c r="L700" s="334"/>
      <c r="M700" s="334"/>
      <c r="N700" s="334"/>
      <c r="O700" s="334"/>
    </row>
    <row r="701" spans="1:15" ht="12.75" customHeight="1" outlineLevel="1" x14ac:dyDescent="0.2">
      <c r="A701" s="980" t="s">
        <v>1738</v>
      </c>
      <c r="B701" s="981" t="s">
        <v>1094</v>
      </c>
      <c r="C701" s="982"/>
      <c r="D701" s="983"/>
      <c r="E701" s="622"/>
      <c r="F701" s="334"/>
      <c r="G701" s="334"/>
      <c r="H701" s="602"/>
      <c r="I701" s="334"/>
      <c r="J701" s="334"/>
      <c r="K701" s="334"/>
      <c r="L701" s="334"/>
      <c r="M701" s="334"/>
      <c r="N701" s="334"/>
      <c r="O701" s="334"/>
    </row>
    <row r="702" spans="1:15" ht="12.75" customHeight="1" outlineLevel="1" x14ac:dyDescent="0.2">
      <c r="A702" s="984" t="s">
        <v>1739</v>
      </c>
      <c r="B702" s="985" t="s">
        <v>5412</v>
      </c>
      <c r="C702" s="986" t="s">
        <v>100</v>
      </c>
      <c r="D702" s="987">
        <v>23.27</v>
      </c>
      <c r="E702" s="622"/>
      <c r="F702" s="334"/>
      <c r="G702" s="334"/>
      <c r="H702" s="602"/>
      <c r="I702" s="334"/>
      <c r="J702" s="334"/>
      <c r="K702" s="334"/>
      <c r="L702" s="334"/>
      <c r="M702" s="334"/>
      <c r="N702" s="334"/>
      <c r="O702" s="334"/>
    </row>
    <row r="703" spans="1:15" ht="12.75" customHeight="1" outlineLevel="1" x14ac:dyDescent="0.2">
      <c r="A703" s="988" t="s">
        <v>1740</v>
      </c>
      <c r="B703" s="989" t="s">
        <v>5414</v>
      </c>
      <c r="C703" s="990" t="s">
        <v>100</v>
      </c>
      <c r="D703" s="991">
        <v>83.59</v>
      </c>
      <c r="E703" s="622"/>
      <c r="F703" s="334"/>
      <c r="G703" s="334"/>
      <c r="H703" s="602"/>
      <c r="I703" s="334"/>
      <c r="J703" s="334"/>
      <c r="K703" s="334"/>
      <c r="L703" s="334"/>
      <c r="M703" s="334"/>
      <c r="N703" s="334"/>
      <c r="O703" s="334"/>
    </row>
    <row r="704" spans="1:15" ht="12.75" customHeight="1" outlineLevel="1" x14ac:dyDescent="0.2">
      <c r="A704" s="984" t="s">
        <v>1741</v>
      </c>
      <c r="B704" s="985" t="s">
        <v>1110</v>
      </c>
      <c r="C704" s="986" t="s">
        <v>100</v>
      </c>
      <c r="D704" s="987">
        <v>46.4</v>
      </c>
      <c r="E704" s="622"/>
      <c r="F704" s="334"/>
      <c r="G704" s="334"/>
      <c r="H704" s="602"/>
      <c r="I704" s="334"/>
      <c r="J704" s="334"/>
      <c r="K704" s="334"/>
      <c r="L704" s="334"/>
      <c r="M704" s="334"/>
      <c r="N704" s="334"/>
      <c r="O704" s="334"/>
    </row>
    <row r="705" spans="1:15" ht="12.75" customHeight="1" outlineLevel="1" x14ac:dyDescent="0.2">
      <c r="A705" s="988" t="s">
        <v>1742</v>
      </c>
      <c r="B705" s="989" t="s">
        <v>5417</v>
      </c>
      <c r="C705" s="990" t="s">
        <v>100</v>
      </c>
      <c r="D705" s="991">
        <v>17.87</v>
      </c>
      <c r="E705" s="622"/>
      <c r="F705" s="334"/>
      <c r="G705" s="334"/>
      <c r="H705" s="602"/>
      <c r="I705" s="334"/>
      <c r="J705" s="334"/>
      <c r="K705" s="334"/>
      <c r="L705" s="334"/>
      <c r="M705" s="334"/>
      <c r="N705" s="334"/>
      <c r="O705" s="334"/>
    </row>
    <row r="706" spans="1:15" ht="12.75" customHeight="1" outlineLevel="1" x14ac:dyDescent="0.2">
      <c r="A706" s="984" t="s">
        <v>1743</v>
      </c>
      <c r="B706" s="985" t="s">
        <v>5405</v>
      </c>
      <c r="C706" s="986" t="s">
        <v>100</v>
      </c>
      <c r="D706" s="987">
        <v>20.66</v>
      </c>
      <c r="E706" s="622"/>
      <c r="F706" s="334"/>
      <c r="G706" s="334"/>
      <c r="H706" s="602"/>
      <c r="I706" s="334"/>
      <c r="J706" s="334"/>
      <c r="K706" s="334"/>
      <c r="L706" s="334"/>
      <c r="M706" s="334"/>
      <c r="N706" s="334"/>
      <c r="O706" s="334"/>
    </row>
    <row r="707" spans="1:15" ht="12.75" customHeight="1" outlineLevel="1" x14ac:dyDescent="0.2">
      <c r="A707" s="988" t="s">
        <v>1744</v>
      </c>
      <c r="B707" s="989" t="s">
        <v>5420</v>
      </c>
      <c r="C707" s="990" t="s">
        <v>100</v>
      </c>
      <c r="D707" s="991">
        <v>23.69</v>
      </c>
      <c r="E707" s="622"/>
      <c r="F707" s="334"/>
      <c r="G707" s="334"/>
      <c r="H707" s="602"/>
      <c r="I707" s="334"/>
      <c r="J707" s="334"/>
      <c r="K707" s="334"/>
      <c r="L707" s="334"/>
      <c r="M707" s="334"/>
      <c r="N707" s="334"/>
      <c r="O707" s="334"/>
    </row>
    <row r="708" spans="1:15" ht="12.75" customHeight="1" outlineLevel="1" x14ac:dyDescent="0.2">
      <c r="A708" s="984" t="s">
        <v>1745</v>
      </c>
      <c r="B708" s="985" t="s">
        <v>5422</v>
      </c>
      <c r="C708" s="986" t="s">
        <v>100</v>
      </c>
      <c r="D708" s="987">
        <v>10.27</v>
      </c>
      <c r="E708" s="622"/>
      <c r="F708" s="334"/>
      <c r="G708" s="334"/>
      <c r="H708" s="602"/>
      <c r="I708" s="334"/>
      <c r="J708" s="334"/>
      <c r="K708" s="334"/>
      <c r="L708" s="334"/>
      <c r="M708" s="334"/>
      <c r="N708" s="334"/>
      <c r="O708" s="334"/>
    </row>
    <row r="709" spans="1:15" ht="12.75" customHeight="1" outlineLevel="1" x14ac:dyDescent="0.2">
      <c r="A709" s="988" t="s">
        <v>1746</v>
      </c>
      <c r="B709" s="989" t="s">
        <v>5424</v>
      </c>
      <c r="C709" s="990" t="s">
        <v>100</v>
      </c>
      <c r="D709" s="991">
        <v>10.64</v>
      </c>
      <c r="E709" s="622"/>
      <c r="F709" s="334"/>
      <c r="G709" s="334"/>
      <c r="H709" s="602"/>
      <c r="I709" s="334"/>
      <c r="J709" s="334"/>
      <c r="K709" s="334"/>
      <c r="L709" s="334"/>
      <c r="M709" s="334"/>
      <c r="N709" s="334"/>
      <c r="O709" s="334"/>
    </row>
    <row r="710" spans="1:15" ht="12.75" customHeight="1" outlineLevel="1" x14ac:dyDescent="0.2">
      <c r="A710" s="984" t="s">
        <v>1747</v>
      </c>
      <c r="B710" s="985" t="s">
        <v>5407</v>
      </c>
      <c r="C710" s="986" t="s">
        <v>100</v>
      </c>
      <c r="D710" s="987">
        <v>7.85</v>
      </c>
      <c r="E710" s="622"/>
      <c r="F710" s="334"/>
      <c r="G710" s="334"/>
      <c r="H710" s="602"/>
      <c r="I710" s="334"/>
      <c r="J710" s="334"/>
      <c r="K710" s="334"/>
      <c r="L710" s="334"/>
      <c r="M710" s="334"/>
      <c r="N710" s="334"/>
      <c r="O710" s="334"/>
    </row>
    <row r="711" spans="1:15" ht="12.75" customHeight="1" outlineLevel="1" x14ac:dyDescent="0.2">
      <c r="A711" s="988" t="s">
        <v>1748</v>
      </c>
      <c r="B711" s="989" t="s">
        <v>5429</v>
      </c>
      <c r="C711" s="990" t="s">
        <v>100</v>
      </c>
      <c r="D711" s="991">
        <v>23.86</v>
      </c>
      <c r="E711" s="622"/>
      <c r="F711" s="334"/>
      <c r="G711" s="334"/>
      <c r="H711" s="602"/>
      <c r="I711" s="334"/>
      <c r="J711" s="334"/>
      <c r="K711" s="334"/>
      <c r="L711" s="334"/>
      <c r="M711" s="334"/>
      <c r="N711" s="334"/>
      <c r="O711" s="334"/>
    </row>
    <row r="712" spans="1:15" ht="12.75" customHeight="1" outlineLevel="1" x14ac:dyDescent="0.2">
      <c r="A712" s="980" t="s">
        <v>1749</v>
      </c>
      <c r="B712" s="981" t="s">
        <v>1102</v>
      </c>
      <c r="C712" s="982"/>
      <c r="D712" s="983"/>
      <c r="E712" s="622"/>
      <c r="F712" s="334"/>
      <c r="G712" s="334"/>
      <c r="H712" s="602"/>
      <c r="I712" s="334"/>
      <c r="J712" s="334"/>
      <c r="K712" s="334"/>
      <c r="L712" s="334"/>
      <c r="M712" s="334"/>
      <c r="N712" s="334"/>
      <c r="O712" s="334"/>
    </row>
    <row r="713" spans="1:15" ht="12.75" customHeight="1" outlineLevel="1" x14ac:dyDescent="0.2">
      <c r="A713" s="984" t="s">
        <v>1750</v>
      </c>
      <c r="B713" s="985" t="s">
        <v>5412</v>
      </c>
      <c r="C713" s="986" t="s">
        <v>100</v>
      </c>
      <c r="D713" s="987">
        <v>24.28</v>
      </c>
      <c r="E713" s="622"/>
      <c r="F713" s="334"/>
      <c r="G713" s="334"/>
      <c r="H713" s="602"/>
      <c r="I713" s="334"/>
      <c r="J713" s="334"/>
      <c r="K713" s="334"/>
      <c r="L713" s="334"/>
      <c r="M713" s="334"/>
      <c r="N713" s="334"/>
      <c r="O713" s="334"/>
    </row>
    <row r="714" spans="1:15" ht="12.75" customHeight="1" outlineLevel="1" x14ac:dyDescent="0.2">
      <c r="A714" s="988" t="s">
        <v>5460</v>
      </c>
      <c r="B714" s="989" t="s">
        <v>5414</v>
      </c>
      <c r="C714" s="990" t="s">
        <v>100</v>
      </c>
      <c r="D714" s="991">
        <v>43.39</v>
      </c>
      <c r="E714" s="622"/>
      <c r="F714" s="334"/>
      <c r="G714" s="334"/>
      <c r="H714" s="602"/>
      <c r="I714" s="334"/>
      <c r="J714" s="334"/>
      <c r="K714" s="334"/>
      <c r="L714" s="334"/>
      <c r="M714" s="334"/>
      <c r="N714" s="334"/>
      <c r="O714" s="334"/>
    </row>
    <row r="715" spans="1:15" ht="12.75" customHeight="1" outlineLevel="1" x14ac:dyDescent="0.2">
      <c r="A715" s="984" t="s">
        <v>5461</v>
      </c>
      <c r="B715" s="985" t="s">
        <v>1110</v>
      </c>
      <c r="C715" s="986" t="s">
        <v>100</v>
      </c>
      <c r="D715" s="987">
        <v>38.29</v>
      </c>
      <c r="E715" s="622"/>
      <c r="F715" s="334"/>
      <c r="G715" s="334"/>
      <c r="H715" s="602"/>
      <c r="I715" s="334"/>
      <c r="J715" s="334"/>
      <c r="K715" s="334"/>
      <c r="L715" s="334"/>
      <c r="M715" s="334"/>
      <c r="N715" s="334"/>
      <c r="O715" s="334"/>
    </row>
    <row r="716" spans="1:15" ht="12.75" customHeight="1" outlineLevel="1" x14ac:dyDescent="0.2">
      <c r="A716" s="988" t="s">
        <v>5462</v>
      </c>
      <c r="B716" s="989" t="s">
        <v>5417</v>
      </c>
      <c r="C716" s="990" t="s">
        <v>100</v>
      </c>
      <c r="D716" s="991">
        <v>21.73</v>
      </c>
      <c r="E716" s="622"/>
      <c r="F716" s="334"/>
      <c r="G716" s="334"/>
      <c r="H716" s="602"/>
      <c r="I716" s="334"/>
      <c r="J716" s="334"/>
      <c r="K716" s="334"/>
      <c r="L716" s="334"/>
      <c r="M716" s="334"/>
      <c r="N716" s="334"/>
      <c r="O716" s="334"/>
    </row>
    <row r="717" spans="1:15" ht="12.75" customHeight="1" outlineLevel="1" x14ac:dyDescent="0.2">
      <c r="A717" s="984" t="s">
        <v>5463</v>
      </c>
      <c r="B717" s="985" t="s">
        <v>5420</v>
      </c>
      <c r="C717" s="986" t="s">
        <v>100</v>
      </c>
      <c r="D717" s="987">
        <v>25.38</v>
      </c>
      <c r="E717" s="622"/>
      <c r="F717" s="334"/>
      <c r="G717" s="334"/>
      <c r="H717" s="602"/>
      <c r="I717" s="334"/>
      <c r="J717" s="334"/>
      <c r="K717" s="334"/>
      <c r="L717" s="334"/>
      <c r="M717" s="334"/>
      <c r="N717" s="334"/>
      <c r="O717" s="334"/>
    </row>
    <row r="718" spans="1:15" ht="12.75" customHeight="1" outlineLevel="1" x14ac:dyDescent="0.2">
      <c r="A718" s="988" t="s">
        <v>5464</v>
      </c>
      <c r="B718" s="989" t="s">
        <v>5422</v>
      </c>
      <c r="C718" s="990" t="s">
        <v>100</v>
      </c>
      <c r="D718" s="991">
        <v>8.59</v>
      </c>
      <c r="E718" s="622"/>
      <c r="F718" s="334"/>
      <c r="G718" s="334"/>
      <c r="H718" s="602"/>
      <c r="I718" s="334"/>
      <c r="J718" s="334"/>
      <c r="K718" s="334"/>
      <c r="L718" s="334"/>
      <c r="M718" s="334"/>
      <c r="N718" s="334"/>
      <c r="O718" s="334"/>
    </row>
    <row r="719" spans="1:15" ht="12.75" customHeight="1" outlineLevel="1" x14ac:dyDescent="0.2">
      <c r="A719" s="984" t="s">
        <v>5465</v>
      </c>
      <c r="B719" s="985" t="s">
        <v>5424</v>
      </c>
      <c r="C719" s="986" t="s">
        <v>100</v>
      </c>
      <c r="D719" s="987">
        <v>13.62</v>
      </c>
      <c r="E719" s="622"/>
      <c r="F719" s="334"/>
      <c r="G719" s="334"/>
      <c r="H719" s="602"/>
      <c r="I719" s="334"/>
      <c r="J719" s="334"/>
      <c r="K719" s="334"/>
      <c r="L719" s="334"/>
      <c r="M719" s="334"/>
      <c r="N719" s="334"/>
      <c r="O719" s="334"/>
    </row>
    <row r="720" spans="1:15" ht="12.75" customHeight="1" outlineLevel="1" x14ac:dyDescent="0.2">
      <c r="A720" s="988" t="s">
        <v>5466</v>
      </c>
      <c r="B720" s="989" t="s">
        <v>5411</v>
      </c>
      <c r="C720" s="990" t="s">
        <v>100</v>
      </c>
      <c r="D720" s="991">
        <v>110.87</v>
      </c>
      <c r="E720" s="622"/>
      <c r="F720" s="334"/>
      <c r="G720" s="334"/>
      <c r="H720" s="602"/>
      <c r="I720" s="334"/>
      <c r="J720" s="334"/>
      <c r="K720" s="334"/>
      <c r="L720" s="334"/>
      <c r="M720" s="334"/>
      <c r="N720" s="334"/>
      <c r="O720" s="334"/>
    </row>
    <row r="721" spans="1:15" ht="12.75" customHeight="1" outlineLevel="1" x14ac:dyDescent="0.2">
      <c r="A721" s="980" t="s">
        <v>1751</v>
      </c>
      <c r="B721" s="981" t="s">
        <v>1112</v>
      </c>
      <c r="C721" s="982"/>
      <c r="D721" s="983"/>
      <c r="E721" s="622"/>
      <c r="F721" s="334"/>
      <c r="G721" s="334"/>
      <c r="H721" s="602"/>
      <c r="I721" s="334"/>
      <c r="J721" s="334"/>
      <c r="K721" s="334"/>
      <c r="L721" s="334"/>
      <c r="M721" s="334"/>
      <c r="N721" s="334"/>
      <c r="O721" s="334"/>
    </row>
    <row r="722" spans="1:15" ht="12.75" customHeight="1" outlineLevel="1" x14ac:dyDescent="0.2">
      <c r="A722" s="984" t="s">
        <v>1752</v>
      </c>
      <c r="B722" s="985" t="s">
        <v>5412</v>
      </c>
      <c r="C722" s="986" t="s">
        <v>100</v>
      </c>
      <c r="D722" s="987">
        <v>11.84</v>
      </c>
      <c r="E722" s="622"/>
      <c r="F722" s="334"/>
      <c r="G722" s="334"/>
      <c r="H722" s="602"/>
      <c r="I722" s="334"/>
      <c r="J722" s="334"/>
      <c r="K722" s="334"/>
      <c r="L722" s="334"/>
      <c r="M722" s="334"/>
      <c r="N722" s="334"/>
      <c r="O722" s="334"/>
    </row>
    <row r="723" spans="1:15" ht="12.75" customHeight="1" outlineLevel="1" x14ac:dyDescent="0.2">
      <c r="A723" s="988" t="s">
        <v>1753</v>
      </c>
      <c r="B723" s="989" t="s">
        <v>5414</v>
      </c>
      <c r="C723" s="990" t="s">
        <v>100</v>
      </c>
      <c r="D723" s="991">
        <v>32.340000000000003</v>
      </c>
      <c r="E723" s="622"/>
      <c r="F723" s="334"/>
      <c r="G723" s="334"/>
      <c r="H723" s="602"/>
      <c r="I723" s="334"/>
      <c r="J723" s="334"/>
      <c r="K723" s="334"/>
      <c r="L723" s="334"/>
      <c r="M723" s="334"/>
      <c r="N723" s="334"/>
      <c r="O723" s="334"/>
    </row>
    <row r="724" spans="1:15" ht="12.75" customHeight="1" outlineLevel="1" x14ac:dyDescent="0.2">
      <c r="A724" s="984" t="s">
        <v>1754</v>
      </c>
      <c r="B724" s="985" t="s">
        <v>1110</v>
      </c>
      <c r="C724" s="986" t="s">
        <v>100</v>
      </c>
      <c r="D724" s="987">
        <v>38.01</v>
      </c>
      <c r="E724" s="622"/>
      <c r="F724" s="334"/>
      <c r="G724" s="334"/>
      <c r="H724" s="602"/>
      <c r="I724" s="334"/>
      <c r="J724" s="334"/>
      <c r="K724" s="334"/>
      <c r="L724" s="334"/>
      <c r="M724" s="334"/>
      <c r="N724" s="334"/>
      <c r="O724" s="334"/>
    </row>
    <row r="725" spans="1:15" ht="12.75" customHeight="1" outlineLevel="1" x14ac:dyDescent="0.2">
      <c r="A725" s="988" t="s">
        <v>1755</v>
      </c>
      <c r="B725" s="989" t="s">
        <v>5417</v>
      </c>
      <c r="C725" s="990" t="s">
        <v>100</v>
      </c>
      <c r="D725" s="991">
        <v>16.77</v>
      </c>
      <c r="E725" s="622"/>
      <c r="F725" s="334"/>
      <c r="G725" s="334"/>
      <c r="H725" s="602"/>
      <c r="I725" s="334"/>
      <c r="J725" s="334"/>
      <c r="K725" s="334"/>
      <c r="L725" s="334"/>
      <c r="M725" s="334"/>
      <c r="N725" s="334"/>
      <c r="O725" s="334"/>
    </row>
    <row r="726" spans="1:15" ht="12.75" customHeight="1" outlineLevel="1" x14ac:dyDescent="0.2">
      <c r="A726" s="984" t="s">
        <v>1756</v>
      </c>
      <c r="B726" s="985" t="s">
        <v>5420</v>
      </c>
      <c r="C726" s="986" t="s">
        <v>100</v>
      </c>
      <c r="D726" s="987">
        <v>13.1</v>
      </c>
      <c r="E726" s="622"/>
      <c r="F726" s="334"/>
      <c r="G726" s="334"/>
      <c r="H726" s="602"/>
      <c r="I726" s="334"/>
      <c r="J726" s="334"/>
      <c r="K726" s="334"/>
      <c r="L726" s="334"/>
      <c r="M726" s="334"/>
      <c r="N726" s="334"/>
      <c r="O726" s="334"/>
    </row>
    <row r="727" spans="1:15" ht="12.75" customHeight="1" outlineLevel="1" x14ac:dyDescent="0.2">
      <c r="A727" s="988" t="s">
        <v>1757</v>
      </c>
      <c r="B727" s="989" t="s">
        <v>5422</v>
      </c>
      <c r="C727" s="990" t="s">
        <v>100</v>
      </c>
      <c r="D727" s="991">
        <v>4.57</v>
      </c>
      <c r="E727" s="622"/>
      <c r="F727" s="334"/>
      <c r="G727" s="334"/>
      <c r="H727" s="602"/>
      <c r="I727" s="334"/>
      <c r="J727" s="334"/>
      <c r="K727" s="334"/>
      <c r="L727" s="334"/>
      <c r="M727" s="334"/>
      <c r="N727" s="334"/>
      <c r="O727" s="334"/>
    </row>
    <row r="728" spans="1:15" ht="12.75" customHeight="1" outlineLevel="1" x14ac:dyDescent="0.2">
      <c r="A728" s="984" t="s">
        <v>1758</v>
      </c>
      <c r="B728" s="985" t="s">
        <v>5424</v>
      </c>
      <c r="C728" s="986" t="s">
        <v>100</v>
      </c>
      <c r="D728" s="987">
        <v>10.050000000000001</v>
      </c>
      <c r="E728" s="622"/>
      <c r="F728" s="334"/>
      <c r="G728" s="334"/>
      <c r="H728" s="602"/>
      <c r="I728" s="334"/>
      <c r="J728" s="334"/>
      <c r="K728" s="334"/>
      <c r="L728" s="334"/>
      <c r="M728" s="334"/>
      <c r="N728" s="334"/>
      <c r="O728" s="334"/>
    </row>
    <row r="729" spans="1:15" ht="12.75" customHeight="1" outlineLevel="1" x14ac:dyDescent="0.2">
      <c r="A729" s="980" t="s">
        <v>1759</v>
      </c>
      <c r="B729" s="981" t="s">
        <v>1120</v>
      </c>
      <c r="C729" s="982"/>
      <c r="D729" s="983"/>
      <c r="E729" s="622"/>
      <c r="F729" s="334"/>
      <c r="G729" s="334"/>
      <c r="H729" s="602"/>
      <c r="I729" s="334"/>
      <c r="J729" s="334"/>
      <c r="K729" s="334"/>
      <c r="L729" s="334"/>
      <c r="M729" s="334"/>
      <c r="N729" s="334"/>
      <c r="O729" s="334"/>
    </row>
    <row r="730" spans="1:15" ht="12.75" customHeight="1" outlineLevel="1" x14ac:dyDescent="0.2">
      <c r="A730" s="988" t="s">
        <v>1760</v>
      </c>
      <c r="B730" s="989" t="s">
        <v>5467</v>
      </c>
      <c r="C730" s="990" t="s">
        <v>100</v>
      </c>
      <c r="D730" s="991">
        <v>35.29</v>
      </c>
      <c r="E730" s="622"/>
      <c r="F730" s="334"/>
      <c r="G730" s="334"/>
      <c r="H730" s="602"/>
      <c r="I730" s="334"/>
      <c r="J730" s="334"/>
      <c r="K730" s="334"/>
      <c r="L730" s="334"/>
      <c r="M730" s="334"/>
      <c r="N730" s="334"/>
      <c r="O730" s="334"/>
    </row>
    <row r="731" spans="1:15" ht="12.75" customHeight="1" outlineLevel="1" x14ac:dyDescent="0.2">
      <c r="A731" s="984" t="s">
        <v>5468</v>
      </c>
      <c r="B731" s="985" t="s">
        <v>1110</v>
      </c>
      <c r="C731" s="986" t="s">
        <v>100</v>
      </c>
      <c r="D731" s="987">
        <v>18.05</v>
      </c>
      <c r="E731" s="622"/>
      <c r="F731" s="334"/>
      <c r="G731" s="334"/>
      <c r="H731" s="602"/>
      <c r="I731" s="334"/>
      <c r="J731" s="334"/>
      <c r="K731" s="334"/>
      <c r="L731" s="334"/>
      <c r="M731" s="334"/>
      <c r="N731" s="334"/>
      <c r="O731" s="334"/>
    </row>
    <row r="732" spans="1:15" ht="12.75" customHeight="1" outlineLevel="1" x14ac:dyDescent="0.2">
      <c r="A732" s="988" t="s">
        <v>5469</v>
      </c>
      <c r="B732" s="989" t="s">
        <v>5470</v>
      </c>
      <c r="C732" s="990" t="s">
        <v>100</v>
      </c>
      <c r="D732" s="991">
        <v>320.36</v>
      </c>
      <c r="E732" s="622"/>
      <c r="F732" s="334"/>
      <c r="G732" s="334"/>
      <c r="H732" s="602"/>
      <c r="I732" s="334"/>
      <c r="J732" s="334"/>
      <c r="K732" s="334"/>
      <c r="L732" s="334"/>
      <c r="M732" s="334"/>
      <c r="N732" s="334"/>
      <c r="O732" s="334"/>
    </row>
    <row r="733" spans="1:15" ht="12.75" customHeight="1" outlineLevel="1" x14ac:dyDescent="0.2">
      <c r="A733" s="984" t="s">
        <v>5471</v>
      </c>
      <c r="B733" s="985" t="s">
        <v>5411</v>
      </c>
      <c r="C733" s="986" t="s">
        <v>100</v>
      </c>
      <c r="D733" s="987">
        <v>9.7100000000000009</v>
      </c>
      <c r="E733" s="622"/>
      <c r="F733" s="334"/>
      <c r="G733" s="334"/>
      <c r="H733" s="602"/>
      <c r="I733" s="334"/>
      <c r="J733" s="334"/>
      <c r="K733" s="334"/>
      <c r="L733" s="334"/>
      <c r="M733" s="334"/>
      <c r="N733" s="334"/>
      <c r="O733" s="334"/>
    </row>
    <row r="734" spans="1:15" ht="12.75" customHeight="1" outlineLevel="1" x14ac:dyDescent="0.2">
      <c r="A734" s="988" t="s">
        <v>5472</v>
      </c>
      <c r="B734" s="989" t="s">
        <v>1771</v>
      </c>
      <c r="C734" s="990" t="s">
        <v>100</v>
      </c>
      <c r="D734" s="991">
        <v>174.4</v>
      </c>
      <c r="E734" s="622"/>
      <c r="F734" s="334"/>
      <c r="G734" s="334"/>
      <c r="H734" s="602"/>
      <c r="I734" s="334"/>
      <c r="J734" s="334"/>
      <c r="K734" s="334"/>
      <c r="L734" s="334"/>
      <c r="M734" s="334"/>
      <c r="N734" s="334"/>
      <c r="O734" s="334"/>
    </row>
    <row r="735" spans="1:15" ht="12.75" customHeight="1" outlineLevel="1" x14ac:dyDescent="0.2">
      <c r="A735" s="980" t="s">
        <v>1761</v>
      </c>
      <c r="B735" s="981" t="s">
        <v>1127</v>
      </c>
      <c r="C735" s="982"/>
      <c r="D735" s="983"/>
      <c r="E735" s="622"/>
      <c r="F735" s="334"/>
      <c r="G735" s="334"/>
      <c r="H735" s="602"/>
      <c r="I735" s="334"/>
      <c r="J735" s="334"/>
      <c r="K735" s="334"/>
      <c r="L735" s="334"/>
      <c r="M735" s="334"/>
      <c r="N735" s="334"/>
      <c r="O735" s="334"/>
    </row>
    <row r="736" spans="1:15" ht="12.75" customHeight="1" outlineLevel="1" x14ac:dyDescent="0.2">
      <c r="A736" s="984" t="s">
        <v>1762</v>
      </c>
      <c r="B736" s="985" t="s">
        <v>5412</v>
      </c>
      <c r="C736" s="986" t="s">
        <v>100</v>
      </c>
      <c r="D736" s="987">
        <v>2.41</v>
      </c>
      <c r="E736" s="622"/>
      <c r="F736" s="334"/>
      <c r="G736" s="334"/>
      <c r="H736" s="602"/>
      <c r="I736" s="334"/>
      <c r="J736" s="334"/>
      <c r="K736" s="334"/>
      <c r="L736" s="334"/>
      <c r="M736" s="334"/>
      <c r="N736" s="334"/>
      <c r="O736" s="334"/>
    </row>
    <row r="737" spans="1:15" ht="12.75" customHeight="1" outlineLevel="1" x14ac:dyDescent="0.2">
      <c r="A737" s="988" t="s">
        <v>5473</v>
      </c>
      <c r="B737" s="989" t="s">
        <v>1110</v>
      </c>
      <c r="C737" s="990" t="s">
        <v>100</v>
      </c>
      <c r="D737" s="991">
        <v>39.56</v>
      </c>
      <c r="E737" s="622"/>
      <c r="F737" s="334"/>
      <c r="G737" s="334"/>
      <c r="H737" s="602"/>
      <c r="I737" s="334"/>
      <c r="J737" s="334"/>
      <c r="K737" s="334"/>
      <c r="L737" s="334"/>
      <c r="M737" s="334"/>
      <c r="N737" s="334"/>
      <c r="O737" s="334"/>
    </row>
    <row r="738" spans="1:15" ht="12.75" customHeight="1" outlineLevel="1" x14ac:dyDescent="0.2">
      <c r="A738" s="984" t="s">
        <v>5474</v>
      </c>
      <c r="B738" s="985" t="s">
        <v>5470</v>
      </c>
      <c r="C738" s="986" t="s">
        <v>100</v>
      </c>
      <c r="D738" s="987">
        <v>3.97</v>
      </c>
      <c r="E738" s="622"/>
      <c r="F738" s="334"/>
      <c r="G738" s="334"/>
      <c r="H738" s="602"/>
      <c r="I738" s="334"/>
      <c r="J738" s="334"/>
      <c r="K738" s="334"/>
      <c r="L738" s="334"/>
      <c r="M738" s="334"/>
      <c r="N738" s="334"/>
      <c r="O738" s="334"/>
    </row>
    <row r="739" spans="1:15" ht="12.75" customHeight="1" outlineLevel="1" x14ac:dyDescent="0.2">
      <c r="A739" s="988" t="s">
        <v>5475</v>
      </c>
      <c r="B739" s="989" t="s">
        <v>5420</v>
      </c>
      <c r="C739" s="990" t="s">
        <v>100</v>
      </c>
      <c r="D739" s="991">
        <v>1.85</v>
      </c>
      <c r="E739" s="622"/>
      <c r="F739" s="334"/>
      <c r="G739" s="334"/>
      <c r="H739" s="602"/>
      <c r="I739" s="334"/>
      <c r="J739" s="334"/>
      <c r="K739" s="334"/>
      <c r="L739" s="334"/>
      <c r="M739" s="334"/>
      <c r="N739" s="334"/>
      <c r="O739" s="334"/>
    </row>
    <row r="740" spans="1:15" ht="12.75" customHeight="1" outlineLevel="1" x14ac:dyDescent="0.2">
      <c r="A740" s="984" t="s">
        <v>5476</v>
      </c>
      <c r="B740" s="985" t="s">
        <v>5407</v>
      </c>
      <c r="C740" s="986" t="s">
        <v>100</v>
      </c>
      <c r="D740" s="987">
        <v>57.63</v>
      </c>
      <c r="E740" s="622"/>
      <c r="F740" s="334"/>
      <c r="G740" s="334"/>
      <c r="H740" s="602"/>
      <c r="I740" s="334"/>
      <c r="J740" s="334"/>
      <c r="K740" s="334"/>
      <c r="L740" s="334"/>
      <c r="M740" s="334"/>
      <c r="N740" s="334"/>
      <c r="O740" s="334"/>
    </row>
    <row r="741" spans="1:15" ht="12.75" customHeight="1" outlineLevel="1" x14ac:dyDescent="0.2">
      <c r="A741" s="988" t="s">
        <v>5477</v>
      </c>
      <c r="B741" s="989" t="s">
        <v>5427</v>
      </c>
      <c r="C741" s="990" t="s">
        <v>100</v>
      </c>
      <c r="D741" s="991">
        <v>42.16</v>
      </c>
      <c r="E741" s="622"/>
      <c r="F741" s="334"/>
      <c r="G741" s="334"/>
      <c r="H741" s="602"/>
      <c r="I741" s="334"/>
      <c r="J741" s="334"/>
      <c r="K741" s="334"/>
      <c r="L741" s="334"/>
      <c r="M741" s="334"/>
      <c r="N741" s="334"/>
      <c r="O741" s="334"/>
    </row>
    <row r="742" spans="1:15" ht="12.75" customHeight="1" outlineLevel="1" x14ac:dyDescent="0.2">
      <c r="A742" s="984" t="s">
        <v>5478</v>
      </c>
      <c r="B742" s="985" t="s">
        <v>5411</v>
      </c>
      <c r="C742" s="986" t="s">
        <v>100</v>
      </c>
      <c r="D742" s="987">
        <v>100.05</v>
      </c>
      <c r="E742" s="622"/>
      <c r="F742" s="334"/>
      <c r="G742" s="334"/>
      <c r="H742" s="602"/>
      <c r="I742" s="334"/>
      <c r="J742" s="334"/>
      <c r="K742" s="334"/>
      <c r="L742" s="334"/>
      <c r="M742" s="334"/>
      <c r="N742" s="334"/>
      <c r="O742" s="334"/>
    </row>
    <row r="743" spans="1:15" ht="12.75" customHeight="1" outlineLevel="1" x14ac:dyDescent="0.2">
      <c r="A743" s="988" t="s">
        <v>5479</v>
      </c>
      <c r="B743" s="989" t="s">
        <v>5432</v>
      </c>
      <c r="C743" s="990" t="s">
        <v>100</v>
      </c>
      <c r="D743" s="991">
        <v>44.92</v>
      </c>
      <c r="E743" s="622"/>
      <c r="F743" s="334"/>
      <c r="G743" s="334"/>
      <c r="H743" s="602"/>
      <c r="I743" s="334"/>
      <c r="J743" s="334"/>
      <c r="K743" s="334"/>
      <c r="L743" s="334"/>
      <c r="M743" s="334"/>
      <c r="N743" s="334"/>
      <c r="O743" s="334"/>
    </row>
    <row r="744" spans="1:15" ht="12.75" customHeight="1" outlineLevel="1" x14ac:dyDescent="0.2">
      <c r="A744" s="984" t="s">
        <v>5480</v>
      </c>
      <c r="B744" s="985" t="s">
        <v>5481</v>
      </c>
      <c r="C744" s="986" t="s">
        <v>100</v>
      </c>
      <c r="D744" s="987">
        <v>0.03</v>
      </c>
      <c r="E744" s="622"/>
      <c r="F744" s="334"/>
      <c r="G744" s="334"/>
      <c r="H744" s="602"/>
      <c r="I744" s="334"/>
      <c r="J744" s="334"/>
      <c r="K744" s="334"/>
      <c r="L744" s="334"/>
      <c r="M744" s="334"/>
      <c r="N744" s="334"/>
      <c r="O744" s="334"/>
    </row>
    <row r="745" spans="1:15" ht="12.75" customHeight="1" outlineLevel="1" x14ac:dyDescent="0.2">
      <c r="A745" s="980" t="s">
        <v>1763</v>
      </c>
      <c r="B745" s="981" t="s">
        <v>1137</v>
      </c>
      <c r="C745" s="982"/>
      <c r="D745" s="983"/>
      <c r="E745" s="622"/>
      <c r="F745" s="334"/>
      <c r="G745" s="334"/>
      <c r="H745" s="602"/>
      <c r="I745" s="334"/>
      <c r="J745" s="334"/>
      <c r="K745" s="334"/>
      <c r="L745" s="334"/>
      <c r="M745" s="334"/>
      <c r="N745" s="334"/>
      <c r="O745" s="334"/>
    </row>
    <row r="746" spans="1:15" ht="12.75" customHeight="1" outlineLevel="1" x14ac:dyDescent="0.2">
      <c r="A746" s="988" t="s">
        <v>1764</v>
      </c>
      <c r="B746" s="989" t="s">
        <v>5470</v>
      </c>
      <c r="C746" s="990" t="s">
        <v>100</v>
      </c>
      <c r="D746" s="991">
        <v>9.48</v>
      </c>
      <c r="E746" s="622"/>
      <c r="F746" s="334"/>
      <c r="G746" s="334"/>
      <c r="H746" s="602"/>
      <c r="I746" s="334"/>
      <c r="J746" s="334"/>
      <c r="K746" s="334"/>
      <c r="L746" s="334"/>
      <c r="M746" s="334"/>
      <c r="N746" s="334"/>
      <c r="O746" s="334"/>
    </row>
    <row r="747" spans="1:15" ht="12.75" customHeight="1" outlineLevel="1" x14ac:dyDescent="0.2">
      <c r="A747" s="984" t="s">
        <v>5482</v>
      </c>
      <c r="B747" s="985" t="s">
        <v>5411</v>
      </c>
      <c r="C747" s="986" t="s">
        <v>100</v>
      </c>
      <c r="D747" s="987">
        <v>164.97</v>
      </c>
      <c r="E747" s="622"/>
      <c r="F747" s="334"/>
      <c r="G747" s="334"/>
      <c r="H747" s="602"/>
      <c r="I747" s="334"/>
      <c r="J747" s="334"/>
      <c r="K747" s="334"/>
      <c r="L747" s="334"/>
      <c r="M747" s="334"/>
      <c r="N747" s="334"/>
      <c r="O747" s="334"/>
    </row>
    <row r="748" spans="1:15" ht="12.75" customHeight="1" outlineLevel="1" x14ac:dyDescent="0.2">
      <c r="A748" s="988" t="s">
        <v>5483</v>
      </c>
      <c r="B748" s="989" t="s">
        <v>5484</v>
      </c>
      <c r="C748" s="990" t="s">
        <v>100</v>
      </c>
      <c r="D748" s="991">
        <v>164.91</v>
      </c>
      <c r="E748" s="622"/>
      <c r="F748" s="334"/>
      <c r="G748" s="334"/>
      <c r="H748" s="602"/>
      <c r="I748" s="334"/>
      <c r="J748" s="334"/>
      <c r="K748" s="334"/>
      <c r="L748" s="334"/>
      <c r="M748" s="334"/>
      <c r="N748" s="334"/>
      <c r="O748" s="334"/>
    </row>
    <row r="749" spans="1:15" ht="12.75" customHeight="1" outlineLevel="1" x14ac:dyDescent="0.2">
      <c r="A749" s="980" t="s">
        <v>1765</v>
      </c>
      <c r="B749" s="981" t="s">
        <v>1140</v>
      </c>
      <c r="C749" s="982"/>
      <c r="D749" s="983"/>
      <c r="E749" s="622"/>
      <c r="F749" s="334"/>
      <c r="G749" s="334"/>
      <c r="H749" s="602"/>
      <c r="I749" s="334"/>
      <c r="J749" s="334"/>
      <c r="K749" s="334"/>
      <c r="L749" s="334"/>
      <c r="M749" s="334"/>
      <c r="N749" s="334"/>
      <c r="O749" s="334"/>
    </row>
    <row r="750" spans="1:15" ht="12.75" customHeight="1" outlineLevel="1" x14ac:dyDescent="0.2">
      <c r="A750" s="984" t="s">
        <v>1766</v>
      </c>
      <c r="B750" s="985" t="s">
        <v>5485</v>
      </c>
      <c r="C750" s="986" t="s">
        <v>100</v>
      </c>
      <c r="D750" s="987">
        <v>26.18</v>
      </c>
      <c r="E750" s="622"/>
      <c r="F750" s="334"/>
      <c r="G750" s="334"/>
      <c r="H750" s="602"/>
      <c r="I750" s="334"/>
      <c r="J750" s="334"/>
      <c r="K750" s="334"/>
      <c r="L750" s="334"/>
      <c r="M750" s="334"/>
      <c r="N750" s="334"/>
      <c r="O750" s="334"/>
    </row>
    <row r="751" spans="1:15" ht="12.75" customHeight="1" outlineLevel="1" x14ac:dyDescent="0.2">
      <c r="A751" s="988" t="s">
        <v>5486</v>
      </c>
      <c r="B751" s="989" t="s">
        <v>5411</v>
      </c>
      <c r="C751" s="990" t="s">
        <v>100</v>
      </c>
      <c r="D751" s="991">
        <v>17.53</v>
      </c>
      <c r="E751" s="622"/>
      <c r="F751" s="334"/>
      <c r="G751" s="334"/>
      <c r="H751" s="602"/>
      <c r="I751" s="334"/>
      <c r="J751" s="334"/>
      <c r="K751" s="334"/>
      <c r="L751" s="334"/>
      <c r="M751" s="334"/>
      <c r="N751" s="334"/>
      <c r="O751" s="334"/>
    </row>
    <row r="752" spans="1:15" ht="12.75" customHeight="1" outlineLevel="1" x14ac:dyDescent="0.2">
      <c r="A752" s="984" t="s">
        <v>5487</v>
      </c>
      <c r="B752" s="985" t="s">
        <v>5488</v>
      </c>
      <c r="C752" s="986" t="s">
        <v>100</v>
      </c>
      <c r="D752" s="987">
        <v>56.54</v>
      </c>
      <c r="E752" s="622"/>
      <c r="F752" s="334"/>
      <c r="G752" s="334"/>
      <c r="H752" s="602"/>
      <c r="I752" s="334"/>
      <c r="J752" s="334"/>
      <c r="K752" s="334"/>
      <c r="L752" s="334"/>
      <c r="M752" s="334"/>
      <c r="N752" s="334"/>
      <c r="O752" s="334"/>
    </row>
    <row r="753" spans="1:15" ht="12.75" customHeight="1" outlineLevel="1" x14ac:dyDescent="0.2">
      <c r="A753" s="980" t="s">
        <v>1767</v>
      </c>
      <c r="B753" s="981" t="s">
        <v>1462</v>
      </c>
      <c r="C753" s="982"/>
      <c r="D753" s="983"/>
      <c r="E753" s="622"/>
      <c r="F753" s="334"/>
      <c r="G753" s="334"/>
      <c r="H753" s="602"/>
      <c r="I753" s="334"/>
      <c r="J753" s="334"/>
      <c r="K753" s="334"/>
      <c r="L753" s="334"/>
      <c r="M753" s="334"/>
      <c r="N753" s="334"/>
      <c r="O753" s="334"/>
    </row>
    <row r="754" spans="1:15" ht="12.75" customHeight="1" outlineLevel="1" x14ac:dyDescent="0.2">
      <c r="A754" s="988" t="s">
        <v>1768</v>
      </c>
      <c r="B754" s="989" t="s">
        <v>5417</v>
      </c>
      <c r="C754" s="990" t="s">
        <v>100</v>
      </c>
      <c r="D754" s="991">
        <v>6.17</v>
      </c>
      <c r="E754" s="622"/>
      <c r="F754" s="334"/>
      <c r="G754" s="334"/>
      <c r="H754" s="602"/>
      <c r="I754" s="334"/>
      <c r="J754" s="334"/>
      <c r="K754" s="334"/>
      <c r="L754" s="334"/>
      <c r="M754" s="334"/>
      <c r="N754" s="334"/>
      <c r="O754" s="334"/>
    </row>
    <row r="755" spans="1:15" ht="12.75" customHeight="1" outlineLevel="1" x14ac:dyDescent="0.2">
      <c r="A755" s="984" t="s">
        <v>5489</v>
      </c>
      <c r="B755" s="985" t="s">
        <v>5424</v>
      </c>
      <c r="C755" s="986" t="s">
        <v>100</v>
      </c>
      <c r="D755" s="987">
        <v>1.76</v>
      </c>
      <c r="E755" s="622"/>
      <c r="F755" s="334"/>
      <c r="G755" s="334"/>
      <c r="H755" s="602"/>
      <c r="I755" s="334"/>
      <c r="J755" s="334"/>
      <c r="K755" s="334"/>
      <c r="L755" s="334"/>
      <c r="M755" s="334"/>
      <c r="N755" s="334"/>
      <c r="O755" s="334"/>
    </row>
    <row r="756" spans="1:15" ht="12.75" customHeight="1" outlineLevel="1" x14ac:dyDescent="0.2">
      <c r="A756" s="988" t="s">
        <v>5490</v>
      </c>
      <c r="B756" s="989" t="s">
        <v>5485</v>
      </c>
      <c r="C756" s="990" t="s">
        <v>100</v>
      </c>
      <c r="D756" s="991">
        <v>23.47</v>
      </c>
      <c r="E756" s="622"/>
      <c r="F756" s="334"/>
      <c r="G756" s="334"/>
      <c r="H756" s="602"/>
      <c r="I756" s="334"/>
      <c r="J756" s="334"/>
      <c r="K756" s="334"/>
      <c r="L756" s="334"/>
      <c r="M756" s="334"/>
      <c r="N756" s="334"/>
      <c r="O756" s="334"/>
    </row>
    <row r="757" spans="1:15" ht="12.75" customHeight="1" outlineLevel="1" x14ac:dyDescent="0.2">
      <c r="A757" s="984" t="s">
        <v>5491</v>
      </c>
      <c r="B757" s="985" t="s">
        <v>5488</v>
      </c>
      <c r="C757" s="986" t="s">
        <v>100</v>
      </c>
      <c r="D757" s="987">
        <v>114.27</v>
      </c>
      <c r="E757" s="622"/>
      <c r="F757" s="334"/>
      <c r="G757" s="334"/>
      <c r="H757" s="602"/>
      <c r="I757" s="334"/>
      <c r="J757" s="334"/>
      <c r="K757" s="334"/>
      <c r="L757" s="334"/>
      <c r="M757" s="334"/>
      <c r="N757" s="334"/>
      <c r="O757" s="334"/>
    </row>
    <row r="758" spans="1:15" ht="12.75" customHeight="1" outlineLevel="1" x14ac:dyDescent="0.2">
      <c r="A758" s="980" t="s">
        <v>1769</v>
      </c>
      <c r="B758" s="981" t="s">
        <v>2035</v>
      </c>
      <c r="C758" s="982"/>
      <c r="D758" s="983"/>
      <c r="E758" s="622"/>
      <c r="F758" s="334"/>
      <c r="G758" s="334"/>
      <c r="H758" s="602"/>
      <c r="I758" s="334"/>
      <c r="J758" s="334"/>
      <c r="K758" s="334"/>
      <c r="L758" s="334"/>
      <c r="M758" s="334"/>
      <c r="N758" s="334"/>
      <c r="O758" s="334"/>
    </row>
    <row r="759" spans="1:15" ht="12.75" customHeight="1" outlineLevel="1" x14ac:dyDescent="0.2">
      <c r="A759" s="988" t="s">
        <v>1770</v>
      </c>
      <c r="B759" s="989" t="s">
        <v>5492</v>
      </c>
      <c r="C759" s="990" t="s">
        <v>100</v>
      </c>
      <c r="D759" s="991">
        <v>31.2</v>
      </c>
      <c r="E759" s="622"/>
      <c r="F759" s="334"/>
      <c r="G759" s="334"/>
      <c r="H759" s="602"/>
      <c r="I759" s="334"/>
      <c r="J759" s="334"/>
      <c r="K759" s="334"/>
      <c r="L759" s="334"/>
      <c r="M759" s="334"/>
      <c r="N759" s="334"/>
      <c r="O759" s="334"/>
    </row>
    <row r="760" spans="1:15" ht="12.75" customHeight="1" collapsed="1" x14ac:dyDescent="0.2">
      <c r="A760" s="614" t="s">
        <v>1772</v>
      </c>
      <c r="B760" s="615" t="s">
        <v>1773</v>
      </c>
      <c r="C760" s="616"/>
      <c r="D760" s="617"/>
      <c r="E760" s="622"/>
      <c r="F760" s="334"/>
      <c r="G760" s="334"/>
      <c r="H760" s="602"/>
      <c r="I760" s="334"/>
      <c r="J760" s="334"/>
      <c r="K760" s="334"/>
      <c r="L760" s="334"/>
      <c r="M760" s="334"/>
      <c r="N760" s="334"/>
      <c r="O760" s="334"/>
    </row>
    <row r="761" spans="1:15" ht="12.75" hidden="1" customHeight="1" outlineLevel="1" x14ac:dyDescent="0.2">
      <c r="A761" s="618" t="s">
        <v>1774</v>
      </c>
      <c r="B761" s="619" t="s">
        <v>1009</v>
      </c>
      <c r="C761" s="620"/>
      <c r="D761" s="621"/>
      <c r="E761" s="622"/>
      <c r="F761" s="334"/>
      <c r="G761" s="334"/>
      <c r="H761" s="631" t="s">
        <v>1116</v>
      </c>
      <c r="I761" s="632" t="s">
        <v>59</v>
      </c>
      <c r="J761" s="334"/>
      <c r="K761" s="334"/>
      <c r="L761" s="334"/>
      <c r="M761" s="334"/>
      <c r="N761" s="334"/>
      <c r="O761" s="334"/>
    </row>
    <row r="762" spans="1:15" ht="12.75" hidden="1" customHeight="1" outlineLevel="1" x14ac:dyDescent="0.2">
      <c r="A762" s="627" t="s">
        <v>1775</v>
      </c>
      <c r="B762" s="628" t="s">
        <v>1118</v>
      </c>
      <c r="C762" s="629" t="s">
        <v>100</v>
      </c>
      <c r="D762" s="630">
        <v>3.66</v>
      </c>
      <c r="E762" s="622"/>
      <c r="F762" s="334"/>
      <c r="G762" s="334"/>
      <c r="H762" s="633" t="s">
        <v>1118</v>
      </c>
      <c r="I762" s="634">
        <f t="shared" ref="I762:I769" si="4">SUMIF($B$14:$B$4106,H762,$D$14:$D$4106)</f>
        <v>4239.3899999999985</v>
      </c>
      <c r="J762" s="334"/>
      <c r="K762" s="334"/>
      <c r="L762" s="334"/>
      <c r="M762" s="334"/>
      <c r="N762" s="334"/>
      <c r="O762" s="334"/>
    </row>
    <row r="763" spans="1:15" ht="12.75" hidden="1" customHeight="1" outlineLevel="1" x14ac:dyDescent="0.2">
      <c r="A763" s="623" t="s">
        <v>1776</v>
      </c>
      <c r="B763" s="628" t="s">
        <v>1118</v>
      </c>
      <c r="C763" s="625" t="s">
        <v>100</v>
      </c>
      <c r="D763" s="626">
        <v>4.16</v>
      </c>
      <c r="E763" s="622"/>
      <c r="F763" s="334"/>
      <c r="G763" s="994" t="s">
        <v>5155</v>
      </c>
      <c r="H763" s="633" t="s">
        <v>1121</v>
      </c>
      <c r="I763" s="634">
        <f t="shared" si="4"/>
        <v>216.54999999999998</v>
      </c>
      <c r="J763" s="334"/>
      <c r="K763" s="334"/>
      <c r="L763" s="334"/>
      <c r="M763" s="334"/>
      <c r="N763" s="334"/>
      <c r="O763" s="334"/>
    </row>
    <row r="764" spans="1:15" ht="12.75" hidden="1" customHeight="1" outlineLevel="1" x14ac:dyDescent="0.2">
      <c r="A764" s="627" t="s">
        <v>1777</v>
      </c>
      <c r="B764" s="628" t="s">
        <v>1118</v>
      </c>
      <c r="C764" s="629" t="s">
        <v>100</v>
      </c>
      <c r="D764" s="630">
        <v>54.55</v>
      </c>
      <c r="E764" s="622"/>
      <c r="F764" s="334"/>
      <c r="G764" s="334"/>
      <c r="H764" s="633" t="s">
        <v>1123</v>
      </c>
      <c r="I764" s="634">
        <f t="shared" si="4"/>
        <v>1505.3099999999997</v>
      </c>
      <c r="J764" s="334"/>
      <c r="K764" s="334"/>
      <c r="L764" s="334"/>
      <c r="M764" s="334"/>
      <c r="N764" s="334"/>
      <c r="O764" s="334"/>
    </row>
    <row r="765" spans="1:15" ht="12.75" hidden="1" customHeight="1" outlineLevel="1" x14ac:dyDescent="0.2">
      <c r="A765" s="623" t="s">
        <v>1778</v>
      </c>
      <c r="B765" s="628" t="s">
        <v>1118</v>
      </c>
      <c r="C765" s="625" t="s">
        <v>100</v>
      </c>
      <c r="D765" s="626">
        <v>3.11</v>
      </c>
      <c r="E765" s="622"/>
      <c r="F765" s="334"/>
      <c r="G765" s="334"/>
      <c r="H765" s="633" t="s">
        <v>1125</v>
      </c>
      <c r="I765" s="634">
        <f t="shared" si="4"/>
        <v>312.62000000000006</v>
      </c>
      <c r="J765" s="334"/>
      <c r="K765" s="334"/>
      <c r="L765" s="334"/>
      <c r="M765" s="334"/>
      <c r="N765" s="334"/>
      <c r="O765" s="334"/>
    </row>
    <row r="766" spans="1:15" ht="12.75" hidden="1" customHeight="1" outlineLevel="1" x14ac:dyDescent="0.2">
      <c r="A766" s="627" t="s">
        <v>1779</v>
      </c>
      <c r="B766" s="628" t="s">
        <v>1118</v>
      </c>
      <c r="C766" s="629" t="s">
        <v>100</v>
      </c>
      <c r="D766" s="630">
        <v>3.15</v>
      </c>
      <c r="E766" s="622"/>
      <c r="F766" s="334"/>
      <c r="G766" s="334"/>
      <c r="H766" s="633" t="s">
        <v>1128</v>
      </c>
      <c r="I766" s="634">
        <f t="shared" si="4"/>
        <v>5966.8400000000029</v>
      </c>
      <c r="J766" s="334"/>
      <c r="K766" s="334"/>
      <c r="L766" s="334"/>
      <c r="M766" s="334"/>
      <c r="N766" s="334"/>
      <c r="O766" s="334"/>
    </row>
    <row r="767" spans="1:15" ht="12.75" hidden="1" customHeight="1" outlineLevel="1" x14ac:dyDescent="0.2">
      <c r="A767" s="623" t="s">
        <v>1780</v>
      </c>
      <c r="B767" s="628" t="s">
        <v>1118</v>
      </c>
      <c r="C767" s="625" t="s">
        <v>100</v>
      </c>
      <c r="D767" s="626">
        <v>10.68</v>
      </c>
      <c r="E767" s="622"/>
      <c r="F767" s="334"/>
      <c r="G767" s="334"/>
      <c r="H767" s="633" t="s">
        <v>1130</v>
      </c>
      <c r="I767" s="634">
        <f t="shared" si="4"/>
        <v>5660.8000000000029</v>
      </c>
      <c r="J767" s="334"/>
      <c r="K767" s="334"/>
      <c r="L767" s="334"/>
      <c r="M767" s="334"/>
      <c r="N767" s="334"/>
      <c r="O767" s="334"/>
    </row>
    <row r="768" spans="1:15" ht="12.75" hidden="1" customHeight="1" outlineLevel="1" x14ac:dyDescent="0.2">
      <c r="A768" s="627" t="s">
        <v>1781</v>
      </c>
      <c r="B768" s="628" t="s">
        <v>1118</v>
      </c>
      <c r="C768" s="629" t="s">
        <v>100</v>
      </c>
      <c r="D768" s="630">
        <v>67.14</v>
      </c>
      <c r="E768" s="622"/>
      <c r="F768" s="334"/>
      <c r="G768" s="334"/>
      <c r="H768" s="633" t="s">
        <v>1132</v>
      </c>
      <c r="I768" s="634">
        <f t="shared" si="4"/>
        <v>1803.2600000000016</v>
      </c>
      <c r="J768" s="334"/>
      <c r="K768" s="334"/>
      <c r="L768" s="334"/>
      <c r="M768" s="334"/>
      <c r="N768" s="334"/>
      <c r="O768" s="334"/>
    </row>
    <row r="769" spans="1:15" ht="12.75" hidden="1" customHeight="1" outlineLevel="1" x14ac:dyDescent="0.2">
      <c r="A769" s="623" t="s">
        <v>1782</v>
      </c>
      <c r="B769" s="628" t="s">
        <v>1118</v>
      </c>
      <c r="C769" s="625" t="s">
        <v>100</v>
      </c>
      <c r="D769" s="626">
        <v>80.819999999999993</v>
      </c>
      <c r="E769" s="622"/>
      <c r="F769" s="334"/>
      <c r="G769" s="334"/>
      <c r="H769" s="633" t="s">
        <v>1134</v>
      </c>
      <c r="I769" s="634">
        <f t="shared" si="4"/>
        <v>3838.139999999999</v>
      </c>
      <c r="J769" s="334"/>
      <c r="K769" s="334"/>
      <c r="L769" s="334"/>
      <c r="M769" s="334"/>
      <c r="N769" s="334"/>
      <c r="O769" s="334"/>
    </row>
    <row r="770" spans="1:15" ht="12.75" hidden="1" customHeight="1" outlineLevel="1" x14ac:dyDescent="0.2">
      <c r="A770" s="627" t="s">
        <v>1783</v>
      </c>
      <c r="B770" s="628" t="s">
        <v>1118</v>
      </c>
      <c r="C770" s="629" t="s">
        <v>100</v>
      </c>
      <c r="D770" s="630">
        <v>3.75</v>
      </c>
      <c r="E770" s="622"/>
      <c r="F770" s="334"/>
      <c r="G770" s="334"/>
      <c r="H770" s="602"/>
      <c r="I770" s="334"/>
      <c r="J770" s="334"/>
      <c r="K770" s="334"/>
      <c r="L770" s="334"/>
      <c r="M770" s="334"/>
      <c r="N770" s="334"/>
      <c r="O770" s="334"/>
    </row>
    <row r="771" spans="1:15" ht="12.75" hidden="1" customHeight="1" outlineLevel="1" x14ac:dyDescent="0.2">
      <c r="A771" s="618" t="s">
        <v>1784</v>
      </c>
      <c r="B771" s="619" t="s">
        <v>1021</v>
      </c>
      <c r="C771" s="620"/>
      <c r="D771" s="621"/>
      <c r="E771" s="622"/>
      <c r="F771" s="334"/>
      <c r="G771" s="334"/>
      <c r="H771" s="602"/>
      <c r="I771" s="334"/>
      <c r="J771" s="334"/>
      <c r="K771" s="334"/>
      <c r="L771" s="334"/>
      <c r="M771" s="334"/>
      <c r="N771" s="334"/>
      <c r="O771" s="334"/>
    </row>
    <row r="772" spans="1:15" ht="12.75" hidden="1" customHeight="1" outlineLevel="1" x14ac:dyDescent="0.2">
      <c r="A772" s="623" t="s">
        <v>1785</v>
      </c>
      <c r="B772" s="628" t="s">
        <v>1118</v>
      </c>
      <c r="C772" s="625" t="s">
        <v>100</v>
      </c>
      <c r="D772" s="626">
        <v>12.48</v>
      </c>
      <c r="E772" s="622"/>
      <c r="F772" s="334"/>
      <c r="G772" s="334"/>
      <c r="H772" s="602"/>
      <c r="I772" s="334"/>
      <c r="J772" s="334"/>
      <c r="K772" s="334"/>
      <c r="L772" s="334"/>
      <c r="M772" s="334"/>
      <c r="N772" s="334"/>
      <c r="O772" s="334"/>
    </row>
    <row r="773" spans="1:15" ht="12.75" hidden="1" customHeight="1" outlineLevel="1" x14ac:dyDescent="0.2">
      <c r="A773" s="627" t="s">
        <v>1786</v>
      </c>
      <c r="B773" s="628" t="s">
        <v>1118</v>
      </c>
      <c r="C773" s="629" t="s">
        <v>100</v>
      </c>
      <c r="D773" s="630">
        <v>32.619999999999997</v>
      </c>
      <c r="E773" s="622"/>
      <c r="F773" s="334"/>
      <c r="G773" s="334"/>
      <c r="H773" s="602"/>
      <c r="I773" s="334"/>
      <c r="J773" s="334"/>
      <c r="K773" s="334"/>
      <c r="L773" s="334"/>
      <c r="M773" s="334"/>
      <c r="N773" s="334"/>
      <c r="O773" s="334"/>
    </row>
    <row r="774" spans="1:15" ht="12.75" hidden="1" customHeight="1" outlineLevel="1" x14ac:dyDescent="0.2">
      <c r="A774" s="623" t="s">
        <v>1787</v>
      </c>
      <c r="B774" s="628" t="s">
        <v>1118</v>
      </c>
      <c r="C774" s="625" t="s">
        <v>100</v>
      </c>
      <c r="D774" s="626">
        <v>98.62</v>
      </c>
      <c r="E774" s="622"/>
      <c r="F774" s="334"/>
      <c r="G774" s="334"/>
      <c r="H774" s="602"/>
      <c r="I774" s="334"/>
      <c r="J774" s="334"/>
      <c r="K774" s="334"/>
      <c r="L774" s="334"/>
      <c r="M774" s="334"/>
      <c r="N774" s="334"/>
      <c r="O774" s="334"/>
    </row>
    <row r="775" spans="1:15" ht="12.75" hidden="1" customHeight="1" outlineLevel="1" x14ac:dyDescent="0.2">
      <c r="A775" s="627" t="s">
        <v>1788</v>
      </c>
      <c r="B775" s="628" t="s">
        <v>1118</v>
      </c>
      <c r="C775" s="629" t="s">
        <v>100</v>
      </c>
      <c r="D775" s="630">
        <v>147.09</v>
      </c>
      <c r="E775" s="622"/>
      <c r="F775" s="334"/>
      <c r="G775" s="334"/>
      <c r="H775" s="602"/>
      <c r="I775" s="334"/>
      <c r="J775" s="334"/>
      <c r="K775" s="334"/>
      <c r="L775" s="334"/>
      <c r="M775" s="334"/>
      <c r="N775" s="334"/>
      <c r="O775" s="334"/>
    </row>
    <row r="776" spans="1:15" ht="12.75" hidden="1" customHeight="1" outlineLevel="1" x14ac:dyDescent="0.2">
      <c r="A776" s="623" t="s">
        <v>1789</v>
      </c>
      <c r="B776" s="628" t="s">
        <v>1118</v>
      </c>
      <c r="C776" s="625" t="s">
        <v>100</v>
      </c>
      <c r="D776" s="626">
        <v>38.450000000000003</v>
      </c>
      <c r="E776" s="622"/>
      <c r="F776" s="334"/>
      <c r="G776" s="334"/>
      <c r="H776" s="602"/>
      <c r="I776" s="334"/>
      <c r="J776" s="334"/>
      <c r="K776" s="334"/>
      <c r="L776" s="334"/>
      <c r="M776" s="334"/>
      <c r="N776" s="334"/>
      <c r="O776" s="334"/>
    </row>
    <row r="777" spans="1:15" ht="12.75" hidden="1" customHeight="1" outlineLevel="1" x14ac:dyDescent="0.2">
      <c r="A777" s="627" t="s">
        <v>1790</v>
      </c>
      <c r="B777" s="628" t="s">
        <v>1118</v>
      </c>
      <c r="C777" s="629" t="s">
        <v>100</v>
      </c>
      <c r="D777" s="630">
        <v>46.89</v>
      </c>
      <c r="E777" s="622"/>
      <c r="F777" s="334"/>
      <c r="G777" s="334"/>
      <c r="H777" s="602"/>
      <c r="I777" s="334"/>
      <c r="J777" s="334"/>
      <c r="K777" s="334"/>
      <c r="L777" s="334"/>
      <c r="M777" s="334"/>
      <c r="N777" s="334"/>
      <c r="O777" s="334"/>
    </row>
    <row r="778" spans="1:15" ht="12.75" hidden="1" customHeight="1" outlineLevel="1" x14ac:dyDescent="0.2">
      <c r="A778" s="623" t="s">
        <v>1791</v>
      </c>
      <c r="B778" s="628" t="s">
        <v>1118</v>
      </c>
      <c r="C778" s="625" t="s">
        <v>100</v>
      </c>
      <c r="D778" s="626">
        <v>10.75</v>
      </c>
      <c r="E778" s="622"/>
      <c r="F778" s="334"/>
      <c r="G778" s="334"/>
      <c r="H778" s="602"/>
      <c r="I778" s="334"/>
      <c r="J778" s="334"/>
      <c r="K778" s="334"/>
      <c r="L778" s="334"/>
      <c r="M778" s="334"/>
      <c r="N778" s="334"/>
      <c r="O778" s="334"/>
    </row>
    <row r="779" spans="1:15" ht="12.75" hidden="1" customHeight="1" outlineLevel="1" x14ac:dyDescent="0.2">
      <c r="A779" s="618" t="s">
        <v>1792</v>
      </c>
      <c r="B779" s="619" t="s">
        <v>1030</v>
      </c>
      <c r="C779" s="620"/>
      <c r="D779" s="621"/>
      <c r="E779" s="622"/>
      <c r="F779" s="334"/>
      <c r="G779" s="334"/>
      <c r="H779" s="602"/>
      <c r="I779" s="334"/>
      <c r="J779" s="334"/>
      <c r="K779" s="334"/>
      <c r="L779" s="334"/>
      <c r="M779" s="334"/>
      <c r="N779" s="334"/>
      <c r="O779" s="334"/>
    </row>
    <row r="780" spans="1:15" ht="12.75" hidden="1" customHeight="1" outlineLevel="1" x14ac:dyDescent="0.2">
      <c r="A780" s="627" t="s">
        <v>1793</v>
      </c>
      <c r="B780" s="628" t="s">
        <v>1118</v>
      </c>
      <c r="C780" s="629" t="s">
        <v>100</v>
      </c>
      <c r="D780" s="630">
        <v>29.89</v>
      </c>
      <c r="E780" s="622"/>
      <c r="F780" s="334"/>
      <c r="G780" s="334"/>
      <c r="H780" s="602"/>
      <c r="I780" s="334"/>
      <c r="J780" s="334"/>
      <c r="K780" s="334"/>
      <c r="L780" s="334"/>
      <c r="M780" s="334"/>
      <c r="N780" s="334"/>
      <c r="O780" s="334"/>
    </row>
    <row r="781" spans="1:15" ht="12.75" hidden="1" customHeight="1" outlineLevel="1" x14ac:dyDescent="0.2">
      <c r="A781" s="623" t="s">
        <v>1794</v>
      </c>
      <c r="B781" s="628" t="s">
        <v>1118</v>
      </c>
      <c r="C781" s="625" t="s">
        <v>100</v>
      </c>
      <c r="D781" s="626">
        <v>4.1100000000000003</v>
      </c>
      <c r="E781" s="622"/>
      <c r="F781" s="334"/>
      <c r="G781" s="334"/>
      <c r="H781" s="602"/>
      <c r="I781" s="334"/>
      <c r="J781" s="334"/>
      <c r="K781" s="334"/>
      <c r="L781" s="334"/>
      <c r="M781" s="334"/>
      <c r="N781" s="334"/>
      <c r="O781" s="334"/>
    </row>
    <row r="782" spans="1:15" ht="12.75" hidden="1" customHeight="1" outlineLevel="1" x14ac:dyDescent="0.2">
      <c r="A782" s="627" t="s">
        <v>1795</v>
      </c>
      <c r="B782" s="628" t="s">
        <v>1118</v>
      </c>
      <c r="C782" s="629" t="s">
        <v>100</v>
      </c>
      <c r="D782" s="630">
        <v>49.08</v>
      </c>
      <c r="E782" s="622"/>
      <c r="F782" s="334"/>
      <c r="G782" s="334"/>
      <c r="H782" s="602"/>
      <c r="I782" s="334"/>
      <c r="J782" s="334"/>
      <c r="K782" s="334"/>
      <c r="L782" s="334"/>
      <c r="M782" s="334"/>
      <c r="N782" s="334"/>
      <c r="O782" s="334"/>
    </row>
    <row r="783" spans="1:15" ht="12.75" hidden="1" customHeight="1" outlineLevel="1" x14ac:dyDescent="0.2">
      <c r="A783" s="623" t="s">
        <v>1796</v>
      </c>
      <c r="B783" s="628" t="s">
        <v>1118</v>
      </c>
      <c r="C783" s="625" t="s">
        <v>100</v>
      </c>
      <c r="D783" s="626">
        <v>232.05</v>
      </c>
      <c r="E783" s="622"/>
      <c r="F783" s="334"/>
      <c r="G783" s="334"/>
      <c r="H783" s="602"/>
      <c r="I783" s="334"/>
      <c r="J783" s="334"/>
      <c r="K783" s="334"/>
      <c r="L783" s="334"/>
      <c r="M783" s="334"/>
      <c r="N783" s="334"/>
      <c r="O783" s="334"/>
    </row>
    <row r="784" spans="1:15" ht="12.75" hidden="1" customHeight="1" outlineLevel="1" x14ac:dyDescent="0.2">
      <c r="A784" s="627" t="s">
        <v>1797</v>
      </c>
      <c r="B784" s="628" t="s">
        <v>1118</v>
      </c>
      <c r="C784" s="629" t="s">
        <v>100</v>
      </c>
      <c r="D784" s="630">
        <v>42.22</v>
      </c>
      <c r="E784" s="622"/>
      <c r="F784" s="334"/>
      <c r="G784" s="334"/>
      <c r="H784" s="602"/>
      <c r="I784" s="334"/>
      <c r="J784" s="334"/>
      <c r="K784" s="334"/>
      <c r="L784" s="334"/>
      <c r="M784" s="334"/>
      <c r="N784" s="334"/>
      <c r="O784" s="334"/>
    </row>
    <row r="785" spans="1:15" ht="12.75" hidden="1" customHeight="1" outlineLevel="1" x14ac:dyDescent="0.2">
      <c r="A785" s="623" t="s">
        <v>1798</v>
      </c>
      <c r="B785" s="628" t="s">
        <v>1118</v>
      </c>
      <c r="C785" s="625" t="s">
        <v>100</v>
      </c>
      <c r="D785" s="626">
        <v>18.25</v>
      </c>
      <c r="E785" s="622"/>
      <c r="F785" s="334"/>
      <c r="G785" s="334"/>
      <c r="H785" s="602"/>
      <c r="I785" s="334"/>
      <c r="J785" s="334"/>
      <c r="K785" s="334"/>
      <c r="L785" s="334"/>
      <c r="M785" s="334"/>
      <c r="N785" s="334"/>
      <c r="O785" s="334"/>
    </row>
    <row r="786" spans="1:15" ht="12.75" hidden="1" customHeight="1" outlineLevel="1" x14ac:dyDescent="0.2">
      <c r="A786" s="618" t="s">
        <v>1799</v>
      </c>
      <c r="B786" s="619" t="s">
        <v>1039</v>
      </c>
      <c r="C786" s="620"/>
      <c r="D786" s="621"/>
      <c r="E786" s="622"/>
      <c r="F786" s="334"/>
      <c r="G786" s="334"/>
      <c r="H786" s="602"/>
      <c r="I786" s="334"/>
      <c r="J786" s="334"/>
      <c r="K786" s="334"/>
      <c r="L786" s="334"/>
      <c r="M786" s="334"/>
      <c r="N786" s="334"/>
      <c r="O786" s="334"/>
    </row>
    <row r="787" spans="1:15" ht="12.75" hidden="1" customHeight="1" outlineLevel="1" x14ac:dyDescent="0.2">
      <c r="A787" s="627" t="s">
        <v>1800</v>
      </c>
      <c r="B787" s="628" t="s">
        <v>1118</v>
      </c>
      <c r="C787" s="629" t="s">
        <v>100</v>
      </c>
      <c r="D787" s="630">
        <v>6.24</v>
      </c>
      <c r="E787" s="622"/>
      <c r="F787" s="334"/>
      <c r="G787" s="334"/>
      <c r="H787" s="602"/>
      <c r="I787" s="334"/>
      <c r="J787" s="334"/>
      <c r="K787" s="334"/>
      <c r="L787" s="334"/>
      <c r="M787" s="334"/>
      <c r="N787" s="334"/>
      <c r="O787" s="334"/>
    </row>
    <row r="788" spans="1:15" ht="12.75" hidden="1" customHeight="1" outlineLevel="1" x14ac:dyDescent="0.2">
      <c r="A788" s="623" t="s">
        <v>1801</v>
      </c>
      <c r="B788" s="628" t="s">
        <v>1118</v>
      </c>
      <c r="C788" s="625" t="s">
        <v>100</v>
      </c>
      <c r="D788" s="626">
        <v>5.23</v>
      </c>
      <c r="E788" s="622"/>
      <c r="F788" s="334"/>
      <c r="G788" s="334"/>
      <c r="H788" s="602"/>
      <c r="I788" s="334"/>
      <c r="J788" s="334"/>
      <c r="K788" s="334"/>
      <c r="L788" s="334"/>
      <c r="M788" s="334"/>
      <c r="N788" s="334"/>
      <c r="O788" s="334"/>
    </row>
    <row r="789" spans="1:15" ht="12.75" hidden="1" customHeight="1" outlineLevel="1" x14ac:dyDescent="0.2">
      <c r="A789" s="627" t="s">
        <v>1802</v>
      </c>
      <c r="B789" s="628" t="s">
        <v>1118</v>
      </c>
      <c r="C789" s="629" t="s">
        <v>100</v>
      </c>
      <c r="D789" s="630">
        <v>14.18</v>
      </c>
      <c r="E789" s="622"/>
      <c r="F789" s="334"/>
      <c r="G789" s="334"/>
      <c r="H789" s="602"/>
      <c r="I789" s="334"/>
      <c r="J789" s="334"/>
      <c r="K789" s="334"/>
      <c r="L789" s="334"/>
      <c r="M789" s="334"/>
      <c r="N789" s="334"/>
      <c r="O789" s="334"/>
    </row>
    <row r="790" spans="1:15" ht="12.75" hidden="1" customHeight="1" outlineLevel="1" x14ac:dyDescent="0.2">
      <c r="A790" s="623" t="s">
        <v>1803</v>
      </c>
      <c r="B790" s="628" t="s">
        <v>1118</v>
      </c>
      <c r="C790" s="625" t="s">
        <v>100</v>
      </c>
      <c r="D790" s="626">
        <v>6.55</v>
      </c>
      <c r="E790" s="622"/>
      <c r="F790" s="334"/>
      <c r="G790" s="334"/>
      <c r="H790" s="602"/>
      <c r="I790" s="334"/>
      <c r="J790" s="334"/>
      <c r="K790" s="334"/>
      <c r="L790" s="334"/>
      <c r="M790" s="334"/>
      <c r="N790" s="334"/>
      <c r="O790" s="334"/>
    </row>
    <row r="791" spans="1:15" ht="12.75" hidden="1" customHeight="1" outlineLevel="1" x14ac:dyDescent="0.2">
      <c r="A791" s="627" t="s">
        <v>1804</v>
      </c>
      <c r="B791" s="628" t="s">
        <v>1118</v>
      </c>
      <c r="C791" s="629" t="s">
        <v>100</v>
      </c>
      <c r="D791" s="630">
        <v>155.62</v>
      </c>
      <c r="E791" s="622"/>
      <c r="F791" s="334"/>
      <c r="G791" s="334"/>
      <c r="H791" s="602"/>
      <c r="I791" s="334"/>
      <c r="J791" s="334"/>
      <c r="K791" s="334"/>
      <c r="L791" s="334"/>
      <c r="M791" s="334"/>
      <c r="N791" s="334"/>
      <c r="O791" s="334"/>
    </row>
    <row r="792" spans="1:15" ht="12.75" hidden="1" customHeight="1" outlineLevel="1" x14ac:dyDescent="0.2">
      <c r="A792" s="623" t="s">
        <v>1805</v>
      </c>
      <c r="B792" s="628" t="s">
        <v>1118</v>
      </c>
      <c r="C792" s="625" t="s">
        <v>100</v>
      </c>
      <c r="D792" s="626">
        <v>60.49</v>
      </c>
      <c r="E792" s="622"/>
      <c r="F792" s="334"/>
      <c r="G792" s="334"/>
      <c r="H792" s="602"/>
      <c r="I792" s="334"/>
      <c r="J792" s="334"/>
      <c r="K792" s="334"/>
      <c r="L792" s="334"/>
      <c r="M792" s="334"/>
      <c r="N792" s="334"/>
      <c r="O792" s="334"/>
    </row>
    <row r="793" spans="1:15" ht="12.75" hidden="1" customHeight="1" outlineLevel="1" x14ac:dyDescent="0.2">
      <c r="A793" s="627" t="s">
        <v>1806</v>
      </c>
      <c r="B793" s="628" t="s">
        <v>1118</v>
      </c>
      <c r="C793" s="629" t="s">
        <v>100</v>
      </c>
      <c r="D793" s="630">
        <v>24.5</v>
      </c>
      <c r="E793" s="622"/>
      <c r="F793" s="334"/>
      <c r="G793" s="334"/>
      <c r="H793" s="602"/>
      <c r="I793" s="334"/>
      <c r="J793" s="334"/>
      <c r="K793" s="334"/>
      <c r="L793" s="334"/>
      <c r="M793" s="334"/>
      <c r="N793" s="334"/>
      <c r="O793" s="334"/>
    </row>
    <row r="794" spans="1:15" ht="12.75" hidden="1" customHeight="1" outlineLevel="1" x14ac:dyDescent="0.2">
      <c r="A794" s="623" t="s">
        <v>1807</v>
      </c>
      <c r="B794" s="628" t="s">
        <v>1118</v>
      </c>
      <c r="C794" s="625" t="s">
        <v>100</v>
      </c>
      <c r="D794" s="626">
        <v>16.96</v>
      </c>
      <c r="E794" s="622"/>
      <c r="F794" s="334"/>
      <c r="G794" s="334"/>
      <c r="H794" s="602"/>
      <c r="I794" s="334"/>
      <c r="J794" s="334"/>
      <c r="K794" s="334"/>
      <c r="L794" s="334"/>
      <c r="M794" s="334"/>
      <c r="N794" s="334"/>
      <c r="O794" s="334"/>
    </row>
    <row r="795" spans="1:15" ht="12.75" hidden="1" customHeight="1" outlineLevel="1" x14ac:dyDescent="0.2">
      <c r="A795" s="627" t="s">
        <v>1808</v>
      </c>
      <c r="B795" s="628" t="s">
        <v>1118</v>
      </c>
      <c r="C795" s="629" t="s">
        <v>100</v>
      </c>
      <c r="D795" s="630">
        <v>3.84</v>
      </c>
      <c r="E795" s="622"/>
      <c r="F795" s="334"/>
      <c r="G795" s="334"/>
      <c r="H795" s="602"/>
      <c r="I795" s="334"/>
      <c r="J795" s="334"/>
      <c r="K795" s="334"/>
      <c r="L795" s="334"/>
      <c r="M795" s="334"/>
      <c r="N795" s="334"/>
      <c r="O795" s="334"/>
    </row>
    <row r="796" spans="1:15" ht="12.75" hidden="1" customHeight="1" outlineLevel="1" x14ac:dyDescent="0.2">
      <c r="A796" s="623" t="s">
        <v>1809</v>
      </c>
      <c r="B796" s="628" t="s">
        <v>1118</v>
      </c>
      <c r="C796" s="625" t="s">
        <v>100</v>
      </c>
      <c r="D796" s="626">
        <v>60.54</v>
      </c>
      <c r="E796" s="622"/>
      <c r="F796" s="334"/>
      <c r="G796" s="334"/>
      <c r="H796" s="602"/>
      <c r="I796" s="334"/>
      <c r="J796" s="334"/>
      <c r="K796" s="334"/>
      <c r="L796" s="334"/>
      <c r="M796" s="334"/>
      <c r="N796" s="334"/>
      <c r="O796" s="334"/>
    </row>
    <row r="797" spans="1:15" ht="12.75" hidden="1" customHeight="1" outlineLevel="1" x14ac:dyDescent="0.2">
      <c r="A797" s="627" t="s">
        <v>1810</v>
      </c>
      <c r="B797" s="628" t="s">
        <v>1118</v>
      </c>
      <c r="C797" s="629" t="s">
        <v>100</v>
      </c>
      <c r="D797" s="630">
        <v>21.82</v>
      </c>
      <c r="E797" s="622"/>
      <c r="F797" s="334"/>
      <c r="G797" s="334"/>
      <c r="H797" s="602"/>
      <c r="I797" s="334"/>
      <c r="J797" s="334"/>
      <c r="K797" s="334"/>
      <c r="L797" s="334"/>
      <c r="M797" s="334"/>
      <c r="N797" s="334"/>
      <c r="O797" s="334"/>
    </row>
    <row r="798" spans="1:15" ht="12.75" hidden="1" customHeight="1" outlineLevel="1" x14ac:dyDescent="0.2">
      <c r="A798" s="618" t="s">
        <v>1811</v>
      </c>
      <c r="B798" s="619" t="s">
        <v>1047</v>
      </c>
      <c r="C798" s="620"/>
      <c r="D798" s="621"/>
      <c r="E798" s="622"/>
      <c r="F798" s="334"/>
      <c r="G798" s="334"/>
      <c r="H798" s="602"/>
      <c r="I798" s="334"/>
      <c r="J798" s="334"/>
      <c r="K798" s="334"/>
      <c r="L798" s="334"/>
      <c r="M798" s="334"/>
      <c r="N798" s="334"/>
      <c r="O798" s="334"/>
    </row>
    <row r="799" spans="1:15" ht="12.75" hidden="1" customHeight="1" outlineLevel="1" x14ac:dyDescent="0.2">
      <c r="A799" s="623" t="s">
        <v>1812</v>
      </c>
      <c r="B799" s="628" t="s">
        <v>1118</v>
      </c>
      <c r="C799" s="625" t="s">
        <v>100</v>
      </c>
      <c r="D799" s="626">
        <v>29.89</v>
      </c>
      <c r="E799" s="622"/>
      <c r="F799" s="334"/>
      <c r="G799" s="334"/>
      <c r="H799" s="602"/>
      <c r="I799" s="334"/>
      <c r="J799" s="334"/>
      <c r="K799" s="334"/>
      <c r="L799" s="334"/>
      <c r="M799" s="334"/>
      <c r="N799" s="334"/>
      <c r="O799" s="334"/>
    </row>
    <row r="800" spans="1:15" ht="12.75" hidden="1" customHeight="1" outlineLevel="1" x14ac:dyDescent="0.2">
      <c r="A800" s="627" t="s">
        <v>1813</v>
      </c>
      <c r="B800" s="628" t="s">
        <v>1118</v>
      </c>
      <c r="C800" s="629" t="s">
        <v>100</v>
      </c>
      <c r="D800" s="630">
        <v>4.1100000000000003</v>
      </c>
      <c r="E800" s="622"/>
      <c r="F800" s="334"/>
      <c r="G800" s="334"/>
      <c r="H800" s="602"/>
      <c r="I800" s="334"/>
      <c r="J800" s="334"/>
      <c r="K800" s="334"/>
      <c r="L800" s="334"/>
      <c r="M800" s="334"/>
      <c r="N800" s="334"/>
      <c r="O800" s="334"/>
    </row>
    <row r="801" spans="1:15" ht="12.75" hidden="1" customHeight="1" outlineLevel="1" x14ac:dyDescent="0.2">
      <c r="A801" s="623" t="s">
        <v>1814</v>
      </c>
      <c r="B801" s="628" t="s">
        <v>1118</v>
      </c>
      <c r="C801" s="625" t="s">
        <v>100</v>
      </c>
      <c r="D801" s="626">
        <v>49.08</v>
      </c>
      <c r="E801" s="622"/>
      <c r="F801" s="334"/>
      <c r="G801" s="334"/>
      <c r="H801" s="602"/>
      <c r="I801" s="334"/>
      <c r="J801" s="334"/>
      <c r="K801" s="334"/>
      <c r="L801" s="334"/>
      <c r="M801" s="334"/>
      <c r="N801" s="334"/>
      <c r="O801" s="334"/>
    </row>
    <row r="802" spans="1:15" ht="12.75" hidden="1" customHeight="1" outlineLevel="1" x14ac:dyDescent="0.2">
      <c r="A802" s="627" t="s">
        <v>1815</v>
      </c>
      <c r="B802" s="628" t="s">
        <v>1118</v>
      </c>
      <c r="C802" s="629" t="s">
        <v>100</v>
      </c>
      <c r="D802" s="630">
        <v>232.05</v>
      </c>
      <c r="E802" s="622"/>
      <c r="F802" s="334"/>
      <c r="G802" s="334"/>
      <c r="H802" s="602"/>
      <c r="I802" s="334"/>
      <c r="J802" s="334"/>
      <c r="K802" s="334"/>
      <c r="L802" s="334"/>
      <c r="M802" s="334"/>
      <c r="N802" s="334"/>
      <c r="O802" s="334"/>
    </row>
    <row r="803" spans="1:15" ht="12.75" hidden="1" customHeight="1" outlineLevel="1" x14ac:dyDescent="0.2">
      <c r="A803" s="623" t="s">
        <v>1816</v>
      </c>
      <c r="B803" s="628" t="s">
        <v>1118</v>
      </c>
      <c r="C803" s="625" t="s">
        <v>100</v>
      </c>
      <c r="D803" s="626">
        <v>42.22</v>
      </c>
      <c r="E803" s="622"/>
      <c r="F803" s="334"/>
      <c r="G803" s="334"/>
      <c r="H803" s="602"/>
      <c r="I803" s="334"/>
      <c r="J803" s="334"/>
      <c r="K803" s="334"/>
      <c r="L803" s="334"/>
      <c r="M803" s="334"/>
      <c r="N803" s="334"/>
      <c r="O803" s="334"/>
    </row>
    <row r="804" spans="1:15" ht="12.75" hidden="1" customHeight="1" outlineLevel="1" x14ac:dyDescent="0.2">
      <c r="A804" s="627" t="s">
        <v>1817</v>
      </c>
      <c r="B804" s="628" t="s">
        <v>1118</v>
      </c>
      <c r="C804" s="629" t="s">
        <v>100</v>
      </c>
      <c r="D804" s="630">
        <v>18.25</v>
      </c>
      <c r="E804" s="622"/>
      <c r="F804" s="334"/>
      <c r="G804" s="334"/>
      <c r="H804" s="602"/>
      <c r="I804" s="334"/>
      <c r="J804" s="334"/>
      <c r="K804" s="334"/>
      <c r="L804" s="334"/>
      <c r="M804" s="334"/>
      <c r="N804" s="334"/>
      <c r="O804" s="334"/>
    </row>
    <row r="805" spans="1:15" ht="12.75" hidden="1" customHeight="1" outlineLevel="1" x14ac:dyDescent="0.2">
      <c r="A805" s="618" t="s">
        <v>1818</v>
      </c>
      <c r="B805" s="619" t="s">
        <v>1058</v>
      </c>
      <c r="C805" s="620"/>
      <c r="D805" s="621"/>
      <c r="E805" s="622"/>
      <c r="F805" s="334"/>
      <c r="G805" s="334"/>
      <c r="H805" s="602"/>
      <c r="I805" s="334"/>
      <c r="J805" s="334"/>
      <c r="K805" s="334"/>
      <c r="L805" s="334"/>
      <c r="M805" s="334"/>
      <c r="N805" s="334"/>
      <c r="O805" s="334"/>
    </row>
    <row r="806" spans="1:15" ht="12.75" hidden="1" customHeight="1" outlineLevel="1" x14ac:dyDescent="0.2">
      <c r="A806" s="623" t="s">
        <v>1819</v>
      </c>
      <c r="B806" s="628" t="s">
        <v>1118</v>
      </c>
      <c r="C806" s="625" t="s">
        <v>100</v>
      </c>
      <c r="D806" s="626">
        <v>29.89</v>
      </c>
      <c r="E806" s="622"/>
      <c r="F806" s="334"/>
      <c r="G806" s="334"/>
      <c r="H806" s="602"/>
      <c r="I806" s="334"/>
      <c r="J806" s="334"/>
      <c r="K806" s="334"/>
      <c r="L806" s="334"/>
      <c r="M806" s="334"/>
      <c r="N806" s="334"/>
      <c r="O806" s="334"/>
    </row>
    <row r="807" spans="1:15" ht="12.75" hidden="1" customHeight="1" outlineLevel="1" x14ac:dyDescent="0.2">
      <c r="A807" s="627" t="s">
        <v>1820</v>
      </c>
      <c r="B807" s="628" t="s">
        <v>1118</v>
      </c>
      <c r="C807" s="629" t="s">
        <v>100</v>
      </c>
      <c r="D807" s="630">
        <v>4.1100000000000003</v>
      </c>
      <c r="E807" s="622"/>
      <c r="F807" s="334"/>
      <c r="G807" s="334"/>
      <c r="H807" s="602"/>
      <c r="I807" s="334"/>
      <c r="J807" s="334"/>
      <c r="K807" s="334"/>
      <c r="L807" s="334"/>
      <c r="M807" s="334"/>
      <c r="N807" s="334"/>
      <c r="O807" s="334"/>
    </row>
    <row r="808" spans="1:15" ht="12.75" hidden="1" customHeight="1" outlineLevel="1" x14ac:dyDescent="0.2">
      <c r="A808" s="623" t="s">
        <v>1821</v>
      </c>
      <c r="B808" s="628" t="s">
        <v>1118</v>
      </c>
      <c r="C808" s="625" t="s">
        <v>100</v>
      </c>
      <c r="D808" s="626">
        <v>49.08</v>
      </c>
      <c r="E808" s="622"/>
      <c r="F808" s="334"/>
      <c r="G808" s="334"/>
      <c r="H808" s="602"/>
      <c r="I808" s="334"/>
      <c r="J808" s="334"/>
      <c r="K808" s="334"/>
      <c r="L808" s="334"/>
      <c r="M808" s="334"/>
      <c r="N808" s="334"/>
      <c r="O808" s="334"/>
    </row>
    <row r="809" spans="1:15" ht="12.75" hidden="1" customHeight="1" outlineLevel="1" x14ac:dyDescent="0.2">
      <c r="A809" s="627" t="s">
        <v>1822</v>
      </c>
      <c r="B809" s="628" t="s">
        <v>1118</v>
      </c>
      <c r="C809" s="629" t="s">
        <v>100</v>
      </c>
      <c r="D809" s="630">
        <v>232.05</v>
      </c>
      <c r="E809" s="622"/>
      <c r="F809" s="334"/>
      <c r="G809" s="334"/>
      <c r="H809" s="602"/>
      <c r="I809" s="334"/>
      <c r="J809" s="334"/>
      <c r="K809" s="334"/>
      <c r="L809" s="334"/>
      <c r="M809" s="334"/>
      <c r="N809" s="334"/>
      <c r="O809" s="334"/>
    </row>
    <row r="810" spans="1:15" ht="12.75" hidden="1" customHeight="1" outlineLevel="1" x14ac:dyDescent="0.2">
      <c r="A810" s="623" t="s">
        <v>1823</v>
      </c>
      <c r="B810" s="628" t="s">
        <v>1118</v>
      </c>
      <c r="C810" s="625" t="s">
        <v>100</v>
      </c>
      <c r="D810" s="626">
        <v>42.22</v>
      </c>
      <c r="E810" s="622"/>
      <c r="F810" s="334"/>
      <c r="G810" s="334"/>
      <c r="H810" s="602"/>
      <c r="I810" s="334"/>
      <c r="J810" s="334"/>
      <c r="K810" s="334"/>
      <c r="L810" s="334"/>
      <c r="M810" s="334"/>
      <c r="N810" s="334"/>
      <c r="O810" s="334"/>
    </row>
    <row r="811" spans="1:15" ht="12.75" hidden="1" customHeight="1" outlineLevel="1" x14ac:dyDescent="0.2">
      <c r="A811" s="627" t="s">
        <v>1824</v>
      </c>
      <c r="B811" s="628" t="s">
        <v>1118</v>
      </c>
      <c r="C811" s="629" t="s">
        <v>100</v>
      </c>
      <c r="D811" s="630">
        <v>18.25</v>
      </c>
      <c r="E811" s="622"/>
      <c r="F811" s="334"/>
      <c r="G811" s="334"/>
      <c r="H811" s="602"/>
      <c r="I811" s="334"/>
      <c r="J811" s="334"/>
      <c r="K811" s="334"/>
      <c r="L811" s="334"/>
      <c r="M811" s="334"/>
      <c r="N811" s="334"/>
      <c r="O811" s="334"/>
    </row>
    <row r="812" spans="1:15" ht="12.75" hidden="1" customHeight="1" outlineLevel="1" x14ac:dyDescent="0.2">
      <c r="A812" s="618" t="s">
        <v>1825</v>
      </c>
      <c r="B812" s="619" t="s">
        <v>1069</v>
      </c>
      <c r="C812" s="620"/>
      <c r="D812" s="621"/>
      <c r="E812" s="622"/>
      <c r="F812" s="334"/>
      <c r="G812" s="334"/>
      <c r="H812" s="602"/>
      <c r="I812" s="334"/>
      <c r="J812" s="334"/>
      <c r="K812" s="334"/>
      <c r="L812" s="334"/>
      <c r="M812" s="334"/>
      <c r="N812" s="334"/>
      <c r="O812" s="334"/>
    </row>
    <row r="813" spans="1:15" ht="12.75" hidden="1" customHeight="1" outlineLevel="1" x14ac:dyDescent="0.2">
      <c r="A813" s="623" t="s">
        <v>1826</v>
      </c>
      <c r="B813" s="628" t="s">
        <v>1118</v>
      </c>
      <c r="C813" s="625" t="s">
        <v>100</v>
      </c>
      <c r="D813" s="626">
        <v>29.89</v>
      </c>
      <c r="E813" s="622"/>
      <c r="F813" s="334"/>
      <c r="G813" s="334"/>
      <c r="H813" s="602"/>
      <c r="I813" s="334"/>
      <c r="J813" s="334"/>
      <c r="K813" s="334"/>
      <c r="L813" s="334"/>
      <c r="M813" s="334"/>
      <c r="N813" s="334"/>
      <c r="O813" s="334"/>
    </row>
    <row r="814" spans="1:15" ht="12.75" hidden="1" customHeight="1" outlineLevel="1" x14ac:dyDescent="0.2">
      <c r="A814" s="627" t="s">
        <v>1827</v>
      </c>
      <c r="B814" s="628" t="s">
        <v>1118</v>
      </c>
      <c r="C814" s="629" t="s">
        <v>100</v>
      </c>
      <c r="D814" s="630">
        <v>4.1100000000000003</v>
      </c>
      <c r="E814" s="622"/>
      <c r="F814" s="334"/>
      <c r="G814" s="334"/>
      <c r="H814" s="602"/>
      <c r="I814" s="334"/>
      <c r="J814" s="334"/>
      <c r="K814" s="334"/>
      <c r="L814" s="334"/>
      <c r="M814" s="334"/>
      <c r="N814" s="334"/>
      <c r="O814" s="334"/>
    </row>
    <row r="815" spans="1:15" ht="12.75" hidden="1" customHeight="1" outlineLevel="1" x14ac:dyDescent="0.2">
      <c r="A815" s="623" t="s">
        <v>1828</v>
      </c>
      <c r="B815" s="628" t="s">
        <v>1118</v>
      </c>
      <c r="C815" s="625" t="s">
        <v>100</v>
      </c>
      <c r="D815" s="626">
        <v>49.08</v>
      </c>
      <c r="E815" s="622"/>
      <c r="F815" s="334"/>
      <c r="G815" s="334"/>
      <c r="H815" s="602"/>
      <c r="I815" s="334"/>
      <c r="J815" s="334"/>
      <c r="K815" s="334"/>
      <c r="L815" s="334"/>
      <c r="M815" s="334"/>
      <c r="N815" s="334"/>
      <c r="O815" s="334"/>
    </row>
    <row r="816" spans="1:15" ht="12.75" hidden="1" customHeight="1" outlineLevel="1" x14ac:dyDescent="0.2">
      <c r="A816" s="627" t="s">
        <v>1829</v>
      </c>
      <c r="B816" s="628" t="s">
        <v>1118</v>
      </c>
      <c r="C816" s="629" t="s">
        <v>100</v>
      </c>
      <c r="D816" s="630">
        <v>232.05</v>
      </c>
      <c r="E816" s="622"/>
      <c r="F816" s="334"/>
      <c r="G816" s="334"/>
      <c r="H816" s="602"/>
      <c r="I816" s="334"/>
      <c r="J816" s="334"/>
      <c r="K816" s="334"/>
      <c r="L816" s="334"/>
      <c r="M816" s="334"/>
      <c r="N816" s="334"/>
      <c r="O816" s="334"/>
    </row>
    <row r="817" spans="1:15" ht="12.75" hidden="1" customHeight="1" outlineLevel="1" x14ac:dyDescent="0.2">
      <c r="A817" s="623" t="s">
        <v>1830</v>
      </c>
      <c r="B817" s="628" t="s">
        <v>1118</v>
      </c>
      <c r="C817" s="625" t="s">
        <v>100</v>
      </c>
      <c r="D817" s="626">
        <v>42.22</v>
      </c>
      <c r="E817" s="622"/>
      <c r="F817" s="334"/>
      <c r="G817" s="334"/>
      <c r="H817" s="602"/>
      <c r="I817" s="334"/>
      <c r="J817" s="334"/>
      <c r="K817" s="334"/>
      <c r="L817" s="334"/>
      <c r="M817" s="334"/>
      <c r="N817" s="334"/>
      <c r="O817" s="334"/>
    </row>
    <row r="818" spans="1:15" ht="12.75" hidden="1" customHeight="1" outlineLevel="1" x14ac:dyDescent="0.2">
      <c r="A818" s="627" t="s">
        <v>1831</v>
      </c>
      <c r="B818" s="628" t="s">
        <v>1118</v>
      </c>
      <c r="C818" s="629" t="s">
        <v>100</v>
      </c>
      <c r="D818" s="630">
        <v>18.25</v>
      </c>
      <c r="E818" s="622"/>
      <c r="F818" s="334"/>
      <c r="G818" s="334"/>
      <c r="H818" s="602"/>
      <c r="I818" s="334"/>
      <c r="J818" s="334"/>
      <c r="K818" s="334"/>
      <c r="L818" s="334"/>
      <c r="M818" s="334"/>
      <c r="N818" s="334"/>
      <c r="O818" s="334"/>
    </row>
    <row r="819" spans="1:15" ht="12.75" hidden="1" customHeight="1" outlineLevel="1" x14ac:dyDescent="0.2">
      <c r="A819" s="618" t="s">
        <v>1832</v>
      </c>
      <c r="B819" s="619" t="s">
        <v>1079</v>
      </c>
      <c r="C819" s="620"/>
      <c r="D819" s="621"/>
      <c r="E819" s="622"/>
      <c r="F819" s="334"/>
      <c r="G819" s="334"/>
      <c r="H819" s="602"/>
      <c r="I819" s="334"/>
      <c r="J819" s="334"/>
      <c r="K819" s="334"/>
      <c r="L819" s="334"/>
      <c r="M819" s="334"/>
      <c r="N819" s="334"/>
      <c r="O819" s="334"/>
    </row>
    <row r="820" spans="1:15" ht="12.75" hidden="1" customHeight="1" outlineLevel="1" x14ac:dyDescent="0.2">
      <c r="A820" s="623" t="s">
        <v>1833</v>
      </c>
      <c r="B820" s="628" t="s">
        <v>1118</v>
      </c>
      <c r="C820" s="625" t="s">
        <v>100</v>
      </c>
      <c r="D820" s="626">
        <v>29.89</v>
      </c>
      <c r="E820" s="622"/>
      <c r="F820" s="334"/>
      <c r="G820" s="334"/>
      <c r="H820" s="602"/>
      <c r="I820" s="334"/>
      <c r="J820" s="334"/>
      <c r="K820" s="334"/>
      <c r="L820" s="334"/>
      <c r="M820" s="334"/>
      <c r="N820" s="334"/>
      <c r="O820" s="334"/>
    </row>
    <row r="821" spans="1:15" ht="12.75" hidden="1" customHeight="1" outlineLevel="1" x14ac:dyDescent="0.2">
      <c r="A821" s="627" t="s">
        <v>1834</v>
      </c>
      <c r="B821" s="628" t="s">
        <v>1118</v>
      </c>
      <c r="C821" s="629" t="s">
        <v>100</v>
      </c>
      <c r="D821" s="630">
        <v>4.1100000000000003</v>
      </c>
      <c r="E821" s="622"/>
      <c r="F821" s="334"/>
      <c r="G821" s="334"/>
      <c r="H821" s="602"/>
      <c r="I821" s="334"/>
      <c r="J821" s="334"/>
      <c r="K821" s="334"/>
      <c r="L821" s="334"/>
      <c r="M821" s="334"/>
      <c r="N821" s="334"/>
      <c r="O821" s="334"/>
    </row>
    <row r="822" spans="1:15" ht="12.75" hidden="1" customHeight="1" outlineLevel="1" x14ac:dyDescent="0.2">
      <c r="A822" s="623" t="s">
        <v>1835</v>
      </c>
      <c r="B822" s="628" t="s">
        <v>1118</v>
      </c>
      <c r="C822" s="625" t="s">
        <v>100</v>
      </c>
      <c r="D822" s="626">
        <v>49.08</v>
      </c>
      <c r="E822" s="622"/>
      <c r="F822" s="334"/>
      <c r="G822" s="334"/>
      <c r="H822" s="602"/>
      <c r="I822" s="334"/>
      <c r="J822" s="334"/>
      <c r="K822" s="334"/>
      <c r="L822" s="334"/>
      <c r="M822" s="334"/>
      <c r="N822" s="334"/>
      <c r="O822" s="334"/>
    </row>
    <row r="823" spans="1:15" ht="12.75" hidden="1" customHeight="1" outlineLevel="1" x14ac:dyDescent="0.2">
      <c r="A823" s="627" t="s">
        <v>1836</v>
      </c>
      <c r="B823" s="628" t="s">
        <v>1118</v>
      </c>
      <c r="C823" s="629" t="s">
        <v>100</v>
      </c>
      <c r="D823" s="630">
        <v>232.05</v>
      </c>
      <c r="E823" s="622"/>
      <c r="F823" s="334"/>
      <c r="G823" s="334"/>
      <c r="H823" s="602"/>
      <c r="I823" s="334"/>
      <c r="J823" s="334"/>
      <c r="K823" s="334"/>
      <c r="L823" s="334"/>
      <c r="M823" s="334"/>
      <c r="N823" s="334"/>
      <c r="O823" s="334"/>
    </row>
    <row r="824" spans="1:15" ht="12.75" hidden="1" customHeight="1" outlineLevel="1" x14ac:dyDescent="0.2">
      <c r="A824" s="623" t="s">
        <v>1837</v>
      </c>
      <c r="B824" s="628" t="s">
        <v>1118</v>
      </c>
      <c r="C824" s="625" t="s">
        <v>100</v>
      </c>
      <c r="D824" s="626">
        <v>42.22</v>
      </c>
      <c r="E824" s="622"/>
      <c r="F824" s="334"/>
      <c r="G824" s="334"/>
      <c r="H824" s="602"/>
      <c r="I824" s="334"/>
      <c r="J824" s="334"/>
      <c r="K824" s="334"/>
      <c r="L824" s="334"/>
      <c r="M824" s="334"/>
      <c r="N824" s="334"/>
      <c r="O824" s="334"/>
    </row>
    <row r="825" spans="1:15" ht="12.75" hidden="1" customHeight="1" outlineLevel="1" x14ac:dyDescent="0.2">
      <c r="A825" s="627" t="s">
        <v>1838</v>
      </c>
      <c r="B825" s="628" t="s">
        <v>1118</v>
      </c>
      <c r="C825" s="629" t="s">
        <v>100</v>
      </c>
      <c r="D825" s="630">
        <v>18.25</v>
      </c>
      <c r="E825" s="622"/>
      <c r="F825" s="334"/>
      <c r="G825" s="334"/>
      <c r="H825" s="602"/>
      <c r="I825" s="334"/>
      <c r="J825" s="334"/>
      <c r="K825" s="334"/>
      <c r="L825" s="334"/>
      <c r="M825" s="334"/>
      <c r="N825" s="334"/>
      <c r="O825" s="334"/>
    </row>
    <row r="826" spans="1:15" ht="12.75" hidden="1" customHeight="1" outlineLevel="1" x14ac:dyDescent="0.2">
      <c r="A826" s="618" t="s">
        <v>1839</v>
      </c>
      <c r="B826" s="619" t="s">
        <v>1086</v>
      </c>
      <c r="C826" s="620"/>
      <c r="D826" s="621"/>
      <c r="E826" s="622"/>
      <c r="F826" s="334"/>
      <c r="G826" s="334"/>
      <c r="H826" s="602"/>
      <c r="I826" s="334"/>
      <c r="J826" s="334"/>
      <c r="K826" s="334"/>
      <c r="L826" s="334"/>
      <c r="M826" s="334"/>
      <c r="N826" s="334"/>
      <c r="O826" s="334"/>
    </row>
    <row r="827" spans="1:15" ht="12.75" hidden="1" customHeight="1" outlineLevel="1" x14ac:dyDescent="0.2">
      <c r="A827" s="623" t="s">
        <v>1840</v>
      </c>
      <c r="B827" s="628" t="s">
        <v>1118</v>
      </c>
      <c r="C827" s="625" t="s">
        <v>100</v>
      </c>
      <c r="D827" s="626">
        <v>29.89</v>
      </c>
      <c r="E827" s="622"/>
      <c r="F827" s="334"/>
      <c r="G827" s="334"/>
      <c r="H827" s="602"/>
      <c r="I827" s="334"/>
      <c r="J827" s="334"/>
      <c r="K827" s="334"/>
      <c r="L827" s="334"/>
      <c r="M827" s="334"/>
      <c r="N827" s="334"/>
      <c r="O827" s="334"/>
    </row>
    <row r="828" spans="1:15" ht="12.75" hidden="1" customHeight="1" outlineLevel="1" x14ac:dyDescent="0.2">
      <c r="A828" s="627" t="s">
        <v>1841</v>
      </c>
      <c r="B828" s="628" t="s">
        <v>1118</v>
      </c>
      <c r="C828" s="629" t="s">
        <v>100</v>
      </c>
      <c r="D828" s="630">
        <v>4.1100000000000003</v>
      </c>
      <c r="E828" s="622"/>
      <c r="F828" s="334"/>
      <c r="G828" s="334"/>
      <c r="H828" s="602"/>
      <c r="I828" s="334"/>
      <c r="J828" s="334"/>
      <c r="K828" s="334"/>
      <c r="L828" s="334"/>
      <c r="M828" s="334"/>
      <c r="N828" s="334"/>
      <c r="O828" s="334"/>
    </row>
    <row r="829" spans="1:15" ht="12.75" hidden="1" customHeight="1" outlineLevel="1" x14ac:dyDescent="0.2">
      <c r="A829" s="623" t="s">
        <v>1842</v>
      </c>
      <c r="B829" s="628" t="s">
        <v>1118</v>
      </c>
      <c r="C829" s="625" t="s">
        <v>100</v>
      </c>
      <c r="D829" s="626">
        <v>49.08</v>
      </c>
      <c r="E829" s="622"/>
      <c r="F829" s="334"/>
      <c r="G829" s="334"/>
      <c r="H829" s="602"/>
      <c r="I829" s="334"/>
      <c r="J829" s="334"/>
      <c r="K829" s="334"/>
      <c r="L829" s="334"/>
      <c r="M829" s="334"/>
      <c r="N829" s="334"/>
      <c r="O829" s="334"/>
    </row>
    <row r="830" spans="1:15" ht="12.75" hidden="1" customHeight="1" outlineLevel="1" x14ac:dyDescent="0.2">
      <c r="A830" s="627" t="s">
        <v>1843</v>
      </c>
      <c r="B830" s="628" t="s">
        <v>1118</v>
      </c>
      <c r="C830" s="629" t="s">
        <v>100</v>
      </c>
      <c r="D830" s="630">
        <v>232.05</v>
      </c>
      <c r="E830" s="622"/>
      <c r="F830" s="334"/>
      <c r="G830" s="334"/>
      <c r="H830" s="602"/>
      <c r="I830" s="334"/>
      <c r="J830" s="334"/>
      <c r="K830" s="334"/>
      <c r="L830" s="334"/>
      <c r="M830" s="334"/>
      <c r="N830" s="334"/>
      <c r="O830" s="334"/>
    </row>
    <row r="831" spans="1:15" ht="12.75" hidden="1" customHeight="1" outlineLevel="1" x14ac:dyDescent="0.2">
      <c r="A831" s="623" t="s">
        <v>1844</v>
      </c>
      <c r="B831" s="628" t="s">
        <v>1118</v>
      </c>
      <c r="C831" s="625" t="s">
        <v>100</v>
      </c>
      <c r="D831" s="626">
        <v>42.22</v>
      </c>
      <c r="E831" s="622"/>
      <c r="F831" s="334"/>
      <c r="G831" s="334"/>
      <c r="H831" s="602"/>
      <c r="I831" s="334"/>
      <c r="J831" s="334"/>
      <c r="K831" s="334"/>
      <c r="L831" s="334"/>
      <c r="M831" s="334"/>
      <c r="N831" s="334"/>
      <c r="O831" s="334"/>
    </row>
    <row r="832" spans="1:15" ht="12.75" hidden="1" customHeight="1" outlineLevel="1" x14ac:dyDescent="0.2">
      <c r="A832" s="627" t="s">
        <v>1845</v>
      </c>
      <c r="B832" s="628" t="s">
        <v>1118</v>
      </c>
      <c r="C832" s="629" t="s">
        <v>100</v>
      </c>
      <c r="D832" s="630">
        <v>18.25</v>
      </c>
      <c r="E832" s="622"/>
      <c r="F832" s="334"/>
      <c r="G832" s="334"/>
      <c r="H832" s="602"/>
      <c r="I832" s="334"/>
      <c r="J832" s="334"/>
      <c r="K832" s="334"/>
      <c r="L832" s="334"/>
      <c r="M832" s="334"/>
      <c r="N832" s="334"/>
      <c r="O832" s="334"/>
    </row>
    <row r="833" spans="1:15" ht="12.75" hidden="1" customHeight="1" outlineLevel="1" x14ac:dyDescent="0.2">
      <c r="A833" s="618" t="s">
        <v>1846</v>
      </c>
      <c r="B833" s="619" t="s">
        <v>1094</v>
      </c>
      <c r="C833" s="620"/>
      <c r="D833" s="621"/>
      <c r="E833" s="622"/>
      <c r="F833" s="334"/>
      <c r="G833" s="334"/>
      <c r="H833" s="602"/>
      <c r="I833" s="334"/>
      <c r="J833" s="334"/>
      <c r="K833" s="334"/>
      <c r="L833" s="334"/>
      <c r="M833" s="334"/>
      <c r="N833" s="334"/>
      <c r="O833" s="334"/>
    </row>
    <row r="834" spans="1:15" ht="12.75" hidden="1" customHeight="1" outlineLevel="1" x14ac:dyDescent="0.2">
      <c r="A834" s="623" t="s">
        <v>1847</v>
      </c>
      <c r="B834" s="628" t="s">
        <v>1118</v>
      </c>
      <c r="C834" s="625" t="s">
        <v>100</v>
      </c>
      <c r="D834" s="626">
        <v>29.89</v>
      </c>
      <c r="E834" s="622"/>
      <c r="F834" s="334"/>
      <c r="G834" s="334"/>
      <c r="H834" s="602"/>
      <c r="I834" s="334"/>
      <c r="J834" s="334"/>
      <c r="K834" s="334"/>
      <c r="L834" s="334"/>
      <c r="M834" s="334"/>
      <c r="N834" s="334"/>
      <c r="O834" s="334"/>
    </row>
    <row r="835" spans="1:15" ht="12.75" hidden="1" customHeight="1" outlineLevel="1" x14ac:dyDescent="0.2">
      <c r="A835" s="627" t="s">
        <v>1848</v>
      </c>
      <c r="B835" s="628" t="s">
        <v>1118</v>
      </c>
      <c r="C835" s="629" t="s">
        <v>100</v>
      </c>
      <c r="D835" s="630">
        <v>4.1100000000000003</v>
      </c>
      <c r="E835" s="622"/>
      <c r="F835" s="334"/>
      <c r="G835" s="334"/>
      <c r="H835" s="602"/>
      <c r="I835" s="334"/>
      <c r="J835" s="334"/>
      <c r="K835" s="334"/>
      <c r="L835" s="334"/>
      <c r="M835" s="334"/>
      <c r="N835" s="334"/>
      <c r="O835" s="334"/>
    </row>
    <row r="836" spans="1:15" ht="12.75" hidden="1" customHeight="1" outlineLevel="1" x14ac:dyDescent="0.2">
      <c r="A836" s="623" t="s">
        <v>1849</v>
      </c>
      <c r="B836" s="628" t="s">
        <v>1118</v>
      </c>
      <c r="C836" s="625" t="s">
        <v>100</v>
      </c>
      <c r="D836" s="626">
        <v>49.08</v>
      </c>
      <c r="E836" s="622"/>
      <c r="F836" s="334"/>
      <c r="G836" s="334"/>
      <c r="H836" s="602"/>
      <c r="I836" s="334"/>
      <c r="J836" s="334"/>
      <c r="K836" s="334"/>
      <c r="L836" s="334"/>
      <c r="M836" s="334"/>
      <c r="N836" s="334"/>
      <c r="O836" s="334"/>
    </row>
    <row r="837" spans="1:15" ht="12.75" hidden="1" customHeight="1" outlineLevel="1" x14ac:dyDescent="0.2">
      <c r="A837" s="627" t="s">
        <v>1850</v>
      </c>
      <c r="B837" s="628" t="s">
        <v>1118</v>
      </c>
      <c r="C837" s="629" t="s">
        <v>100</v>
      </c>
      <c r="D837" s="630">
        <v>232.05</v>
      </c>
      <c r="E837" s="622"/>
      <c r="F837" s="334"/>
      <c r="G837" s="334"/>
      <c r="H837" s="602"/>
      <c r="I837" s="334"/>
      <c r="J837" s="334"/>
      <c r="K837" s="334"/>
      <c r="L837" s="334"/>
      <c r="M837" s="334"/>
      <c r="N837" s="334"/>
      <c r="O837" s="334"/>
    </row>
    <row r="838" spans="1:15" ht="12.75" hidden="1" customHeight="1" outlineLevel="1" x14ac:dyDescent="0.2">
      <c r="A838" s="623" t="s">
        <v>1851</v>
      </c>
      <c r="B838" s="628" t="s">
        <v>1118</v>
      </c>
      <c r="C838" s="625" t="s">
        <v>100</v>
      </c>
      <c r="D838" s="626">
        <v>42.22</v>
      </c>
      <c r="E838" s="622"/>
      <c r="F838" s="334"/>
      <c r="G838" s="334"/>
      <c r="H838" s="602"/>
      <c r="I838" s="334"/>
      <c r="J838" s="334"/>
      <c r="K838" s="334"/>
      <c r="L838" s="334"/>
      <c r="M838" s="334"/>
      <c r="N838" s="334"/>
      <c r="O838" s="334"/>
    </row>
    <row r="839" spans="1:15" ht="12.75" hidden="1" customHeight="1" outlineLevel="1" x14ac:dyDescent="0.2">
      <c r="A839" s="627" t="s">
        <v>1852</v>
      </c>
      <c r="B839" s="628" t="s">
        <v>1118</v>
      </c>
      <c r="C839" s="629" t="s">
        <v>100</v>
      </c>
      <c r="D839" s="630">
        <v>18.25</v>
      </c>
      <c r="E839" s="622"/>
      <c r="F839" s="334"/>
      <c r="G839" s="334"/>
      <c r="H839" s="602"/>
      <c r="I839" s="334"/>
      <c r="J839" s="334"/>
      <c r="K839" s="334"/>
      <c r="L839" s="334"/>
      <c r="M839" s="334"/>
      <c r="N839" s="334"/>
      <c r="O839" s="334"/>
    </row>
    <row r="840" spans="1:15" ht="12.75" hidden="1" customHeight="1" outlineLevel="1" x14ac:dyDescent="0.2">
      <c r="A840" s="618" t="s">
        <v>1853</v>
      </c>
      <c r="B840" s="619" t="s">
        <v>1102</v>
      </c>
      <c r="C840" s="620"/>
      <c r="D840" s="621"/>
      <c r="E840" s="622"/>
      <c r="F840" s="334"/>
      <c r="G840" s="334"/>
      <c r="H840" s="602"/>
      <c r="I840" s="334"/>
      <c r="J840" s="334"/>
      <c r="K840" s="334"/>
      <c r="L840" s="334"/>
      <c r="M840" s="334"/>
      <c r="N840" s="334"/>
      <c r="O840" s="334"/>
    </row>
    <row r="841" spans="1:15" ht="12.75" hidden="1" customHeight="1" outlineLevel="1" x14ac:dyDescent="0.2">
      <c r="A841" s="623" t="s">
        <v>1854</v>
      </c>
      <c r="B841" s="628" t="s">
        <v>1118</v>
      </c>
      <c r="C841" s="625" t="s">
        <v>100</v>
      </c>
      <c r="D841" s="626">
        <v>3.13</v>
      </c>
      <c r="E841" s="622"/>
      <c r="F841" s="334"/>
      <c r="G841" s="334"/>
      <c r="H841" s="602"/>
      <c r="I841" s="334"/>
      <c r="J841" s="334"/>
      <c r="K841" s="334"/>
      <c r="L841" s="334"/>
      <c r="M841" s="334"/>
      <c r="N841" s="334"/>
      <c r="O841" s="334"/>
    </row>
    <row r="842" spans="1:15" ht="12.75" hidden="1" customHeight="1" outlineLevel="1" x14ac:dyDescent="0.2">
      <c r="A842" s="627" t="s">
        <v>1855</v>
      </c>
      <c r="B842" s="628" t="s">
        <v>1118</v>
      </c>
      <c r="C842" s="629" t="s">
        <v>100</v>
      </c>
      <c r="D842" s="630">
        <v>22.74</v>
      </c>
      <c r="E842" s="622"/>
      <c r="F842" s="334"/>
      <c r="G842" s="334"/>
      <c r="H842" s="602"/>
      <c r="I842" s="334"/>
      <c r="J842" s="334"/>
      <c r="K842" s="334"/>
      <c r="L842" s="334"/>
      <c r="M842" s="334"/>
      <c r="N842" s="334"/>
      <c r="O842" s="334"/>
    </row>
    <row r="843" spans="1:15" ht="12.75" hidden="1" customHeight="1" outlineLevel="1" x14ac:dyDescent="0.2">
      <c r="A843" s="623" t="s">
        <v>1856</v>
      </c>
      <c r="B843" s="628" t="s">
        <v>1118</v>
      </c>
      <c r="C843" s="625" t="s">
        <v>100</v>
      </c>
      <c r="D843" s="626">
        <v>27.5</v>
      </c>
      <c r="E843" s="622"/>
      <c r="F843" s="334"/>
      <c r="G843" s="334"/>
      <c r="H843" s="602"/>
      <c r="I843" s="334"/>
      <c r="J843" s="334"/>
      <c r="K843" s="334"/>
      <c r="L843" s="334"/>
      <c r="M843" s="334"/>
      <c r="N843" s="334"/>
      <c r="O843" s="334"/>
    </row>
    <row r="844" spans="1:15" ht="12.75" hidden="1" customHeight="1" outlineLevel="1" x14ac:dyDescent="0.2">
      <c r="A844" s="627" t="s">
        <v>1857</v>
      </c>
      <c r="B844" s="628" t="s">
        <v>1118</v>
      </c>
      <c r="C844" s="629" t="s">
        <v>100</v>
      </c>
      <c r="D844" s="630">
        <v>7.29</v>
      </c>
      <c r="E844" s="622"/>
      <c r="F844" s="334"/>
      <c r="G844" s="334"/>
      <c r="H844" s="602"/>
      <c r="I844" s="334"/>
      <c r="J844" s="334"/>
      <c r="K844" s="334"/>
      <c r="L844" s="334"/>
      <c r="M844" s="334"/>
      <c r="N844" s="334"/>
      <c r="O844" s="334"/>
    </row>
    <row r="845" spans="1:15" ht="12.75" hidden="1" customHeight="1" outlineLevel="1" x14ac:dyDescent="0.2">
      <c r="A845" s="623" t="s">
        <v>1858</v>
      </c>
      <c r="B845" s="628" t="s">
        <v>1118</v>
      </c>
      <c r="C845" s="625" t="s">
        <v>100</v>
      </c>
      <c r="D845" s="626">
        <v>15.69</v>
      </c>
      <c r="E845" s="622"/>
      <c r="F845" s="334"/>
      <c r="G845" s="334"/>
      <c r="H845" s="602"/>
      <c r="I845" s="334"/>
      <c r="J845" s="334"/>
      <c r="K845" s="334"/>
      <c r="L845" s="334"/>
      <c r="M845" s="334"/>
      <c r="N845" s="334"/>
      <c r="O845" s="334"/>
    </row>
    <row r="846" spans="1:15" ht="12.75" hidden="1" customHeight="1" outlineLevel="1" x14ac:dyDescent="0.2">
      <c r="A846" s="627" t="s">
        <v>1859</v>
      </c>
      <c r="B846" s="628" t="s">
        <v>1118</v>
      </c>
      <c r="C846" s="629" t="s">
        <v>100</v>
      </c>
      <c r="D846" s="630">
        <v>8.0500000000000007</v>
      </c>
      <c r="E846" s="622"/>
      <c r="F846" s="334"/>
      <c r="G846" s="334"/>
      <c r="H846" s="602"/>
      <c r="I846" s="334"/>
      <c r="J846" s="334"/>
      <c r="K846" s="334"/>
      <c r="L846" s="334"/>
      <c r="M846" s="334"/>
      <c r="N846" s="334"/>
      <c r="O846" s="334"/>
    </row>
    <row r="847" spans="1:15" ht="12.75" hidden="1" customHeight="1" outlineLevel="1" x14ac:dyDescent="0.2">
      <c r="A847" s="623" t="s">
        <v>1860</v>
      </c>
      <c r="B847" s="628" t="s">
        <v>1118</v>
      </c>
      <c r="C847" s="625" t="s">
        <v>100</v>
      </c>
      <c r="D847" s="626">
        <v>8.15</v>
      </c>
      <c r="E847" s="622"/>
      <c r="F847" s="334"/>
      <c r="G847" s="334"/>
      <c r="H847" s="602"/>
      <c r="I847" s="334"/>
      <c r="J847" s="334"/>
      <c r="K847" s="334"/>
      <c r="L847" s="334"/>
      <c r="M847" s="334"/>
      <c r="N847" s="334"/>
      <c r="O847" s="334"/>
    </row>
    <row r="848" spans="1:15" ht="12.75" hidden="1" customHeight="1" outlineLevel="1" x14ac:dyDescent="0.2">
      <c r="A848" s="627" t="s">
        <v>1861</v>
      </c>
      <c r="B848" s="628" t="s">
        <v>1118</v>
      </c>
      <c r="C848" s="629" t="s">
        <v>100</v>
      </c>
      <c r="D848" s="630">
        <v>11.78</v>
      </c>
      <c r="E848" s="622"/>
      <c r="F848" s="334"/>
      <c r="G848" s="334"/>
      <c r="H848" s="602"/>
      <c r="I848" s="334"/>
      <c r="J848" s="334"/>
      <c r="K848" s="334"/>
      <c r="L848" s="334"/>
      <c r="M848" s="334"/>
      <c r="N848" s="334"/>
      <c r="O848" s="334"/>
    </row>
    <row r="849" spans="1:15" ht="12.75" hidden="1" customHeight="1" outlineLevel="1" x14ac:dyDescent="0.2">
      <c r="A849" s="623" t="s">
        <v>1862</v>
      </c>
      <c r="B849" s="628" t="s">
        <v>1118</v>
      </c>
      <c r="C849" s="625" t="s">
        <v>100</v>
      </c>
      <c r="D849" s="626">
        <v>48.14</v>
      </c>
      <c r="E849" s="622"/>
      <c r="F849" s="334"/>
      <c r="G849" s="334"/>
      <c r="H849" s="602"/>
      <c r="I849" s="334"/>
      <c r="J849" s="334"/>
      <c r="K849" s="334"/>
      <c r="L849" s="334"/>
      <c r="M849" s="334"/>
      <c r="N849" s="334"/>
      <c r="O849" s="334"/>
    </row>
    <row r="850" spans="1:15" ht="12.75" hidden="1" customHeight="1" outlineLevel="1" x14ac:dyDescent="0.2">
      <c r="A850" s="618" t="s">
        <v>1863</v>
      </c>
      <c r="B850" s="619" t="s">
        <v>1112</v>
      </c>
      <c r="C850" s="620"/>
      <c r="D850" s="621"/>
      <c r="E850" s="622"/>
      <c r="F850" s="334"/>
      <c r="G850" s="334"/>
      <c r="H850" s="602"/>
      <c r="I850" s="334"/>
      <c r="J850" s="334"/>
      <c r="K850" s="334"/>
      <c r="L850" s="334"/>
      <c r="M850" s="334"/>
      <c r="N850" s="334"/>
      <c r="O850" s="334"/>
    </row>
    <row r="851" spans="1:15" ht="12.75" hidden="1" customHeight="1" outlineLevel="1" x14ac:dyDescent="0.2">
      <c r="A851" s="627" t="s">
        <v>1864</v>
      </c>
      <c r="B851" s="628" t="s">
        <v>1118</v>
      </c>
      <c r="C851" s="629" t="s">
        <v>100</v>
      </c>
      <c r="D851" s="630">
        <v>13.96</v>
      </c>
      <c r="E851" s="622"/>
      <c r="F851" s="334"/>
      <c r="G851" s="334"/>
      <c r="H851" s="602"/>
      <c r="I851" s="334"/>
      <c r="J851" s="334"/>
      <c r="K851" s="334"/>
      <c r="L851" s="334"/>
      <c r="M851" s="334"/>
      <c r="N851" s="334"/>
      <c r="O851" s="334"/>
    </row>
    <row r="852" spans="1:15" ht="12.75" hidden="1" customHeight="1" outlineLevel="1" x14ac:dyDescent="0.2">
      <c r="A852" s="623" t="s">
        <v>1865</v>
      </c>
      <c r="B852" s="628" t="s">
        <v>1118</v>
      </c>
      <c r="C852" s="625" t="s">
        <v>100</v>
      </c>
      <c r="D852" s="626">
        <v>3.68</v>
      </c>
      <c r="E852" s="622"/>
      <c r="F852" s="334"/>
      <c r="G852" s="334"/>
      <c r="H852" s="602"/>
      <c r="I852" s="334"/>
      <c r="J852" s="334"/>
      <c r="K852" s="334"/>
      <c r="L852" s="334"/>
      <c r="M852" s="334"/>
      <c r="N852" s="334"/>
      <c r="O852" s="334"/>
    </row>
    <row r="853" spans="1:15" ht="12.75" hidden="1" customHeight="1" outlineLevel="1" x14ac:dyDescent="0.2">
      <c r="A853" s="627" t="s">
        <v>1866</v>
      </c>
      <c r="B853" s="628" t="s">
        <v>1118</v>
      </c>
      <c r="C853" s="629" t="s">
        <v>100</v>
      </c>
      <c r="D853" s="630">
        <v>196.85</v>
      </c>
      <c r="E853" s="622"/>
      <c r="F853" s="334"/>
      <c r="G853" s="334"/>
      <c r="H853" s="602"/>
      <c r="I853" s="334"/>
      <c r="J853" s="334"/>
      <c r="K853" s="334"/>
      <c r="L853" s="334"/>
      <c r="M853" s="334"/>
      <c r="N853" s="334"/>
      <c r="O853" s="334"/>
    </row>
    <row r="854" spans="1:15" ht="12.75" hidden="1" customHeight="1" outlineLevel="1" x14ac:dyDescent="0.2">
      <c r="A854" s="623" t="s">
        <v>1867</v>
      </c>
      <c r="B854" s="628" t="s">
        <v>1118</v>
      </c>
      <c r="C854" s="625" t="s">
        <v>100</v>
      </c>
      <c r="D854" s="626">
        <v>15.71</v>
      </c>
      <c r="E854" s="622"/>
      <c r="F854" s="334"/>
      <c r="G854" s="334"/>
      <c r="H854" s="602"/>
      <c r="I854" s="334"/>
      <c r="J854" s="334"/>
      <c r="K854" s="334"/>
      <c r="L854" s="334"/>
      <c r="M854" s="334"/>
      <c r="N854" s="334"/>
      <c r="O854" s="334"/>
    </row>
    <row r="855" spans="1:15" ht="12.75" hidden="1" customHeight="1" outlineLevel="1" x14ac:dyDescent="0.2">
      <c r="A855" s="627" t="s">
        <v>1868</v>
      </c>
      <c r="B855" s="628" t="s">
        <v>1118</v>
      </c>
      <c r="C855" s="629" t="s">
        <v>100</v>
      </c>
      <c r="D855" s="630">
        <v>57.52</v>
      </c>
      <c r="E855" s="622"/>
      <c r="F855" s="334"/>
      <c r="G855" s="334"/>
      <c r="H855" s="602"/>
      <c r="I855" s="334"/>
      <c r="J855" s="334"/>
      <c r="K855" s="334"/>
      <c r="L855" s="334"/>
      <c r="M855" s="334"/>
      <c r="N855" s="334"/>
      <c r="O855" s="334"/>
    </row>
    <row r="856" spans="1:15" ht="12.75" hidden="1" customHeight="1" outlineLevel="1" x14ac:dyDescent="0.2">
      <c r="A856" s="623" t="s">
        <v>1869</v>
      </c>
      <c r="B856" s="628" t="s">
        <v>1118</v>
      </c>
      <c r="C856" s="625" t="s">
        <v>100</v>
      </c>
      <c r="D856" s="626">
        <v>13.24</v>
      </c>
      <c r="E856" s="622"/>
      <c r="F856" s="334"/>
      <c r="G856" s="334"/>
      <c r="H856" s="602"/>
      <c r="I856" s="334"/>
      <c r="J856" s="334"/>
      <c r="K856" s="334"/>
      <c r="L856" s="334"/>
      <c r="M856" s="334"/>
      <c r="N856" s="334"/>
      <c r="O856" s="334"/>
    </row>
    <row r="857" spans="1:15" ht="12.75" hidden="1" customHeight="1" outlineLevel="1" x14ac:dyDescent="0.2">
      <c r="A857" s="627" t="s">
        <v>1870</v>
      </c>
      <c r="B857" s="628" t="s">
        <v>1118</v>
      </c>
      <c r="C857" s="629" t="s">
        <v>100</v>
      </c>
      <c r="D857" s="630">
        <v>11.95</v>
      </c>
      <c r="E857" s="622"/>
      <c r="F857" s="334"/>
      <c r="G857" s="334"/>
      <c r="H857" s="602"/>
      <c r="I857" s="334"/>
      <c r="J857" s="334"/>
      <c r="K857" s="334"/>
      <c r="L857" s="334"/>
      <c r="M857" s="334"/>
      <c r="N857" s="334"/>
      <c r="O857" s="334"/>
    </row>
    <row r="858" spans="1:15" ht="12.75" hidden="1" customHeight="1" outlineLevel="1" x14ac:dyDescent="0.2">
      <c r="A858" s="618" t="s">
        <v>1871</v>
      </c>
      <c r="B858" s="619" t="s">
        <v>1127</v>
      </c>
      <c r="C858" s="620"/>
      <c r="D858" s="621"/>
      <c r="E858" s="622"/>
      <c r="F858" s="334"/>
      <c r="G858" s="334"/>
      <c r="H858" s="602"/>
      <c r="I858" s="334"/>
      <c r="J858" s="334"/>
      <c r="K858" s="334"/>
      <c r="L858" s="334"/>
      <c r="M858" s="334"/>
      <c r="N858" s="334"/>
      <c r="O858" s="334"/>
    </row>
    <row r="859" spans="1:15" ht="12.75" hidden="1" customHeight="1" outlineLevel="1" x14ac:dyDescent="0.2">
      <c r="A859" s="623" t="s">
        <v>1872</v>
      </c>
      <c r="B859" s="628" t="s">
        <v>1118</v>
      </c>
      <c r="C859" s="625" t="s">
        <v>100</v>
      </c>
      <c r="D859" s="626">
        <v>2.67</v>
      </c>
      <c r="E859" s="622"/>
      <c r="F859" s="334"/>
      <c r="G859" s="334"/>
      <c r="H859" s="602"/>
      <c r="I859" s="334"/>
      <c r="J859" s="334"/>
      <c r="K859" s="334"/>
      <c r="L859" s="334"/>
      <c r="M859" s="334"/>
      <c r="N859" s="334"/>
      <c r="O859" s="334"/>
    </row>
    <row r="860" spans="1:15" ht="12.75" hidden="1" customHeight="1" outlineLevel="1" x14ac:dyDescent="0.2">
      <c r="A860" s="627" t="s">
        <v>1873</v>
      </c>
      <c r="B860" s="628" t="s">
        <v>1118</v>
      </c>
      <c r="C860" s="629" t="s">
        <v>100</v>
      </c>
      <c r="D860" s="630">
        <v>12.97</v>
      </c>
      <c r="E860" s="622"/>
      <c r="F860" s="334"/>
      <c r="G860" s="334"/>
      <c r="H860" s="602"/>
      <c r="I860" s="334"/>
      <c r="J860" s="334"/>
      <c r="K860" s="334"/>
      <c r="L860" s="334"/>
      <c r="M860" s="334"/>
      <c r="N860" s="334"/>
      <c r="O860" s="334"/>
    </row>
    <row r="861" spans="1:15" ht="12.75" hidden="1" customHeight="1" outlineLevel="1" x14ac:dyDescent="0.2">
      <c r="A861" s="623" t="s">
        <v>1874</v>
      </c>
      <c r="B861" s="628" t="s">
        <v>1118</v>
      </c>
      <c r="C861" s="625" t="s">
        <v>100</v>
      </c>
      <c r="D861" s="626">
        <v>29.57</v>
      </c>
      <c r="E861" s="622"/>
      <c r="F861" s="334"/>
      <c r="G861" s="334"/>
      <c r="H861" s="602"/>
      <c r="I861" s="334"/>
      <c r="J861" s="334"/>
      <c r="K861" s="334"/>
      <c r="L861" s="334"/>
      <c r="M861" s="334"/>
      <c r="N861" s="334"/>
      <c r="O861" s="334"/>
    </row>
    <row r="862" spans="1:15" ht="12.75" hidden="1" customHeight="1" outlineLevel="1" x14ac:dyDescent="0.2">
      <c r="A862" s="627" t="s">
        <v>1875</v>
      </c>
      <c r="B862" s="628" t="s">
        <v>1118</v>
      </c>
      <c r="C862" s="629" t="s">
        <v>100</v>
      </c>
      <c r="D862" s="630">
        <v>99.28</v>
      </c>
      <c r="E862" s="622"/>
      <c r="F862" s="334"/>
      <c r="G862" s="334"/>
      <c r="H862" s="602"/>
      <c r="I862" s="334"/>
      <c r="J862" s="334"/>
      <c r="K862" s="334"/>
      <c r="L862" s="334"/>
      <c r="M862" s="334"/>
      <c r="N862" s="334"/>
      <c r="O862" s="334"/>
    </row>
    <row r="863" spans="1:15" ht="12.75" hidden="1" customHeight="1" outlineLevel="1" x14ac:dyDescent="0.2">
      <c r="A863" s="623" t="s">
        <v>1876</v>
      </c>
      <c r="B863" s="628" t="s">
        <v>1118</v>
      </c>
      <c r="C863" s="625" t="s">
        <v>100</v>
      </c>
      <c r="D863" s="626">
        <v>1.85</v>
      </c>
      <c r="E863" s="622"/>
      <c r="F863" s="334"/>
      <c r="G863" s="334"/>
      <c r="H863" s="602"/>
      <c r="I863" s="334"/>
      <c r="J863" s="334"/>
      <c r="K863" s="334"/>
      <c r="L863" s="334"/>
      <c r="M863" s="334"/>
      <c r="N863" s="334"/>
      <c r="O863" s="334"/>
    </row>
    <row r="864" spans="1:15" ht="12.75" hidden="1" customHeight="1" outlineLevel="1" x14ac:dyDescent="0.2">
      <c r="A864" s="627" t="s">
        <v>1877</v>
      </c>
      <c r="B864" s="628" t="s">
        <v>1118</v>
      </c>
      <c r="C864" s="629" t="s">
        <v>100</v>
      </c>
      <c r="D864" s="630">
        <v>4.58</v>
      </c>
      <c r="E864" s="622"/>
      <c r="F864" s="334"/>
      <c r="G864" s="334"/>
      <c r="H864" s="602"/>
      <c r="I864" s="334"/>
      <c r="J864" s="334"/>
      <c r="K864" s="334"/>
      <c r="L864" s="334"/>
      <c r="M864" s="334"/>
      <c r="N864" s="334"/>
      <c r="O864" s="334"/>
    </row>
    <row r="865" spans="1:15" ht="12.75" customHeight="1" collapsed="1" x14ac:dyDescent="0.2">
      <c r="A865" s="614" t="s">
        <v>1878</v>
      </c>
      <c r="B865" s="615" t="s">
        <v>1879</v>
      </c>
      <c r="C865" s="616"/>
      <c r="D865" s="617"/>
      <c r="E865" s="622"/>
      <c r="F865" s="334"/>
      <c r="G865" s="334"/>
      <c r="H865" s="602"/>
      <c r="I865" s="334"/>
      <c r="J865" s="334"/>
      <c r="K865" s="334"/>
      <c r="L865" s="334"/>
      <c r="M865" s="334"/>
      <c r="N865" s="334"/>
      <c r="O865" s="334"/>
    </row>
    <row r="866" spans="1:15" ht="12.75" hidden="1" customHeight="1" outlineLevel="1" x14ac:dyDescent="0.2">
      <c r="A866" s="618" t="s">
        <v>1880</v>
      </c>
      <c r="B866" s="619" t="s">
        <v>1017</v>
      </c>
      <c r="C866" s="620"/>
      <c r="D866" s="621"/>
      <c r="E866" s="622"/>
      <c r="F866" s="334"/>
      <c r="G866" s="334"/>
      <c r="H866" s="602"/>
      <c r="I866" s="334"/>
      <c r="J866" s="334"/>
      <c r="K866" s="334"/>
      <c r="L866" s="334"/>
      <c r="M866" s="334"/>
      <c r="N866" s="334"/>
      <c r="O866" s="334"/>
    </row>
    <row r="867" spans="1:15" ht="12.75" hidden="1" customHeight="1" outlineLevel="1" x14ac:dyDescent="0.2">
      <c r="A867" s="623" t="s">
        <v>1881</v>
      </c>
      <c r="B867" s="624" t="s">
        <v>1121</v>
      </c>
      <c r="C867" s="625" t="s">
        <v>100</v>
      </c>
      <c r="D867" s="626">
        <v>69.069999999999993</v>
      </c>
      <c r="E867" s="622"/>
      <c r="F867" s="334"/>
      <c r="G867" s="334"/>
      <c r="H867" s="602"/>
      <c r="I867" s="334"/>
      <c r="J867" s="334"/>
      <c r="K867" s="334"/>
      <c r="L867" s="334"/>
      <c r="M867" s="334"/>
      <c r="N867" s="334"/>
      <c r="O867" s="334"/>
    </row>
    <row r="868" spans="1:15" ht="12.75" hidden="1" customHeight="1" outlineLevel="1" x14ac:dyDescent="0.2">
      <c r="A868" s="618" t="s">
        <v>1882</v>
      </c>
      <c r="B868" s="619" t="s">
        <v>1021</v>
      </c>
      <c r="C868" s="620"/>
      <c r="D868" s="621"/>
      <c r="E868" s="622"/>
      <c r="F868" s="334"/>
      <c r="G868" s="334"/>
      <c r="H868" s="602"/>
      <c r="I868" s="334"/>
      <c r="J868" s="334"/>
      <c r="K868" s="334"/>
      <c r="L868" s="334"/>
      <c r="M868" s="334"/>
      <c r="N868" s="334"/>
      <c r="O868" s="334"/>
    </row>
    <row r="869" spans="1:15" ht="12.75" hidden="1" customHeight="1" outlineLevel="1" x14ac:dyDescent="0.2">
      <c r="A869" s="627" t="s">
        <v>1883</v>
      </c>
      <c r="B869" s="628" t="s">
        <v>1121</v>
      </c>
      <c r="C869" s="629" t="s">
        <v>100</v>
      </c>
      <c r="D869" s="630">
        <v>14.74</v>
      </c>
      <c r="E869" s="622"/>
      <c r="F869" s="334"/>
      <c r="G869" s="334"/>
      <c r="H869" s="602"/>
      <c r="I869" s="334"/>
      <c r="J869" s="334"/>
      <c r="K869" s="334"/>
      <c r="L869" s="334"/>
      <c r="M869" s="334"/>
      <c r="N869" s="334"/>
      <c r="O869" s="334"/>
    </row>
    <row r="870" spans="1:15" ht="12.75" hidden="1" customHeight="1" outlineLevel="1" x14ac:dyDescent="0.2">
      <c r="A870" s="618" t="s">
        <v>1884</v>
      </c>
      <c r="B870" s="619" t="s">
        <v>1120</v>
      </c>
      <c r="C870" s="620"/>
      <c r="D870" s="621"/>
      <c r="E870" s="622"/>
      <c r="F870" s="334"/>
      <c r="G870" s="334"/>
      <c r="H870" s="602"/>
      <c r="I870" s="334"/>
      <c r="J870" s="334"/>
      <c r="K870" s="334"/>
      <c r="L870" s="334"/>
      <c r="M870" s="334"/>
      <c r="N870" s="334"/>
      <c r="O870" s="334"/>
    </row>
    <row r="871" spans="1:15" ht="12.75" hidden="1" customHeight="1" outlineLevel="1" x14ac:dyDescent="0.2">
      <c r="A871" s="623" t="s">
        <v>1885</v>
      </c>
      <c r="B871" s="624" t="s">
        <v>1121</v>
      </c>
      <c r="C871" s="625" t="s">
        <v>100</v>
      </c>
      <c r="D871" s="626">
        <v>61.52</v>
      </c>
      <c r="E871" s="622"/>
      <c r="F871" s="334"/>
      <c r="G871" s="334"/>
      <c r="H871" s="602"/>
      <c r="I871" s="334"/>
      <c r="J871" s="334"/>
      <c r="K871" s="334"/>
      <c r="L871" s="334"/>
      <c r="M871" s="334"/>
      <c r="N871" s="334"/>
      <c r="O871" s="334"/>
    </row>
    <row r="872" spans="1:15" ht="12.75" hidden="1" customHeight="1" outlineLevel="1" x14ac:dyDescent="0.2">
      <c r="A872" s="618" t="s">
        <v>1886</v>
      </c>
      <c r="B872" s="619" t="s">
        <v>1137</v>
      </c>
      <c r="C872" s="620"/>
      <c r="D872" s="621"/>
      <c r="E872" s="622"/>
      <c r="F872" s="334"/>
      <c r="G872" s="334"/>
      <c r="H872" s="602"/>
      <c r="I872" s="334"/>
      <c r="J872" s="334"/>
      <c r="K872" s="334"/>
      <c r="L872" s="334"/>
      <c r="M872" s="334"/>
      <c r="N872" s="334"/>
      <c r="O872" s="334"/>
    </row>
    <row r="873" spans="1:15" ht="12.75" hidden="1" customHeight="1" outlineLevel="1" x14ac:dyDescent="0.2">
      <c r="A873" s="627" t="s">
        <v>1887</v>
      </c>
      <c r="B873" s="628" t="s">
        <v>1121</v>
      </c>
      <c r="C873" s="629" t="s">
        <v>100</v>
      </c>
      <c r="D873" s="630">
        <v>71.22</v>
      </c>
      <c r="E873" s="622"/>
      <c r="F873" s="334"/>
      <c r="G873" s="334"/>
      <c r="H873" s="602"/>
      <c r="I873" s="334"/>
      <c r="J873" s="334"/>
      <c r="K873" s="334"/>
      <c r="L873" s="334"/>
      <c r="M873" s="334"/>
      <c r="N873" s="334"/>
      <c r="O873" s="334"/>
    </row>
    <row r="874" spans="1:15" ht="12.75" customHeight="1" collapsed="1" x14ac:dyDescent="0.2">
      <c r="A874" s="614" t="s">
        <v>1888</v>
      </c>
      <c r="B874" s="615" t="s">
        <v>1889</v>
      </c>
      <c r="C874" s="616"/>
      <c r="D874" s="617"/>
      <c r="E874" s="622"/>
      <c r="F874" s="334"/>
      <c r="G874" s="334"/>
      <c r="H874" s="602"/>
      <c r="I874" s="334"/>
      <c r="J874" s="334"/>
      <c r="K874" s="334"/>
      <c r="L874" s="334"/>
      <c r="M874" s="334"/>
      <c r="N874" s="334"/>
      <c r="O874" s="334"/>
    </row>
    <row r="875" spans="1:15" ht="12.75" hidden="1" customHeight="1" outlineLevel="1" x14ac:dyDescent="0.2">
      <c r="A875" s="618" t="s">
        <v>1890</v>
      </c>
      <c r="B875" s="619" t="s">
        <v>1009</v>
      </c>
      <c r="C875" s="620"/>
      <c r="D875" s="621"/>
      <c r="E875" s="622"/>
      <c r="F875" s="334"/>
      <c r="G875" s="334"/>
      <c r="H875" s="602"/>
      <c r="I875" s="334"/>
      <c r="J875" s="334"/>
      <c r="K875" s="334"/>
      <c r="L875" s="334"/>
      <c r="M875" s="334"/>
      <c r="N875" s="334"/>
      <c r="O875" s="334"/>
    </row>
    <row r="876" spans="1:15" ht="12.75" hidden="1" customHeight="1" outlineLevel="1" x14ac:dyDescent="0.2">
      <c r="A876" s="623" t="s">
        <v>1891</v>
      </c>
      <c r="B876" s="624" t="s">
        <v>1123</v>
      </c>
      <c r="C876" s="625" t="s">
        <v>100</v>
      </c>
      <c r="D876" s="626">
        <v>495.16</v>
      </c>
      <c r="E876" s="622"/>
      <c r="F876" s="334"/>
      <c r="G876" s="334"/>
      <c r="H876" s="602"/>
      <c r="I876" s="334"/>
      <c r="J876" s="334"/>
      <c r="K876" s="334"/>
      <c r="L876" s="334"/>
      <c r="M876" s="334"/>
      <c r="N876" s="334"/>
      <c r="O876" s="334"/>
    </row>
    <row r="877" spans="1:15" ht="12.75" hidden="1" customHeight="1" outlineLevel="1" x14ac:dyDescent="0.2">
      <c r="A877" s="627" t="s">
        <v>1892</v>
      </c>
      <c r="B877" s="628" t="s">
        <v>1125</v>
      </c>
      <c r="C877" s="629" t="s">
        <v>100</v>
      </c>
      <c r="D877" s="630">
        <v>22.27</v>
      </c>
      <c r="E877" s="622"/>
      <c r="F877" s="334"/>
      <c r="G877" s="334"/>
      <c r="H877" s="602"/>
      <c r="I877" s="334"/>
      <c r="J877" s="334"/>
      <c r="K877" s="334"/>
      <c r="L877" s="334"/>
      <c r="M877" s="334"/>
      <c r="N877" s="334"/>
      <c r="O877" s="334"/>
    </row>
    <row r="878" spans="1:15" ht="12.75" hidden="1" customHeight="1" outlineLevel="1" x14ac:dyDescent="0.2">
      <c r="A878" s="618" t="s">
        <v>1893</v>
      </c>
      <c r="B878" s="619" t="s">
        <v>1017</v>
      </c>
      <c r="C878" s="620"/>
      <c r="D878" s="621"/>
      <c r="E878" s="622"/>
      <c r="F878" s="334"/>
      <c r="G878" s="334"/>
      <c r="H878" s="602"/>
      <c r="I878" s="334"/>
      <c r="J878" s="334"/>
      <c r="K878" s="334"/>
      <c r="L878" s="334"/>
      <c r="M878" s="334"/>
      <c r="N878" s="334"/>
      <c r="O878" s="334"/>
    </row>
    <row r="879" spans="1:15" ht="12.75" hidden="1" customHeight="1" outlineLevel="1" x14ac:dyDescent="0.2">
      <c r="A879" s="623" t="s">
        <v>1894</v>
      </c>
      <c r="B879" s="624" t="s">
        <v>1123</v>
      </c>
      <c r="C879" s="625" t="s">
        <v>100</v>
      </c>
      <c r="D879" s="626">
        <v>800.24</v>
      </c>
      <c r="E879" s="622"/>
      <c r="F879" s="334"/>
      <c r="G879" s="334"/>
      <c r="H879" s="602"/>
      <c r="I879" s="334"/>
      <c r="J879" s="334"/>
      <c r="K879" s="334"/>
      <c r="L879" s="334"/>
      <c r="M879" s="334"/>
      <c r="N879" s="334"/>
      <c r="O879" s="334"/>
    </row>
    <row r="880" spans="1:15" ht="12.75" hidden="1" customHeight="1" outlineLevel="1" x14ac:dyDescent="0.2">
      <c r="A880" s="627" t="s">
        <v>1895</v>
      </c>
      <c r="B880" s="628" t="s">
        <v>1125</v>
      </c>
      <c r="C880" s="629" t="s">
        <v>100</v>
      </c>
      <c r="D880" s="630">
        <v>23.5</v>
      </c>
      <c r="E880" s="622"/>
      <c r="F880" s="334"/>
      <c r="G880" s="334"/>
      <c r="H880" s="602"/>
      <c r="I880" s="334"/>
      <c r="J880" s="334"/>
      <c r="K880" s="334"/>
      <c r="L880" s="334"/>
      <c r="M880" s="334"/>
      <c r="N880" s="334"/>
      <c r="O880" s="334"/>
    </row>
    <row r="881" spans="1:15" ht="12.75" hidden="1" customHeight="1" outlineLevel="1" x14ac:dyDescent="0.2">
      <c r="A881" s="618" t="s">
        <v>1896</v>
      </c>
      <c r="B881" s="619" t="s">
        <v>1021</v>
      </c>
      <c r="C881" s="620"/>
      <c r="D881" s="621"/>
      <c r="E881" s="622"/>
      <c r="F881" s="334"/>
      <c r="G881" s="334"/>
      <c r="H881" s="602"/>
      <c r="I881" s="334"/>
      <c r="J881" s="334"/>
      <c r="K881" s="334"/>
      <c r="L881" s="334"/>
      <c r="M881" s="334"/>
      <c r="N881" s="334"/>
      <c r="O881" s="334"/>
    </row>
    <row r="882" spans="1:15" ht="12.75" hidden="1" customHeight="1" outlineLevel="1" x14ac:dyDescent="0.2">
      <c r="A882" s="623" t="s">
        <v>1897</v>
      </c>
      <c r="B882" s="624" t="s">
        <v>1123</v>
      </c>
      <c r="C882" s="625" t="s">
        <v>100</v>
      </c>
      <c r="D882" s="626">
        <v>11.81</v>
      </c>
      <c r="E882" s="622"/>
      <c r="F882" s="334"/>
      <c r="G882" s="334"/>
      <c r="H882" s="602"/>
      <c r="I882" s="334"/>
      <c r="J882" s="334"/>
      <c r="K882" s="334"/>
      <c r="L882" s="334"/>
      <c r="M882" s="334"/>
      <c r="N882" s="334"/>
      <c r="O882" s="334"/>
    </row>
    <row r="883" spans="1:15" ht="12.75" hidden="1" customHeight="1" outlineLevel="1" x14ac:dyDescent="0.2">
      <c r="A883" s="627" t="s">
        <v>1898</v>
      </c>
      <c r="B883" s="628" t="s">
        <v>1125</v>
      </c>
      <c r="C883" s="629" t="s">
        <v>100</v>
      </c>
      <c r="D883" s="630">
        <v>22.56</v>
      </c>
      <c r="E883" s="622"/>
      <c r="F883" s="334"/>
      <c r="G883" s="334"/>
      <c r="H883" s="602"/>
      <c r="I883" s="334"/>
      <c r="J883" s="334"/>
      <c r="K883" s="334"/>
      <c r="L883" s="334"/>
      <c r="M883" s="334"/>
      <c r="N883" s="334"/>
      <c r="O883" s="334"/>
    </row>
    <row r="884" spans="1:15" ht="12.75" hidden="1" customHeight="1" outlineLevel="1" x14ac:dyDescent="0.2">
      <c r="A884" s="618" t="s">
        <v>1899</v>
      </c>
      <c r="B884" s="619" t="s">
        <v>1030</v>
      </c>
      <c r="C884" s="620"/>
      <c r="D884" s="621"/>
      <c r="E884" s="622"/>
      <c r="F884" s="334"/>
      <c r="G884" s="334"/>
      <c r="H884" s="602"/>
      <c r="I884" s="334"/>
      <c r="J884" s="334"/>
      <c r="K884" s="334"/>
      <c r="L884" s="334"/>
      <c r="M884" s="334"/>
      <c r="N884" s="334"/>
      <c r="O884" s="334"/>
    </row>
    <row r="885" spans="1:15" ht="12.75" hidden="1" customHeight="1" outlineLevel="1" x14ac:dyDescent="0.2">
      <c r="A885" s="623" t="s">
        <v>1900</v>
      </c>
      <c r="B885" s="624" t="s">
        <v>1123</v>
      </c>
      <c r="C885" s="625" t="s">
        <v>100</v>
      </c>
      <c r="D885" s="626">
        <v>9.52</v>
      </c>
      <c r="E885" s="622"/>
      <c r="F885" s="334"/>
      <c r="G885" s="334"/>
      <c r="H885" s="602"/>
      <c r="I885" s="334"/>
      <c r="J885" s="334"/>
      <c r="K885" s="334"/>
      <c r="L885" s="334"/>
      <c r="M885" s="334"/>
      <c r="N885" s="334"/>
      <c r="O885" s="334"/>
    </row>
    <row r="886" spans="1:15" ht="12.75" hidden="1" customHeight="1" outlineLevel="1" x14ac:dyDescent="0.2">
      <c r="A886" s="627" t="s">
        <v>1901</v>
      </c>
      <c r="B886" s="628" t="s">
        <v>1125</v>
      </c>
      <c r="C886" s="629" t="s">
        <v>100</v>
      </c>
      <c r="D886" s="630">
        <v>22.27</v>
      </c>
      <c r="E886" s="622"/>
      <c r="F886" s="334"/>
      <c r="G886" s="334"/>
      <c r="H886" s="602"/>
      <c r="I886" s="334"/>
      <c r="J886" s="334"/>
      <c r="K886" s="334"/>
      <c r="L886" s="334"/>
      <c r="M886" s="334"/>
      <c r="N886" s="334"/>
      <c r="O886" s="334"/>
    </row>
    <row r="887" spans="1:15" ht="12.75" hidden="1" customHeight="1" outlineLevel="1" x14ac:dyDescent="0.2">
      <c r="A887" s="618" t="s">
        <v>1902</v>
      </c>
      <c r="B887" s="619" t="s">
        <v>1039</v>
      </c>
      <c r="C887" s="620"/>
      <c r="D887" s="621"/>
      <c r="E887" s="622"/>
      <c r="F887" s="334"/>
      <c r="G887" s="334"/>
      <c r="H887" s="602"/>
      <c r="I887" s="334"/>
      <c r="J887" s="334"/>
      <c r="K887" s="334"/>
      <c r="L887" s="334"/>
      <c r="M887" s="334"/>
      <c r="N887" s="334"/>
      <c r="O887" s="334"/>
    </row>
    <row r="888" spans="1:15" ht="12.75" hidden="1" customHeight="1" outlineLevel="1" x14ac:dyDescent="0.2">
      <c r="A888" s="623" t="s">
        <v>1903</v>
      </c>
      <c r="B888" s="624" t="s">
        <v>1123</v>
      </c>
      <c r="C888" s="625" t="s">
        <v>100</v>
      </c>
      <c r="D888" s="626">
        <v>9.68</v>
      </c>
      <c r="E888" s="622"/>
      <c r="F888" s="334"/>
      <c r="G888" s="334"/>
      <c r="H888" s="602"/>
      <c r="I888" s="334"/>
      <c r="J888" s="334"/>
      <c r="K888" s="334"/>
      <c r="L888" s="334"/>
      <c r="M888" s="334"/>
      <c r="N888" s="334"/>
      <c r="O888" s="334"/>
    </row>
    <row r="889" spans="1:15" ht="12.75" hidden="1" customHeight="1" outlineLevel="1" x14ac:dyDescent="0.2">
      <c r="A889" s="627" t="s">
        <v>1904</v>
      </c>
      <c r="B889" s="628" t="s">
        <v>1125</v>
      </c>
      <c r="C889" s="629" t="s">
        <v>100</v>
      </c>
      <c r="D889" s="630">
        <v>22.27</v>
      </c>
      <c r="E889" s="622"/>
      <c r="F889" s="334"/>
      <c r="G889" s="334"/>
      <c r="H889" s="602"/>
      <c r="I889" s="334"/>
      <c r="J889" s="334"/>
      <c r="K889" s="334"/>
      <c r="L889" s="334"/>
      <c r="M889" s="334"/>
      <c r="N889" s="334"/>
      <c r="O889" s="334"/>
    </row>
    <row r="890" spans="1:15" ht="12.75" hidden="1" customHeight="1" outlineLevel="1" x14ac:dyDescent="0.2">
      <c r="A890" s="618" t="s">
        <v>1905</v>
      </c>
      <c r="B890" s="619" t="s">
        <v>1047</v>
      </c>
      <c r="C890" s="620"/>
      <c r="D890" s="621"/>
      <c r="E890" s="622"/>
      <c r="F890" s="334"/>
      <c r="G890" s="334"/>
      <c r="H890" s="602"/>
      <c r="I890" s="334"/>
      <c r="J890" s="334"/>
      <c r="K890" s="334"/>
      <c r="L890" s="334"/>
      <c r="M890" s="334"/>
      <c r="N890" s="334"/>
      <c r="O890" s="334"/>
    </row>
    <row r="891" spans="1:15" ht="12.75" hidden="1" customHeight="1" outlineLevel="1" x14ac:dyDescent="0.2">
      <c r="A891" s="623" t="s">
        <v>1906</v>
      </c>
      <c r="B891" s="624" t="s">
        <v>1123</v>
      </c>
      <c r="C891" s="625" t="s">
        <v>100</v>
      </c>
      <c r="D891" s="626">
        <v>9.52</v>
      </c>
      <c r="E891" s="622"/>
      <c r="F891" s="334"/>
      <c r="G891" s="334"/>
      <c r="H891" s="602"/>
      <c r="I891" s="334"/>
      <c r="J891" s="334"/>
      <c r="K891" s="334"/>
      <c r="L891" s="334"/>
      <c r="M891" s="334"/>
      <c r="N891" s="334"/>
      <c r="O891" s="334"/>
    </row>
    <row r="892" spans="1:15" ht="12.75" hidden="1" customHeight="1" outlineLevel="1" x14ac:dyDescent="0.2">
      <c r="A892" s="627" t="s">
        <v>1907</v>
      </c>
      <c r="B892" s="628" t="s">
        <v>1125</v>
      </c>
      <c r="C892" s="629" t="s">
        <v>100</v>
      </c>
      <c r="D892" s="630">
        <v>22.27</v>
      </c>
      <c r="E892" s="622"/>
      <c r="F892" s="334"/>
      <c r="G892" s="334"/>
      <c r="H892" s="602"/>
      <c r="I892" s="334"/>
      <c r="J892" s="334"/>
      <c r="K892" s="334"/>
      <c r="L892" s="334"/>
      <c r="M892" s="334"/>
      <c r="N892" s="334"/>
      <c r="O892" s="334"/>
    </row>
    <row r="893" spans="1:15" ht="12.75" hidden="1" customHeight="1" outlineLevel="1" x14ac:dyDescent="0.2">
      <c r="A893" s="618" t="s">
        <v>1908</v>
      </c>
      <c r="B893" s="619" t="s">
        <v>1058</v>
      </c>
      <c r="C893" s="620"/>
      <c r="D893" s="621"/>
      <c r="E893" s="622"/>
      <c r="F893" s="334"/>
      <c r="G893" s="334"/>
      <c r="H893" s="602"/>
      <c r="I893" s="334"/>
      <c r="J893" s="334"/>
      <c r="K893" s="334"/>
      <c r="L893" s="334"/>
      <c r="M893" s="334"/>
      <c r="N893" s="334"/>
      <c r="O893" s="334"/>
    </row>
    <row r="894" spans="1:15" ht="12.75" hidden="1" customHeight="1" outlineLevel="1" x14ac:dyDescent="0.2">
      <c r="A894" s="623" t="s">
        <v>1909</v>
      </c>
      <c r="B894" s="624" t="s">
        <v>1123</v>
      </c>
      <c r="C894" s="625" t="s">
        <v>100</v>
      </c>
      <c r="D894" s="626">
        <v>9.52</v>
      </c>
      <c r="E894" s="622"/>
      <c r="F894" s="334"/>
      <c r="G894" s="334"/>
      <c r="H894" s="602"/>
      <c r="I894" s="334"/>
      <c r="J894" s="334"/>
      <c r="K894" s="334"/>
      <c r="L894" s="334"/>
      <c r="M894" s="334"/>
      <c r="N894" s="334"/>
      <c r="O894" s="334"/>
    </row>
    <row r="895" spans="1:15" ht="12.75" hidden="1" customHeight="1" outlineLevel="1" x14ac:dyDescent="0.2">
      <c r="A895" s="627" t="s">
        <v>1910</v>
      </c>
      <c r="B895" s="628" t="s">
        <v>1125</v>
      </c>
      <c r="C895" s="629" t="s">
        <v>100</v>
      </c>
      <c r="D895" s="630">
        <v>22.27</v>
      </c>
      <c r="E895" s="622"/>
      <c r="F895" s="334"/>
      <c r="G895" s="334"/>
      <c r="H895" s="602"/>
      <c r="I895" s="334"/>
      <c r="J895" s="334"/>
      <c r="K895" s="334"/>
      <c r="L895" s="334"/>
      <c r="M895" s="334"/>
      <c r="N895" s="334"/>
      <c r="O895" s="334"/>
    </row>
    <row r="896" spans="1:15" ht="12.75" hidden="1" customHeight="1" outlineLevel="1" x14ac:dyDescent="0.2">
      <c r="A896" s="618" t="s">
        <v>1911</v>
      </c>
      <c r="B896" s="619" t="s">
        <v>1069</v>
      </c>
      <c r="C896" s="620"/>
      <c r="D896" s="621"/>
      <c r="E896" s="622"/>
      <c r="F896" s="334"/>
      <c r="G896" s="334"/>
      <c r="H896" s="602"/>
      <c r="I896" s="334"/>
      <c r="J896" s="334"/>
      <c r="K896" s="334"/>
      <c r="L896" s="334"/>
      <c r="M896" s="334"/>
      <c r="N896" s="334"/>
      <c r="O896" s="334"/>
    </row>
    <row r="897" spans="1:15" ht="12.75" hidden="1" customHeight="1" outlineLevel="1" x14ac:dyDescent="0.2">
      <c r="A897" s="623" t="s">
        <v>1912</v>
      </c>
      <c r="B897" s="624" t="s">
        <v>1123</v>
      </c>
      <c r="C897" s="625" t="s">
        <v>100</v>
      </c>
      <c r="D897" s="626">
        <v>9.52</v>
      </c>
      <c r="E897" s="622"/>
      <c r="F897" s="334"/>
      <c r="G897" s="334"/>
      <c r="H897" s="602"/>
      <c r="I897" s="334"/>
      <c r="J897" s="334"/>
      <c r="K897" s="334"/>
      <c r="L897" s="334"/>
      <c r="M897" s="334"/>
      <c r="N897" s="334"/>
      <c r="O897" s="334"/>
    </row>
    <row r="898" spans="1:15" ht="12.75" hidden="1" customHeight="1" outlineLevel="1" x14ac:dyDescent="0.2">
      <c r="A898" s="627" t="s">
        <v>1913</v>
      </c>
      <c r="B898" s="628" t="s">
        <v>1125</v>
      </c>
      <c r="C898" s="629" t="s">
        <v>100</v>
      </c>
      <c r="D898" s="630">
        <v>22.27</v>
      </c>
      <c r="E898" s="622"/>
      <c r="F898" s="334"/>
      <c r="G898" s="334"/>
      <c r="H898" s="602"/>
      <c r="I898" s="334"/>
      <c r="J898" s="334"/>
      <c r="K898" s="334"/>
      <c r="L898" s="334"/>
      <c r="M898" s="334"/>
      <c r="N898" s="334"/>
      <c r="O898" s="334"/>
    </row>
    <row r="899" spans="1:15" ht="12.75" hidden="1" customHeight="1" outlineLevel="1" x14ac:dyDescent="0.2">
      <c r="A899" s="618" t="s">
        <v>1914</v>
      </c>
      <c r="B899" s="619" t="s">
        <v>1079</v>
      </c>
      <c r="C899" s="620"/>
      <c r="D899" s="621"/>
      <c r="E899" s="622"/>
      <c r="F899" s="334"/>
      <c r="G899" s="334"/>
      <c r="H899" s="602"/>
      <c r="I899" s="334"/>
      <c r="J899" s="334"/>
      <c r="K899" s="334"/>
      <c r="L899" s="334"/>
      <c r="M899" s="334"/>
      <c r="N899" s="334"/>
      <c r="O899" s="334"/>
    </row>
    <row r="900" spans="1:15" ht="12.75" hidden="1" customHeight="1" outlineLevel="1" x14ac:dyDescent="0.2">
      <c r="A900" s="623" t="s">
        <v>1915</v>
      </c>
      <c r="B900" s="624" t="s">
        <v>1123</v>
      </c>
      <c r="C900" s="625" t="s">
        <v>100</v>
      </c>
      <c r="D900" s="626">
        <v>9.52</v>
      </c>
      <c r="E900" s="622"/>
      <c r="F900" s="334"/>
      <c r="G900" s="334"/>
      <c r="H900" s="602"/>
      <c r="I900" s="334"/>
      <c r="J900" s="334"/>
      <c r="K900" s="334"/>
      <c r="L900" s="334"/>
      <c r="M900" s="334"/>
      <c r="N900" s="334"/>
      <c r="O900" s="334"/>
    </row>
    <row r="901" spans="1:15" ht="12.75" hidden="1" customHeight="1" outlineLevel="1" x14ac:dyDescent="0.2">
      <c r="A901" s="627" t="s">
        <v>1916</v>
      </c>
      <c r="B901" s="628" t="s">
        <v>1125</v>
      </c>
      <c r="C901" s="629" t="s">
        <v>100</v>
      </c>
      <c r="D901" s="630">
        <v>22.27</v>
      </c>
      <c r="E901" s="622"/>
      <c r="F901" s="334"/>
      <c r="G901" s="334"/>
      <c r="H901" s="602"/>
      <c r="I901" s="334"/>
      <c r="J901" s="334"/>
      <c r="K901" s="334"/>
      <c r="L901" s="334"/>
      <c r="M901" s="334"/>
      <c r="N901" s="334"/>
      <c r="O901" s="334"/>
    </row>
    <row r="902" spans="1:15" ht="12.75" hidden="1" customHeight="1" outlineLevel="1" x14ac:dyDescent="0.2">
      <c r="A902" s="618" t="s">
        <v>1917</v>
      </c>
      <c r="B902" s="619" t="s">
        <v>1086</v>
      </c>
      <c r="C902" s="620"/>
      <c r="D902" s="621"/>
      <c r="E902" s="622"/>
      <c r="F902" s="334"/>
      <c r="G902" s="334"/>
      <c r="H902" s="602"/>
      <c r="I902" s="334"/>
      <c r="J902" s="334"/>
      <c r="K902" s="334"/>
      <c r="L902" s="334"/>
      <c r="M902" s="334"/>
      <c r="N902" s="334"/>
      <c r="O902" s="334"/>
    </row>
    <row r="903" spans="1:15" ht="12.75" hidden="1" customHeight="1" outlineLevel="1" x14ac:dyDescent="0.2">
      <c r="A903" s="623" t="s">
        <v>1918</v>
      </c>
      <c r="B903" s="624" t="s">
        <v>1123</v>
      </c>
      <c r="C903" s="625" t="s">
        <v>100</v>
      </c>
      <c r="D903" s="626">
        <v>9.52</v>
      </c>
      <c r="E903" s="622"/>
      <c r="F903" s="334"/>
      <c r="G903" s="334"/>
      <c r="H903" s="602"/>
      <c r="I903" s="334"/>
      <c r="J903" s="334"/>
      <c r="K903" s="334"/>
      <c r="L903" s="334"/>
      <c r="M903" s="334"/>
      <c r="N903" s="334"/>
      <c r="O903" s="334"/>
    </row>
    <row r="904" spans="1:15" ht="12.75" hidden="1" customHeight="1" outlineLevel="1" x14ac:dyDescent="0.2">
      <c r="A904" s="627" t="s">
        <v>1919</v>
      </c>
      <c r="B904" s="628" t="s">
        <v>1125</v>
      </c>
      <c r="C904" s="629" t="s">
        <v>100</v>
      </c>
      <c r="D904" s="630">
        <v>22.27</v>
      </c>
      <c r="E904" s="622"/>
      <c r="F904" s="334"/>
      <c r="G904" s="334"/>
      <c r="H904" s="602"/>
      <c r="I904" s="334"/>
      <c r="J904" s="334"/>
      <c r="K904" s="334"/>
      <c r="L904" s="334"/>
      <c r="M904" s="334"/>
      <c r="N904" s="334"/>
      <c r="O904" s="334"/>
    </row>
    <row r="905" spans="1:15" ht="12.75" hidden="1" customHeight="1" outlineLevel="1" x14ac:dyDescent="0.2">
      <c r="A905" s="618" t="s">
        <v>1920</v>
      </c>
      <c r="B905" s="619" t="s">
        <v>1094</v>
      </c>
      <c r="C905" s="620"/>
      <c r="D905" s="621"/>
      <c r="E905" s="622"/>
      <c r="F905" s="334"/>
      <c r="G905" s="334"/>
      <c r="H905" s="602"/>
      <c r="I905" s="334"/>
      <c r="J905" s="334"/>
      <c r="K905" s="334"/>
      <c r="L905" s="334"/>
      <c r="M905" s="334"/>
      <c r="N905" s="334"/>
      <c r="O905" s="334"/>
    </row>
    <row r="906" spans="1:15" ht="12.75" hidden="1" customHeight="1" outlineLevel="1" x14ac:dyDescent="0.2">
      <c r="A906" s="623" t="s">
        <v>1921</v>
      </c>
      <c r="B906" s="624" t="s">
        <v>1123</v>
      </c>
      <c r="C906" s="625" t="s">
        <v>100</v>
      </c>
      <c r="D906" s="626">
        <v>9.52</v>
      </c>
      <c r="E906" s="622"/>
      <c r="F906" s="334"/>
      <c r="G906" s="334"/>
      <c r="H906" s="602"/>
      <c r="I906" s="334"/>
      <c r="J906" s="334"/>
      <c r="K906" s="334"/>
      <c r="L906" s="334"/>
      <c r="M906" s="334"/>
      <c r="N906" s="334"/>
      <c r="O906" s="334"/>
    </row>
    <row r="907" spans="1:15" ht="12.75" hidden="1" customHeight="1" outlineLevel="1" x14ac:dyDescent="0.2">
      <c r="A907" s="627" t="s">
        <v>1922</v>
      </c>
      <c r="B907" s="628" t="s">
        <v>1125</v>
      </c>
      <c r="C907" s="629" t="s">
        <v>100</v>
      </c>
      <c r="D907" s="630">
        <v>22.27</v>
      </c>
      <c r="E907" s="622"/>
      <c r="F907" s="334"/>
      <c r="G907" s="334"/>
      <c r="H907" s="602"/>
      <c r="I907" s="334"/>
      <c r="J907" s="334"/>
      <c r="K907" s="334"/>
      <c r="L907" s="334"/>
      <c r="M907" s="334"/>
      <c r="N907" s="334"/>
      <c r="O907" s="334"/>
    </row>
    <row r="908" spans="1:15" ht="12.75" hidden="1" customHeight="1" outlineLevel="1" x14ac:dyDescent="0.2">
      <c r="A908" s="618" t="s">
        <v>1923</v>
      </c>
      <c r="B908" s="619" t="s">
        <v>1102</v>
      </c>
      <c r="C908" s="620"/>
      <c r="D908" s="621"/>
      <c r="E908" s="622"/>
      <c r="F908" s="334"/>
      <c r="G908" s="334"/>
      <c r="H908" s="602"/>
      <c r="I908" s="334"/>
      <c r="J908" s="334"/>
      <c r="K908" s="334"/>
      <c r="L908" s="334"/>
      <c r="M908" s="334"/>
      <c r="N908" s="334"/>
      <c r="O908" s="334"/>
    </row>
    <row r="909" spans="1:15" ht="12.75" hidden="1" customHeight="1" outlineLevel="1" x14ac:dyDescent="0.2">
      <c r="A909" s="623" t="s">
        <v>1924</v>
      </c>
      <c r="B909" s="624" t="s">
        <v>1123</v>
      </c>
      <c r="C909" s="625" t="s">
        <v>100</v>
      </c>
      <c r="D909" s="626">
        <v>10.06</v>
      </c>
      <c r="E909" s="622"/>
      <c r="F909" s="334"/>
      <c r="G909" s="334"/>
      <c r="H909" s="602"/>
      <c r="I909" s="334"/>
      <c r="J909" s="334"/>
      <c r="K909" s="334"/>
      <c r="L909" s="334"/>
      <c r="M909" s="334"/>
      <c r="N909" s="334"/>
      <c r="O909" s="334"/>
    </row>
    <row r="910" spans="1:15" ht="12.75" hidden="1" customHeight="1" outlineLevel="1" x14ac:dyDescent="0.2">
      <c r="A910" s="627" t="s">
        <v>1925</v>
      </c>
      <c r="B910" s="628" t="s">
        <v>1125</v>
      </c>
      <c r="C910" s="629" t="s">
        <v>100</v>
      </c>
      <c r="D910" s="630">
        <v>42.57</v>
      </c>
      <c r="E910" s="622"/>
      <c r="F910" s="334"/>
      <c r="G910" s="334"/>
      <c r="H910" s="602"/>
      <c r="I910" s="334"/>
      <c r="J910" s="334"/>
      <c r="K910" s="334"/>
      <c r="L910" s="334"/>
      <c r="M910" s="334"/>
      <c r="N910" s="334"/>
      <c r="O910" s="334"/>
    </row>
    <row r="911" spans="1:15" ht="12.75" hidden="1" customHeight="1" outlineLevel="1" x14ac:dyDescent="0.2">
      <c r="A911" s="618" t="s">
        <v>1926</v>
      </c>
      <c r="B911" s="619" t="s">
        <v>1112</v>
      </c>
      <c r="C911" s="620"/>
      <c r="D911" s="621"/>
      <c r="E911" s="622"/>
      <c r="F911" s="334"/>
      <c r="G911" s="334"/>
      <c r="H911" s="602"/>
      <c r="I911" s="334"/>
      <c r="J911" s="334"/>
      <c r="K911" s="334"/>
      <c r="L911" s="334"/>
      <c r="M911" s="334"/>
      <c r="N911" s="334"/>
      <c r="O911" s="334"/>
    </row>
    <row r="912" spans="1:15" ht="12.75" hidden="1" customHeight="1" outlineLevel="1" x14ac:dyDescent="0.2">
      <c r="A912" s="623" t="s">
        <v>1927</v>
      </c>
      <c r="B912" s="624" t="s">
        <v>1123</v>
      </c>
      <c r="C912" s="625" t="s">
        <v>100</v>
      </c>
      <c r="D912" s="626">
        <v>6.56</v>
      </c>
      <c r="E912" s="622"/>
      <c r="F912" s="334"/>
      <c r="G912" s="334"/>
      <c r="H912" s="602"/>
      <c r="I912" s="334"/>
      <c r="J912" s="334"/>
      <c r="K912" s="334"/>
      <c r="L912" s="334"/>
      <c r="M912" s="334"/>
      <c r="N912" s="334"/>
      <c r="O912" s="334"/>
    </row>
    <row r="913" spans="1:15" ht="12.75" hidden="1" customHeight="1" outlineLevel="1" x14ac:dyDescent="0.2">
      <c r="A913" s="627" t="s">
        <v>1928</v>
      </c>
      <c r="B913" s="628" t="s">
        <v>1125</v>
      </c>
      <c r="C913" s="629" t="s">
        <v>100</v>
      </c>
      <c r="D913" s="630">
        <v>23.56</v>
      </c>
      <c r="E913" s="622"/>
      <c r="F913" s="334"/>
      <c r="G913" s="334"/>
      <c r="H913" s="602"/>
      <c r="I913" s="334"/>
      <c r="J913" s="334"/>
      <c r="K913" s="334"/>
      <c r="L913" s="334"/>
      <c r="M913" s="334"/>
      <c r="N913" s="334"/>
      <c r="O913" s="334"/>
    </row>
    <row r="914" spans="1:15" ht="12.75" hidden="1" customHeight="1" outlineLevel="1" x14ac:dyDescent="0.2">
      <c r="A914" s="618" t="s">
        <v>1929</v>
      </c>
      <c r="B914" s="619" t="s">
        <v>1127</v>
      </c>
      <c r="C914" s="620"/>
      <c r="D914" s="621"/>
      <c r="E914" s="622"/>
      <c r="F914" s="334"/>
      <c r="G914" s="334"/>
      <c r="H914" s="602"/>
      <c r="I914" s="334"/>
      <c r="J914" s="334"/>
      <c r="K914" s="334"/>
      <c r="L914" s="334"/>
      <c r="M914" s="334"/>
      <c r="N914" s="334"/>
      <c r="O914" s="334"/>
    </row>
    <row r="915" spans="1:15" ht="12.75" hidden="1" customHeight="1" outlineLevel="1" x14ac:dyDescent="0.2">
      <c r="A915" s="623" t="s">
        <v>1930</v>
      </c>
      <c r="B915" s="624" t="s">
        <v>1123</v>
      </c>
      <c r="C915" s="625" t="s">
        <v>100</v>
      </c>
      <c r="D915" s="626">
        <v>18.8</v>
      </c>
      <c r="E915" s="622"/>
      <c r="F915" s="334"/>
      <c r="G915" s="334"/>
      <c r="H915" s="602"/>
      <c r="I915" s="334"/>
      <c r="J915" s="334"/>
      <c r="K915" s="334"/>
      <c r="L915" s="334"/>
      <c r="M915" s="334"/>
      <c r="N915" s="334"/>
      <c r="O915" s="334"/>
    </row>
    <row r="916" spans="1:15" ht="12.75" hidden="1" customHeight="1" outlineLevel="1" x14ac:dyDescent="0.2">
      <c r="A916" s="618" t="s">
        <v>1931</v>
      </c>
      <c r="B916" s="619" t="s">
        <v>1137</v>
      </c>
      <c r="C916" s="620"/>
      <c r="D916" s="621"/>
      <c r="E916" s="622"/>
      <c r="F916" s="334"/>
      <c r="G916" s="334"/>
      <c r="H916" s="602"/>
      <c r="I916" s="334"/>
      <c r="J916" s="334"/>
      <c r="K916" s="334"/>
      <c r="L916" s="334"/>
      <c r="M916" s="334"/>
      <c r="N916" s="334"/>
      <c r="O916" s="334"/>
    </row>
    <row r="917" spans="1:15" ht="12.75" hidden="1" customHeight="1" outlineLevel="1" x14ac:dyDescent="0.2">
      <c r="A917" s="627" t="s">
        <v>1932</v>
      </c>
      <c r="B917" s="628" t="s">
        <v>1123</v>
      </c>
      <c r="C917" s="629" t="s">
        <v>100</v>
      </c>
      <c r="D917" s="630">
        <v>35.29</v>
      </c>
      <c r="E917" s="622"/>
      <c r="F917" s="334"/>
      <c r="G917" s="334"/>
      <c r="H917" s="602"/>
      <c r="I917" s="334"/>
      <c r="J917" s="334"/>
      <c r="K917" s="334"/>
      <c r="L917" s="334"/>
      <c r="M917" s="334"/>
      <c r="N917" s="334"/>
      <c r="O917" s="334"/>
    </row>
    <row r="918" spans="1:15" ht="12.75" hidden="1" customHeight="1" outlineLevel="1" x14ac:dyDescent="0.2">
      <c r="A918" s="618" t="s">
        <v>1933</v>
      </c>
      <c r="B918" s="619" t="s">
        <v>1140</v>
      </c>
      <c r="C918" s="620"/>
      <c r="D918" s="621"/>
      <c r="E918" s="622"/>
      <c r="F918" s="334"/>
      <c r="G918" s="334"/>
      <c r="H918" s="602"/>
      <c r="I918" s="334"/>
      <c r="J918" s="334"/>
      <c r="K918" s="334"/>
      <c r="L918" s="334"/>
      <c r="M918" s="334"/>
      <c r="N918" s="334"/>
      <c r="O918" s="334"/>
    </row>
    <row r="919" spans="1:15" ht="12.75" hidden="1" customHeight="1" outlineLevel="1" x14ac:dyDescent="0.2">
      <c r="A919" s="623" t="s">
        <v>1934</v>
      </c>
      <c r="B919" s="624" t="s">
        <v>1123</v>
      </c>
      <c r="C919" s="625" t="s">
        <v>100</v>
      </c>
      <c r="D919" s="626">
        <v>26.61</v>
      </c>
      <c r="E919" s="622"/>
      <c r="F919" s="334"/>
      <c r="G919" s="334"/>
      <c r="H919" s="602"/>
      <c r="I919" s="334"/>
      <c r="J919" s="334"/>
      <c r="K919" s="334"/>
      <c r="L919" s="334"/>
      <c r="M919" s="334"/>
      <c r="N919" s="334"/>
      <c r="O919" s="334"/>
    </row>
    <row r="920" spans="1:15" ht="12.75" hidden="1" customHeight="1" outlineLevel="1" x14ac:dyDescent="0.2">
      <c r="A920" s="618" t="s">
        <v>1935</v>
      </c>
      <c r="B920" s="619" t="s">
        <v>1462</v>
      </c>
      <c r="C920" s="620"/>
      <c r="D920" s="621"/>
      <c r="E920" s="622"/>
      <c r="F920" s="334"/>
      <c r="G920" s="334"/>
      <c r="H920" s="602"/>
      <c r="I920" s="334"/>
      <c r="J920" s="334"/>
      <c r="K920" s="334"/>
      <c r="L920" s="334"/>
      <c r="M920" s="334"/>
      <c r="N920" s="334"/>
      <c r="O920" s="334"/>
    </row>
    <row r="921" spans="1:15" ht="12.75" hidden="1" customHeight="1" outlineLevel="1" x14ac:dyDescent="0.2">
      <c r="A921" s="627" t="s">
        <v>1936</v>
      </c>
      <c r="B921" s="628" t="s">
        <v>1123</v>
      </c>
      <c r="C921" s="629" t="s">
        <v>100</v>
      </c>
      <c r="D921" s="630">
        <v>24.46</v>
      </c>
      <c r="E921" s="622"/>
      <c r="F921" s="334"/>
      <c r="G921" s="334"/>
      <c r="H921" s="602"/>
      <c r="I921" s="334"/>
      <c r="J921" s="334"/>
      <c r="K921" s="334"/>
      <c r="L921" s="334"/>
      <c r="M921" s="334"/>
      <c r="N921" s="334"/>
      <c r="O921" s="334"/>
    </row>
    <row r="922" spans="1:15" ht="12.75" customHeight="1" x14ac:dyDescent="0.2">
      <c r="A922" s="614" t="s">
        <v>1937</v>
      </c>
      <c r="B922" s="615" t="s">
        <v>1938</v>
      </c>
      <c r="C922" s="616"/>
      <c r="D922" s="617"/>
      <c r="E922" s="622"/>
      <c r="F922" s="334"/>
      <c r="G922" s="334"/>
      <c r="J922" s="334"/>
      <c r="K922" s="334"/>
      <c r="L922" s="334"/>
      <c r="M922" s="334"/>
      <c r="N922" s="334"/>
      <c r="O922" s="334"/>
    </row>
    <row r="923" spans="1:15" ht="12.75" customHeight="1" x14ac:dyDescent="0.2">
      <c r="A923" s="618" t="s">
        <v>1939</v>
      </c>
      <c r="B923" s="619" t="s">
        <v>1039</v>
      </c>
      <c r="C923" s="620"/>
      <c r="D923" s="621"/>
      <c r="E923" s="622"/>
      <c r="F923" s="334"/>
      <c r="G923" s="334"/>
      <c r="J923" s="334"/>
      <c r="K923" s="334"/>
      <c r="L923" s="334"/>
      <c r="M923" s="334"/>
      <c r="N923" s="334"/>
      <c r="O923" s="334"/>
    </row>
    <row r="924" spans="1:15" ht="12.75" customHeight="1" x14ac:dyDescent="0.2">
      <c r="A924" s="623" t="s">
        <v>1940</v>
      </c>
      <c r="B924" s="624" t="s">
        <v>1941</v>
      </c>
      <c r="C924" s="625" t="s">
        <v>100</v>
      </c>
      <c r="D924" s="626">
        <v>24.5</v>
      </c>
      <c r="E924" s="622"/>
      <c r="F924" s="334"/>
      <c r="G924" s="334"/>
      <c r="J924" s="334"/>
      <c r="K924" s="334"/>
      <c r="L924" s="334"/>
      <c r="M924" s="334"/>
      <c r="N924" s="334"/>
      <c r="O924" s="334"/>
    </row>
    <row r="925" spans="1:15" ht="12.75" customHeight="1" collapsed="1" x14ac:dyDescent="0.2">
      <c r="A925" s="614" t="s">
        <v>1942</v>
      </c>
      <c r="B925" s="615" t="s">
        <v>496</v>
      </c>
      <c r="C925" s="616"/>
      <c r="D925" s="617"/>
      <c r="E925" s="622"/>
      <c r="F925" s="334"/>
      <c r="G925" s="334"/>
      <c r="J925" s="334"/>
      <c r="K925" s="334"/>
      <c r="L925" s="334"/>
      <c r="M925" s="334"/>
      <c r="N925" s="334"/>
      <c r="O925" s="334"/>
    </row>
    <row r="926" spans="1:15" ht="12.75" hidden="1" customHeight="1" outlineLevel="1" x14ac:dyDescent="0.2">
      <c r="A926" s="618" t="s">
        <v>1943</v>
      </c>
      <c r="B926" s="619" t="s">
        <v>1009</v>
      </c>
      <c r="C926" s="620"/>
      <c r="D926" s="621"/>
      <c r="E926" s="622"/>
      <c r="F926" s="334"/>
      <c r="G926" s="334"/>
      <c r="H926" s="631" t="s">
        <v>1141</v>
      </c>
      <c r="I926" s="632" t="s">
        <v>59</v>
      </c>
      <c r="J926" s="334"/>
      <c r="K926" s="334"/>
      <c r="L926" s="334"/>
      <c r="M926" s="334"/>
      <c r="N926" s="334"/>
      <c r="O926" s="334"/>
    </row>
    <row r="927" spans="1:15" ht="12.75" hidden="1" customHeight="1" outlineLevel="1" x14ac:dyDescent="0.2">
      <c r="A927" s="627" t="s">
        <v>1944</v>
      </c>
      <c r="B927" s="628" t="s">
        <v>1143</v>
      </c>
      <c r="C927" s="629" t="s">
        <v>100</v>
      </c>
      <c r="D927" s="630">
        <v>13.46</v>
      </c>
      <c r="E927" s="622"/>
      <c r="F927" s="334"/>
      <c r="G927" s="334"/>
      <c r="H927" s="633" t="s">
        <v>1143</v>
      </c>
      <c r="I927" s="634">
        <f>SUMIF($B$14:$B$4106,H927,$D$14:$D$4106)</f>
        <v>201.25000000000006</v>
      </c>
      <c r="J927" s="334"/>
      <c r="K927" s="334"/>
      <c r="L927" s="334"/>
      <c r="M927" s="334"/>
      <c r="N927" s="334"/>
      <c r="O927" s="334"/>
    </row>
    <row r="928" spans="1:15" ht="12.75" hidden="1" customHeight="1" outlineLevel="1" x14ac:dyDescent="0.2">
      <c r="A928" s="623" t="s">
        <v>1945</v>
      </c>
      <c r="B928" s="624" t="s">
        <v>1146</v>
      </c>
      <c r="C928" s="625" t="s">
        <v>100</v>
      </c>
      <c r="D928" s="626">
        <v>12.97</v>
      </c>
      <c r="E928" s="622"/>
      <c r="F928" s="334"/>
      <c r="G928" s="334"/>
      <c r="H928" s="633" t="s">
        <v>1146</v>
      </c>
      <c r="I928" s="995">
        <f>SUMIF($B$14:$B$4106,H928,$D$14:$D$4106)+D924</f>
        <v>112.18</v>
      </c>
      <c r="J928" s="334"/>
      <c r="K928" s="334"/>
      <c r="L928" s="334"/>
      <c r="M928" s="334"/>
      <c r="N928" s="334"/>
      <c r="O928" s="334"/>
    </row>
    <row r="929" spans="1:15" ht="12.75" hidden="1" customHeight="1" outlineLevel="1" x14ac:dyDescent="0.2">
      <c r="A929" s="627" t="s">
        <v>1946</v>
      </c>
      <c r="B929" s="628" t="s">
        <v>1148</v>
      </c>
      <c r="C929" s="629" t="s">
        <v>100</v>
      </c>
      <c r="D929" s="630">
        <v>723.39</v>
      </c>
      <c r="E929" s="622"/>
      <c r="F929" s="334"/>
      <c r="G929" s="334"/>
      <c r="H929" s="633" t="s">
        <v>1148</v>
      </c>
      <c r="I929" s="634">
        <f t="shared" ref="I929:I941" si="5">SUMIF($B$14:$B$4106,H929,$D$14:$D$4106)</f>
        <v>4006.61</v>
      </c>
      <c r="J929" s="334"/>
      <c r="K929" s="334"/>
      <c r="L929" s="334"/>
      <c r="M929" s="334"/>
      <c r="N929" s="334"/>
      <c r="O929" s="334"/>
    </row>
    <row r="930" spans="1:15" ht="12.75" hidden="1" customHeight="1" outlineLevel="1" x14ac:dyDescent="0.2">
      <c r="A930" s="627" t="s">
        <v>1947</v>
      </c>
      <c r="B930" s="628" t="s">
        <v>1152</v>
      </c>
      <c r="C930" s="629" t="s">
        <v>100</v>
      </c>
      <c r="D930" s="630">
        <v>5.31</v>
      </c>
      <c r="E930" s="622"/>
      <c r="F930" s="334"/>
      <c r="G930" s="334"/>
      <c r="H930" s="628" t="s">
        <v>1957</v>
      </c>
      <c r="I930" s="634">
        <f t="shared" si="5"/>
        <v>3056.56</v>
      </c>
      <c r="J930" s="334"/>
      <c r="K930" s="334"/>
      <c r="L930" s="334"/>
      <c r="M930" s="334"/>
      <c r="N930" s="334"/>
      <c r="O930" s="334"/>
    </row>
    <row r="931" spans="1:15" ht="12.75" hidden="1" customHeight="1" outlineLevel="1" x14ac:dyDescent="0.2">
      <c r="A931" s="618" t="s">
        <v>1948</v>
      </c>
      <c r="B931" s="619" t="s">
        <v>1017</v>
      </c>
      <c r="C931" s="620"/>
      <c r="D931" s="621"/>
      <c r="E931" s="622"/>
      <c r="F931" s="334"/>
      <c r="G931" s="334"/>
      <c r="H931" s="633" t="s">
        <v>1150</v>
      </c>
      <c r="I931" s="634">
        <f t="shared" si="5"/>
        <v>0</v>
      </c>
      <c r="J931" s="334"/>
      <c r="K931" s="334"/>
      <c r="L931" s="334"/>
      <c r="M931" s="334"/>
      <c r="N931" s="334"/>
      <c r="O931" s="334"/>
    </row>
    <row r="932" spans="1:15" ht="12.75" hidden="1" customHeight="1" outlineLevel="1" x14ac:dyDescent="0.2">
      <c r="A932" s="623" t="s">
        <v>1949</v>
      </c>
      <c r="B932" s="624" t="s">
        <v>1143</v>
      </c>
      <c r="C932" s="625" t="s">
        <v>100</v>
      </c>
      <c r="D932" s="626">
        <v>15.23</v>
      </c>
      <c r="E932" s="622"/>
      <c r="F932" s="334"/>
      <c r="G932" s="334"/>
      <c r="H932" s="633" t="s">
        <v>1152</v>
      </c>
      <c r="I932" s="634">
        <f t="shared" si="5"/>
        <v>34.700000000000003</v>
      </c>
      <c r="J932" s="334"/>
      <c r="K932" s="334"/>
      <c r="L932" s="334"/>
      <c r="M932" s="334"/>
      <c r="N932" s="334"/>
      <c r="O932" s="334"/>
    </row>
    <row r="933" spans="1:15" ht="12.75" hidden="1" customHeight="1" outlineLevel="1" x14ac:dyDescent="0.2">
      <c r="A933" s="627" t="s">
        <v>1950</v>
      </c>
      <c r="B933" s="628" t="s">
        <v>1146</v>
      </c>
      <c r="C933" s="629" t="s">
        <v>100</v>
      </c>
      <c r="D933" s="630">
        <v>6.04</v>
      </c>
      <c r="E933" s="622"/>
      <c r="F933" s="334"/>
      <c r="G933" s="334"/>
      <c r="H933" s="633" t="s">
        <v>1154</v>
      </c>
      <c r="I933" s="634">
        <f t="shared" si="5"/>
        <v>238.79000000000002</v>
      </c>
      <c r="J933" s="334"/>
      <c r="K933" s="334"/>
      <c r="L933" s="334"/>
      <c r="M933" s="334"/>
      <c r="N933" s="334"/>
      <c r="O933" s="334"/>
    </row>
    <row r="934" spans="1:15" ht="12.75" hidden="1" customHeight="1" outlineLevel="1" x14ac:dyDescent="0.2">
      <c r="A934" s="623" t="s">
        <v>1951</v>
      </c>
      <c r="B934" s="624" t="s">
        <v>1148</v>
      </c>
      <c r="C934" s="625" t="s">
        <v>100</v>
      </c>
      <c r="D934" s="626">
        <v>711.62</v>
      </c>
      <c r="E934" s="622"/>
      <c r="F934" s="334"/>
      <c r="G934" s="334"/>
      <c r="H934" s="633" t="s">
        <v>1156</v>
      </c>
      <c r="I934" s="634">
        <f t="shared" si="5"/>
        <v>1599.9200000000003</v>
      </c>
      <c r="J934" s="334"/>
      <c r="K934" s="334"/>
      <c r="L934" s="334"/>
      <c r="M934" s="334"/>
      <c r="N934" s="334"/>
      <c r="O934" s="334"/>
    </row>
    <row r="935" spans="1:15" ht="12.75" hidden="1" customHeight="1" outlineLevel="1" x14ac:dyDescent="0.2">
      <c r="A935" s="623" t="s">
        <v>1952</v>
      </c>
      <c r="B935" s="624" t="s">
        <v>1152</v>
      </c>
      <c r="C935" s="625" t="s">
        <v>100</v>
      </c>
      <c r="D935" s="626">
        <v>0.27</v>
      </c>
      <c r="E935" s="622"/>
      <c r="F935" s="334"/>
      <c r="G935" s="334"/>
      <c r="H935" s="633" t="s">
        <v>1158</v>
      </c>
      <c r="I935" s="634">
        <f t="shared" si="5"/>
        <v>4990.2600000000011</v>
      </c>
      <c r="J935" s="334"/>
      <c r="K935" s="334"/>
      <c r="L935" s="334"/>
      <c r="M935" s="334"/>
      <c r="N935" s="334"/>
      <c r="O935" s="334"/>
    </row>
    <row r="936" spans="1:15" ht="12.75" hidden="1" customHeight="1" outlineLevel="1" x14ac:dyDescent="0.2">
      <c r="A936" s="618" t="s">
        <v>1953</v>
      </c>
      <c r="B936" s="619" t="s">
        <v>1021</v>
      </c>
      <c r="C936" s="620"/>
      <c r="D936" s="621"/>
      <c r="E936" s="622"/>
      <c r="F936" s="334"/>
      <c r="G936" s="334"/>
      <c r="H936" s="633" t="s">
        <v>1160</v>
      </c>
      <c r="I936" s="634">
        <f t="shared" si="5"/>
        <v>2.5099999999999998</v>
      </c>
      <c r="J936" s="334"/>
      <c r="K936" s="334"/>
      <c r="L936" s="334"/>
      <c r="M936" s="334"/>
      <c r="N936" s="334"/>
      <c r="O936" s="334"/>
    </row>
    <row r="937" spans="1:15" ht="12.75" hidden="1" customHeight="1" outlineLevel="1" x14ac:dyDescent="0.2">
      <c r="A937" s="627" t="s">
        <v>1954</v>
      </c>
      <c r="B937" s="628" t="s">
        <v>1143</v>
      </c>
      <c r="C937" s="629" t="s">
        <v>100</v>
      </c>
      <c r="D937" s="630">
        <v>13.46</v>
      </c>
      <c r="E937" s="622"/>
      <c r="F937" s="334"/>
      <c r="G937" s="334"/>
      <c r="H937" s="633" t="s">
        <v>1162</v>
      </c>
      <c r="I937" s="634">
        <f t="shared" si="5"/>
        <v>64.849999999999994</v>
      </c>
      <c r="J937" s="334"/>
      <c r="K937" s="334"/>
      <c r="L937" s="334"/>
      <c r="M937" s="334"/>
      <c r="N937" s="334"/>
      <c r="O937" s="334"/>
    </row>
    <row r="938" spans="1:15" ht="12.75" hidden="1" customHeight="1" outlineLevel="1" x14ac:dyDescent="0.2">
      <c r="A938" s="623" t="s">
        <v>1955</v>
      </c>
      <c r="B938" s="624" t="s">
        <v>1146</v>
      </c>
      <c r="C938" s="625" t="s">
        <v>100</v>
      </c>
      <c r="D938" s="626">
        <v>6.04</v>
      </c>
      <c r="E938" s="622"/>
      <c r="F938" s="334"/>
      <c r="G938" s="334"/>
      <c r="H938" s="633" t="s">
        <v>1164</v>
      </c>
      <c r="I938" s="634">
        <f t="shared" si="5"/>
        <v>29.57</v>
      </c>
      <c r="J938" s="334"/>
      <c r="K938" s="334"/>
      <c r="L938" s="334"/>
      <c r="M938" s="334"/>
      <c r="N938" s="334"/>
      <c r="O938" s="334"/>
    </row>
    <row r="939" spans="1:15" ht="12.75" hidden="1" customHeight="1" outlineLevel="1" x14ac:dyDescent="0.2">
      <c r="A939" s="627" t="s">
        <v>1956</v>
      </c>
      <c r="B939" s="628" t="s">
        <v>1957</v>
      </c>
      <c r="C939" s="629" t="s">
        <v>100</v>
      </c>
      <c r="D939" s="630">
        <v>303.79000000000002</v>
      </c>
      <c r="E939" s="622"/>
      <c r="F939" s="334"/>
      <c r="G939" s="334"/>
      <c r="H939" s="633" t="s">
        <v>2351</v>
      </c>
      <c r="I939" s="634">
        <f t="shared" si="5"/>
        <v>5.3499999999999979</v>
      </c>
      <c r="J939" s="334"/>
      <c r="K939" s="334"/>
      <c r="L939" s="334"/>
      <c r="M939" s="334"/>
      <c r="N939" s="334"/>
      <c r="O939" s="334"/>
    </row>
    <row r="940" spans="1:15" ht="12.75" hidden="1" customHeight="1" outlineLevel="1" x14ac:dyDescent="0.2">
      <c r="A940" s="623" t="s">
        <v>1958</v>
      </c>
      <c r="B940" s="624" t="s">
        <v>1148</v>
      </c>
      <c r="C940" s="625" t="s">
        <v>100</v>
      </c>
      <c r="D940" s="626">
        <v>465.15</v>
      </c>
      <c r="E940" s="622"/>
      <c r="F940" s="334"/>
      <c r="G940" s="334"/>
      <c r="H940" s="633" t="s">
        <v>2353</v>
      </c>
      <c r="I940" s="634">
        <f t="shared" si="5"/>
        <v>27.169999999999998</v>
      </c>
      <c r="J940" s="334"/>
      <c r="K940" s="334"/>
      <c r="L940" s="334"/>
      <c r="M940" s="334"/>
      <c r="N940" s="334"/>
      <c r="O940" s="334"/>
    </row>
    <row r="941" spans="1:15" ht="12.75" hidden="1" customHeight="1" outlineLevel="1" x14ac:dyDescent="0.2">
      <c r="A941" s="623" t="s">
        <v>1959</v>
      </c>
      <c r="B941" s="624" t="s">
        <v>1152</v>
      </c>
      <c r="C941" s="625" t="s">
        <v>100</v>
      </c>
      <c r="D941" s="626">
        <v>2.87</v>
      </c>
      <c r="E941" s="622"/>
      <c r="F941" s="334"/>
      <c r="G941" s="334"/>
      <c r="H941" s="633" t="s">
        <v>2355</v>
      </c>
      <c r="I941" s="634">
        <f t="shared" si="5"/>
        <v>2.2000000000000011</v>
      </c>
      <c r="J941" s="334"/>
      <c r="K941" s="334"/>
      <c r="L941" s="334"/>
      <c r="M941" s="334"/>
      <c r="N941" s="334"/>
      <c r="O941" s="334"/>
    </row>
    <row r="942" spans="1:15" ht="12.75" hidden="1" customHeight="1" outlineLevel="1" x14ac:dyDescent="0.2">
      <c r="A942" s="618" t="s">
        <v>1960</v>
      </c>
      <c r="B942" s="619" t="s">
        <v>1030</v>
      </c>
      <c r="C942" s="620"/>
      <c r="D942" s="621"/>
      <c r="E942" s="622"/>
      <c r="F942" s="334"/>
      <c r="G942" s="334"/>
      <c r="J942" s="334"/>
      <c r="K942" s="334"/>
      <c r="L942" s="334"/>
      <c r="M942" s="334"/>
      <c r="N942" s="334"/>
      <c r="O942" s="334"/>
    </row>
    <row r="943" spans="1:15" ht="12.75" hidden="1" customHeight="1" outlineLevel="1" x14ac:dyDescent="0.2">
      <c r="A943" s="627" t="s">
        <v>1961</v>
      </c>
      <c r="B943" s="628" t="s">
        <v>1143</v>
      </c>
      <c r="C943" s="629" t="s">
        <v>100</v>
      </c>
      <c r="D943" s="630">
        <v>13.46</v>
      </c>
      <c r="E943" s="622"/>
      <c r="F943" s="334"/>
      <c r="G943" s="334"/>
      <c r="J943" s="334"/>
      <c r="K943" s="334"/>
      <c r="L943" s="334"/>
      <c r="M943" s="334"/>
      <c r="N943" s="334"/>
      <c r="O943" s="334"/>
    </row>
    <row r="944" spans="1:15" ht="12.75" hidden="1" customHeight="1" outlineLevel="1" x14ac:dyDescent="0.2">
      <c r="A944" s="623" t="s">
        <v>1962</v>
      </c>
      <c r="B944" s="624" t="s">
        <v>1146</v>
      </c>
      <c r="C944" s="625" t="s">
        <v>100</v>
      </c>
      <c r="D944" s="626">
        <v>5.96</v>
      </c>
      <c r="E944" s="622"/>
      <c r="F944" s="334"/>
      <c r="G944" s="334"/>
      <c r="J944" s="334"/>
      <c r="K944" s="334"/>
      <c r="L944" s="334"/>
      <c r="M944" s="334"/>
      <c r="N944" s="334"/>
      <c r="O944" s="334"/>
    </row>
    <row r="945" spans="1:15" ht="12.75" hidden="1" customHeight="1" outlineLevel="1" x14ac:dyDescent="0.2">
      <c r="A945" s="627" t="s">
        <v>1963</v>
      </c>
      <c r="B945" s="628" t="s">
        <v>1957</v>
      </c>
      <c r="C945" s="629" t="s">
        <v>100</v>
      </c>
      <c r="D945" s="630">
        <v>299.3</v>
      </c>
      <c r="E945" s="622"/>
      <c r="F945" s="334"/>
      <c r="G945" s="334"/>
      <c r="H945" s="602"/>
      <c r="I945" s="334"/>
      <c r="J945" s="334"/>
      <c r="K945" s="334"/>
      <c r="L945" s="334"/>
      <c r="M945" s="334"/>
      <c r="N945" s="334"/>
      <c r="O945" s="334"/>
    </row>
    <row r="946" spans="1:15" ht="12.75" hidden="1" customHeight="1" outlineLevel="1" x14ac:dyDescent="0.2">
      <c r="A946" s="623" t="s">
        <v>1964</v>
      </c>
      <c r="B946" s="624" t="s">
        <v>1148</v>
      </c>
      <c r="C946" s="625" t="s">
        <v>100</v>
      </c>
      <c r="D946" s="626">
        <v>124.3</v>
      </c>
      <c r="E946" s="622"/>
      <c r="F946" s="334"/>
      <c r="G946" s="334"/>
      <c r="H946" s="602"/>
      <c r="I946" s="334"/>
      <c r="J946" s="334"/>
      <c r="K946" s="334"/>
      <c r="L946" s="334"/>
      <c r="M946" s="334"/>
      <c r="N946" s="334"/>
      <c r="O946" s="334"/>
    </row>
    <row r="947" spans="1:15" ht="12.75" hidden="1" customHeight="1" outlineLevel="1" x14ac:dyDescent="0.2">
      <c r="A947" s="623" t="s">
        <v>1965</v>
      </c>
      <c r="B947" s="624" t="s">
        <v>1152</v>
      </c>
      <c r="C947" s="625" t="s">
        <v>100</v>
      </c>
      <c r="D947" s="626">
        <v>2.57</v>
      </c>
      <c r="E947" s="622"/>
      <c r="F947" s="334"/>
      <c r="G947" s="334"/>
      <c r="H947" s="602"/>
      <c r="I947" s="334"/>
      <c r="J947" s="334"/>
      <c r="K947" s="334"/>
      <c r="L947" s="334"/>
      <c r="M947" s="334"/>
      <c r="N947" s="334"/>
      <c r="O947" s="334"/>
    </row>
    <row r="948" spans="1:15" ht="12.75" hidden="1" customHeight="1" outlineLevel="1" x14ac:dyDescent="0.2">
      <c r="A948" s="618" t="s">
        <v>1966</v>
      </c>
      <c r="B948" s="619" t="s">
        <v>1039</v>
      </c>
      <c r="C948" s="620"/>
      <c r="D948" s="621"/>
      <c r="E948" s="622"/>
      <c r="F948" s="334"/>
      <c r="G948" s="334"/>
      <c r="H948" s="602"/>
      <c r="I948" s="334"/>
      <c r="J948" s="334"/>
      <c r="K948" s="334"/>
      <c r="L948" s="334"/>
      <c r="M948" s="334"/>
      <c r="N948" s="334"/>
      <c r="O948" s="334"/>
    </row>
    <row r="949" spans="1:15" ht="12.75" hidden="1" customHeight="1" outlineLevel="1" x14ac:dyDescent="0.2">
      <c r="A949" s="627" t="s">
        <v>1967</v>
      </c>
      <c r="B949" s="628" t="s">
        <v>1143</v>
      </c>
      <c r="C949" s="629" t="s">
        <v>100</v>
      </c>
      <c r="D949" s="630">
        <v>13.46</v>
      </c>
      <c r="E949" s="622"/>
      <c r="F949" s="334"/>
      <c r="G949" s="334"/>
      <c r="H949" s="602"/>
      <c r="I949" s="334"/>
      <c r="J949" s="334"/>
      <c r="K949" s="334"/>
      <c r="L949" s="334"/>
      <c r="M949" s="334"/>
      <c r="N949" s="334"/>
      <c r="O949" s="334"/>
    </row>
    <row r="950" spans="1:15" ht="12.75" hidden="1" customHeight="1" outlineLevel="1" x14ac:dyDescent="0.2">
      <c r="A950" s="623" t="s">
        <v>1968</v>
      </c>
      <c r="B950" s="624" t="s">
        <v>1146</v>
      </c>
      <c r="C950" s="625" t="s">
        <v>100</v>
      </c>
      <c r="D950" s="626">
        <v>5.96</v>
      </c>
      <c r="E950" s="622"/>
      <c r="F950" s="334"/>
      <c r="G950" s="334"/>
      <c r="H950" s="602"/>
      <c r="I950" s="334"/>
      <c r="J950" s="334"/>
      <c r="K950" s="334"/>
      <c r="L950" s="334"/>
      <c r="M950" s="334"/>
      <c r="N950" s="334"/>
      <c r="O950" s="334"/>
    </row>
    <row r="951" spans="1:15" ht="12.75" hidden="1" customHeight="1" outlineLevel="1" x14ac:dyDescent="0.2">
      <c r="A951" s="627" t="s">
        <v>1969</v>
      </c>
      <c r="B951" s="628" t="s">
        <v>1957</v>
      </c>
      <c r="C951" s="629" t="s">
        <v>100</v>
      </c>
      <c r="D951" s="630">
        <v>315.43</v>
      </c>
      <c r="E951" s="622"/>
      <c r="F951" s="334"/>
      <c r="G951" s="334"/>
      <c r="H951" s="602"/>
      <c r="I951" s="334"/>
      <c r="J951" s="334"/>
      <c r="K951" s="334"/>
      <c r="L951" s="334"/>
      <c r="M951" s="334"/>
      <c r="N951" s="334"/>
      <c r="O951" s="334"/>
    </row>
    <row r="952" spans="1:15" ht="12.75" hidden="1" customHeight="1" outlineLevel="1" x14ac:dyDescent="0.2">
      <c r="A952" s="623" t="s">
        <v>1970</v>
      </c>
      <c r="B952" s="624" t="s">
        <v>1148</v>
      </c>
      <c r="C952" s="625" t="s">
        <v>100</v>
      </c>
      <c r="D952" s="626">
        <v>84.6</v>
      </c>
      <c r="E952" s="622"/>
      <c r="F952" s="334"/>
      <c r="G952" s="334"/>
      <c r="H952" s="602"/>
      <c r="I952" s="334"/>
      <c r="J952" s="334"/>
      <c r="K952" s="334"/>
      <c r="L952" s="334"/>
      <c r="M952" s="334"/>
      <c r="N952" s="334"/>
      <c r="O952" s="334"/>
    </row>
    <row r="953" spans="1:15" ht="12.75" hidden="1" customHeight="1" outlineLevel="1" x14ac:dyDescent="0.2">
      <c r="A953" s="623" t="s">
        <v>1971</v>
      </c>
      <c r="B953" s="624" t="s">
        <v>1152</v>
      </c>
      <c r="C953" s="625" t="s">
        <v>100</v>
      </c>
      <c r="D953" s="626">
        <v>3.01</v>
      </c>
      <c r="E953" s="622"/>
      <c r="F953" s="334"/>
      <c r="G953" s="334"/>
      <c r="H953" s="602"/>
      <c r="I953" s="334"/>
      <c r="J953" s="334"/>
      <c r="K953" s="334"/>
      <c r="L953" s="334"/>
      <c r="M953" s="334"/>
      <c r="N953" s="334"/>
      <c r="O953" s="334"/>
    </row>
    <row r="954" spans="1:15" ht="12.75" hidden="1" customHeight="1" outlineLevel="1" x14ac:dyDescent="0.2">
      <c r="A954" s="618" t="s">
        <v>1972</v>
      </c>
      <c r="B954" s="619" t="s">
        <v>1047</v>
      </c>
      <c r="C954" s="620"/>
      <c r="D954" s="621"/>
      <c r="E954" s="622"/>
      <c r="F954" s="334"/>
      <c r="G954" s="334"/>
      <c r="H954" s="602"/>
      <c r="I954" s="334"/>
      <c r="J954" s="334"/>
      <c r="K954" s="334"/>
      <c r="L954" s="334"/>
      <c r="M954" s="334"/>
      <c r="N954" s="334"/>
      <c r="O954" s="334"/>
    </row>
    <row r="955" spans="1:15" ht="12.75" hidden="1" customHeight="1" outlineLevel="1" x14ac:dyDescent="0.2">
      <c r="A955" s="627" t="s">
        <v>1973</v>
      </c>
      <c r="B955" s="628" t="s">
        <v>1143</v>
      </c>
      <c r="C955" s="629" t="s">
        <v>100</v>
      </c>
      <c r="D955" s="630">
        <v>13.46</v>
      </c>
      <c r="E955" s="622"/>
      <c r="F955" s="334"/>
      <c r="G955" s="334"/>
      <c r="H955" s="602"/>
      <c r="I955" s="334"/>
      <c r="J955" s="334"/>
      <c r="K955" s="334"/>
      <c r="L955" s="334"/>
      <c r="M955" s="334"/>
      <c r="N955" s="334"/>
      <c r="O955" s="334"/>
    </row>
    <row r="956" spans="1:15" ht="12.75" hidden="1" customHeight="1" outlineLevel="1" x14ac:dyDescent="0.2">
      <c r="A956" s="623" t="s">
        <v>1974</v>
      </c>
      <c r="B956" s="624" t="s">
        <v>1146</v>
      </c>
      <c r="C956" s="625" t="s">
        <v>100</v>
      </c>
      <c r="D956" s="626">
        <v>5.96</v>
      </c>
      <c r="E956" s="622"/>
      <c r="F956" s="334"/>
      <c r="G956" s="334"/>
      <c r="H956" s="602"/>
      <c r="I956" s="334"/>
      <c r="J956" s="334"/>
      <c r="K956" s="334"/>
      <c r="L956" s="334"/>
      <c r="M956" s="334"/>
      <c r="N956" s="334"/>
      <c r="O956" s="334"/>
    </row>
    <row r="957" spans="1:15" ht="12.75" hidden="1" customHeight="1" outlineLevel="1" x14ac:dyDescent="0.2">
      <c r="A957" s="627" t="s">
        <v>1975</v>
      </c>
      <c r="B957" s="628" t="s">
        <v>1957</v>
      </c>
      <c r="C957" s="629" t="s">
        <v>100</v>
      </c>
      <c r="D957" s="630">
        <v>299.3</v>
      </c>
      <c r="E957" s="622"/>
      <c r="F957" s="334"/>
      <c r="G957" s="334"/>
      <c r="H957" s="602"/>
      <c r="I957" s="334"/>
      <c r="J957" s="334"/>
      <c r="K957" s="334"/>
      <c r="L957" s="334"/>
      <c r="M957" s="334"/>
      <c r="N957" s="334"/>
      <c r="O957" s="334"/>
    </row>
    <row r="958" spans="1:15" ht="12.75" hidden="1" customHeight="1" outlineLevel="1" x14ac:dyDescent="0.2">
      <c r="A958" s="623" t="s">
        <v>1976</v>
      </c>
      <c r="B958" s="624" t="s">
        <v>1148</v>
      </c>
      <c r="C958" s="625" t="s">
        <v>100</v>
      </c>
      <c r="D958" s="626">
        <v>124.3</v>
      </c>
      <c r="E958" s="622"/>
      <c r="F958" s="334"/>
      <c r="G958" s="334"/>
      <c r="H958" s="602"/>
      <c r="I958" s="334"/>
      <c r="J958" s="334"/>
      <c r="K958" s="334"/>
      <c r="L958" s="334"/>
      <c r="M958" s="334"/>
      <c r="N958" s="334"/>
      <c r="O958" s="334"/>
    </row>
    <row r="959" spans="1:15" ht="12.75" hidden="1" customHeight="1" outlineLevel="1" x14ac:dyDescent="0.2">
      <c r="A959" s="623" t="s">
        <v>1977</v>
      </c>
      <c r="B959" s="624" t="s">
        <v>1152</v>
      </c>
      <c r="C959" s="625" t="s">
        <v>100</v>
      </c>
      <c r="D959" s="626">
        <v>2.57</v>
      </c>
      <c r="E959" s="622"/>
      <c r="F959" s="334"/>
      <c r="G959" s="334"/>
      <c r="H959" s="602"/>
      <c r="I959" s="334"/>
      <c r="J959" s="334"/>
      <c r="K959" s="334"/>
      <c r="L959" s="334"/>
      <c r="M959" s="334"/>
      <c r="N959" s="334"/>
      <c r="O959" s="334"/>
    </row>
    <row r="960" spans="1:15" ht="12.75" hidden="1" customHeight="1" outlineLevel="1" x14ac:dyDescent="0.2">
      <c r="A960" s="618" t="s">
        <v>1978</v>
      </c>
      <c r="B960" s="619" t="s">
        <v>1058</v>
      </c>
      <c r="C960" s="620"/>
      <c r="D960" s="621"/>
      <c r="E960" s="622"/>
      <c r="F960" s="334"/>
      <c r="G960" s="334"/>
      <c r="H960" s="602"/>
      <c r="I960" s="334"/>
      <c r="J960" s="334"/>
      <c r="K960" s="334"/>
      <c r="L960" s="334"/>
      <c r="M960" s="334"/>
      <c r="N960" s="334"/>
      <c r="O960" s="334"/>
    </row>
    <row r="961" spans="1:15" ht="12.75" hidden="1" customHeight="1" outlineLevel="1" x14ac:dyDescent="0.2">
      <c r="A961" s="627" t="s">
        <v>1979</v>
      </c>
      <c r="B961" s="628" t="s">
        <v>1143</v>
      </c>
      <c r="C961" s="629" t="s">
        <v>100</v>
      </c>
      <c r="D961" s="630">
        <v>13.46</v>
      </c>
      <c r="E961" s="622"/>
      <c r="F961" s="334"/>
      <c r="G961" s="334"/>
      <c r="H961" s="602"/>
      <c r="I961" s="334"/>
      <c r="J961" s="334"/>
      <c r="K961" s="334"/>
      <c r="L961" s="334"/>
      <c r="M961" s="334"/>
      <c r="N961" s="334"/>
      <c r="O961" s="334"/>
    </row>
    <row r="962" spans="1:15" ht="12.75" hidden="1" customHeight="1" outlineLevel="1" x14ac:dyDescent="0.2">
      <c r="A962" s="623" t="s">
        <v>1980</v>
      </c>
      <c r="B962" s="624" t="s">
        <v>1146</v>
      </c>
      <c r="C962" s="625" t="s">
        <v>100</v>
      </c>
      <c r="D962" s="626">
        <v>5.96</v>
      </c>
      <c r="E962" s="622"/>
      <c r="F962" s="334"/>
      <c r="G962" s="334"/>
      <c r="H962" s="602"/>
      <c r="I962" s="334"/>
      <c r="J962" s="334"/>
      <c r="K962" s="334"/>
      <c r="L962" s="334"/>
      <c r="M962" s="334"/>
      <c r="N962" s="334"/>
      <c r="O962" s="334"/>
    </row>
    <row r="963" spans="1:15" ht="12.75" hidden="1" customHeight="1" outlineLevel="1" x14ac:dyDescent="0.2">
      <c r="A963" s="627" t="s">
        <v>1981</v>
      </c>
      <c r="B963" s="628" t="s">
        <v>1957</v>
      </c>
      <c r="C963" s="629" t="s">
        <v>100</v>
      </c>
      <c r="D963" s="630">
        <v>299.3</v>
      </c>
      <c r="E963" s="622"/>
      <c r="F963" s="334"/>
      <c r="G963" s="334"/>
      <c r="H963" s="602"/>
      <c r="I963" s="334"/>
      <c r="J963" s="334"/>
      <c r="K963" s="334"/>
      <c r="L963" s="334"/>
      <c r="M963" s="334"/>
      <c r="N963" s="334"/>
      <c r="O963" s="334"/>
    </row>
    <row r="964" spans="1:15" ht="12.75" hidden="1" customHeight="1" outlineLevel="1" x14ac:dyDescent="0.2">
      <c r="A964" s="623" t="s">
        <v>1982</v>
      </c>
      <c r="B964" s="624" t="s">
        <v>1148</v>
      </c>
      <c r="C964" s="625" t="s">
        <v>100</v>
      </c>
      <c r="D964" s="626">
        <v>124.3</v>
      </c>
      <c r="E964" s="622"/>
      <c r="F964" s="334"/>
      <c r="G964" s="334"/>
      <c r="H964" s="602"/>
      <c r="I964" s="334"/>
      <c r="J964" s="334"/>
      <c r="K964" s="334"/>
      <c r="L964" s="334"/>
      <c r="M964" s="334"/>
      <c r="N964" s="334"/>
      <c r="O964" s="334"/>
    </row>
    <row r="965" spans="1:15" ht="12.75" hidden="1" customHeight="1" outlineLevel="1" x14ac:dyDescent="0.2">
      <c r="A965" s="623" t="s">
        <v>1983</v>
      </c>
      <c r="B965" s="624" t="s">
        <v>1152</v>
      </c>
      <c r="C965" s="625" t="s">
        <v>100</v>
      </c>
      <c r="D965" s="626">
        <v>2.57</v>
      </c>
      <c r="E965" s="622"/>
      <c r="F965" s="334"/>
      <c r="G965" s="334"/>
      <c r="H965" s="602"/>
      <c r="I965" s="334"/>
      <c r="J965" s="334"/>
      <c r="K965" s="334"/>
      <c r="L965" s="334"/>
      <c r="M965" s="334"/>
      <c r="N965" s="334"/>
      <c r="O965" s="334"/>
    </row>
    <row r="966" spans="1:15" ht="12.75" hidden="1" customHeight="1" outlineLevel="1" x14ac:dyDescent="0.2">
      <c r="A966" s="618" t="s">
        <v>1984</v>
      </c>
      <c r="B966" s="619" t="s">
        <v>1069</v>
      </c>
      <c r="C966" s="620"/>
      <c r="D966" s="621"/>
      <c r="E966" s="622"/>
      <c r="F966" s="334"/>
      <c r="G966" s="334"/>
      <c r="H966" s="602"/>
      <c r="I966" s="334"/>
      <c r="J966" s="334"/>
      <c r="K966" s="334"/>
      <c r="L966" s="334"/>
      <c r="M966" s="334"/>
      <c r="N966" s="334"/>
      <c r="O966" s="334"/>
    </row>
    <row r="967" spans="1:15" ht="12.75" hidden="1" customHeight="1" outlineLevel="1" x14ac:dyDescent="0.2">
      <c r="A967" s="627" t="s">
        <v>1985</v>
      </c>
      <c r="B967" s="628" t="s">
        <v>1143</v>
      </c>
      <c r="C967" s="629" t="s">
        <v>100</v>
      </c>
      <c r="D967" s="630">
        <v>13.46</v>
      </c>
      <c r="E967" s="622"/>
      <c r="F967" s="334"/>
      <c r="G967" s="334"/>
      <c r="H967" s="602"/>
      <c r="I967" s="334"/>
      <c r="J967" s="334"/>
      <c r="K967" s="334"/>
      <c r="L967" s="334"/>
      <c r="M967" s="334"/>
      <c r="N967" s="334"/>
      <c r="O967" s="334"/>
    </row>
    <row r="968" spans="1:15" ht="12.75" hidden="1" customHeight="1" outlineLevel="1" x14ac:dyDescent="0.2">
      <c r="A968" s="623" t="s">
        <v>1986</v>
      </c>
      <c r="B968" s="624" t="s">
        <v>1146</v>
      </c>
      <c r="C968" s="625" t="s">
        <v>100</v>
      </c>
      <c r="D968" s="626">
        <v>5.96</v>
      </c>
      <c r="E968" s="622"/>
      <c r="F968" s="334"/>
      <c r="G968" s="334"/>
      <c r="H968" s="602"/>
      <c r="I968" s="334"/>
      <c r="J968" s="334"/>
      <c r="K968" s="334"/>
      <c r="L968" s="334"/>
      <c r="M968" s="334"/>
      <c r="N968" s="334"/>
      <c r="O968" s="334"/>
    </row>
    <row r="969" spans="1:15" ht="12.75" hidden="1" customHeight="1" outlineLevel="1" x14ac:dyDescent="0.2">
      <c r="A969" s="627" t="s">
        <v>1987</v>
      </c>
      <c r="B969" s="628" t="s">
        <v>1957</v>
      </c>
      <c r="C969" s="629" t="s">
        <v>100</v>
      </c>
      <c r="D969" s="630">
        <v>299.3</v>
      </c>
      <c r="E969" s="622"/>
      <c r="F969" s="334"/>
      <c r="G969" s="334"/>
      <c r="H969" s="602"/>
      <c r="I969" s="334"/>
      <c r="J969" s="334"/>
      <c r="K969" s="334"/>
      <c r="L969" s="334"/>
      <c r="M969" s="334"/>
      <c r="N969" s="334"/>
      <c r="O969" s="334"/>
    </row>
    <row r="970" spans="1:15" ht="12.75" hidden="1" customHeight="1" outlineLevel="1" x14ac:dyDescent="0.2">
      <c r="A970" s="623" t="s">
        <v>1988</v>
      </c>
      <c r="B970" s="624" t="s">
        <v>1148</v>
      </c>
      <c r="C970" s="625" t="s">
        <v>100</v>
      </c>
      <c r="D970" s="626">
        <v>124.3</v>
      </c>
      <c r="E970" s="622"/>
      <c r="F970" s="334"/>
      <c r="G970" s="334"/>
      <c r="H970" s="602"/>
      <c r="I970" s="334"/>
      <c r="J970" s="334"/>
      <c r="K970" s="334"/>
      <c r="L970" s="334"/>
      <c r="M970" s="334"/>
      <c r="N970" s="334"/>
      <c r="O970" s="334"/>
    </row>
    <row r="971" spans="1:15" ht="12.75" hidden="1" customHeight="1" outlineLevel="1" x14ac:dyDescent="0.2">
      <c r="A971" s="623" t="s">
        <v>1989</v>
      </c>
      <c r="B971" s="624" t="s">
        <v>1152</v>
      </c>
      <c r="C971" s="625" t="s">
        <v>100</v>
      </c>
      <c r="D971" s="626">
        <v>2.57</v>
      </c>
      <c r="E971" s="622"/>
      <c r="F971" s="334"/>
      <c r="G971" s="334"/>
      <c r="H971" s="602"/>
      <c r="I971" s="334"/>
      <c r="J971" s="334"/>
      <c r="K971" s="334"/>
      <c r="L971" s="334"/>
      <c r="M971" s="334"/>
      <c r="N971" s="334"/>
      <c r="O971" s="334"/>
    </row>
    <row r="972" spans="1:15" ht="12.75" hidden="1" customHeight="1" outlineLevel="1" x14ac:dyDescent="0.2">
      <c r="A972" s="618" t="s">
        <v>1990</v>
      </c>
      <c r="B972" s="619" t="s">
        <v>1079</v>
      </c>
      <c r="C972" s="620"/>
      <c r="D972" s="621"/>
      <c r="E972" s="622"/>
      <c r="F972" s="334"/>
      <c r="G972" s="334"/>
      <c r="H972" s="602"/>
      <c r="I972" s="334"/>
      <c r="J972" s="334"/>
      <c r="K972" s="334"/>
      <c r="L972" s="334"/>
      <c r="M972" s="334"/>
      <c r="N972" s="334"/>
      <c r="O972" s="334"/>
    </row>
    <row r="973" spans="1:15" ht="12.75" hidden="1" customHeight="1" outlineLevel="1" x14ac:dyDescent="0.2">
      <c r="A973" s="627" t="s">
        <v>1991</v>
      </c>
      <c r="B973" s="628" t="s">
        <v>1143</v>
      </c>
      <c r="C973" s="629" t="s">
        <v>100</v>
      </c>
      <c r="D973" s="630">
        <v>13.46</v>
      </c>
      <c r="E973" s="622"/>
      <c r="F973" s="334"/>
      <c r="G973" s="334"/>
      <c r="H973" s="602"/>
      <c r="I973" s="334"/>
      <c r="J973" s="334"/>
      <c r="K973" s="334"/>
      <c r="L973" s="334"/>
      <c r="M973" s="334"/>
      <c r="N973" s="334"/>
      <c r="O973" s="334"/>
    </row>
    <row r="974" spans="1:15" ht="12.75" hidden="1" customHeight="1" outlineLevel="1" x14ac:dyDescent="0.2">
      <c r="A974" s="623" t="s">
        <v>1992</v>
      </c>
      <c r="B974" s="624" t="s">
        <v>1146</v>
      </c>
      <c r="C974" s="625" t="s">
        <v>100</v>
      </c>
      <c r="D974" s="626">
        <v>5.96</v>
      </c>
      <c r="E974" s="622"/>
      <c r="F974" s="334"/>
      <c r="G974" s="334"/>
      <c r="H974" s="602"/>
      <c r="I974" s="334"/>
      <c r="J974" s="334"/>
      <c r="K974" s="334"/>
      <c r="L974" s="334"/>
      <c r="M974" s="334"/>
      <c r="N974" s="334"/>
      <c r="O974" s="334"/>
    </row>
    <row r="975" spans="1:15" ht="12.75" hidden="1" customHeight="1" outlineLevel="1" x14ac:dyDescent="0.2">
      <c r="A975" s="627" t="s">
        <v>1993</v>
      </c>
      <c r="B975" s="628" t="s">
        <v>1957</v>
      </c>
      <c r="C975" s="629" t="s">
        <v>100</v>
      </c>
      <c r="D975" s="630">
        <v>299.3</v>
      </c>
      <c r="E975" s="622"/>
      <c r="F975" s="334"/>
      <c r="G975" s="334"/>
      <c r="H975" s="602"/>
      <c r="I975" s="334"/>
      <c r="J975" s="334"/>
      <c r="K975" s="334"/>
      <c r="L975" s="334"/>
      <c r="M975" s="334"/>
      <c r="N975" s="334"/>
      <c r="O975" s="334"/>
    </row>
    <row r="976" spans="1:15" ht="12.75" hidden="1" customHeight="1" outlineLevel="1" x14ac:dyDescent="0.2">
      <c r="A976" s="623" t="s">
        <v>1994</v>
      </c>
      <c r="B976" s="624" t="s">
        <v>1148</v>
      </c>
      <c r="C976" s="625" t="s">
        <v>100</v>
      </c>
      <c r="D976" s="626">
        <v>124.3</v>
      </c>
      <c r="E976" s="622"/>
      <c r="F976" s="334"/>
      <c r="G976" s="334"/>
      <c r="H976" s="602"/>
      <c r="I976" s="334"/>
      <c r="J976" s="334"/>
      <c r="K976" s="334"/>
      <c r="L976" s="334"/>
      <c r="M976" s="334"/>
      <c r="N976" s="334"/>
      <c r="O976" s="334"/>
    </row>
    <row r="977" spans="1:15" ht="12.75" hidden="1" customHeight="1" outlineLevel="1" x14ac:dyDescent="0.2">
      <c r="A977" s="623" t="s">
        <v>1995</v>
      </c>
      <c r="B977" s="624" t="s">
        <v>1152</v>
      </c>
      <c r="C977" s="625" t="s">
        <v>100</v>
      </c>
      <c r="D977" s="626">
        <v>2.57</v>
      </c>
      <c r="E977" s="622"/>
      <c r="F977" s="334"/>
      <c r="G977" s="334"/>
      <c r="H977" s="602"/>
      <c r="I977" s="334"/>
      <c r="J977" s="334"/>
      <c r="K977" s="334"/>
      <c r="L977" s="334"/>
      <c r="M977" s="334"/>
      <c r="N977" s="334"/>
      <c r="O977" s="334"/>
    </row>
    <row r="978" spans="1:15" ht="12.75" hidden="1" customHeight="1" outlineLevel="1" x14ac:dyDescent="0.2">
      <c r="A978" s="618" t="s">
        <v>1996</v>
      </c>
      <c r="B978" s="619" t="s">
        <v>1086</v>
      </c>
      <c r="C978" s="620"/>
      <c r="D978" s="621"/>
      <c r="E978" s="622"/>
      <c r="F978" s="334"/>
      <c r="G978" s="334"/>
      <c r="H978" s="602"/>
      <c r="I978" s="334"/>
      <c r="J978" s="334"/>
      <c r="K978" s="334"/>
      <c r="L978" s="334"/>
      <c r="M978" s="334"/>
      <c r="N978" s="334"/>
      <c r="O978" s="334"/>
    </row>
    <row r="979" spans="1:15" ht="12.75" hidden="1" customHeight="1" outlineLevel="1" x14ac:dyDescent="0.2">
      <c r="A979" s="627" t="s">
        <v>1997</v>
      </c>
      <c r="B979" s="628" t="s">
        <v>1143</v>
      </c>
      <c r="C979" s="629" t="s">
        <v>100</v>
      </c>
      <c r="D979" s="630">
        <v>13.46</v>
      </c>
      <c r="E979" s="622"/>
      <c r="F979" s="334"/>
      <c r="G979" s="334"/>
      <c r="H979" s="602"/>
      <c r="I979" s="334"/>
      <c r="J979" s="334"/>
      <c r="K979" s="334"/>
      <c r="L979" s="334"/>
      <c r="M979" s="334"/>
      <c r="N979" s="334"/>
      <c r="O979" s="334"/>
    </row>
    <row r="980" spans="1:15" ht="12.75" hidden="1" customHeight="1" outlineLevel="1" x14ac:dyDescent="0.2">
      <c r="A980" s="623" t="s">
        <v>1998</v>
      </c>
      <c r="B980" s="624" t="s">
        <v>1146</v>
      </c>
      <c r="C980" s="625" t="s">
        <v>100</v>
      </c>
      <c r="D980" s="626">
        <v>5.96</v>
      </c>
      <c r="E980" s="622"/>
      <c r="F980" s="334"/>
      <c r="G980" s="334"/>
      <c r="H980" s="602"/>
      <c r="I980" s="334"/>
      <c r="J980" s="334"/>
      <c r="K980" s="334"/>
      <c r="L980" s="334"/>
      <c r="M980" s="334"/>
      <c r="N980" s="334"/>
      <c r="O980" s="334"/>
    </row>
    <row r="981" spans="1:15" ht="12.75" hidden="1" customHeight="1" outlineLevel="1" x14ac:dyDescent="0.2">
      <c r="A981" s="627" t="s">
        <v>1999</v>
      </c>
      <c r="B981" s="628" t="s">
        <v>1957</v>
      </c>
      <c r="C981" s="629" t="s">
        <v>100</v>
      </c>
      <c r="D981" s="630">
        <v>299.3</v>
      </c>
      <c r="E981" s="622"/>
      <c r="F981" s="334"/>
      <c r="G981" s="334"/>
      <c r="H981" s="602"/>
      <c r="I981" s="334"/>
      <c r="J981" s="334"/>
      <c r="K981" s="334"/>
      <c r="L981" s="334"/>
      <c r="M981" s="334"/>
      <c r="N981" s="334"/>
      <c r="O981" s="334"/>
    </row>
    <row r="982" spans="1:15" ht="12.75" hidden="1" customHeight="1" outlineLevel="1" x14ac:dyDescent="0.2">
      <c r="A982" s="623" t="s">
        <v>2000</v>
      </c>
      <c r="B982" s="624" t="s">
        <v>1148</v>
      </c>
      <c r="C982" s="625" t="s">
        <v>100</v>
      </c>
      <c r="D982" s="626">
        <v>124.3</v>
      </c>
      <c r="E982" s="622"/>
      <c r="F982" s="334"/>
      <c r="G982" s="334"/>
      <c r="H982" s="602"/>
      <c r="I982" s="334"/>
      <c r="J982" s="334"/>
      <c r="K982" s="334"/>
      <c r="L982" s="334"/>
      <c r="M982" s="334"/>
      <c r="N982" s="334"/>
      <c r="O982" s="334"/>
    </row>
    <row r="983" spans="1:15" ht="12.75" hidden="1" customHeight="1" outlineLevel="1" x14ac:dyDescent="0.2">
      <c r="A983" s="623" t="s">
        <v>2001</v>
      </c>
      <c r="B983" s="624" t="s">
        <v>1152</v>
      </c>
      <c r="C983" s="625" t="s">
        <v>100</v>
      </c>
      <c r="D983" s="626">
        <v>2.57</v>
      </c>
      <c r="E983" s="622"/>
      <c r="F983" s="334"/>
      <c r="G983" s="334"/>
      <c r="H983" s="602"/>
      <c r="I983" s="334"/>
      <c r="J983" s="334"/>
      <c r="K983" s="334"/>
      <c r="L983" s="334"/>
      <c r="M983" s="334"/>
      <c r="N983" s="334"/>
      <c r="O983" s="334"/>
    </row>
    <row r="984" spans="1:15" ht="12.75" hidden="1" customHeight="1" outlineLevel="1" x14ac:dyDescent="0.2">
      <c r="A984" s="618" t="s">
        <v>2002</v>
      </c>
      <c r="B984" s="619" t="s">
        <v>1094</v>
      </c>
      <c r="C984" s="620"/>
      <c r="D984" s="621"/>
      <c r="E984" s="622"/>
      <c r="F984" s="334"/>
      <c r="G984" s="334"/>
      <c r="H984" s="602"/>
      <c r="I984" s="334"/>
      <c r="J984" s="334"/>
      <c r="K984" s="334"/>
      <c r="L984" s="334"/>
      <c r="M984" s="334"/>
      <c r="N984" s="334"/>
      <c r="O984" s="334"/>
    </row>
    <row r="985" spans="1:15" ht="12.75" hidden="1" customHeight="1" outlineLevel="1" x14ac:dyDescent="0.2">
      <c r="A985" s="627" t="s">
        <v>2003</v>
      </c>
      <c r="B985" s="628" t="s">
        <v>1143</v>
      </c>
      <c r="C985" s="629" t="s">
        <v>100</v>
      </c>
      <c r="D985" s="630">
        <v>13.46</v>
      </c>
      <c r="E985" s="622"/>
      <c r="F985" s="334"/>
      <c r="G985" s="334"/>
      <c r="H985" s="602"/>
      <c r="I985" s="334"/>
      <c r="J985" s="334"/>
      <c r="K985" s="334"/>
      <c r="L985" s="334"/>
      <c r="M985" s="334"/>
      <c r="N985" s="334"/>
      <c r="O985" s="334"/>
    </row>
    <row r="986" spans="1:15" ht="12.75" hidden="1" customHeight="1" outlineLevel="1" x14ac:dyDescent="0.2">
      <c r="A986" s="623" t="s">
        <v>2004</v>
      </c>
      <c r="B986" s="624" t="s">
        <v>1146</v>
      </c>
      <c r="C986" s="625" t="s">
        <v>100</v>
      </c>
      <c r="D986" s="626">
        <v>5.96</v>
      </c>
      <c r="E986" s="622"/>
      <c r="F986" s="334"/>
      <c r="G986" s="334"/>
      <c r="H986" s="602"/>
      <c r="I986" s="334"/>
      <c r="J986" s="334"/>
      <c r="K986" s="334"/>
      <c r="L986" s="334"/>
      <c r="M986" s="334"/>
      <c r="N986" s="334"/>
      <c r="O986" s="334"/>
    </row>
    <row r="987" spans="1:15" ht="12.75" hidden="1" customHeight="1" outlineLevel="1" x14ac:dyDescent="0.2">
      <c r="A987" s="627" t="s">
        <v>2005</v>
      </c>
      <c r="B987" s="628" t="s">
        <v>1957</v>
      </c>
      <c r="C987" s="629" t="s">
        <v>100</v>
      </c>
      <c r="D987" s="630">
        <v>299.3</v>
      </c>
      <c r="E987" s="622"/>
      <c r="F987" s="334"/>
      <c r="G987" s="334"/>
      <c r="H987" s="602"/>
      <c r="I987" s="334"/>
      <c r="J987" s="334"/>
      <c r="K987" s="334"/>
      <c r="L987" s="334"/>
      <c r="M987" s="334"/>
      <c r="N987" s="334"/>
      <c r="O987" s="334"/>
    </row>
    <row r="988" spans="1:15" ht="12.75" hidden="1" customHeight="1" outlineLevel="1" x14ac:dyDescent="0.2">
      <c r="A988" s="623" t="s">
        <v>2006</v>
      </c>
      <c r="B988" s="624" t="s">
        <v>1148</v>
      </c>
      <c r="C988" s="625" t="s">
        <v>100</v>
      </c>
      <c r="D988" s="626">
        <v>124.3</v>
      </c>
      <c r="E988" s="622"/>
      <c r="F988" s="334"/>
      <c r="G988" s="334"/>
      <c r="H988" s="602"/>
      <c r="I988" s="334"/>
      <c r="J988" s="334"/>
      <c r="K988" s="334"/>
      <c r="L988" s="334"/>
      <c r="M988" s="334"/>
      <c r="N988" s="334"/>
      <c r="O988" s="334"/>
    </row>
    <row r="989" spans="1:15" ht="12.75" hidden="1" customHeight="1" outlineLevel="1" x14ac:dyDescent="0.2">
      <c r="A989" s="623" t="s">
        <v>2007</v>
      </c>
      <c r="B989" s="624" t="s">
        <v>1152</v>
      </c>
      <c r="C989" s="625" t="s">
        <v>100</v>
      </c>
      <c r="D989" s="626">
        <v>2.57</v>
      </c>
      <c r="E989" s="622"/>
      <c r="F989" s="334"/>
      <c r="G989" s="334"/>
      <c r="H989" s="602"/>
      <c r="I989" s="334"/>
      <c r="J989" s="334"/>
      <c r="K989" s="334"/>
      <c r="L989" s="334"/>
      <c r="M989" s="334"/>
      <c r="N989" s="334"/>
      <c r="O989" s="334"/>
    </row>
    <row r="990" spans="1:15" ht="12.75" hidden="1" customHeight="1" outlineLevel="1" x14ac:dyDescent="0.2">
      <c r="A990" s="618" t="s">
        <v>2008</v>
      </c>
      <c r="B990" s="619" t="s">
        <v>1102</v>
      </c>
      <c r="C990" s="620"/>
      <c r="D990" s="621"/>
      <c r="E990" s="622"/>
      <c r="F990" s="334"/>
      <c r="G990" s="334"/>
      <c r="H990" s="602"/>
      <c r="I990" s="334"/>
      <c r="J990" s="334"/>
      <c r="K990" s="334"/>
      <c r="L990" s="334"/>
      <c r="M990" s="334"/>
      <c r="N990" s="334"/>
      <c r="O990" s="334"/>
    </row>
    <row r="991" spans="1:15" ht="12.75" hidden="1" customHeight="1" outlineLevel="1" x14ac:dyDescent="0.2">
      <c r="A991" s="627" t="s">
        <v>2009</v>
      </c>
      <c r="B991" s="628" t="s">
        <v>1143</v>
      </c>
      <c r="C991" s="629" t="s">
        <v>100</v>
      </c>
      <c r="D991" s="630">
        <v>35.74</v>
      </c>
      <c r="E991" s="622"/>
      <c r="F991" s="334"/>
      <c r="G991" s="334"/>
      <c r="H991" s="602"/>
      <c r="I991" s="334"/>
      <c r="J991" s="334"/>
      <c r="K991" s="334"/>
      <c r="L991" s="334"/>
      <c r="M991" s="334"/>
      <c r="N991" s="334"/>
      <c r="O991" s="334"/>
    </row>
    <row r="992" spans="1:15" ht="12.75" hidden="1" customHeight="1" outlineLevel="1" x14ac:dyDescent="0.2">
      <c r="A992" s="623" t="s">
        <v>2010</v>
      </c>
      <c r="B992" s="624" t="s">
        <v>1146</v>
      </c>
      <c r="C992" s="625" t="s">
        <v>100</v>
      </c>
      <c r="D992" s="626">
        <v>6.03</v>
      </c>
      <c r="E992" s="622"/>
      <c r="F992" s="334"/>
      <c r="G992" s="334"/>
      <c r="H992" s="602"/>
      <c r="I992" s="334"/>
      <c r="J992" s="334"/>
      <c r="K992" s="334"/>
      <c r="L992" s="334"/>
      <c r="M992" s="334"/>
      <c r="N992" s="334"/>
      <c r="O992" s="334"/>
    </row>
    <row r="993" spans="1:15" ht="12.75" hidden="1" customHeight="1" outlineLevel="1" x14ac:dyDescent="0.2">
      <c r="A993" s="627" t="s">
        <v>2011</v>
      </c>
      <c r="B993" s="628" t="s">
        <v>1957</v>
      </c>
      <c r="C993" s="629" t="s">
        <v>100</v>
      </c>
      <c r="D993" s="630">
        <v>248.62</v>
      </c>
      <c r="E993" s="622"/>
      <c r="F993" s="334"/>
      <c r="G993" s="334"/>
      <c r="H993" s="602"/>
      <c r="I993" s="334"/>
      <c r="J993" s="334"/>
      <c r="K993" s="334"/>
      <c r="L993" s="334"/>
      <c r="M993" s="334"/>
      <c r="N993" s="334"/>
      <c r="O993" s="334"/>
    </row>
    <row r="994" spans="1:15" ht="12.75" hidden="1" customHeight="1" outlineLevel="1" x14ac:dyDescent="0.2">
      <c r="A994" s="623" t="s">
        <v>2012</v>
      </c>
      <c r="B994" s="624" t="s">
        <v>1148</v>
      </c>
      <c r="C994" s="625" t="s">
        <v>100</v>
      </c>
      <c r="D994" s="626">
        <v>187.91</v>
      </c>
      <c r="E994" s="622"/>
      <c r="F994" s="334"/>
      <c r="G994" s="334"/>
      <c r="H994" s="602"/>
      <c r="I994" s="334"/>
      <c r="J994" s="334"/>
      <c r="K994" s="334"/>
      <c r="L994" s="334"/>
      <c r="M994" s="334"/>
      <c r="N994" s="334"/>
      <c r="O994" s="334"/>
    </row>
    <row r="995" spans="1:15" ht="12.75" hidden="1" customHeight="1" outlineLevel="1" x14ac:dyDescent="0.2">
      <c r="A995" s="623" t="s">
        <v>2013</v>
      </c>
      <c r="B995" s="624" t="s">
        <v>1152</v>
      </c>
      <c r="C995" s="625" t="s">
        <v>100</v>
      </c>
      <c r="D995" s="626">
        <v>2.33</v>
      </c>
      <c r="E995" s="622"/>
      <c r="F995" s="334"/>
      <c r="G995" s="334"/>
      <c r="H995" s="602"/>
      <c r="I995" s="334"/>
      <c r="J995" s="334"/>
      <c r="K995" s="334"/>
      <c r="L995" s="334"/>
      <c r="M995" s="334"/>
      <c r="N995" s="334"/>
      <c r="O995" s="334"/>
    </row>
    <row r="996" spans="1:15" ht="12.75" hidden="1" customHeight="1" outlineLevel="1" x14ac:dyDescent="0.2">
      <c r="A996" s="618" t="s">
        <v>2014</v>
      </c>
      <c r="B996" s="619" t="s">
        <v>1112</v>
      </c>
      <c r="C996" s="620"/>
      <c r="D996" s="621"/>
      <c r="E996" s="622"/>
      <c r="F996" s="334"/>
      <c r="G996" s="334"/>
      <c r="H996" s="602"/>
      <c r="I996" s="334"/>
      <c r="J996" s="334"/>
      <c r="K996" s="334"/>
      <c r="L996" s="334"/>
      <c r="M996" s="334"/>
      <c r="N996" s="334"/>
      <c r="O996" s="334"/>
    </row>
    <row r="997" spans="1:15" ht="12.75" hidden="1" customHeight="1" outlineLevel="1" x14ac:dyDescent="0.2">
      <c r="A997" s="627" t="s">
        <v>2015</v>
      </c>
      <c r="B997" s="628" t="s">
        <v>1143</v>
      </c>
      <c r="C997" s="629" t="s">
        <v>100</v>
      </c>
      <c r="D997" s="630">
        <v>15.68</v>
      </c>
      <c r="E997" s="622"/>
      <c r="F997" s="334"/>
      <c r="G997" s="334"/>
      <c r="H997" s="602"/>
      <c r="I997" s="334"/>
      <c r="J997" s="334"/>
      <c r="K997" s="334"/>
      <c r="L997" s="334"/>
      <c r="M997" s="334"/>
      <c r="N997" s="334"/>
      <c r="O997" s="334"/>
    </row>
    <row r="998" spans="1:15" ht="12.75" hidden="1" customHeight="1" outlineLevel="1" x14ac:dyDescent="0.2">
      <c r="A998" s="623" t="s">
        <v>2016</v>
      </c>
      <c r="B998" s="624" t="s">
        <v>1146</v>
      </c>
      <c r="C998" s="625" t="s">
        <v>100</v>
      </c>
      <c r="D998" s="626">
        <v>3.09</v>
      </c>
      <c r="E998" s="622"/>
      <c r="F998" s="334"/>
      <c r="G998" s="334"/>
      <c r="H998" s="602"/>
      <c r="I998" s="334"/>
      <c r="J998" s="334"/>
      <c r="K998" s="334"/>
      <c r="L998" s="334"/>
      <c r="M998" s="334"/>
      <c r="N998" s="334"/>
      <c r="O998" s="334"/>
    </row>
    <row r="999" spans="1:15" ht="12.75" hidden="1" customHeight="1" outlineLevel="1" x14ac:dyDescent="0.2">
      <c r="A999" s="627" t="s">
        <v>2017</v>
      </c>
      <c r="B999" s="628" t="s">
        <v>1957</v>
      </c>
      <c r="C999" s="629" t="s">
        <v>100</v>
      </c>
      <c r="D999" s="630">
        <v>93.62</v>
      </c>
      <c r="E999" s="622"/>
      <c r="F999" s="334"/>
      <c r="G999" s="334"/>
      <c r="H999" s="602"/>
      <c r="I999" s="334"/>
      <c r="J999" s="334"/>
      <c r="K999" s="334"/>
      <c r="L999" s="334"/>
      <c r="M999" s="334"/>
      <c r="N999" s="334"/>
      <c r="O999" s="334"/>
    </row>
    <row r="1000" spans="1:15" ht="12.75" hidden="1" customHeight="1" outlineLevel="1" x14ac:dyDescent="0.2">
      <c r="A1000" s="623" t="s">
        <v>2018</v>
      </c>
      <c r="B1000" s="624" t="s">
        <v>1148</v>
      </c>
      <c r="C1000" s="625" t="s">
        <v>100</v>
      </c>
      <c r="D1000" s="626">
        <v>70.099999999999994</v>
      </c>
      <c r="E1000" s="622"/>
      <c r="F1000" s="334"/>
      <c r="G1000" s="334"/>
      <c r="H1000" s="602"/>
      <c r="I1000" s="334"/>
      <c r="J1000" s="334"/>
      <c r="K1000" s="334"/>
      <c r="L1000" s="334"/>
      <c r="M1000" s="334"/>
      <c r="N1000" s="334"/>
      <c r="O1000" s="334"/>
    </row>
    <row r="1001" spans="1:15" ht="12.75" hidden="1" customHeight="1" outlineLevel="1" x14ac:dyDescent="0.2">
      <c r="A1001" s="623" t="s">
        <v>2019</v>
      </c>
      <c r="B1001" s="624" t="s">
        <v>1152</v>
      </c>
      <c r="C1001" s="625" t="s">
        <v>100</v>
      </c>
      <c r="D1001" s="626">
        <v>1.47</v>
      </c>
      <c r="E1001" s="622"/>
      <c r="F1001" s="334"/>
      <c r="G1001" s="334"/>
      <c r="H1001" s="602"/>
      <c r="I1001" s="334"/>
      <c r="J1001" s="334"/>
      <c r="K1001" s="334"/>
      <c r="L1001" s="334"/>
      <c r="M1001" s="334"/>
      <c r="N1001" s="334"/>
      <c r="O1001" s="334"/>
    </row>
    <row r="1002" spans="1:15" ht="12.75" hidden="1" customHeight="1" outlineLevel="1" x14ac:dyDescent="0.2">
      <c r="A1002" s="618" t="s">
        <v>2020</v>
      </c>
      <c r="B1002" s="619" t="s">
        <v>1120</v>
      </c>
      <c r="C1002" s="620"/>
      <c r="D1002" s="621"/>
      <c r="E1002" s="622"/>
      <c r="F1002" s="334"/>
      <c r="G1002" s="334"/>
      <c r="H1002" s="602"/>
      <c r="I1002" s="334"/>
      <c r="J1002" s="334"/>
      <c r="K1002" s="334"/>
      <c r="L1002" s="334"/>
      <c r="M1002" s="334"/>
      <c r="N1002" s="334"/>
      <c r="O1002" s="334"/>
    </row>
    <row r="1003" spans="1:15" ht="12.75" hidden="1" customHeight="1" outlineLevel="1" x14ac:dyDescent="0.2">
      <c r="A1003" s="627" t="s">
        <v>2021</v>
      </c>
      <c r="B1003" s="628" t="s">
        <v>1148</v>
      </c>
      <c r="C1003" s="629" t="s">
        <v>100</v>
      </c>
      <c r="D1003" s="630">
        <v>320.2</v>
      </c>
      <c r="E1003" s="622"/>
      <c r="F1003" s="334"/>
      <c r="G1003" s="334"/>
      <c r="H1003" s="602"/>
      <c r="I1003" s="334"/>
      <c r="J1003" s="334"/>
      <c r="K1003" s="334"/>
      <c r="L1003" s="334"/>
      <c r="M1003" s="334"/>
      <c r="N1003" s="334"/>
      <c r="O1003" s="334"/>
    </row>
    <row r="1004" spans="1:15" ht="12.75" hidden="1" customHeight="1" outlineLevel="1" x14ac:dyDescent="0.2">
      <c r="A1004" s="618" t="s">
        <v>2022</v>
      </c>
      <c r="B1004" s="619" t="s">
        <v>1127</v>
      </c>
      <c r="C1004" s="620"/>
      <c r="D1004" s="621"/>
      <c r="E1004" s="622"/>
      <c r="F1004" s="334"/>
      <c r="G1004" s="334"/>
      <c r="H1004" s="602"/>
      <c r="I1004" s="334"/>
      <c r="J1004" s="334"/>
      <c r="K1004" s="334"/>
      <c r="L1004" s="334"/>
      <c r="M1004" s="334"/>
      <c r="N1004" s="334"/>
      <c r="O1004" s="334"/>
    </row>
    <row r="1005" spans="1:15" ht="12.75" hidden="1" customHeight="1" outlineLevel="1" x14ac:dyDescent="0.2">
      <c r="A1005" s="623" t="s">
        <v>2023</v>
      </c>
      <c r="B1005" s="624" t="s">
        <v>1146</v>
      </c>
      <c r="C1005" s="625" t="s">
        <v>100</v>
      </c>
      <c r="D1005" s="626">
        <v>2.9</v>
      </c>
      <c r="E1005" s="622"/>
      <c r="F1005" s="334"/>
      <c r="G1005" s="334"/>
      <c r="H1005" s="602"/>
      <c r="I1005" s="334"/>
      <c r="J1005" s="334"/>
      <c r="K1005" s="334"/>
      <c r="L1005" s="334"/>
      <c r="M1005" s="334"/>
      <c r="N1005" s="334"/>
      <c r="O1005" s="334"/>
    </row>
    <row r="1006" spans="1:15" ht="12.75" hidden="1" customHeight="1" outlineLevel="1" x14ac:dyDescent="0.2">
      <c r="A1006" s="627" t="s">
        <v>2024</v>
      </c>
      <c r="B1006" s="628" t="s">
        <v>1148</v>
      </c>
      <c r="C1006" s="629" t="s">
        <v>100</v>
      </c>
      <c r="D1006" s="630">
        <v>300.22000000000003</v>
      </c>
      <c r="E1006" s="622"/>
      <c r="F1006" s="334"/>
      <c r="G1006" s="334"/>
      <c r="H1006" s="602"/>
      <c r="I1006" s="334"/>
      <c r="J1006" s="334"/>
      <c r="K1006" s="334"/>
      <c r="L1006" s="334"/>
      <c r="M1006" s="334"/>
      <c r="N1006" s="334"/>
      <c r="O1006" s="334"/>
    </row>
    <row r="1007" spans="1:15" ht="12.75" hidden="1" customHeight="1" outlineLevel="1" x14ac:dyDescent="0.2">
      <c r="A1007" s="627" t="s">
        <v>2025</v>
      </c>
      <c r="B1007" s="628" t="s">
        <v>1152</v>
      </c>
      <c r="C1007" s="629" t="s">
        <v>100</v>
      </c>
      <c r="D1007" s="630">
        <v>1.18</v>
      </c>
      <c r="E1007" s="622"/>
      <c r="F1007" s="334"/>
      <c r="G1007" s="334"/>
      <c r="H1007" s="602"/>
      <c r="I1007" s="334"/>
      <c r="J1007" s="334"/>
      <c r="K1007" s="334"/>
      <c r="L1007" s="334"/>
      <c r="M1007" s="334"/>
      <c r="N1007" s="334"/>
      <c r="O1007" s="334"/>
    </row>
    <row r="1008" spans="1:15" ht="12.75" hidden="1" customHeight="1" outlineLevel="1" x14ac:dyDescent="0.2">
      <c r="A1008" s="618" t="s">
        <v>2026</v>
      </c>
      <c r="B1008" s="619" t="s">
        <v>1137</v>
      </c>
      <c r="C1008" s="620"/>
      <c r="D1008" s="621"/>
      <c r="E1008" s="622"/>
      <c r="F1008" s="334"/>
      <c r="G1008" s="334"/>
      <c r="H1008" s="602"/>
      <c r="I1008" s="334"/>
      <c r="J1008" s="334"/>
      <c r="K1008" s="334"/>
      <c r="L1008" s="334"/>
      <c r="M1008" s="334"/>
      <c r="N1008" s="334"/>
      <c r="O1008" s="334"/>
    </row>
    <row r="1009" spans="1:15" ht="12.75" hidden="1" customHeight="1" outlineLevel="1" x14ac:dyDescent="0.2">
      <c r="A1009" s="623" t="s">
        <v>2027</v>
      </c>
      <c r="B1009" s="624" t="s">
        <v>1146</v>
      </c>
      <c r="C1009" s="625" t="s">
        <v>100</v>
      </c>
      <c r="D1009" s="626">
        <v>2.93</v>
      </c>
      <c r="E1009" s="622"/>
      <c r="F1009" s="334"/>
      <c r="G1009" s="334"/>
      <c r="H1009" s="602"/>
      <c r="I1009" s="334"/>
      <c r="J1009" s="334"/>
      <c r="K1009" s="334"/>
      <c r="L1009" s="334"/>
      <c r="M1009" s="334"/>
      <c r="N1009" s="334"/>
      <c r="O1009" s="334"/>
    </row>
    <row r="1010" spans="1:15" ht="12.75" hidden="1" customHeight="1" outlineLevel="1" x14ac:dyDescent="0.2">
      <c r="A1010" s="627" t="s">
        <v>2028</v>
      </c>
      <c r="B1010" s="628" t="s">
        <v>1148</v>
      </c>
      <c r="C1010" s="629" t="s">
        <v>100</v>
      </c>
      <c r="D1010" s="630">
        <v>199.41</v>
      </c>
      <c r="E1010" s="622"/>
      <c r="F1010" s="334"/>
      <c r="G1010" s="334"/>
      <c r="H1010" s="602"/>
      <c r="I1010" s="334"/>
      <c r="J1010" s="334"/>
      <c r="K1010" s="334"/>
      <c r="L1010" s="334"/>
      <c r="M1010" s="334"/>
      <c r="N1010" s="334"/>
      <c r="O1010" s="334"/>
    </row>
    <row r="1011" spans="1:15" ht="12.75" hidden="1" customHeight="1" outlineLevel="1" x14ac:dyDescent="0.2">
      <c r="A1011" s="627" t="s">
        <v>2029</v>
      </c>
      <c r="B1011" s="628" t="s">
        <v>1152</v>
      </c>
      <c r="C1011" s="629" t="s">
        <v>100</v>
      </c>
      <c r="D1011" s="630">
        <v>0.27</v>
      </c>
      <c r="E1011" s="622"/>
      <c r="F1011" s="334"/>
      <c r="G1011" s="334"/>
      <c r="H1011" s="602"/>
      <c r="I1011" s="334"/>
      <c r="J1011" s="334"/>
      <c r="K1011" s="334"/>
      <c r="L1011" s="334"/>
      <c r="M1011" s="334"/>
      <c r="N1011" s="334"/>
      <c r="O1011" s="334"/>
    </row>
    <row r="1012" spans="1:15" ht="12.75" hidden="1" customHeight="1" outlineLevel="1" x14ac:dyDescent="0.2">
      <c r="A1012" s="618" t="s">
        <v>2030</v>
      </c>
      <c r="B1012" s="619" t="s">
        <v>1140</v>
      </c>
      <c r="C1012" s="620"/>
      <c r="D1012" s="621"/>
      <c r="E1012" s="622"/>
      <c r="F1012" s="334"/>
      <c r="G1012" s="334"/>
      <c r="H1012" s="602"/>
      <c r="I1012" s="334"/>
      <c r="J1012" s="334"/>
      <c r="K1012" s="334"/>
      <c r="L1012" s="334"/>
      <c r="M1012" s="334"/>
      <c r="N1012" s="334"/>
      <c r="O1012" s="334"/>
    </row>
    <row r="1013" spans="1:15" ht="12.75" hidden="1" customHeight="1" outlineLevel="1" x14ac:dyDescent="0.2">
      <c r="A1013" s="623" t="s">
        <v>2031</v>
      </c>
      <c r="B1013" s="624" t="s">
        <v>1148</v>
      </c>
      <c r="C1013" s="625" t="s">
        <v>100</v>
      </c>
      <c r="D1013" s="626">
        <v>18.22</v>
      </c>
      <c r="E1013" s="622"/>
      <c r="F1013" s="334"/>
      <c r="G1013" s="334"/>
      <c r="H1013" s="602"/>
      <c r="I1013" s="334"/>
      <c r="J1013" s="334"/>
      <c r="K1013" s="334"/>
      <c r="L1013" s="334"/>
      <c r="M1013" s="334"/>
      <c r="N1013" s="334"/>
      <c r="O1013" s="334"/>
    </row>
    <row r="1014" spans="1:15" ht="12.75" hidden="1" customHeight="1" outlineLevel="1" x14ac:dyDescent="0.2">
      <c r="A1014" s="618" t="s">
        <v>2032</v>
      </c>
      <c r="B1014" s="619" t="s">
        <v>1462</v>
      </c>
      <c r="C1014" s="620"/>
      <c r="D1014" s="621"/>
      <c r="E1014" s="622"/>
      <c r="F1014" s="334"/>
      <c r="G1014" s="334"/>
      <c r="H1014" s="602"/>
      <c r="I1014" s="334"/>
      <c r="J1014" s="334"/>
      <c r="K1014" s="334"/>
      <c r="L1014" s="334"/>
      <c r="M1014" s="334"/>
      <c r="N1014" s="334"/>
      <c r="O1014" s="334"/>
    </row>
    <row r="1015" spans="1:15" ht="12.75" hidden="1" customHeight="1" outlineLevel="1" x14ac:dyDescent="0.2">
      <c r="A1015" s="627" t="s">
        <v>2033</v>
      </c>
      <c r="B1015" s="628" t="s">
        <v>1148</v>
      </c>
      <c r="C1015" s="629" t="s">
        <v>100</v>
      </c>
      <c r="D1015" s="630">
        <v>24.49</v>
      </c>
      <c r="E1015" s="622"/>
      <c r="F1015" s="334"/>
      <c r="G1015" s="334"/>
      <c r="H1015" s="602"/>
      <c r="I1015" s="334"/>
      <c r="J1015" s="334"/>
      <c r="K1015" s="334"/>
      <c r="L1015" s="334"/>
      <c r="M1015" s="334"/>
      <c r="N1015" s="334"/>
      <c r="O1015" s="334"/>
    </row>
    <row r="1016" spans="1:15" ht="12.75" hidden="1" customHeight="1" outlineLevel="1" x14ac:dyDescent="0.2">
      <c r="A1016" s="618" t="s">
        <v>2034</v>
      </c>
      <c r="B1016" s="619" t="s">
        <v>2035</v>
      </c>
      <c r="C1016" s="620"/>
      <c r="D1016" s="621"/>
      <c r="E1016" s="622"/>
      <c r="F1016" s="334"/>
      <c r="G1016" s="334"/>
      <c r="H1016" s="602"/>
      <c r="I1016" s="334"/>
      <c r="J1016" s="334"/>
      <c r="K1016" s="334"/>
      <c r="L1016" s="334"/>
      <c r="M1016" s="334"/>
      <c r="N1016" s="334"/>
      <c r="O1016" s="334"/>
    </row>
    <row r="1017" spans="1:15" ht="12.75" hidden="1" customHeight="1" outlineLevel="1" x14ac:dyDescent="0.2">
      <c r="A1017" s="623" t="s">
        <v>2036</v>
      </c>
      <c r="B1017" s="624" t="s">
        <v>1148</v>
      </c>
      <c r="C1017" s="625" t="s">
        <v>100</v>
      </c>
      <c r="D1017" s="626">
        <v>31.2</v>
      </c>
      <c r="E1017" s="622"/>
      <c r="F1017" s="334"/>
      <c r="G1017" s="334"/>
      <c r="H1017" s="602"/>
      <c r="I1017" s="334"/>
      <c r="J1017" s="334"/>
      <c r="K1017" s="334"/>
      <c r="L1017" s="334"/>
      <c r="M1017" s="334"/>
      <c r="N1017" s="334"/>
      <c r="O1017" s="334"/>
    </row>
    <row r="1018" spans="1:15" ht="12.75" customHeight="1" collapsed="1" x14ac:dyDescent="0.2">
      <c r="A1018" s="614" t="s">
        <v>2037</v>
      </c>
      <c r="B1018" s="615" t="s">
        <v>498</v>
      </c>
      <c r="C1018" s="616"/>
      <c r="D1018" s="617"/>
      <c r="E1018" s="622"/>
      <c r="F1018" s="334"/>
      <c r="G1018" s="334"/>
      <c r="H1018" s="602"/>
      <c r="I1018" s="334"/>
      <c r="J1018" s="334"/>
      <c r="K1018" s="334"/>
      <c r="L1018" s="334"/>
      <c r="M1018" s="334"/>
      <c r="N1018" s="334"/>
      <c r="O1018" s="334"/>
    </row>
    <row r="1019" spans="1:15" ht="12.75" hidden="1" customHeight="1" outlineLevel="1" x14ac:dyDescent="0.2">
      <c r="A1019" s="618" t="s">
        <v>2038</v>
      </c>
      <c r="B1019" s="619" t="s">
        <v>1009</v>
      </c>
      <c r="C1019" s="620"/>
      <c r="D1019" s="621"/>
      <c r="E1019" s="622"/>
      <c r="F1019" s="334"/>
      <c r="G1019" s="334"/>
      <c r="H1019" s="602"/>
      <c r="I1019" s="334"/>
      <c r="J1019" s="334"/>
      <c r="K1019" s="334"/>
      <c r="L1019" s="334"/>
      <c r="M1019" s="334"/>
      <c r="N1019" s="334"/>
      <c r="O1019" s="334"/>
    </row>
    <row r="1020" spans="1:15" ht="12.75" hidden="1" customHeight="1" outlineLevel="1" x14ac:dyDescent="0.2">
      <c r="A1020" s="623" t="s">
        <v>2039</v>
      </c>
      <c r="B1020" s="624" t="s">
        <v>1156</v>
      </c>
      <c r="C1020" s="625" t="s">
        <v>100</v>
      </c>
      <c r="D1020" s="626">
        <v>13.46</v>
      </c>
      <c r="E1020" s="622"/>
      <c r="F1020" s="334"/>
      <c r="G1020" s="334"/>
      <c r="H1020" s="602"/>
      <c r="I1020" s="334"/>
      <c r="J1020" s="334"/>
      <c r="K1020" s="334"/>
      <c r="L1020" s="334"/>
      <c r="M1020" s="334"/>
      <c r="N1020" s="334"/>
      <c r="O1020" s="334"/>
    </row>
    <row r="1021" spans="1:15" ht="12.75" hidden="1" customHeight="1" outlineLevel="1" x14ac:dyDescent="0.2">
      <c r="A1021" s="627" t="s">
        <v>2040</v>
      </c>
      <c r="B1021" s="628" t="s">
        <v>1154</v>
      </c>
      <c r="C1021" s="629" t="s">
        <v>100</v>
      </c>
      <c r="D1021" s="630">
        <v>41.82</v>
      </c>
      <c r="E1021" s="622"/>
      <c r="F1021" s="334"/>
      <c r="G1021" s="334"/>
      <c r="H1021" s="602"/>
      <c r="I1021" s="334"/>
      <c r="J1021" s="334"/>
      <c r="K1021" s="334"/>
      <c r="L1021" s="334"/>
      <c r="M1021" s="334"/>
      <c r="N1021" s="334"/>
      <c r="O1021" s="334"/>
    </row>
    <row r="1022" spans="1:15" ht="12.75" hidden="1" customHeight="1" outlineLevel="1" x14ac:dyDescent="0.2">
      <c r="A1022" s="623" t="s">
        <v>2041</v>
      </c>
      <c r="B1022" s="624" t="s">
        <v>1156</v>
      </c>
      <c r="C1022" s="625" t="s">
        <v>100</v>
      </c>
      <c r="D1022" s="626">
        <v>3.62</v>
      </c>
      <c r="E1022" s="622"/>
      <c r="F1022" s="334"/>
      <c r="G1022" s="334"/>
      <c r="H1022" s="602"/>
      <c r="I1022" s="334"/>
      <c r="J1022" s="334"/>
      <c r="K1022" s="334"/>
      <c r="L1022" s="334"/>
      <c r="M1022" s="334"/>
      <c r="N1022" s="334"/>
      <c r="O1022" s="334"/>
    </row>
    <row r="1023" spans="1:15" ht="12.75" hidden="1" customHeight="1" outlineLevel="1" x14ac:dyDescent="0.2">
      <c r="A1023" s="627" t="s">
        <v>2042</v>
      </c>
      <c r="B1023" s="624" t="s">
        <v>1156</v>
      </c>
      <c r="C1023" s="629" t="s">
        <v>100</v>
      </c>
      <c r="D1023" s="630">
        <v>8.77</v>
      </c>
      <c r="E1023" s="622"/>
      <c r="F1023" s="334"/>
      <c r="G1023" s="334"/>
      <c r="H1023" s="602"/>
      <c r="I1023" s="334"/>
      <c r="J1023" s="334"/>
      <c r="K1023" s="334"/>
      <c r="L1023" s="334"/>
      <c r="M1023" s="334"/>
      <c r="N1023" s="334"/>
      <c r="O1023" s="334"/>
    </row>
    <row r="1024" spans="1:15" ht="12.75" hidden="1" customHeight="1" outlineLevel="1" x14ac:dyDescent="0.2">
      <c r="A1024" s="623" t="s">
        <v>2043</v>
      </c>
      <c r="B1024" s="624" t="s">
        <v>1156</v>
      </c>
      <c r="C1024" s="625" t="s">
        <v>100</v>
      </c>
      <c r="D1024" s="626">
        <v>3.66</v>
      </c>
      <c r="E1024" s="622"/>
      <c r="F1024" s="334"/>
      <c r="G1024" s="334"/>
      <c r="H1024" s="602"/>
      <c r="I1024" s="334"/>
      <c r="J1024" s="334"/>
      <c r="K1024" s="334"/>
      <c r="L1024" s="334"/>
      <c r="M1024" s="334"/>
      <c r="N1024" s="334"/>
      <c r="O1024" s="334"/>
    </row>
    <row r="1025" spans="1:15" ht="12.75" hidden="1" customHeight="1" outlineLevel="1" x14ac:dyDescent="0.2">
      <c r="A1025" s="627" t="s">
        <v>2044</v>
      </c>
      <c r="B1025" s="624" t="s">
        <v>1156</v>
      </c>
      <c r="C1025" s="629" t="s">
        <v>100</v>
      </c>
      <c r="D1025" s="630">
        <v>3.06</v>
      </c>
      <c r="E1025" s="622"/>
      <c r="F1025" s="334"/>
      <c r="G1025" s="334"/>
      <c r="H1025" s="602"/>
      <c r="I1025" s="334"/>
      <c r="J1025" s="334"/>
      <c r="K1025" s="334"/>
      <c r="L1025" s="334"/>
      <c r="M1025" s="334"/>
      <c r="N1025" s="334"/>
      <c r="O1025" s="334"/>
    </row>
    <row r="1026" spans="1:15" ht="12.75" hidden="1" customHeight="1" outlineLevel="1" x14ac:dyDescent="0.2">
      <c r="A1026" s="623" t="s">
        <v>2045</v>
      </c>
      <c r="B1026" s="624" t="s">
        <v>1156</v>
      </c>
      <c r="C1026" s="625" t="s">
        <v>100</v>
      </c>
      <c r="D1026" s="626">
        <v>1.74</v>
      </c>
      <c r="E1026" s="622"/>
      <c r="F1026" s="334"/>
      <c r="G1026" s="334"/>
      <c r="H1026" s="602"/>
      <c r="I1026" s="334"/>
      <c r="J1026" s="334"/>
      <c r="K1026" s="334"/>
      <c r="L1026" s="334"/>
      <c r="M1026" s="334"/>
      <c r="N1026" s="334"/>
      <c r="O1026" s="334"/>
    </row>
    <row r="1027" spans="1:15" ht="12.75" hidden="1" customHeight="1" outlineLevel="1" x14ac:dyDescent="0.2">
      <c r="A1027" s="627" t="s">
        <v>2046</v>
      </c>
      <c r="B1027" s="628" t="s">
        <v>1160</v>
      </c>
      <c r="C1027" s="629" t="s">
        <v>100</v>
      </c>
      <c r="D1027" s="630">
        <v>0.76</v>
      </c>
      <c r="E1027" s="622"/>
      <c r="F1027" s="334"/>
      <c r="G1027" s="334"/>
      <c r="H1027" s="602"/>
      <c r="I1027" s="334"/>
      <c r="J1027" s="334"/>
      <c r="K1027" s="334"/>
      <c r="L1027" s="334"/>
      <c r="M1027" s="334"/>
      <c r="N1027" s="334"/>
      <c r="O1027" s="334"/>
    </row>
    <row r="1028" spans="1:15" ht="12.75" hidden="1" customHeight="1" outlineLevel="1" x14ac:dyDescent="0.2">
      <c r="A1028" s="623" t="s">
        <v>2047</v>
      </c>
      <c r="B1028" s="624" t="s">
        <v>1156</v>
      </c>
      <c r="C1028" s="625" t="s">
        <v>100</v>
      </c>
      <c r="D1028" s="626">
        <v>14.12</v>
      </c>
      <c r="E1028" s="622"/>
      <c r="F1028" s="334"/>
      <c r="G1028" s="334"/>
      <c r="H1028" s="602"/>
      <c r="I1028" s="334"/>
      <c r="J1028" s="334"/>
      <c r="K1028" s="334"/>
      <c r="L1028" s="334"/>
      <c r="M1028" s="334"/>
      <c r="N1028" s="334"/>
      <c r="O1028" s="334"/>
    </row>
    <row r="1029" spans="1:15" ht="12.75" hidden="1" customHeight="1" outlineLevel="1" x14ac:dyDescent="0.2">
      <c r="A1029" s="627" t="s">
        <v>2048</v>
      </c>
      <c r="B1029" s="624" t="s">
        <v>1156</v>
      </c>
      <c r="C1029" s="629" t="s">
        <v>100</v>
      </c>
      <c r="D1029" s="630">
        <v>4.16</v>
      </c>
      <c r="E1029" s="622"/>
      <c r="F1029" s="334"/>
      <c r="G1029" s="334"/>
      <c r="H1029" s="602"/>
      <c r="I1029" s="334"/>
      <c r="J1029" s="334"/>
      <c r="K1029" s="334"/>
      <c r="L1029" s="334"/>
      <c r="M1029" s="334"/>
      <c r="N1029" s="334"/>
      <c r="O1029" s="334"/>
    </row>
    <row r="1030" spans="1:15" ht="12.75" hidden="1" customHeight="1" outlineLevel="1" x14ac:dyDescent="0.2">
      <c r="A1030" s="623" t="s">
        <v>2049</v>
      </c>
      <c r="B1030" s="624" t="s">
        <v>1156</v>
      </c>
      <c r="C1030" s="625" t="s">
        <v>100</v>
      </c>
      <c r="D1030" s="626">
        <v>426.26</v>
      </c>
      <c r="E1030" s="622"/>
      <c r="F1030" s="334"/>
      <c r="G1030" s="334"/>
      <c r="H1030" s="602"/>
      <c r="I1030" s="334"/>
      <c r="J1030" s="334"/>
      <c r="K1030" s="334"/>
      <c r="L1030" s="334"/>
      <c r="M1030" s="334"/>
      <c r="N1030" s="334"/>
      <c r="O1030" s="334"/>
    </row>
    <row r="1031" spans="1:15" ht="12.75" hidden="1" customHeight="1" outlineLevel="1" x14ac:dyDescent="0.2">
      <c r="A1031" s="627" t="s">
        <v>2050</v>
      </c>
      <c r="B1031" s="624" t="s">
        <v>1156</v>
      </c>
      <c r="C1031" s="629" t="s">
        <v>100</v>
      </c>
      <c r="D1031" s="630">
        <v>1.34</v>
      </c>
      <c r="E1031" s="622"/>
      <c r="F1031" s="334"/>
      <c r="G1031" s="334"/>
      <c r="H1031" s="602"/>
      <c r="I1031" s="334"/>
      <c r="J1031" s="334"/>
      <c r="K1031" s="334"/>
      <c r="L1031" s="334"/>
      <c r="M1031" s="334"/>
      <c r="N1031" s="334"/>
      <c r="O1031" s="334"/>
    </row>
    <row r="1032" spans="1:15" ht="12.75" hidden="1" customHeight="1" outlineLevel="1" x14ac:dyDescent="0.2">
      <c r="A1032" s="623" t="s">
        <v>2051</v>
      </c>
      <c r="B1032" s="624" t="s">
        <v>1158</v>
      </c>
      <c r="C1032" s="625" t="s">
        <v>100</v>
      </c>
      <c r="D1032" s="626">
        <v>39.17</v>
      </c>
      <c r="E1032" s="622"/>
      <c r="F1032" s="334"/>
      <c r="G1032" s="334"/>
      <c r="H1032" s="602"/>
      <c r="I1032" s="334"/>
      <c r="J1032" s="334"/>
      <c r="K1032" s="334"/>
      <c r="L1032" s="334"/>
      <c r="M1032" s="334"/>
      <c r="N1032" s="334"/>
      <c r="O1032" s="334"/>
    </row>
    <row r="1033" spans="1:15" ht="12.75" hidden="1" customHeight="1" outlineLevel="1" x14ac:dyDescent="0.2">
      <c r="A1033" s="627" t="s">
        <v>2052</v>
      </c>
      <c r="B1033" s="624" t="s">
        <v>1158</v>
      </c>
      <c r="C1033" s="629" t="s">
        <v>100</v>
      </c>
      <c r="D1033" s="630">
        <v>3.11</v>
      </c>
      <c r="E1033" s="622"/>
      <c r="F1033" s="334"/>
      <c r="G1033" s="334"/>
      <c r="H1033" s="602"/>
      <c r="I1033" s="334"/>
      <c r="J1033" s="334"/>
      <c r="K1033" s="334"/>
      <c r="L1033" s="334"/>
      <c r="M1033" s="334"/>
      <c r="N1033" s="334"/>
      <c r="O1033" s="334"/>
    </row>
    <row r="1034" spans="1:15" ht="12.75" hidden="1" customHeight="1" outlineLevel="1" x14ac:dyDescent="0.2">
      <c r="A1034" s="623" t="s">
        <v>2053</v>
      </c>
      <c r="B1034" s="624" t="s">
        <v>1158</v>
      </c>
      <c r="C1034" s="625" t="s">
        <v>100</v>
      </c>
      <c r="D1034" s="626">
        <v>3.15</v>
      </c>
      <c r="E1034" s="622"/>
      <c r="F1034" s="334"/>
      <c r="G1034" s="334"/>
      <c r="H1034" s="602"/>
      <c r="I1034" s="334"/>
      <c r="J1034" s="334"/>
      <c r="K1034" s="334"/>
      <c r="L1034" s="334"/>
      <c r="M1034" s="334"/>
      <c r="N1034" s="334"/>
      <c r="O1034" s="334"/>
    </row>
    <row r="1035" spans="1:15" ht="12.75" hidden="1" customHeight="1" outlineLevel="1" x14ac:dyDescent="0.2">
      <c r="A1035" s="627" t="s">
        <v>2054</v>
      </c>
      <c r="B1035" s="624" t="s">
        <v>1158</v>
      </c>
      <c r="C1035" s="629" t="s">
        <v>100</v>
      </c>
      <c r="D1035" s="630">
        <v>10.96</v>
      </c>
      <c r="E1035" s="622"/>
      <c r="F1035" s="334"/>
      <c r="G1035" s="334"/>
      <c r="H1035" s="602"/>
      <c r="I1035" s="334"/>
      <c r="J1035" s="334"/>
      <c r="K1035" s="334"/>
      <c r="L1035" s="334"/>
      <c r="M1035" s="334"/>
      <c r="N1035" s="334"/>
      <c r="O1035" s="334"/>
    </row>
    <row r="1036" spans="1:15" ht="12.75" hidden="1" customHeight="1" outlineLevel="1" x14ac:dyDescent="0.2">
      <c r="A1036" s="623" t="s">
        <v>2055</v>
      </c>
      <c r="B1036" s="624" t="s">
        <v>1156</v>
      </c>
      <c r="C1036" s="625" t="s">
        <v>100</v>
      </c>
      <c r="D1036" s="626">
        <v>13.73</v>
      </c>
      <c r="E1036" s="622"/>
      <c r="F1036" s="334"/>
      <c r="G1036" s="334"/>
      <c r="H1036" s="602"/>
      <c r="I1036" s="334"/>
      <c r="J1036" s="334"/>
      <c r="K1036" s="334"/>
      <c r="L1036" s="334"/>
      <c r="M1036" s="334"/>
      <c r="N1036" s="334"/>
      <c r="O1036" s="334"/>
    </row>
    <row r="1037" spans="1:15" ht="12.75" hidden="1" customHeight="1" outlineLevel="1" x14ac:dyDescent="0.2">
      <c r="A1037" s="627" t="s">
        <v>2056</v>
      </c>
      <c r="B1037" s="624" t="s">
        <v>1156</v>
      </c>
      <c r="C1037" s="629" t="s">
        <v>100</v>
      </c>
      <c r="D1037" s="630">
        <v>5.68</v>
      </c>
      <c r="E1037" s="622"/>
      <c r="F1037" s="334"/>
      <c r="G1037" s="334"/>
      <c r="H1037" s="602"/>
      <c r="I1037" s="334"/>
      <c r="J1037" s="334"/>
      <c r="K1037" s="334"/>
      <c r="L1037" s="334"/>
      <c r="M1037" s="334"/>
      <c r="N1037" s="334"/>
      <c r="O1037" s="334"/>
    </row>
    <row r="1038" spans="1:15" ht="12.75" hidden="1" customHeight="1" outlineLevel="1" x14ac:dyDescent="0.2">
      <c r="A1038" s="623" t="s">
        <v>2057</v>
      </c>
      <c r="B1038" s="624" t="s">
        <v>1158</v>
      </c>
      <c r="C1038" s="625" t="s">
        <v>100</v>
      </c>
      <c r="D1038" s="626">
        <v>67.150000000000006</v>
      </c>
      <c r="E1038" s="622"/>
      <c r="F1038" s="334"/>
      <c r="G1038" s="334"/>
      <c r="H1038" s="602"/>
      <c r="I1038" s="334"/>
      <c r="J1038" s="334"/>
      <c r="K1038" s="334"/>
      <c r="L1038" s="334"/>
      <c r="M1038" s="334"/>
      <c r="N1038" s="334"/>
      <c r="O1038" s="334"/>
    </row>
    <row r="1039" spans="1:15" ht="12.75" hidden="1" customHeight="1" outlineLevel="1" x14ac:dyDescent="0.2">
      <c r="A1039" s="627" t="s">
        <v>2058</v>
      </c>
      <c r="B1039" s="624" t="s">
        <v>1158</v>
      </c>
      <c r="C1039" s="629" t="s">
        <v>100</v>
      </c>
      <c r="D1039" s="630">
        <v>80.83</v>
      </c>
      <c r="E1039" s="622"/>
      <c r="F1039" s="334"/>
      <c r="G1039" s="334"/>
      <c r="H1039" s="602"/>
      <c r="I1039" s="334"/>
      <c r="J1039" s="334"/>
      <c r="K1039" s="334"/>
      <c r="L1039" s="334"/>
      <c r="M1039" s="334"/>
      <c r="N1039" s="334"/>
      <c r="O1039" s="334"/>
    </row>
    <row r="1040" spans="1:15" ht="12.75" hidden="1" customHeight="1" outlineLevel="1" x14ac:dyDescent="0.2">
      <c r="A1040" s="623" t="s">
        <v>2059</v>
      </c>
      <c r="B1040" s="624" t="s">
        <v>1156</v>
      </c>
      <c r="C1040" s="625" t="s">
        <v>100</v>
      </c>
      <c r="D1040" s="626">
        <v>6.16</v>
      </c>
      <c r="E1040" s="622"/>
      <c r="F1040" s="334"/>
      <c r="G1040" s="334"/>
      <c r="H1040" s="602"/>
      <c r="I1040" s="334"/>
      <c r="J1040" s="334"/>
      <c r="K1040" s="334"/>
      <c r="L1040" s="334"/>
      <c r="M1040" s="334"/>
      <c r="N1040" s="334"/>
      <c r="O1040" s="334"/>
    </row>
    <row r="1041" spans="1:15" ht="12.75" hidden="1" customHeight="1" outlineLevel="1" x14ac:dyDescent="0.2">
      <c r="A1041" s="627" t="s">
        <v>2060</v>
      </c>
      <c r="B1041" s="628" t="s">
        <v>1154</v>
      </c>
      <c r="C1041" s="629" t="s">
        <v>100</v>
      </c>
      <c r="D1041" s="630">
        <v>122.76</v>
      </c>
      <c r="E1041" s="622"/>
      <c r="F1041" s="334"/>
      <c r="G1041" s="334"/>
      <c r="H1041" s="602"/>
      <c r="I1041" s="334"/>
      <c r="J1041" s="334"/>
      <c r="K1041" s="334"/>
      <c r="L1041" s="334"/>
      <c r="M1041" s="334"/>
      <c r="N1041" s="334"/>
      <c r="O1041" s="334"/>
    </row>
    <row r="1042" spans="1:15" ht="12.75" hidden="1" customHeight="1" outlineLevel="1" x14ac:dyDescent="0.2">
      <c r="A1042" s="623" t="s">
        <v>2061</v>
      </c>
      <c r="B1042" s="624" t="s">
        <v>1158</v>
      </c>
      <c r="C1042" s="625" t="s">
        <v>100</v>
      </c>
      <c r="D1042" s="626">
        <v>2.4500000000000002</v>
      </c>
      <c r="E1042" s="622"/>
      <c r="F1042" s="334"/>
      <c r="G1042" s="334"/>
      <c r="H1042" s="602"/>
      <c r="I1042" s="334"/>
      <c r="J1042" s="334"/>
      <c r="K1042" s="334"/>
      <c r="L1042" s="334"/>
      <c r="M1042" s="334"/>
      <c r="N1042" s="334"/>
      <c r="O1042" s="334"/>
    </row>
    <row r="1043" spans="1:15" ht="12.75" hidden="1" customHeight="1" outlineLevel="1" x14ac:dyDescent="0.2">
      <c r="A1043" s="627" t="s">
        <v>2062</v>
      </c>
      <c r="B1043" s="624" t="s">
        <v>1156</v>
      </c>
      <c r="C1043" s="629" t="s">
        <v>100</v>
      </c>
      <c r="D1043" s="630">
        <v>3.75</v>
      </c>
      <c r="E1043" s="622"/>
      <c r="F1043" s="334"/>
      <c r="G1043" s="334"/>
      <c r="H1043" s="602"/>
      <c r="I1043" s="334"/>
      <c r="J1043" s="334"/>
      <c r="K1043" s="334"/>
      <c r="L1043" s="334"/>
      <c r="M1043" s="334"/>
      <c r="N1043" s="334"/>
      <c r="O1043" s="334"/>
    </row>
    <row r="1044" spans="1:15" ht="12.75" hidden="1" customHeight="1" outlineLevel="1" x14ac:dyDescent="0.2">
      <c r="A1044" s="623" t="s">
        <v>2063</v>
      </c>
      <c r="B1044" s="624" t="s">
        <v>1154</v>
      </c>
      <c r="C1044" s="625" t="s">
        <v>100</v>
      </c>
      <c r="D1044" s="626">
        <v>74.209999999999994</v>
      </c>
      <c r="E1044" s="622"/>
      <c r="F1044" s="334"/>
      <c r="G1044" s="334"/>
      <c r="H1044" s="602"/>
      <c r="I1044" s="334"/>
      <c r="J1044" s="334"/>
      <c r="K1044" s="334"/>
      <c r="L1044" s="334"/>
      <c r="M1044" s="334"/>
      <c r="N1044" s="334"/>
      <c r="O1044" s="334"/>
    </row>
    <row r="1045" spans="1:15" ht="12.75" hidden="1" customHeight="1" outlineLevel="1" x14ac:dyDescent="0.2">
      <c r="A1045" s="618" t="s">
        <v>2064</v>
      </c>
      <c r="B1045" s="619" t="s">
        <v>1017</v>
      </c>
      <c r="C1045" s="620"/>
      <c r="D1045" s="621"/>
      <c r="E1045" s="622"/>
      <c r="F1045" s="334"/>
      <c r="G1045" s="334"/>
      <c r="H1045" s="602"/>
      <c r="I1045" s="334"/>
      <c r="J1045" s="334"/>
      <c r="K1045" s="334"/>
      <c r="L1045" s="334"/>
      <c r="M1045" s="334"/>
      <c r="N1045" s="334"/>
      <c r="O1045" s="334"/>
    </row>
    <row r="1046" spans="1:15" ht="12.75" hidden="1" customHeight="1" outlineLevel="1" x14ac:dyDescent="0.2">
      <c r="A1046" s="627" t="s">
        <v>2065</v>
      </c>
      <c r="B1046" s="628" t="s">
        <v>1156</v>
      </c>
      <c r="C1046" s="629" t="s">
        <v>100</v>
      </c>
      <c r="D1046" s="630">
        <v>15.23</v>
      </c>
      <c r="E1046" s="622"/>
      <c r="F1046" s="334"/>
      <c r="G1046" s="334"/>
      <c r="H1046" s="602"/>
      <c r="I1046" s="334"/>
      <c r="J1046" s="334"/>
      <c r="K1046" s="334"/>
      <c r="L1046" s="334"/>
      <c r="M1046" s="334"/>
      <c r="N1046" s="334"/>
      <c r="O1046" s="334"/>
    </row>
    <row r="1047" spans="1:15" ht="12.75" hidden="1" customHeight="1" outlineLevel="1" x14ac:dyDescent="0.2">
      <c r="A1047" s="623" t="s">
        <v>2066</v>
      </c>
      <c r="B1047" s="628" t="s">
        <v>1156</v>
      </c>
      <c r="C1047" s="625" t="s">
        <v>100</v>
      </c>
      <c r="D1047" s="626">
        <v>2.88</v>
      </c>
      <c r="E1047" s="622"/>
      <c r="F1047" s="334"/>
      <c r="G1047" s="334"/>
      <c r="H1047" s="602"/>
      <c r="I1047" s="334"/>
      <c r="J1047" s="334"/>
      <c r="K1047" s="334"/>
      <c r="L1047" s="334"/>
      <c r="M1047" s="334"/>
      <c r="N1047" s="334"/>
      <c r="O1047" s="334"/>
    </row>
    <row r="1048" spans="1:15" ht="12.75" hidden="1" customHeight="1" outlineLevel="1" x14ac:dyDescent="0.2">
      <c r="A1048" s="627" t="s">
        <v>2067</v>
      </c>
      <c r="B1048" s="628" t="s">
        <v>1156</v>
      </c>
      <c r="C1048" s="629" t="s">
        <v>100</v>
      </c>
      <c r="D1048" s="630">
        <v>3.16</v>
      </c>
      <c r="E1048" s="622"/>
      <c r="F1048" s="334"/>
      <c r="G1048" s="334"/>
      <c r="H1048" s="602"/>
      <c r="I1048" s="334"/>
      <c r="J1048" s="334"/>
      <c r="K1048" s="334"/>
      <c r="L1048" s="334"/>
      <c r="M1048" s="334"/>
      <c r="N1048" s="334"/>
      <c r="O1048" s="334"/>
    </row>
    <row r="1049" spans="1:15" ht="12.75" hidden="1" customHeight="1" outlineLevel="1" x14ac:dyDescent="0.2">
      <c r="A1049" s="623" t="s">
        <v>2068</v>
      </c>
      <c r="B1049" s="628" t="s">
        <v>1156</v>
      </c>
      <c r="C1049" s="625" t="s">
        <v>100</v>
      </c>
      <c r="D1049" s="626">
        <v>0.27</v>
      </c>
      <c r="E1049" s="622"/>
      <c r="F1049" s="334"/>
      <c r="G1049" s="334"/>
      <c r="H1049" s="602"/>
      <c r="I1049" s="334"/>
      <c r="J1049" s="334"/>
      <c r="K1049" s="334"/>
      <c r="L1049" s="334"/>
      <c r="M1049" s="334"/>
      <c r="N1049" s="334"/>
      <c r="O1049" s="334"/>
    </row>
    <row r="1050" spans="1:15" ht="12.75" hidden="1" customHeight="1" outlineLevel="1" x14ac:dyDescent="0.2">
      <c r="A1050" s="627" t="s">
        <v>2069</v>
      </c>
      <c r="B1050" s="628" t="s">
        <v>1160</v>
      </c>
      <c r="C1050" s="629" t="s">
        <v>100</v>
      </c>
      <c r="D1050" s="630">
        <v>1.75</v>
      </c>
      <c r="E1050" s="622"/>
      <c r="F1050" s="334"/>
      <c r="G1050" s="334"/>
      <c r="H1050" s="602"/>
      <c r="I1050" s="334"/>
      <c r="J1050" s="334"/>
      <c r="K1050" s="334"/>
      <c r="L1050" s="334"/>
      <c r="M1050" s="334"/>
      <c r="N1050" s="334"/>
      <c r="O1050" s="334"/>
    </row>
    <row r="1051" spans="1:15" ht="12.75" hidden="1" customHeight="1" outlineLevel="1" x14ac:dyDescent="0.2">
      <c r="A1051" s="623" t="s">
        <v>2070</v>
      </c>
      <c r="B1051" s="624" t="s">
        <v>1156</v>
      </c>
      <c r="C1051" s="625" t="s">
        <v>100</v>
      </c>
      <c r="D1051" s="626">
        <v>7.25</v>
      </c>
      <c r="E1051" s="622"/>
      <c r="F1051" s="334"/>
      <c r="G1051" s="334"/>
      <c r="H1051" s="602"/>
      <c r="I1051" s="334"/>
      <c r="J1051" s="334"/>
      <c r="K1051" s="334"/>
      <c r="L1051" s="334"/>
      <c r="M1051" s="334"/>
      <c r="N1051" s="334"/>
      <c r="O1051" s="334"/>
    </row>
    <row r="1052" spans="1:15" ht="12.75" hidden="1" customHeight="1" outlineLevel="1" x14ac:dyDescent="0.2">
      <c r="A1052" s="627" t="s">
        <v>2071</v>
      </c>
      <c r="B1052" s="628" t="s">
        <v>1156</v>
      </c>
      <c r="C1052" s="629" t="s">
        <v>100</v>
      </c>
      <c r="D1052" s="630">
        <v>704.37</v>
      </c>
      <c r="E1052" s="622"/>
      <c r="F1052" s="334"/>
      <c r="G1052" s="334"/>
      <c r="H1052" s="602"/>
      <c r="I1052" s="334"/>
      <c r="J1052" s="334"/>
      <c r="K1052" s="334"/>
      <c r="L1052" s="334"/>
      <c r="M1052" s="334"/>
      <c r="N1052" s="334"/>
      <c r="O1052" s="334"/>
    </row>
    <row r="1053" spans="1:15" ht="12.75" hidden="1" customHeight="1" outlineLevel="1" x14ac:dyDescent="0.2">
      <c r="A1053" s="618" t="s">
        <v>2072</v>
      </c>
      <c r="B1053" s="619" t="s">
        <v>1021</v>
      </c>
      <c r="C1053" s="620"/>
      <c r="D1053" s="621"/>
      <c r="E1053" s="622"/>
      <c r="F1053" s="334"/>
      <c r="G1053" s="334"/>
      <c r="H1053" s="602"/>
      <c r="I1053" s="334"/>
      <c r="J1053" s="334"/>
      <c r="K1053" s="334"/>
      <c r="L1053" s="334"/>
      <c r="M1053" s="334"/>
      <c r="N1053" s="334"/>
      <c r="O1053" s="334"/>
    </row>
    <row r="1054" spans="1:15" ht="12.75" hidden="1" customHeight="1" outlineLevel="1" x14ac:dyDescent="0.2">
      <c r="A1054" s="623" t="s">
        <v>2073</v>
      </c>
      <c r="B1054" s="628" t="s">
        <v>1156</v>
      </c>
      <c r="C1054" s="625" t="s">
        <v>100</v>
      </c>
      <c r="D1054" s="626">
        <v>13.46</v>
      </c>
      <c r="E1054" s="622"/>
      <c r="F1054" s="334"/>
      <c r="G1054" s="334"/>
      <c r="H1054" s="602"/>
      <c r="I1054" s="334"/>
      <c r="J1054" s="334"/>
      <c r="K1054" s="334"/>
      <c r="L1054" s="334"/>
      <c r="M1054" s="334"/>
      <c r="N1054" s="334"/>
      <c r="O1054" s="334"/>
    </row>
    <row r="1055" spans="1:15" ht="12.75" hidden="1" customHeight="1" outlineLevel="1" x14ac:dyDescent="0.2">
      <c r="A1055" s="627" t="s">
        <v>2074</v>
      </c>
      <c r="B1055" s="628" t="s">
        <v>1156</v>
      </c>
      <c r="C1055" s="629" t="s">
        <v>100</v>
      </c>
      <c r="D1055" s="630">
        <v>2.88</v>
      </c>
      <c r="E1055" s="622"/>
      <c r="F1055" s="334"/>
      <c r="G1055" s="334"/>
      <c r="H1055" s="602"/>
      <c r="I1055" s="334"/>
      <c r="J1055" s="334"/>
      <c r="K1055" s="334"/>
      <c r="L1055" s="334"/>
      <c r="M1055" s="334"/>
      <c r="N1055" s="334"/>
      <c r="O1055" s="334"/>
    </row>
    <row r="1056" spans="1:15" ht="12.75" hidden="1" customHeight="1" outlineLevel="1" x14ac:dyDescent="0.2">
      <c r="A1056" s="623" t="s">
        <v>2075</v>
      </c>
      <c r="B1056" s="624" t="s">
        <v>1158</v>
      </c>
      <c r="C1056" s="625" t="s">
        <v>100</v>
      </c>
      <c r="D1056" s="626">
        <v>9.3800000000000008</v>
      </c>
      <c r="E1056" s="622"/>
      <c r="F1056" s="334"/>
      <c r="G1056" s="334"/>
      <c r="H1056" s="602"/>
      <c r="I1056" s="334"/>
      <c r="J1056" s="334"/>
      <c r="K1056" s="334"/>
      <c r="L1056" s="334"/>
      <c r="M1056" s="334"/>
      <c r="N1056" s="334"/>
      <c r="O1056" s="334"/>
    </row>
    <row r="1057" spans="1:15" ht="12.75" hidden="1" customHeight="1" outlineLevel="1" x14ac:dyDescent="0.2">
      <c r="A1057" s="627" t="s">
        <v>2076</v>
      </c>
      <c r="B1057" s="624" t="s">
        <v>1158</v>
      </c>
      <c r="C1057" s="629" t="s">
        <v>100</v>
      </c>
      <c r="D1057" s="630">
        <v>20.16</v>
      </c>
      <c r="E1057" s="622"/>
      <c r="F1057" s="334"/>
      <c r="G1057" s="334"/>
      <c r="H1057" s="602"/>
      <c r="I1057" s="334"/>
      <c r="J1057" s="334"/>
      <c r="K1057" s="334"/>
      <c r="L1057" s="334"/>
      <c r="M1057" s="334"/>
      <c r="N1057" s="334"/>
      <c r="O1057" s="334"/>
    </row>
    <row r="1058" spans="1:15" ht="12.75" hidden="1" customHeight="1" outlineLevel="1" x14ac:dyDescent="0.2">
      <c r="A1058" s="623" t="s">
        <v>2077</v>
      </c>
      <c r="B1058" s="624" t="s">
        <v>1158</v>
      </c>
      <c r="C1058" s="625" t="s">
        <v>100</v>
      </c>
      <c r="D1058" s="626">
        <v>3.43</v>
      </c>
      <c r="E1058" s="622"/>
      <c r="F1058" s="334"/>
      <c r="G1058" s="334"/>
      <c r="H1058" s="602"/>
      <c r="I1058" s="334"/>
      <c r="J1058" s="334"/>
      <c r="K1058" s="334"/>
      <c r="L1058" s="334"/>
      <c r="M1058" s="334"/>
      <c r="N1058" s="334"/>
      <c r="O1058" s="334"/>
    </row>
    <row r="1059" spans="1:15" ht="12.75" hidden="1" customHeight="1" outlineLevel="1" x14ac:dyDescent="0.2">
      <c r="A1059" s="627" t="s">
        <v>2078</v>
      </c>
      <c r="B1059" s="624" t="s">
        <v>1158</v>
      </c>
      <c r="C1059" s="629" t="s">
        <v>100</v>
      </c>
      <c r="D1059" s="630">
        <v>16.47</v>
      </c>
      <c r="E1059" s="622"/>
      <c r="F1059" s="334"/>
      <c r="G1059" s="334"/>
      <c r="H1059" s="602"/>
      <c r="I1059" s="334"/>
      <c r="J1059" s="334"/>
      <c r="K1059" s="334"/>
      <c r="L1059" s="334"/>
      <c r="M1059" s="334"/>
      <c r="N1059" s="334"/>
      <c r="O1059" s="334"/>
    </row>
    <row r="1060" spans="1:15" ht="12.75" hidden="1" customHeight="1" outlineLevel="1" x14ac:dyDescent="0.2">
      <c r="A1060" s="623" t="s">
        <v>2079</v>
      </c>
      <c r="B1060" s="624" t="s">
        <v>1156</v>
      </c>
      <c r="C1060" s="625" t="s">
        <v>100</v>
      </c>
      <c r="D1060" s="626">
        <v>3.16</v>
      </c>
      <c r="E1060" s="622"/>
      <c r="F1060" s="334"/>
      <c r="G1060" s="334"/>
      <c r="H1060" s="602"/>
      <c r="I1060" s="334"/>
      <c r="J1060" s="334"/>
      <c r="K1060" s="334"/>
      <c r="L1060" s="334"/>
      <c r="M1060" s="334"/>
      <c r="N1060" s="334"/>
      <c r="O1060" s="334"/>
    </row>
    <row r="1061" spans="1:15" ht="12.75" hidden="1" customHeight="1" outlineLevel="1" x14ac:dyDescent="0.2">
      <c r="A1061" s="627" t="s">
        <v>2080</v>
      </c>
      <c r="B1061" s="628" t="s">
        <v>1156</v>
      </c>
      <c r="C1061" s="629" t="s">
        <v>100</v>
      </c>
      <c r="D1061" s="630">
        <v>0.37</v>
      </c>
      <c r="E1061" s="622"/>
      <c r="F1061" s="334"/>
      <c r="G1061" s="334"/>
      <c r="H1061" s="602"/>
      <c r="I1061" s="334"/>
      <c r="J1061" s="334"/>
      <c r="K1061" s="334"/>
      <c r="L1061" s="334"/>
      <c r="M1061" s="334"/>
      <c r="N1061" s="334"/>
      <c r="O1061" s="334"/>
    </row>
    <row r="1062" spans="1:15" ht="12.75" hidden="1" customHeight="1" outlineLevel="1" x14ac:dyDescent="0.2">
      <c r="A1062" s="623" t="s">
        <v>2081</v>
      </c>
      <c r="B1062" s="624" t="s">
        <v>1158</v>
      </c>
      <c r="C1062" s="625" t="s">
        <v>100</v>
      </c>
      <c r="D1062" s="626">
        <v>125.12</v>
      </c>
      <c r="E1062" s="622"/>
      <c r="F1062" s="334"/>
      <c r="G1062" s="334"/>
      <c r="H1062" s="602"/>
      <c r="I1062" s="334"/>
      <c r="J1062" s="334"/>
      <c r="K1062" s="334"/>
      <c r="L1062" s="334"/>
      <c r="M1062" s="334"/>
      <c r="N1062" s="334"/>
      <c r="O1062" s="334"/>
    </row>
    <row r="1063" spans="1:15" ht="12.75" hidden="1" customHeight="1" outlineLevel="1" x14ac:dyDescent="0.2">
      <c r="A1063" s="627" t="s">
        <v>2082</v>
      </c>
      <c r="B1063" s="624" t="s">
        <v>1158</v>
      </c>
      <c r="C1063" s="629" t="s">
        <v>100</v>
      </c>
      <c r="D1063" s="630">
        <v>121.03</v>
      </c>
      <c r="E1063" s="622"/>
      <c r="F1063" s="334"/>
      <c r="G1063" s="334"/>
      <c r="H1063" s="602"/>
      <c r="I1063" s="334"/>
      <c r="J1063" s="334"/>
      <c r="K1063" s="334"/>
      <c r="L1063" s="334"/>
      <c r="M1063" s="334"/>
      <c r="N1063" s="334"/>
      <c r="O1063" s="334"/>
    </row>
    <row r="1064" spans="1:15" ht="12.75" hidden="1" customHeight="1" outlineLevel="1" x14ac:dyDescent="0.2">
      <c r="A1064" s="623" t="s">
        <v>2083</v>
      </c>
      <c r="B1064" s="624" t="s">
        <v>1158</v>
      </c>
      <c r="C1064" s="625" t="s">
        <v>100</v>
      </c>
      <c r="D1064" s="626">
        <v>38.450000000000003</v>
      </c>
      <c r="E1064" s="622"/>
      <c r="F1064" s="334"/>
      <c r="G1064" s="334"/>
      <c r="H1064" s="602"/>
      <c r="I1064" s="334"/>
      <c r="J1064" s="334"/>
      <c r="K1064" s="334"/>
      <c r="L1064" s="334"/>
      <c r="M1064" s="334"/>
      <c r="N1064" s="334"/>
      <c r="O1064" s="334"/>
    </row>
    <row r="1065" spans="1:15" ht="12.75" hidden="1" customHeight="1" outlineLevel="1" x14ac:dyDescent="0.2">
      <c r="A1065" s="627" t="s">
        <v>2084</v>
      </c>
      <c r="B1065" s="624" t="s">
        <v>1158</v>
      </c>
      <c r="C1065" s="629" t="s">
        <v>100</v>
      </c>
      <c r="D1065" s="630">
        <v>11.5</v>
      </c>
      <c r="E1065" s="622"/>
      <c r="F1065" s="334"/>
      <c r="G1065" s="334"/>
      <c r="H1065" s="602"/>
      <c r="I1065" s="334"/>
      <c r="J1065" s="334"/>
      <c r="K1065" s="334"/>
      <c r="L1065" s="334"/>
      <c r="M1065" s="334"/>
      <c r="N1065" s="334"/>
      <c r="O1065" s="334"/>
    </row>
    <row r="1066" spans="1:15" ht="12.75" hidden="1" customHeight="1" outlineLevel="1" x14ac:dyDescent="0.2">
      <c r="A1066" s="623" t="s">
        <v>2085</v>
      </c>
      <c r="B1066" s="624" t="s">
        <v>1158</v>
      </c>
      <c r="C1066" s="625" t="s">
        <v>100</v>
      </c>
      <c r="D1066" s="626">
        <v>11.85</v>
      </c>
      <c r="E1066" s="622"/>
      <c r="F1066" s="334"/>
      <c r="G1066" s="334"/>
      <c r="H1066" s="602"/>
      <c r="I1066" s="334"/>
      <c r="J1066" s="334"/>
      <c r="K1066" s="334"/>
      <c r="L1066" s="334"/>
      <c r="M1066" s="334"/>
      <c r="N1066" s="334"/>
      <c r="O1066" s="334"/>
    </row>
    <row r="1067" spans="1:15" ht="12.75" hidden="1" customHeight="1" outlineLevel="1" x14ac:dyDescent="0.2">
      <c r="A1067" s="627" t="s">
        <v>2086</v>
      </c>
      <c r="B1067" s="624" t="s">
        <v>1158</v>
      </c>
      <c r="C1067" s="629" t="s">
        <v>100</v>
      </c>
      <c r="D1067" s="630">
        <v>46.89</v>
      </c>
      <c r="E1067" s="622"/>
      <c r="F1067" s="334"/>
      <c r="G1067" s="334"/>
      <c r="H1067" s="602"/>
      <c r="I1067" s="334"/>
      <c r="J1067" s="334"/>
      <c r="K1067" s="334"/>
      <c r="L1067" s="334"/>
      <c r="M1067" s="334"/>
      <c r="N1067" s="334"/>
      <c r="O1067" s="334"/>
    </row>
    <row r="1068" spans="1:15" ht="12.75" hidden="1" customHeight="1" outlineLevel="1" x14ac:dyDescent="0.2">
      <c r="A1068" s="623" t="s">
        <v>2087</v>
      </c>
      <c r="B1068" s="628" t="s">
        <v>1156</v>
      </c>
      <c r="C1068" s="625" t="s">
        <v>100</v>
      </c>
      <c r="D1068" s="626">
        <v>7.07</v>
      </c>
      <c r="E1068" s="622"/>
      <c r="F1068" s="334"/>
      <c r="G1068" s="334"/>
      <c r="H1068" s="602"/>
      <c r="I1068" s="334"/>
      <c r="J1068" s="334"/>
      <c r="K1068" s="334"/>
      <c r="L1068" s="334"/>
      <c r="M1068" s="334"/>
      <c r="N1068" s="334"/>
      <c r="O1068" s="334"/>
    </row>
    <row r="1069" spans="1:15" ht="12.75" hidden="1" customHeight="1" outlineLevel="1" x14ac:dyDescent="0.2">
      <c r="A1069" s="627" t="s">
        <v>2088</v>
      </c>
      <c r="B1069" s="624" t="s">
        <v>1158</v>
      </c>
      <c r="C1069" s="629" t="s">
        <v>100</v>
      </c>
      <c r="D1069" s="630">
        <v>189.69</v>
      </c>
      <c r="E1069" s="622"/>
      <c r="F1069" s="334"/>
      <c r="G1069" s="334"/>
      <c r="H1069" s="602"/>
      <c r="I1069" s="334"/>
      <c r="J1069" s="334"/>
      <c r="K1069" s="334"/>
      <c r="L1069" s="334"/>
      <c r="M1069" s="334"/>
      <c r="N1069" s="334"/>
      <c r="O1069" s="334"/>
    </row>
    <row r="1070" spans="1:15" ht="12.75" hidden="1" customHeight="1" outlineLevel="1" x14ac:dyDescent="0.2">
      <c r="A1070" s="623" t="s">
        <v>2089</v>
      </c>
      <c r="B1070" s="624" t="s">
        <v>1158</v>
      </c>
      <c r="C1070" s="625" t="s">
        <v>100</v>
      </c>
      <c r="D1070" s="626">
        <v>34.03</v>
      </c>
      <c r="E1070" s="622"/>
      <c r="F1070" s="334"/>
      <c r="G1070" s="334"/>
      <c r="H1070" s="602"/>
      <c r="I1070" s="334"/>
      <c r="J1070" s="334"/>
      <c r="K1070" s="334"/>
      <c r="L1070" s="334"/>
      <c r="M1070" s="334"/>
      <c r="N1070" s="334"/>
      <c r="O1070" s="334"/>
    </row>
    <row r="1071" spans="1:15" ht="12.75" hidden="1" customHeight="1" outlineLevel="1" x14ac:dyDescent="0.2">
      <c r="A1071" s="627" t="s">
        <v>2090</v>
      </c>
      <c r="B1071" s="624" t="s">
        <v>1158</v>
      </c>
      <c r="C1071" s="629" t="s">
        <v>100</v>
      </c>
      <c r="D1071" s="630">
        <v>2.5099999999999998</v>
      </c>
      <c r="E1071" s="622"/>
      <c r="F1071" s="334"/>
      <c r="G1071" s="334"/>
      <c r="H1071" s="602"/>
      <c r="I1071" s="334"/>
      <c r="J1071" s="334"/>
      <c r="K1071" s="334"/>
      <c r="L1071" s="334"/>
      <c r="M1071" s="334"/>
      <c r="N1071" s="334"/>
      <c r="O1071" s="334"/>
    </row>
    <row r="1072" spans="1:15" ht="12.75" hidden="1" customHeight="1" outlineLevel="1" x14ac:dyDescent="0.2">
      <c r="A1072" s="623" t="s">
        <v>2091</v>
      </c>
      <c r="B1072" s="624" t="s">
        <v>1158</v>
      </c>
      <c r="C1072" s="625" t="s">
        <v>100</v>
      </c>
      <c r="D1072" s="626">
        <v>11.4</v>
      </c>
      <c r="E1072" s="622"/>
      <c r="F1072" s="334"/>
      <c r="G1072" s="334"/>
      <c r="H1072" s="602"/>
      <c r="I1072" s="334"/>
      <c r="J1072" s="334"/>
      <c r="K1072" s="334"/>
      <c r="L1072" s="334"/>
      <c r="M1072" s="334"/>
      <c r="N1072" s="334"/>
      <c r="O1072" s="334"/>
    </row>
    <row r="1073" spans="1:15" ht="12.75" hidden="1" customHeight="1" outlineLevel="1" x14ac:dyDescent="0.2">
      <c r="A1073" s="627" t="s">
        <v>2092</v>
      </c>
      <c r="B1073" s="624" t="s">
        <v>1158</v>
      </c>
      <c r="C1073" s="629" t="s">
        <v>100</v>
      </c>
      <c r="D1073" s="630">
        <v>24.75</v>
      </c>
      <c r="E1073" s="622"/>
      <c r="F1073" s="334"/>
      <c r="G1073" s="334"/>
      <c r="H1073" s="602"/>
      <c r="I1073" s="334"/>
      <c r="J1073" s="334"/>
      <c r="K1073" s="334"/>
      <c r="L1073" s="334"/>
      <c r="M1073" s="334"/>
      <c r="N1073" s="334"/>
      <c r="O1073" s="334"/>
    </row>
    <row r="1074" spans="1:15" ht="12.75" hidden="1" customHeight="1" outlineLevel="1" x14ac:dyDescent="0.2">
      <c r="A1074" s="623" t="s">
        <v>2093</v>
      </c>
      <c r="B1074" s="624" t="s">
        <v>1158</v>
      </c>
      <c r="C1074" s="625" t="s">
        <v>100</v>
      </c>
      <c r="D1074" s="626">
        <v>10.75</v>
      </c>
      <c r="E1074" s="622"/>
      <c r="F1074" s="334"/>
      <c r="G1074" s="334"/>
      <c r="H1074" s="602"/>
      <c r="I1074" s="334"/>
      <c r="J1074" s="334"/>
      <c r="K1074" s="334"/>
      <c r="L1074" s="334"/>
      <c r="M1074" s="334"/>
      <c r="N1074" s="334"/>
      <c r="O1074" s="334"/>
    </row>
    <row r="1075" spans="1:15" ht="12.75" hidden="1" customHeight="1" outlineLevel="1" x14ac:dyDescent="0.2">
      <c r="A1075" s="618" t="s">
        <v>2094</v>
      </c>
      <c r="B1075" s="619" t="s">
        <v>1030</v>
      </c>
      <c r="C1075" s="620"/>
      <c r="D1075" s="621"/>
      <c r="E1075" s="622"/>
      <c r="F1075" s="334"/>
      <c r="G1075" s="334"/>
      <c r="H1075" s="602"/>
      <c r="I1075" s="334"/>
      <c r="J1075" s="334"/>
      <c r="K1075" s="334"/>
      <c r="L1075" s="334"/>
      <c r="M1075" s="334"/>
      <c r="N1075" s="334"/>
      <c r="O1075" s="334"/>
    </row>
    <row r="1076" spans="1:15" ht="12.75" hidden="1" customHeight="1" outlineLevel="1" x14ac:dyDescent="0.2">
      <c r="A1076" s="627" t="s">
        <v>2095</v>
      </c>
      <c r="B1076" s="628" t="s">
        <v>1156</v>
      </c>
      <c r="C1076" s="629" t="s">
        <v>100</v>
      </c>
      <c r="D1076" s="630">
        <v>13.46</v>
      </c>
      <c r="E1076" s="622"/>
      <c r="F1076" s="334"/>
      <c r="G1076" s="334"/>
      <c r="H1076" s="602"/>
      <c r="I1076" s="334"/>
      <c r="J1076" s="334"/>
      <c r="K1076" s="334"/>
      <c r="L1076" s="334"/>
      <c r="M1076" s="334"/>
      <c r="N1076" s="334"/>
      <c r="O1076" s="334"/>
    </row>
    <row r="1077" spans="1:15" ht="12.75" hidden="1" customHeight="1" outlineLevel="1" x14ac:dyDescent="0.2">
      <c r="A1077" s="623" t="s">
        <v>2096</v>
      </c>
      <c r="B1077" s="628" t="s">
        <v>1156</v>
      </c>
      <c r="C1077" s="625" t="s">
        <v>100</v>
      </c>
      <c r="D1077" s="626">
        <v>2.9</v>
      </c>
      <c r="E1077" s="622"/>
      <c r="F1077" s="334"/>
      <c r="G1077" s="334"/>
      <c r="H1077" s="602"/>
      <c r="I1077" s="334"/>
      <c r="J1077" s="334"/>
      <c r="K1077" s="334"/>
      <c r="L1077" s="334"/>
      <c r="M1077" s="334"/>
      <c r="N1077" s="334"/>
      <c r="O1077" s="334"/>
    </row>
    <row r="1078" spans="1:15" ht="12.75" hidden="1" customHeight="1" outlineLevel="1" x14ac:dyDescent="0.2">
      <c r="A1078" s="627" t="s">
        <v>2097</v>
      </c>
      <c r="B1078" s="628" t="s">
        <v>1158</v>
      </c>
      <c r="C1078" s="629" t="s">
        <v>100</v>
      </c>
      <c r="D1078" s="630">
        <v>29.9</v>
      </c>
      <c r="E1078" s="622"/>
      <c r="F1078" s="334"/>
      <c r="G1078" s="334"/>
      <c r="H1078" s="602"/>
      <c r="I1078" s="334"/>
      <c r="J1078" s="334"/>
      <c r="K1078" s="334"/>
      <c r="L1078" s="334"/>
      <c r="M1078" s="334"/>
      <c r="N1078" s="334"/>
      <c r="O1078" s="334"/>
    </row>
    <row r="1079" spans="1:15" ht="12.75" hidden="1" customHeight="1" outlineLevel="1" x14ac:dyDescent="0.2">
      <c r="A1079" s="623" t="s">
        <v>2098</v>
      </c>
      <c r="B1079" s="628" t="s">
        <v>1158</v>
      </c>
      <c r="C1079" s="625" t="s">
        <v>100</v>
      </c>
      <c r="D1079" s="626">
        <v>4.1100000000000003</v>
      </c>
      <c r="E1079" s="622"/>
      <c r="F1079" s="334"/>
      <c r="G1079" s="334"/>
      <c r="H1079" s="602"/>
      <c r="I1079" s="334"/>
      <c r="J1079" s="334"/>
      <c r="K1079" s="334"/>
      <c r="L1079" s="334"/>
      <c r="M1079" s="334"/>
      <c r="N1079" s="334"/>
      <c r="O1079" s="334"/>
    </row>
    <row r="1080" spans="1:15" ht="12.75" hidden="1" customHeight="1" outlineLevel="1" x14ac:dyDescent="0.2">
      <c r="A1080" s="627" t="s">
        <v>2099</v>
      </c>
      <c r="B1080" s="628" t="s">
        <v>1156</v>
      </c>
      <c r="C1080" s="629" t="s">
        <v>100</v>
      </c>
      <c r="D1080" s="630">
        <v>3.06</v>
      </c>
      <c r="E1080" s="622"/>
      <c r="F1080" s="334"/>
      <c r="G1080" s="334"/>
      <c r="H1080" s="602"/>
      <c r="I1080" s="334"/>
      <c r="J1080" s="334"/>
      <c r="K1080" s="334"/>
      <c r="L1080" s="334"/>
      <c r="M1080" s="334"/>
      <c r="N1080" s="334"/>
      <c r="O1080" s="334"/>
    </row>
    <row r="1081" spans="1:15" ht="12.75" hidden="1" customHeight="1" outlineLevel="1" x14ac:dyDescent="0.2">
      <c r="A1081" s="623" t="s">
        <v>2100</v>
      </c>
      <c r="B1081" s="628" t="s">
        <v>1156</v>
      </c>
      <c r="C1081" s="625" t="s">
        <v>100</v>
      </c>
      <c r="D1081" s="626">
        <v>0.27</v>
      </c>
      <c r="E1081" s="622"/>
      <c r="F1081" s="334"/>
      <c r="G1081" s="334"/>
      <c r="H1081" s="602"/>
      <c r="I1081" s="334"/>
      <c r="J1081" s="334"/>
      <c r="K1081" s="334"/>
      <c r="L1081" s="334"/>
      <c r="M1081" s="334"/>
      <c r="N1081" s="334"/>
      <c r="O1081" s="334"/>
    </row>
    <row r="1082" spans="1:15" ht="12.75" hidden="1" customHeight="1" outlineLevel="1" x14ac:dyDescent="0.2">
      <c r="A1082" s="627" t="s">
        <v>2101</v>
      </c>
      <c r="B1082" s="624" t="s">
        <v>1158</v>
      </c>
      <c r="C1082" s="629" t="s">
        <v>100</v>
      </c>
      <c r="D1082" s="630">
        <v>49.09</v>
      </c>
      <c r="E1082" s="622"/>
      <c r="F1082" s="334"/>
      <c r="G1082" s="334"/>
      <c r="H1082" s="602"/>
      <c r="I1082" s="334"/>
      <c r="J1082" s="334"/>
      <c r="K1082" s="334"/>
      <c r="L1082" s="334"/>
      <c r="M1082" s="334"/>
      <c r="N1082" s="334"/>
      <c r="O1082" s="334"/>
    </row>
    <row r="1083" spans="1:15" ht="12.75" hidden="1" customHeight="1" outlineLevel="1" x14ac:dyDescent="0.2">
      <c r="A1083" s="623" t="s">
        <v>2102</v>
      </c>
      <c r="B1083" s="624" t="s">
        <v>1158</v>
      </c>
      <c r="C1083" s="625" t="s">
        <v>100</v>
      </c>
      <c r="D1083" s="626">
        <v>231.96</v>
      </c>
      <c r="E1083" s="622"/>
      <c r="F1083" s="334"/>
      <c r="G1083" s="334"/>
      <c r="H1083" s="602"/>
      <c r="I1083" s="334"/>
      <c r="J1083" s="334"/>
      <c r="K1083" s="334"/>
      <c r="L1083" s="334"/>
      <c r="M1083" s="334"/>
      <c r="N1083" s="334"/>
      <c r="O1083" s="334"/>
    </row>
    <row r="1084" spans="1:15" ht="12.75" hidden="1" customHeight="1" outlineLevel="1" x14ac:dyDescent="0.2">
      <c r="A1084" s="627" t="s">
        <v>2103</v>
      </c>
      <c r="B1084" s="624" t="s">
        <v>1158</v>
      </c>
      <c r="C1084" s="629" t="s">
        <v>100</v>
      </c>
      <c r="D1084" s="630">
        <v>42.22</v>
      </c>
      <c r="E1084" s="622"/>
      <c r="F1084" s="334"/>
      <c r="G1084" s="334"/>
      <c r="H1084" s="602"/>
      <c r="I1084" s="334"/>
      <c r="J1084" s="334"/>
      <c r="K1084" s="334"/>
      <c r="L1084" s="334"/>
      <c r="M1084" s="334"/>
      <c r="N1084" s="334"/>
      <c r="O1084" s="334"/>
    </row>
    <row r="1085" spans="1:15" ht="12.75" hidden="1" customHeight="1" outlineLevel="1" x14ac:dyDescent="0.2">
      <c r="A1085" s="623" t="s">
        <v>2104</v>
      </c>
      <c r="B1085" s="624" t="s">
        <v>1158</v>
      </c>
      <c r="C1085" s="625" t="s">
        <v>100</v>
      </c>
      <c r="D1085" s="626">
        <v>18.25</v>
      </c>
      <c r="E1085" s="622"/>
      <c r="F1085" s="334"/>
      <c r="G1085" s="334"/>
      <c r="H1085" s="602"/>
      <c r="I1085" s="334"/>
      <c r="J1085" s="334"/>
      <c r="K1085" s="334"/>
      <c r="L1085" s="334"/>
      <c r="M1085" s="334"/>
      <c r="N1085" s="334"/>
      <c r="O1085" s="334"/>
    </row>
    <row r="1086" spans="1:15" ht="12.75" hidden="1" customHeight="1" outlineLevel="1" x14ac:dyDescent="0.2">
      <c r="A1086" s="627" t="s">
        <v>2105</v>
      </c>
      <c r="B1086" s="628" t="s">
        <v>1156</v>
      </c>
      <c r="C1086" s="629" t="s">
        <v>100</v>
      </c>
      <c r="D1086" s="630">
        <v>7.06</v>
      </c>
      <c r="E1086" s="622"/>
      <c r="F1086" s="334"/>
      <c r="G1086" s="334"/>
      <c r="H1086" s="602"/>
      <c r="I1086" s="334"/>
      <c r="J1086" s="334"/>
      <c r="K1086" s="334"/>
      <c r="L1086" s="334"/>
      <c r="M1086" s="334"/>
      <c r="N1086" s="334"/>
      <c r="O1086" s="334"/>
    </row>
    <row r="1087" spans="1:15" ht="12.75" hidden="1" customHeight="1" outlineLevel="1" x14ac:dyDescent="0.2">
      <c r="A1087" s="623" t="s">
        <v>2106</v>
      </c>
      <c r="B1087" s="624" t="s">
        <v>1158</v>
      </c>
      <c r="C1087" s="625" t="s">
        <v>100</v>
      </c>
      <c r="D1087" s="626">
        <v>2.1800000000000002</v>
      </c>
      <c r="E1087" s="622"/>
      <c r="F1087" s="334"/>
      <c r="G1087" s="334"/>
      <c r="H1087" s="602"/>
      <c r="I1087" s="334"/>
      <c r="J1087" s="334"/>
      <c r="K1087" s="334"/>
      <c r="L1087" s="334"/>
      <c r="M1087" s="334"/>
      <c r="N1087" s="334"/>
      <c r="O1087" s="334"/>
    </row>
    <row r="1088" spans="1:15" ht="12.75" hidden="1" customHeight="1" outlineLevel="1" x14ac:dyDescent="0.2">
      <c r="A1088" s="627" t="s">
        <v>2107</v>
      </c>
      <c r="B1088" s="624" t="s">
        <v>1158</v>
      </c>
      <c r="C1088" s="629" t="s">
        <v>100</v>
      </c>
      <c r="D1088" s="630">
        <v>8.26</v>
      </c>
      <c r="E1088" s="622"/>
      <c r="F1088" s="334"/>
      <c r="G1088" s="334"/>
      <c r="H1088" s="602"/>
      <c r="I1088" s="334"/>
      <c r="J1088" s="334"/>
      <c r="K1088" s="334"/>
      <c r="L1088" s="334"/>
      <c r="M1088" s="334"/>
      <c r="N1088" s="334"/>
      <c r="O1088" s="334"/>
    </row>
    <row r="1089" spans="1:15" ht="12.75" hidden="1" customHeight="1" outlineLevel="1" x14ac:dyDescent="0.2">
      <c r="A1089" s="623" t="s">
        <v>2108</v>
      </c>
      <c r="B1089" s="624" t="s">
        <v>1158</v>
      </c>
      <c r="C1089" s="625" t="s">
        <v>100</v>
      </c>
      <c r="D1089" s="626">
        <v>24.45</v>
      </c>
      <c r="E1089" s="622"/>
      <c r="F1089" s="334"/>
      <c r="G1089" s="334"/>
      <c r="H1089" s="602"/>
      <c r="I1089" s="334"/>
      <c r="J1089" s="334"/>
      <c r="K1089" s="334"/>
      <c r="L1089" s="334"/>
      <c r="M1089" s="334"/>
      <c r="N1089" s="334"/>
      <c r="O1089" s="334"/>
    </row>
    <row r="1090" spans="1:15" ht="12.75" hidden="1" customHeight="1" outlineLevel="1" x14ac:dyDescent="0.2">
      <c r="A1090" s="618" t="s">
        <v>2109</v>
      </c>
      <c r="B1090" s="619" t="s">
        <v>1039</v>
      </c>
      <c r="C1090" s="620"/>
      <c r="D1090" s="621"/>
      <c r="E1090" s="622"/>
      <c r="F1090" s="334"/>
      <c r="G1090" s="334"/>
      <c r="H1090" s="602"/>
      <c r="I1090" s="334"/>
      <c r="J1090" s="334"/>
      <c r="K1090" s="334"/>
      <c r="L1090" s="334"/>
      <c r="M1090" s="334"/>
      <c r="N1090" s="334"/>
      <c r="O1090" s="334"/>
    </row>
    <row r="1091" spans="1:15" ht="12.75" hidden="1" customHeight="1" outlineLevel="1" x14ac:dyDescent="0.2">
      <c r="A1091" s="627" t="s">
        <v>2110</v>
      </c>
      <c r="B1091" s="628" t="s">
        <v>1156</v>
      </c>
      <c r="C1091" s="629" t="s">
        <v>100</v>
      </c>
      <c r="D1091" s="630">
        <v>13.46</v>
      </c>
      <c r="E1091" s="622"/>
      <c r="F1091" s="334"/>
      <c r="G1091" s="334"/>
      <c r="H1091" s="602"/>
      <c r="I1091" s="334"/>
      <c r="J1091" s="334"/>
      <c r="K1091" s="334"/>
      <c r="L1091" s="334"/>
      <c r="M1091" s="334"/>
      <c r="N1091" s="334"/>
      <c r="O1091" s="334"/>
    </row>
    <row r="1092" spans="1:15" ht="12.75" hidden="1" customHeight="1" outlineLevel="1" x14ac:dyDescent="0.2">
      <c r="A1092" s="623" t="s">
        <v>2111</v>
      </c>
      <c r="B1092" s="628" t="s">
        <v>1156</v>
      </c>
      <c r="C1092" s="625" t="s">
        <v>100</v>
      </c>
      <c r="D1092" s="626">
        <v>2.9</v>
      </c>
      <c r="E1092" s="622"/>
      <c r="F1092" s="334"/>
      <c r="G1092" s="334"/>
      <c r="H1092" s="602"/>
      <c r="I1092" s="334"/>
      <c r="J1092" s="334"/>
      <c r="K1092" s="334"/>
      <c r="L1092" s="334"/>
      <c r="M1092" s="334"/>
      <c r="N1092" s="334"/>
      <c r="O1092" s="334"/>
    </row>
    <row r="1093" spans="1:15" ht="12.75" hidden="1" customHeight="1" outlineLevel="1" x14ac:dyDescent="0.2">
      <c r="A1093" s="627" t="s">
        <v>2112</v>
      </c>
      <c r="B1093" s="624" t="s">
        <v>1158</v>
      </c>
      <c r="C1093" s="629" t="s">
        <v>100</v>
      </c>
      <c r="D1093" s="630">
        <v>6.24</v>
      </c>
      <c r="E1093" s="622"/>
      <c r="F1093" s="334"/>
      <c r="G1093" s="334"/>
      <c r="H1093" s="602"/>
      <c r="I1093" s="334"/>
      <c r="J1093" s="334"/>
      <c r="K1093" s="334"/>
      <c r="L1093" s="334"/>
      <c r="M1093" s="334"/>
      <c r="N1093" s="334"/>
      <c r="O1093" s="334"/>
    </row>
    <row r="1094" spans="1:15" ht="12.75" hidden="1" customHeight="1" outlineLevel="1" x14ac:dyDescent="0.2">
      <c r="A1094" s="623" t="s">
        <v>2113</v>
      </c>
      <c r="B1094" s="624" t="s">
        <v>1158</v>
      </c>
      <c r="C1094" s="625" t="s">
        <v>100</v>
      </c>
      <c r="D1094" s="626">
        <v>5.23</v>
      </c>
      <c r="E1094" s="622"/>
      <c r="F1094" s="334"/>
      <c r="G1094" s="334"/>
      <c r="H1094" s="602"/>
      <c r="I1094" s="334"/>
      <c r="J1094" s="334"/>
      <c r="K1094" s="334"/>
      <c r="L1094" s="334"/>
      <c r="M1094" s="334"/>
      <c r="N1094" s="334"/>
      <c r="O1094" s="334"/>
    </row>
    <row r="1095" spans="1:15" ht="12.75" hidden="1" customHeight="1" outlineLevel="1" x14ac:dyDescent="0.2">
      <c r="A1095" s="627" t="s">
        <v>2114</v>
      </c>
      <c r="B1095" s="624" t="s">
        <v>1158</v>
      </c>
      <c r="C1095" s="629" t="s">
        <v>100</v>
      </c>
      <c r="D1095" s="630">
        <v>14.18</v>
      </c>
      <c r="E1095" s="622"/>
      <c r="F1095" s="334"/>
      <c r="G1095" s="334"/>
      <c r="H1095" s="602"/>
      <c r="I1095" s="334"/>
      <c r="J1095" s="334"/>
      <c r="K1095" s="334"/>
      <c r="L1095" s="334"/>
      <c r="M1095" s="334"/>
      <c r="N1095" s="334"/>
      <c r="O1095" s="334"/>
    </row>
    <row r="1096" spans="1:15" ht="12.75" hidden="1" customHeight="1" outlineLevel="1" x14ac:dyDescent="0.2">
      <c r="A1096" s="623" t="s">
        <v>2115</v>
      </c>
      <c r="B1096" s="624" t="s">
        <v>1158</v>
      </c>
      <c r="C1096" s="625" t="s">
        <v>100</v>
      </c>
      <c r="D1096" s="626">
        <v>6.55</v>
      </c>
      <c r="E1096" s="622"/>
      <c r="F1096" s="334"/>
      <c r="G1096" s="334"/>
      <c r="H1096" s="602"/>
      <c r="I1096" s="334"/>
      <c r="J1096" s="334"/>
      <c r="K1096" s="334"/>
      <c r="L1096" s="334"/>
      <c r="M1096" s="334"/>
      <c r="N1096" s="334"/>
      <c r="O1096" s="334"/>
    </row>
    <row r="1097" spans="1:15" ht="12.75" hidden="1" customHeight="1" outlineLevel="1" x14ac:dyDescent="0.2">
      <c r="A1097" s="627" t="s">
        <v>2116</v>
      </c>
      <c r="B1097" s="628" t="s">
        <v>1156</v>
      </c>
      <c r="C1097" s="629" t="s">
        <v>100</v>
      </c>
      <c r="D1097" s="630">
        <v>3.06</v>
      </c>
      <c r="E1097" s="622"/>
      <c r="F1097" s="334"/>
      <c r="G1097" s="334"/>
      <c r="H1097" s="602"/>
      <c r="I1097" s="334"/>
      <c r="J1097" s="334"/>
      <c r="K1097" s="334"/>
      <c r="L1097" s="334"/>
      <c r="M1097" s="334"/>
      <c r="N1097" s="334"/>
      <c r="O1097" s="334"/>
    </row>
    <row r="1098" spans="1:15" ht="12.75" hidden="1" customHeight="1" outlineLevel="1" x14ac:dyDescent="0.2">
      <c r="A1098" s="623" t="s">
        <v>2117</v>
      </c>
      <c r="B1098" s="628" t="s">
        <v>1156</v>
      </c>
      <c r="C1098" s="625" t="s">
        <v>100</v>
      </c>
      <c r="D1098" s="626">
        <v>0.27</v>
      </c>
      <c r="E1098" s="622"/>
      <c r="F1098" s="334"/>
      <c r="G1098" s="334"/>
      <c r="H1098" s="602"/>
      <c r="I1098" s="334"/>
      <c r="J1098" s="334"/>
      <c r="K1098" s="334"/>
      <c r="L1098" s="334"/>
      <c r="M1098" s="334"/>
      <c r="N1098" s="334"/>
      <c r="O1098" s="334"/>
    </row>
    <row r="1099" spans="1:15" ht="12.75" hidden="1" customHeight="1" outlineLevel="1" x14ac:dyDescent="0.2">
      <c r="A1099" s="627" t="s">
        <v>2118</v>
      </c>
      <c r="B1099" s="624" t="s">
        <v>1158</v>
      </c>
      <c r="C1099" s="629" t="s">
        <v>100</v>
      </c>
      <c r="D1099" s="630">
        <v>155.62</v>
      </c>
      <c r="E1099" s="622"/>
      <c r="F1099" s="334"/>
      <c r="G1099" s="334"/>
      <c r="H1099" s="602"/>
      <c r="I1099" s="334"/>
      <c r="J1099" s="334"/>
      <c r="K1099" s="334"/>
      <c r="L1099" s="334"/>
      <c r="M1099" s="334"/>
      <c r="N1099" s="334"/>
      <c r="O1099" s="334"/>
    </row>
    <row r="1100" spans="1:15" ht="12.75" hidden="1" customHeight="1" outlineLevel="1" x14ac:dyDescent="0.2">
      <c r="A1100" s="623" t="s">
        <v>2119</v>
      </c>
      <c r="B1100" s="624" t="s">
        <v>1158</v>
      </c>
      <c r="C1100" s="625" t="s">
        <v>100</v>
      </c>
      <c r="D1100" s="626">
        <v>60.49</v>
      </c>
      <c r="E1100" s="622"/>
      <c r="F1100" s="334"/>
      <c r="G1100" s="334"/>
      <c r="H1100" s="602"/>
      <c r="I1100" s="334"/>
      <c r="J1100" s="334"/>
      <c r="K1100" s="334"/>
      <c r="L1100" s="334"/>
      <c r="M1100" s="334"/>
      <c r="N1100" s="334"/>
      <c r="O1100" s="334"/>
    </row>
    <row r="1101" spans="1:15" ht="12.75" hidden="1" customHeight="1" outlineLevel="1" x14ac:dyDescent="0.2">
      <c r="A1101" s="627" t="s">
        <v>2120</v>
      </c>
      <c r="B1101" s="624" t="s">
        <v>1158</v>
      </c>
      <c r="C1101" s="629" t="s">
        <v>100</v>
      </c>
      <c r="D1101" s="630">
        <v>24.5</v>
      </c>
      <c r="E1101" s="622"/>
      <c r="F1101" s="334"/>
      <c r="G1101" s="334"/>
      <c r="H1101" s="602"/>
      <c r="I1101" s="334"/>
      <c r="J1101" s="334"/>
      <c r="K1101" s="334"/>
      <c r="L1101" s="334"/>
      <c r="M1101" s="334"/>
      <c r="N1101" s="334"/>
      <c r="O1101" s="334"/>
    </row>
    <row r="1102" spans="1:15" ht="12.75" hidden="1" customHeight="1" outlineLevel="1" x14ac:dyDescent="0.2">
      <c r="A1102" s="623" t="s">
        <v>2121</v>
      </c>
      <c r="B1102" s="624" t="s">
        <v>1158</v>
      </c>
      <c r="C1102" s="625" t="s">
        <v>100</v>
      </c>
      <c r="D1102" s="626">
        <v>16.96</v>
      </c>
      <c r="E1102" s="622"/>
      <c r="F1102" s="334"/>
      <c r="G1102" s="334"/>
      <c r="H1102" s="602"/>
      <c r="I1102" s="334"/>
      <c r="J1102" s="334"/>
      <c r="K1102" s="334"/>
      <c r="L1102" s="334"/>
      <c r="M1102" s="334"/>
      <c r="N1102" s="334"/>
      <c r="O1102" s="334"/>
    </row>
    <row r="1103" spans="1:15" ht="12.75" hidden="1" customHeight="1" outlineLevel="1" x14ac:dyDescent="0.2">
      <c r="A1103" s="627" t="s">
        <v>2122</v>
      </c>
      <c r="B1103" s="628" t="s">
        <v>1156</v>
      </c>
      <c r="C1103" s="629" t="s">
        <v>100</v>
      </c>
      <c r="D1103" s="630">
        <v>7.05</v>
      </c>
      <c r="E1103" s="622"/>
      <c r="F1103" s="334"/>
      <c r="G1103" s="334"/>
      <c r="H1103" s="602"/>
      <c r="I1103" s="334"/>
      <c r="J1103" s="334"/>
      <c r="K1103" s="334"/>
      <c r="L1103" s="334"/>
      <c r="M1103" s="334"/>
      <c r="N1103" s="334"/>
      <c r="O1103" s="334"/>
    </row>
    <row r="1104" spans="1:15" ht="12.75" hidden="1" customHeight="1" outlineLevel="1" x14ac:dyDescent="0.2">
      <c r="A1104" s="623" t="s">
        <v>2123</v>
      </c>
      <c r="B1104" s="624" t="s">
        <v>1158</v>
      </c>
      <c r="C1104" s="625" t="s">
        <v>100</v>
      </c>
      <c r="D1104" s="626">
        <v>3.84</v>
      </c>
      <c r="E1104" s="622"/>
      <c r="F1104" s="334"/>
      <c r="G1104" s="334"/>
      <c r="H1104" s="602"/>
      <c r="I1104" s="334"/>
      <c r="J1104" s="334"/>
      <c r="K1104" s="334"/>
      <c r="L1104" s="334"/>
      <c r="M1104" s="334"/>
      <c r="N1104" s="334"/>
      <c r="O1104" s="334"/>
    </row>
    <row r="1105" spans="1:15" ht="12.75" hidden="1" customHeight="1" outlineLevel="1" x14ac:dyDescent="0.2">
      <c r="A1105" s="627" t="s">
        <v>2124</v>
      </c>
      <c r="B1105" s="624" t="s">
        <v>1158</v>
      </c>
      <c r="C1105" s="629" t="s">
        <v>100</v>
      </c>
      <c r="D1105" s="630">
        <v>2.62</v>
      </c>
      <c r="E1105" s="622"/>
      <c r="F1105" s="334"/>
      <c r="G1105" s="334"/>
      <c r="H1105" s="602"/>
      <c r="I1105" s="334"/>
      <c r="J1105" s="334"/>
      <c r="K1105" s="334"/>
      <c r="L1105" s="334"/>
      <c r="M1105" s="334"/>
      <c r="N1105" s="334"/>
      <c r="O1105" s="334"/>
    </row>
    <row r="1106" spans="1:15" ht="12.75" hidden="1" customHeight="1" outlineLevel="1" x14ac:dyDescent="0.2">
      <c r="A1106" s="623" t="s">
        <v>2125</v>
      </c>
      <c r="B1106" s="624" t="s">
        <v>1158</v>
      </c>
      <c r="C1106" s="625" t="s">
        <v>100</v>
      </c>
      <c r="D1106" s="626">
        <v>8.26</v>
      </c>
      <c r="E1106" s="622"/>
      <c r="F1106" s="334"/>
      <c r="G1106" s="334"/>
      <c r="H1106" s="602"/>
      <c r="I1106" s="334"/>
      <c r="J1106" s="334"/>
      <c r="K1106" s="334"/>
      <c r="L1106" s="334"/>
      <c r="M1106" s="334"/>
      <c r="N1106" s="334"/>
      <c r="O1106" s="334"/>
    </row>
    <row r="1107" spans="1:15" ht="12.75" hidden="1" customHeight="1" outlineLevel="1" x14ac:dyDescent="0.2">
      <c r="A1107" s="627" t="s">
        <v>2126</v>
      </c>
      <c r="B1107" s="624" t="s">
        <v>1158</v>
      </c>
      <c r="C1107" s="629" t="s">
        <v>100</v>
      </c>
      <c r="D1107" s="630">
        <v>27.22</v>
      </c>
      <c r="E1107" s="622"/>
      <c r="F1107" s="334"/>
      <c r="G1107" s="334"/>
      <c r="H1107" s="602"/>
      <c r="I1107" s="334"/>
      <c r="J1107" s="334"/>
      <c r="K1107" s="334"/>
      <c r="L1107" s="334"/>
      <c r="M1107" s="334"/>
      <c r="N1107" s="334"/>
      <c r="O1107" s="334"/>
    </row>
    <row r="1108" spans="1:15" ht="12.75" hidden="1" customHeight="1" outlineLevel="1" x14ac:dyDescent="0.2">
      <c r="A1108" s="623" t="s">
        <v>2127</v>
      </c>
      <c r="B1108" s="624" t="s">
        <v>1158</v>
      </c>
      <c r="C1108" s="625" t="s">
        <v>100</v>
      </c>
      <c r="D1108" s="626">
        <v>60.54</v>
      </c>
      <c r="E1108" s="622"/>
      <c r="F1108" s="334"/>
      <c r="G1108" s="334"/>
      <c r="H1108" s="602"/>
      <c r="I1108" s="334"/>
      <c r="J1108" s="334"/>
      <c r="K1108" s="334"/>
      <c r="L1108" s="334"/>
      <c r="M1108" s="334"/>
      <c r="N1108" s="334"/>
      <c r="O1108" s="334"/>
    </row>
    <row r="1109" spans="1:15" ht="12.75" hidden="1" customHeight="1" outlineLevel="1" x14ac:dyDescent="0.2">
      <c r="A1109" s="627" t="s">
        <v>2128</v>
      </c>
      <c r="B1109" s="624" t="s">
        <v>1158</v>
      </c>
      <c r="C1109" s="629" t="s">
        <v>100</v>
      </c>
      <c r="D1109" s="630">
        <v>21.82</v>
      </c>
      <c r="E1109" s="622"/>
      <c r="F1109" s="334"/>
      <c r="G1109" s="334"/>
      <c r="H1109" s="602"/>
      <c r="I1109" s="334"/>
      <c r="J1109" s="334"/>
      <c r="K1109" s="334"/>
      <c r="L1109" s="334"/>
      <c r="M1109" s="334"/>
      <c r="N1109" s="334"/>
      <c r="O1109" s="334"/>
    </row>
    <row r="1110" spans="1:15" ht="12.75" hidden="1" customHeight="1" outlineLevel="1" x14ac:dyDescent="0.2">
      <c r="A1110" s="618" t="s">
        <v>2129</v>
      </c>
      <c r="B1110" s="619" t="s">
        <v>1047</v>
      </c>
      <c r="C1110" s="620"/>
      <c r="D1110" s="621"/>
      <c r="E1110" s="622"/>
      <c r="F1110" s="334"/>
      <c r="G1110" s="334"/>
      <c r="H1110" s="602"/>
      <c r="I1110" s="334"/>
      <c r="J1110" s="334"/>
      <c r="K1110" s="334"/>
      <c r="L1110" s="334"/>
      <c r="M1110" s="334"/>
      <c r="N1110" s="334"/>
      <c r="O1110" s="334"/>
    </row>
    <row r="1111" spans="1:15" ht="12.75" hidden="1" customHeight="1" outlineLevel="1" x14ac:dyDescent="0.2">
      <c r="A1111" s="623" t="s">
        <v>2130</v>
      </c>
      <c r="B1111" s="624" t="s">
        <v>1156</v>
      </c>
      <c r="C1111" s="625" t="s">
        <v>100</v>
      </c>
      <c r="D1111" s="626">
        <v>13.46</v>
      </c>
      <c r="E1111" s="622"/>
      <c r="F1111" s="334"/>
      <c r="G1111" s="334"/>
      <c r="H1111" s="602"/>
      <c r="I1111" s="334"/>
      <c r="J1111" s="334"/>
      <c r="K1111" s="334"/>
      <c r="L1111" s="334"/>
      <c r="M1111" s="334"/>
      <c r="N1111" s="334"/>
      <c r="O1111" s="334"/>
    </row>
    <row r="1112" spans="1:15" ht="12.75" hidden="1" customHeight="1" outlineLevel="1" x14ac:dyDescent="0.2">
      <c r="A1112" s="627" t="s">
        <v>2131</v>
      </c>
      <c r="B1112" s="624" t="s">
        <v>1156</v>
      </c>
      <c r="C1112" s="629" t="s">
        <v>100</v>
      </c>
      <c r="D1112" s="630">
        <v>2.9</v>
      </c>
      <c r="E1112" s="622"/>
      <c r="F1112" s="334"/>
      <c r="G1112" s="334"/>
      <c r="H1112" s="602"/>
      <c r="I1112" s="334"/>
      <c r="J1112" s="334"/>
      <c r="K1112" s="334"/>
      <c r="L1112" s="334"/>
      <c r="M1112" s="334"/>
      <c r="N1112" s="334"/>
      <c r="O1112" s="334"/>
    </row>
    <row r="1113" spans="1:15" ht="12.75" hidden="1" customHeight="1" outlineLevel="1" x14ac:dyDescent="0.2">
      <c r="A1113" s="623" t="s">
        <v>2132</v>
      </c>
      <c r="B1113" s="624" t="s">
        <v>1158</v>
      </c>
      <c r="C1113" s="625" t="s">
        <v>100</v>
      </c>
      <c r="D1113" s="626">
        <v>29.9</v>
      </c>
      <c r="E1113" s="622"/>
      <c r="F1113" s="334"/>
      <c r="G1113" s="334"/>
      <c r="H1113" s="602"/>
      <c r="I1113" s="334"/>
      <c r="J1113" s="334"/>
      <c r="K1113" s="334"/>
      <c r="L1113" s="334"/>
      <c r="M1113" s="334"/>
      <c r="N1113" s="334"/>
      <c r="O1113" s="334"/>
    </row>
    <row r="1114" spans="1:15" ht="12.75" hidden="1" customHeight="1" outlineLevel="1" x14ac:dyDescent="0.2">
      <c r="A1114" s="627" t="s">
        <v>2133</v>
      </c>
      <c r="B1114" s="624" t="s">
        <v>1158</v>
      </c>
      <c r="C1114" s="629" t="s">
        <v>100</v>
      </c>
      <c r="D1114" s="630">
        <v>4.1100000000000003</v>
      </c>
      <c r="E1114" s="622"/>
      <c r="F1114" s="334"/>
      <c r="G1114" s="334"/>
      <c r="H1114" s="602"/>
      <c r="I1114" s="334"/>
      <c r="J1114" s="334"/>
      <c r="K1114" s="334"/>
      <c r="L1114" s="334"/>
      <c r="M1114" s="334"/>
      <c r="N1114" s="334"/>
      <c r="O1114" s="334"/>
    </row>
    <row r="1115" spans="1:15" ht="12.75" hidden="1" customHeight="1" outlineLevel="1" x14ac:dyDescent="0.2">
      <c r="A1115" s="623" t="s">
        <v>2134</v>
      </c>
      <c r="B1115" s="624" t="s">
        <v>1156</v>
      </c>
      <c r="C1115" s="625" t="s">
        <v>100</v>
      </c>
      <c r="D1115" s="626">
        <v>3.06</v>
      </c>
      <c r="E1115" s="622"/>
      <c r="F1115" s="334"/>
      <c r="G1115" s="334"/>
      <c r="H1115" s="602"/>
      <c r="I1115" s="334"/>
      <c r="J1115" s="334"/>
      <c r="K1115" s="334"/>
      <c r="L1115" s="334"/>
      <c r="M1115" s="334"/>
      <c r="N1115" s="334"/>
      <c r="O1115" s="334"/>
    </row>
    <row r="1116" spans="1:15" ht="12.75" hidden="1" customHeight="1" outlineLevel="1" x14ac:dyDescent="0.2">
      <c r="A1116" s="627" t="s">
        <v>2135</v>
      </c>
      <c r="B1116" s="624" t="s">
        <v>1156</v>
      </c>
      <c r="C1116" s="629" t="s">
        <v>100</v>
      </c>
      <c r="D1116" s="630">
        <v>0.27</v>
      </c>
      <c r="E1116" s="622"/>
      <c r="F1116" s="334"/>
      <c r="G1116" s="334"/>
      <c r="H1116" s="602"/>
      <c r="I1116" s="334"/>
      <c r="J1116" s="334"/>
      <c r="K1116" s="334"/>
      <c r="L1116" s="334"/>
      <c r="M1116" s="334"/>
      <c r="N1116" s="334"/>
      <c r="O1116" s="334"/>
    </row>
    <row r="1117" spans="1:15" ht="12.75" hidden="1" customHeight="1" outlineLevel="1" x14ac:dyDescent="0.2">
      <c r="A1117" s="623" t="s">
        <v>2136</v>
      </c>
      <c r="B1117" s="624" t="s">
        <v>1158</v>
      </c>
      <c r="C1117" s="625" t="s">
        <v>100</v>
      </c>
      <c r="D1117" s="626">
        <v>49.09</v>
      </c>
      <c r="E1117" s="622"/>
      <c r="F1117" s="334"/>
      <c r="G1117" s="334"/>
      <c r="H1117" s="602"/>
      <c r="I1117" s="334"/>
      <c r="J1117" s="334"/>
      <c r="K1117" s="334"/>
      <c r="L1117" s="334"/>
      <c r="M1117" s="334"/>
      <c r="N1117" s="334"/>
      <c r="O1117" s="334"/>
    </row>
    <row r="1118" spans="1:15" ht="12.75" hidden="1" customHeight="1" outlineLevel="1" x14ac:dyDescent="0.2">
      <c r="A1118" s="627" t="s">
        <v>2137</v>
      </c>
      <c r="B1118" s="624" t="s">
        <v>1158</v>
      </c>
      <c r="C1118" s="629" t="s">
        <v>100</v>
      </c>
      <c r="D1118" s="630">
        <v>231.96</v>
      </c>
      <c r="E1118" s="622"/>
      <c r="F1118" s="334"/>
      <c r="G1118" s="334"/>
      <c r="H1118" s="602"/>
      <c r="I1118" s="334"/>
      <c r="J1118" s="334"/>
      <c r="K1118" s="334"/>
      <c r="L1118" s="334"/>
      <c r="M1118" s="334"/>
      <c r="N1118" s="334"/>
      <c r="O1118" s="334"/>
    </row>
    <row r="1119" spans="1:15" ht="12.75" hidden="1" customHeight="1" outlineLevel="1" x14ac:dyDescent="0.2">
      <c r="A1119" s="623" t="s">
        <v>2138</v>
      </c>
      <c r="B1119" s="624" t="s">
        <v>1158</v>
      </c>
      <c r="C1119" s="625" t="s">
        <v>100</v>
      </c>
      <c r="D1119" s="626">
        <v>42.22</v>
      </c>
      <c r="E1119" s="622"/>
      <c r="F1119" s="334"/>
      <c r="G1119" s="334"/>
      <c r="H1119" s="602"/>
      <c r="I1119" s="334"/>
      <c r="J1119" s="334"/>
      <c r="K1119" s="334"/>
      <c r="L1119" s="334"/>
      <c r="M1119" s="334"/>
      <c r="N1119" s="334"/>
      <c r="O1119" s="334"/>
    </row>
    <row r="1120" spans="1:15" ht="12.75" hidden="1" customHeight="1" outlineLevel="1" x14ac:dyDescent="0.2">
      <c r="A1120" s="627" t="s">
        <v>2139</v>
      </c>
      <c r="B1120" s="624" t="s">
        <v>1158</v>
      </c>
      <c r="C1120" s="629" t="s">
        <v>100</v>
      </c>
      <c r="D1120" s="630">
        <v>18.25</v>
      </c>
      <c r="E1120" s="622"/>
      <c r="F1120" s="334"/>
      <c r="G1120" s="334"/>
      <c r="H1120" s="602"/>
      <c r="I1120" s="334"/>
      <c r="J1120" s="334"/>
      <c r="K1120" s="334"/>
      <c r="L1120" s="334"/>
      <c r="M1120" s="334"/>
      <c r="N1120" s="334"/>
      <c r="O1120" s="334"/>
    </row>
    <row r="1121" spans="1:15" ht="12.75" hidden="1" customHeight="1" outlineLevel="1" x14ac:dyDescent="0.2">
      <c r="A1121" s="623" t="s">
        <v>2140</v>
      </c>
      <c r="B1121" s="624" t="s">
        <v>1156</v>
      </c>
      <c r="C1121" s="625" t="s">
        <v>100</v>
      </c>
      <c r="D1121" s="626">
        <v>7.06</v>
      </c>
      <c r="E1121" s="622"/>
      <c r="F1121" s="334"/>
      <c r="G1121" s="334"/>
      <c r="H1121" s="602"/>
      <c r="I1121" s="334"/>
      <c r="J1121" s="334"/>
      <c r="K1121" s="334"/>
      <c r="L1121" s="334"/>
      <c r="M1121" s="334"/>
      <c r="N1121" s="334"/>
      <c r="O1121" s="334"/>
    </row>
    <row r="1122" spans="1:15" ht="12.75" hidden="1" customHeight="1" outlineLevel="1" x14ac:dyDescent="0.2">
      <c r="A1122" s="627" t="s">
        <v>2141</v>
      </c>
      <c r="B1122" s="624" t="s">
        <v>1158</v>
      </c>
      <c r="C1122" s="629" t="s">
        <v>100</v>
      </c>
      <c r="D1122" s="630">
        <v>2.1800000000000002</v>
      </c>
      <c r="E1122" s="622"/>
      <c r="F1122" s="334"/>
      <c r="G1122" s="334"/>
      <c r="H1122" s="602"/>
      <c r="I1122" s="334"/>
      <c r="J1122" s="334"/>
      <c r="K1122" s="334"/>
      <c r="L1122" s="334"/>
      <c r="M1122" s="334"/>
      <c r="N1122" s="334"/>
      <c r="O1122" s="334"/>
    </row>
    <row r="1123" spans="1:15" ht="12.75" hidden="1" customHeight="1" outlineLevel="1" x14ac:dyDescent="0.2">
      <c r="A1123" s="623" t="s">
        <v>2142</v>
      </c>
      <c r="B1123" s="624" t="s">
        <v>1158</v>
      </c>
      <c r="C1123" s="625" t="s">
        <v>100</v>
      </c>
      <c r="D1123" s="626">
        <v>8.26</v>
      </c>
      <c r="E1123" s="622"/>
      <c r="F1123" s="334"/>
      <c r="G1123" s="334"/>
      <c r="H1123" s="602"/>
      <c r="I1123" s="334"/>
      <c r="J1123" s="334"/>
      <c r="K1123" s="334"/>
      <c r="L1123" s="334"/>
      <c r="M1123" s="334"/>
      <c r="N1123" s="334"/>
      <c r="O1123" s="334"/>
    </row>
    <row r="1124" spans="1:15" ht="12.75" hidden="1" customHeight="1" outlineLevel="1" x14ac:dyDescent="0.2">
      <c r="A1124" s="627" t="s">
        <v>2143</v>
      </c>
      <c r="B1124" s="624" t="s">
        <v>1158</v>
      </c>
      <c r="C1124" s="629" t="s">
        <v>100</v>
      </c>
      <c r="D1124" s="630">
        <v>24.45</v>
      </c>
      <c r="E1124" s="622"/>
      <c r="F1124" s="334"/>
      <c r="G1124" s="334"/>
      <c r="H1124" s="602"/>
      <c r="I1124" s="334"/>
      <c r="J1124" s="334"/>
      <c r="K1124" s="334"/>
      <c r="L1124" s="334"/>
      <c r="M1124" s="334"/>
      <c r="N1124" s="334"/>
      <c r="O1124" s="334"/>
    </row>
    <row r="1125" spans="1:15" ht="12.75" hidden="1" customHeight="1" outlineLevel="1" x14ac:dyDescent="0.2">
      <c r="A1125" s="618" t="s">
        <v>2144</v>
      </c>
      <c r="B1125" s="619" t="s">
        <v>1058</v>
      </c>
      <c r="C1125" s="620"/>
      <c r="D1125" s="621"/>
      <c r="E1125" s="622"/>
      <c r="F1125" s="334"/>
      <c r="G1125" s="334"/>
      <c r="H1125" s="602"/>
      <c r="I1125" s="334"/>
      <c r="J1125" s="334"/>
      <c r="K1125" s="334"/>
      <c r="L1125" s="334"/>
      <c r="M1125" s="334"/>
      <c r="N1125" s="334"/>
      <c r="O1125" s="334"/>
    </row>
    <row r="1126" spans="1:15" ht="12.75" hidden="1" customHeight="1" outlineLevel="1" x14ac:dyDescent="0.2">
      <c r="A1126" s="623" t="s">
        <v>2145</v>
      </c>
      <c r="B1126" s="624" t="s">
        <v>1156</v>
      </c>
      <c r="C1126" s="625" t="s">
        <v>100</v>
      </c>
      <c r="D1126" s="626">
        <v>13.46</v>
      </c>
      <c r="E1126" s="622"/>
      <c r="F1126" s="334"/>
      <c r="G1126" s="334"/>
      <c r="H1126" s="602"/>
      <c r="I1126" s="334"/>
      <c r="J1126" s="334"/>
      <c r="K1126" s="334"/>
      <c r="L1126" s="334"/>
      <c r="M1126" s="334"/>
      <c r="N1126" s="334"/>
      <c r="O1126" s="334"/>
    </row>
    <row r="1127" spans="1:15" ht="12.75" hidden="1" customHeight="1" outlineLevel="1" x14ac:dyDescent="0.2">
      <c r="A1127" s="627" t="s">
        <v>2146</v>
      </c>
      <c r="B1127" s="624" t="s">
        <v>1156</v>
      </c>
      <c r="C1127" s="629" t="s">
        <v>100</v>
      </c>
      <c r="D1127" s="630">
        <v>2.9</v>
      </c>
      <c r="E1127" s="622"/>
      <c r="F1127" s="334"/>
      <c r="G1127" s="334"/>
      <c r="H1127" s="602"/>
      <c r="I1127" s="334"/>
      <c r="J1127" s="334"/>
      <c r="K1127" s="334"/>
      <c r="L1127" s="334"/>
      <c r="M1127" s="334"/>
      <c r="N1127" s="334"/>
      <c r="O1127" s="334"/>
    </row>
    <row r="1128" spans="1:15" ht="12.75" hidden="1" customHeight="1" outlineLevel="1" x14ac:dyDescent="0.2">
      <c r="A1128" s="623" t="s">
        <v>2147</v>
      </c>
      <c r="B1128" s="624" t="s">
        <v>1158</v>
      </c>
      <c r="C1128" s="625" t="s">
        <v>100</v>
      </c>
      <c r="D1128" s="626">
        <v>29.9</v>
      </c>
      <c r="E1128" s="622"/>
      <c r="F1128" s="334"/>
      <c r="G1128" s="334"/>
      <c r="H1128" s="602"/>
      <c r="I1128" s="334"/>
      <c r="J1128" s="334"/>
      <c r="K1128" s="334"/>
      <c r="L1128" s="334"/>
      <c r="M1128" s="334"/>
      <c r="N1128" s="334"/>
      <c r="O1128" s="334"/>
    </row>
    <row r="1129" spans="1:15" ht="12.75" hidden="1" customHeight="1" outlineLevel="1" x14ac:dyDescent="0.2">
      <c r="A1129" s="627" t="s">
        <v>2148</v>
      </c>
      <c r="B1129" s="624" t="s">
        <v>1158</v>
      </c>
      <c r="C1129" s="629" t="s">
        <v>100</v>
      </c>
      <c r="D1129" s="630">
        <v>4.1100000000000003</v>
      </c>
      <c r="E1129" s="622"/>
      <c r="F1129" s="334"/>
      <c r="G1129" s="334"/>
      <c r="H1129" s="602"/>
      <c r="I1129" s="334"/>
      <c r="J1129" s="334"/>
      <c r="K1129" s="334"/>
      <c r="L1129" s="334"/>
      <c r="M1129" s="334"/>
      <c r="N1129" s="334"/>
      <c r="O1129" s="334"/>
    </row>
    <row r="1130" spans="1:15" ht="12.75" hidden="1" customHeight="1" outlineLevel="1" x14ac:dyDescent="0.2">
      <c r="A1130" s="623" t="s">
        <v>2149</v>
      </c>
      <c r="B1130" s="624" t="s">
        <v>1156</v>
      </c>
      <c r="C1130" s="625" t="s">
        <v>100</v>
      </c>
      <c r="D1130" s="626">
        <v>3.06</v>
      </c>
      <c r="E1130" s="622"/>
      <c r="F1130" s="334"/>
      <c r="G1130" s="334"/>
      <c r="H1130" s="602"/>
      <c r="I1130" s="334"/>
      <c r="J1130" s="334"/>
      <c r="K1130" s="334"/>
      <c r="L1130" s="334"/>
      <c r="M1130" s="334"/>
      <c r="N1130" s="334"/>
      <c r="O1130" s="334"/>
    </row>
    <row r="1131" spans="1:15" ht="12.75" hidden="1" customHeight="1" outlineLevel="1" x14ac:dyDescent="0.2">
      <c r="A1131" s="627" t="s">
        <v>2150</v>
      </c>
      <c r="B1131" s="624" t="s">
        <v>1156</v>
      </c>
      <c r="C1131" s="629" t="s">
        <v>100</v>
      </c>
      <c r="D1131" s="630">
        <v>0.27</v>
      </c>
      <c r="E1131" s="622"/>
      <c r="F1131" s="334"/>
      <c r="G1131" s="334"/>
      <c r="H1131" s="602"/>
      <c r="I1131" s="334"/>
      <c r="J1131" s="334"/>
      <c r="K1131" s="334"/>
      <c r="L1131" s="334"/>
      <c r="M1131" s="334"/>
      <c r="N1131" s="334"/>
      <c r="O1131" s="334"/>
    </row>
    <row r="1132" spans="1:15" ht="12.75" hidden="1" customHeight="1" outlineLevel="1" x14ac:dyDescent="0.2">
      <c r="A1132" s="623" t="s">
        <v>2151</v>
      </c>
      <c r="B1132" s="624" t="s">
        <v>1158</v>
      </c>
      <c r="C1132" s="625" t="s">
        <v>100</v>
      </c>
      <c r="D1132" s="626">
        <v>49.09</v>
      </c>
      <c r="E1132" s="622"/>
      <c r="F1132" s="334"/>
      <c r="G1132" s="334"/>
      <c r="H1132" s="602"/>
      <c r="I1132" s="334"/>
      <c r="J1132" s="334"/>
      <c r="K1132" s="334"/>
      <c r="L1132" s="334"/>
      <c r="M1132" s="334"/>
      <c r="N1132" s="334"/>
      <c r="O1132" s="334"/>
    </row>
    <row r="1133" spans="1:15" ht="12.75" hidden="1" customHeight="1" outlineLevel="1" x14ac:dyDescent="0.2">
      <c r="A1133" s="627" t="s">
        <v>2152</v>
      </c>
      <c r="B1133" s="624" t="s">
        <v>1158</v>
      </c>
      <c r="C1133" s="629" t="s">
        <v>100</v>
      </c>
      <c r="D1133" s="630">
        <v>231.96</v>
      </c>
      <c r="E1133" s="622"/>
      <c r="F1133" s="334"/>
      <c r="G1133" s="334"/>
      <c r="H1133" s="602"/>
      <c r="I1133" s="334"/>
      <c r="J1133" s="334"/>
      <c r="K1133" s="334"/>
      <c r="L1133" s="334"/>
      <c r="M1133" s="334"/>
      <c r="N1133" s="334"/>
      <c r="O1133" s="334"/>
    </row>
    <row r="1134" spans="1:15" ht="12.75" hidden="1" customHeight="1" outlineLevel="1" x14ac:dyDescent="0.2">
      <c r="A1134" s="623" t="s">
        <v>2153</v>
      </c>
      <c r="B1134" s="624" t="s">
        <v>1158</v>
      </c>
      <c r="C1134" s="625" t="s">
        <v>100</v>
      </c>
      <c r="D1134" s="626">
        <v>42.22</v>
      </c>
      <c r="E1134" s="622"/>
      <c r="F1134" s="334"/>
      <c r="G1134" s="334"/>
      <c r="H1134" s="602"/>
      <c r="I1134" s="334"/>
      <c r="J1134" s="334"/>
      <c r="K1134" s="334"/>
      <c r="L1134" s="334"/>
      <c r="M1134" s="334"/>
      <c r="N1134" s="334"/>
      <c r="O1134" s="334"/>
    </row>
    <row r="1135" spans="1:15" ht="12.75" hidden="1" customHeight="1" outlineLevel="1" x14ac:dyDescent="0.2">
      <c r="A1135" s="627" t="s">
        <v>2154</v>
      </c>
      <c r="B1135" s="624" t="s">
        <v>1158</v>
      </c>
      <c r="C1135" s="629" t="s">
        <v>100</v>
      </c>
      <c r="D1135" s="630">
        <v>18.25</v>
      </c>
      <c r="E1135" s="622"/>
      <c r="F1135" s="334"/>
      <c r="G1135" s="334"/>
      <c r="H1135" s="602"/>
      <c r="I1135" s="334"/>
      <c r="J1135" s="334"/>
      <c r="K1135" s="334"/>
      <c r="L1135" s="334"/>
      <c r="M1135" s="334"/>
      <c r="N1135" s="334"/>
      <c r="O1135" s="334"/>
    </row>
    <row r="1136" spans="1:15" ht="12.75" hidden="1" customHeight="1" outlineLevel="1" x14ac:dyDescent="0.2">
      <c r="A1136" s="623" t="s">
        <v>2155</v>
      </c>
      <c r="B1136" s="624" t="s">
        <v>1156</v>
      </c>
      <c r="C1136" s="625" t="s">
        <v>100</v>
      </c>
      <c r="D1136" s="626">
        <v>7.06</v>
      </c>
      <c r="E1136" s="622"/>
      <c r="F1136" s="334"/>
      <c r="G1136" s="334"/>
      <c r="H1136" s="602"/>
      <c r="I1136" s="334"/>
      <c r="J1136" s="334"/>
      <c r="K1136" s="334"/>
      <c r="L1136" s="334"/>
      <c r="M1136" s="334"/>
      <c r="N1136" s="334"/>
      <c r="O1136" s="334"/>
    </row>
    <row r="1137" spans="1:15" ht="12.75" hidden="1" customHeight="1" outlineLevel="1" x14ac:dyDescent="0.2">
      <c r="A1137" s="627" t="s">
        <v>2156</v>
      </c>
      <c r="B1137" s="624" t="s">
        <v>1158</v>
      </c>
      <c r="C1137" s="629" t="s">
        <v>100</v>
      </c>
      <c r="D1137" s="630">
        <v>2.1800000000000002</v>
      </c>
      <c r="E1137" s="622"/>
      <c r="F1137" s="334"/>
      <c r="G1137" s="334"/>
      <c r="H1137" s="602"/>
      <c r="I1137" s="334"/>
      <c r="J1137" s="334"/>
      <c r="K1137" s="334"/>
      <c r="L1137" s="334"/>
      <c r="M1137" s="334"/>
      <c r="N1137" s="334"/>
      <c r="O1137" s="334"/>
    </row>
    <row r="1138" spans="1:15" ht="12.75" hidden="1" customHeight="1" outlineLevel="1" x14ac:dyDescent="0.2">
      <c r="A1138" s="623" t="s">
        <v>2157</v>
      </c>
      <c r="B1138" s="624" t="s">
        <v>1158</v>
      </c>
      <c r="C1138" s="625" t="s">
        <v>100</v>
      </c>
      <c r="D1138" s="626">
        <v>8.26</v>
      </c>
      <c r="E1138" s="622"/>
      <c r="F1138" s="334"/>
      <c r="G1138" s="334"/>
      <c r="H1138" s="602"/>
      <c r="I1138" s="334"/>
      <c r="J1138" s="334"/>
      <c r="K1138" s="334"/>
      <c r="L1138" s="334"/>
      <c r="M1138" s="334"/>
      <c r="N1138" s="334"/>
      <c r="O1138" s="334"/>
    </row>
    <row r="1139" spans="1:15" ht="12.75" hidden="1" customHeight="1" outlineLevel="1" x14ac:dyDescent="0.2">
      <c r="A1139" s="627" t="s">
        <v>2158</v>
      </c>
      <c r="B1139" s="624" t="s">
        <v>1158</v>
      </c>
      <c r="C1139" s="629" t="s">
        <v>100</v>
      </c>
      <c r="D1139" s="630">
        <v>24.45</v>
      </c>
      <c r="E1139" s="622"/>
      <c r="F1139" s="334"/>
      <c r="G1139" s="334"/>
      <c r="H1139" s="602"/>
      <c r="I1139" s="334"/>
      <c r="J1139" s="334"/>
      <c r="K1139" s="334"/>
      <c r="L1139" s="334"/>
      <c r="M1139" s="334"/>
      <c r="N1139" s="334"/>
      <c r="O1139" s="334"/>
    </row>
    <row r="1140" spans="1:15" ht="12.75" hidden="1" customHeight="1" outlineLevel="1" x14ac:dyDescent="0.2">
      <c r="A1140" s="618" t="s">
        <v>2159</v>
      </c>
      <c r="B1140" s="619" t="s">
        <v>1069</v>
      </c>
      <c r="C1140" s="620"/>
      <c r="D1140" s="621"/>
      <c r="E1140" s="622"/>
      <c r="F1140" s="334"/>
      <c r="G1140" s="334"/>
      <c r="H1140" s="602"/>
      <c r="I1140" s="334"/>
      <c r="J1140" s="334"/>
      <c r="K1140" s="334"/>
      <c r="L1140" s="334"/>
      <c r="M1140" s="334"/>
      <c r="N1140" s="334"/>
      <c r="O1140" s="334"/>
    </row>
    <row r="1141" spans="1:15" ht="12.75" hidden="1" customHeight="1" outlineLevel="1" x14ac:dyDescent="0.2">
      <c r="A1141" s="623" t="s">
        <v>2160</v>
      </c>
      <c r="B1141" s="624" t="s">
        <v>1156</v>
      </c>
      <c r="C1141" s="625" t="s">
        <v>100</v>
      </c>
      <c r="D1141" s="626">
        <v>13.46</v>
      </c>
      <c r="E1141" s="622"/>
      <c r="F1141" s="334"/>
      <c r="G1141" s="334"/>
      <c r="H1141" s="602"/>
      <c r="I1141" s="334"/>
      <c r="J1141" s="334"/>
      <c r="K1141" s="334"/>
      <c r="L1141" s="334"/>
      <c r="M1141" s="334"/>
      <c r="N1141" s="334"/>
      <c r="O1141" s="334"/>
    </row>
    <row r="1142" spans="1:15" ht="12.75" hidden="1" customHeight="1" outlineLevel="1" x14ac:dyDescent="0.2">
      <c r="A1142" s="627" t="s">
        <v>2161</v>
      </c>
      <c r="B1142" s="624" t="s">
        <v>1156</v>
      </c>
      <c r="C1142" s="629" t="s">
        <v>100</v>
      </c>
      <c r="D1142" s="630">
        <v>2.9</v>
      </c>
      <c r="E1142" s="622"/>
      <c r="F1142" s="334"/>
      <c r="G1142" s="334"/>
      <c r="H1142" s="602"/>
      <c r="I1142" s="334"/>
      <c r="J1142" s="334"/>
      <c r="K1142" s="334"/>
      <c r="L1142" s="334"/>
      <c r="M1142" s="334"/>
      <c r="N1142" s="334"/>
      <c r="O1142" s="334"/>
    </row>
    <row r="1143" spans="1:15" ht="12.75" hidden="1" customHeight="1" outlineLevel="1" x14ac:dyDescent="0.2">
      <c r="A1143" s="623" t="s">
        <v>2162</v>
      </c>
      <c r="B1143" s="624" t="s">
        <v>1158</v>
      </c>
      <c r="C1143" s="625" t="s">
        <v>100</v>
      </c>
      <c r="D1143" s="626">
        <v>29.9</v>
      </c>
      <c r="E1143" s="622"/>
      <c r="F1143" s="334"/>
      <c r="G1143" s="334"/>
      <c r="H1143" s="602"/>
      <c r="I1143" s="334"/>
      <c r="J1143" s="334"/>
      <c r="K1143" s="334"/>
      <c r="L1143" s="334"/>
      <c r="M1143" s="334"/>
      <c r="N1143" s="334"/>
      <c r="O1143" s="334"/>
    </row>
    <row r="1144" spans="1:15" ht="12.75" hidden="1" customHeight="1" outlineLevel="1" x14ac:dyDescent="0.2">
      <c r="A1144" s="627" t="s">
        <v>2163</v>
      </c>
      <c r="B1144" s="624" t="s">
        <v>1158</v>
      </c>
      <c r="C1144" s="629" t="s">
        <v>100</v>
      </c>
      <c r="D1144" s="630">
        <v>4.1100000000000003</v>
      </c>
      <c r="E1144" s="622"/>
      <c r="F1144" s="334"/>
      <c r="G1144" s="334"/>
      <c r="H1144" s="602"/>
      <c r="I1144" s="334"/>
      <c r="J1144" s="334"/>
      <c r="K1144" s="334"/>
      <c r="L1144" s="334"/>
      <c r="M1144" s="334"/>
      <c r="N1144" s="334"/>
      <c r="O1144" s="334"/>
    </row>
    <row r="1145" spans="1:15" ht="12.75" hidden="1" customHeight="1" outlineLevel="1" x14ac:dyDescent="0.2">
      <c r="A1145" s="623" t="s">
        <v>2164</v>
      </c>
      <c r="B1145" s="624" t="s">
        <v>1156</v>
      </c>
      <c r="C1145" s="625" t="s">
        <v>100</v>
      </c>
      <c r="D1145" s="626">
        <v>3.06</v>
      </c>
      <c r="E1145" s="622"/>
      <c r="F1145" s="334"/>
      <c r="G1145" s="334"/>
      <c r="H1145" s="602"/>
      <c r="I1145" s="334"/>
      <c r="J1145" s="334"/>
      <c r="K1145" s="334"/>
      <c r="L1145" s="334"/>
      <c r="M1145" s="334"/>
      <c r="N1145" s="334"/>
      <c r="O1145" s="334"/>
    </row>
    <row r="1146" spans="1:15" ht="12.75" hidden="1" customHeight="1" outlineLevel="1" x14ac:dyDescent="0.2">
      <c r="A1146" s="627" t="s">
        <v>2165</v>
      </c>
      <c r="B1146" s="624" t="s">
        <v>1156</v>
      </c>
      <c r="C1146" s="629" t="s">
        <v>100</v>
      </c>
      <c r="D1146" s="630">
        <v>0.27</v>
      </c>
      <c r="E1146" s="622"/>
      <c r="F1146" s="334"/>
      <c r="G1146" s="334"/>
      <c r="H1146" s="602"/>
      <c r="I1146" s="334"/>
      <c r="J1146" s="334"/>
      <c r="K1146" s="334"/>
      <c r="L1146" s="334"/>
      <c r="M1146" s="334"/>
      <c r="N1146" s="334"/>
      <c r="O1146" s="334"/>
    </row>
    <row r="1147" spans="1:15" ht="12.75" hidden="1" customHeight="1" outlineLevel="1" x14ac:dyDescent="0.2">
      <c r="A1147" s="623" t="s">
        <v>2166</v>
      </c>
      <c r="B1147" s="624" t="s">
        <v>1158</v>
      </c>
      <c r="C1147" s="625" t="s">
        <v>100</v>
      </c>
      <c r="D1147" s="626">
        <v>49.09</v>
      </c>
      <c r="E1147" s="622"/>
      <c r="F1147" s="334"/>
      <c r="G1147" s="334"/>
      <c r="H1147" s="602"/>
      <c r="I1147" s="334"/>
      <c r="J1147" s="334"/>
      <c r="K1147" s="334"/>
      <c r="L1147" s="334"/>
      <c r="M1147" s="334"/>
      <c r="N1147" s="334"/>
      <c r="O1147" s="334"/>
    </row>
    <row r="1148" spans="1:15" ht="12.75" hidden="1" customHeight="1" outlineLevel="1" x14ac:dyDescent="0.2">
      <c r="A1148" s="627" t="s">
        <v>2167</v>
      </c>
      <c r="B1148" s="624" t="s">
        <v>1158</v>
      </c>
      <c r="C1148" s="629" t="s">
        <v>100</v>
      </c>
      <c r="D1148" s="630">
        <v>231.96</v>
      </c>
      <c r="E1148" s="622"/>
      <c r="F1148" s="334"/>
      <c r="G1148" s="334"/>
      <c r="H1148" s="602"/>
      <c r="I1148" s="334"/>
      <c r="J1148" s="334"/>
      <c r="K1148" s="334"/>
      <c r="L1148" s="334"/>
      <c r="M1148" s="334"/>
      <c r="N1148" s="334"/>
      <c r="O1148" s="334"/>
    </row>
    <row r="1149" spans="1:15" ht="12.75" hidden="1" customHeight="1" outlineLevel="1" x14ac:dyDescent="0.2">
      <c r="A1149" s="623" t="s">
        <v>2168</v>
      </c>
      <c r="B1149" s="624" t="s">
        <v>1158</v>
      </c>
      <c r="C1149" s="625" t="s">
        <v>100</v>
      </c>
      <c r="D1149" s="626">
        <v>42.22</v>
      </c>
      <c r="E1149" s="622"/>
      <c r="F1149" s="334"/>
      <c r="G1149" s="334"/>
      <c r="H1149" s="602"/>
      <c r="I1149" s="334"/>
      <c r="J1149" s="334"/>
      <c r="K1149" s="334"/>
      <c r="L1149" s="334"/>
      <c r="M1149" s="334"/>
      <c r="N1149" s="334"/>
      <c r="O1149" s="334"/>
    </row>
    <row r="1150" spans="1:15" ht="12.75" hidden="1" customHeight="1" outlineLevel="1" x14ac:dyDescent="0.2">
      <c r="A1150" s="627" t="s">
        <v>2169</v>
      </c>
      <c r="B1150" s="624" t="s">
        <v>1158</v>
      </c>
      <c r="C1150" s="629" t="s">
        <v>100</v>
      </c>
      <c r="D1150" s="630">
        <v>18.25</v>
      </c>
      <c r="E1150" s="622"/>
      <c r="F1150" s="334"/>
      <c r="G1150" s="334"/>
      <c r="H1150" s="602"/>
      <c r="I1150" s="334"/>
      <c r="J1150" s="334"/>
      <c r="K1150" s="334"/>
      <c r="L1150" s="334"/>
      <c r="M1150" s="334"/>
      <c r="N1150" s="334"/>
      <c r="O1150" s="334"/>
    </row>
    <row r="1151" spans="1:15" ht="12.75" hidden="1" customHeight="1" outlineLevel="1" x14ac:dyDescent="0.2">
      <c r="A1151" s="623" t="s">
        <v>2170</v>
      </c>
      <c r="B1151" s="624" t="s">
        <v>1156</v>
      </c>
      <c r="C1151" s="625" t="s">
        <v>100</v>
      </c>
      <c r="D1151" s="626">
        <v>7.06</v>
      </c>
      <c r="E1151" s="622"/>
      <c r="F1151" s="334"/>
      <c r="G1151" s="334"/>
      <c r="H1151" s="602"/>
      <c r="I1151" s="334"/>
      <c r="J1151" s="334"/>
      <c r="K1151" s="334"/>
      <c r="L1151" s="334"/>
      <c r="M1151" s="334"/>
      <c r="N1151" s="334"/>
      <c r="O1151" s="334"/>
    </row>
    <row r="1152" spans="1:15" ht="12.75" hidden="1" customHeight="1" outlineLevel="1" x14ac:dyDescent="0.2">
      <c r="A1152" s="627" t="s">
        <v>2171</v>
      </c>
      <c r="B1152" s="624" t="s">
        <v>1158</v>
      </c>
      <c r="C1152" s="629" t="s">
        <v>100</v>
      </c>
      <c r="D1152" s="630">
        <v>2.1800000000000002</v>
      </c>
      <c r="E1152" s="622"/>
      <c r="F1152" s="334"/>
      <c r="G1152" s="334"/>
      <c r="H1152" s="602"/>
      <c r="I1152" s="334"/>
      <c r="J1152" s="334"/>
      <c r="K1152" s="334"/>
      <c r="L1152" s="334"/>
      <c r="M1152" s="334"/>
      <c r="N1152" s="334"/>
      <c r="O1152" s="334"/>
    </row>
    <row r="1153" spans="1:15" ht="12.75" hidden="1" customHeight="1" outlineLevel="1" x14ac:dyDescent="0.2">
      <c r="A1153" s="623" t="s">
        <v>2172</v>
      </c>
      <c r="B1153" s="624" t="s">
        <v>1158</v>
      </c>
      <c r="C1153" s="625" t="s">
        <v>100</v>
      </c>
      <c r="D1153" s="626">
        <v>8.26</v>
      </c>
      <c r="E1153" s="622"/>
      <c r="F1153" s="334"/>
      <c r="G1153" s="334"/>
      <c r="H1153" s="602"/>
      <c r="I1153" s="334"/>
      <c r="J1153" s="334"/>
      <c r="K1153" s="334"/>
      <c r="L1153" s="334"/>
      <c r="M1153" s="334"/>
      <c r="N1153" s="334"/>
      <c r="O1153" s="334"/>
    </row>
    <row r="1154" spans="1:15" ht="12.75" hidden="1" customHeight="1" outlineLevel="1" x14ac:dyDescent="0.2">
      <c r="A1154" s="627" t="s">
        <v>2173</v>
      </c>
      <c r="B1154" s="624" t="s">
        <v>1158</v>
      </c>
      <c r="C1154" s="629" t="s">
        <v>100</v>
      </c>
      <c r="D1154" s="630">
        <v>24.45</v>
      </c>
      <c r="E1154" s="622"/>
      <c r="F1154" s="334"/>
      <c r="G1154" s="334"/>
      <c r="H1154" s="602"/>
      <c r="I1154" s="334"/>
      <c r="J1154" s="334"/>
      <c r="K1154" s="334"/>
      <c r="L1154" s="334"/>
      <c r="M1154" s="334"/>
      <c r="N1154" s="334"/>
      <c r="O1154" s="334"/>
    </row>
    <row r="1155" spans="1:15" ht="12.75" hidden="1" customHeight="1" outlineLevel="1" x14ac:dyDescent="0.2">
      <c r="A1155" s="618" t="s">
        <v>2174</v>
      </c>
      <c r="B1155" s="619" t="s">
        <v>1079</v>
      </c>
      <c r="C1155" s="620"/>
      <c r="D1155" s="621"/>
      <c r="E1155" s="622"/>
      <c r="F1155" s="334"/>
      <c r="G1155" s="334"/>
      <c r="H1155" s="602"/>
      <c r="I1155" s="334"/>
      <c r="J1155" s="334"/>
      <c r="K1155" s="334"/>
      <c r="L1155" s="334"/>
      <c r="M1155" s="334"/>
      <c r="N1155" s="334"/>
      <c r="O1155" s="334"/>
    </row>
    <row r="1156" spans="1:15" ht="12.75" hidden="1" customHeight="1" outlineLevel="1" x14ac:dyDescent="0.2">
      <c r="A1156" s="623" t="s">
        <v>2175</v>
      </c>
      <c r="B1156" s="624" t="s">
        <v>1156</v>
      </c>
      <c r="C1156" s="625" t="s">
        <v>100</v>
      </c>
      <c r="D1156" s="626">
        <v>13.46</v>
      </c>
      <c r="E1156" s="622"/>
      <c r="F1156" s="334"/>
      <c r="G1156" s="334"/>
      <c r="H1156" s="602"/>
      <c r="I1156" s="334"/>
      <c r="J1156" s="334"/>
      <c r="K1156" s="334"/>
      <c r="L1156" s="334"/>
      <c r="M1156" s="334"/>
      <c r="N1156" s="334"/>
      <c r="O1156" s="334"/>
    </row>
    <row r="1157" spans="1:15" ht="12.75" hidden="1" customHeight="1" outlineLevel="1" x14ac:dyDescent="0.2">
      <c r="A1157" s="627" t="s">
        <v>2176</v>
      </c>
      <c r="B1157" s="624" t="s">
        <v>1156</v>
      </c>
      <c r="C1157" s="629" t="s">
        <v>100</v>
      </c>
      <c r="D1157" s="630">
        <v>2.9</v>
      </c>
      <c r="E1157" s="622"/>
      <c r="F1157" s="334"/>
      <c r="G1157" s="334"/>
      <c r="H1157" s="602"/>
      <c r="I1157" s="334"/>
      <c r="J1157" s="334"/>
      <c r="K1157" s="334"/>
      <c r="L1157" s="334"/>
      <c r="M1157" s="334"/>
      <c r="N1157" s="334"/>
      <c r="O1157" s="334"/>
    </row>
    <row r="1158" spans="1:15" ht="12.75" hidden="1" customHeight="1" outlineLevel="1" x14ac:dyDescent="0.2">
      <c r="A1158" s="623" t="s">
        <v>2177</v>
      </c>
      <c r="B1158" s="624" t="s">
        <v>1158</v>
      </c>
      <c r="C1158" s="625" t="s">
        <v>100</v>
      </c>
      <c r="D1158" s="626">
        <v>29.9</v>
      </c>
      <c r="E1158" s="622"/>
      <c r="F1158" s="334"/>
      <c r="G1158" s="334"/>
      <c r="H1158" s="602"/>
      <c r="I1158" s="334"/>
      <c r="J1158" s="334"/>
      <c r="K1158" s="334"/>
      <c r="L1158" s="334"/>
      <c r="M1158" s="334"/>
      <c r="N1158" s="334"/>
      <c r="O1158" s="334"/>
    </row>
    <row r="1159" spans="1:15" ht="12.75" hidden="1" customHeight="1" outlineLevel="1" x14ac:dyDescent="0.2">
      <c r="A1159" s="627" t="s">
        <v>2178</v>
      </c>
      <c r="B1159" s="624" t="s">
        <v>1158</v>
      </c>
      <c r="C1159" s="629" t="s">
        <v>100</v>
      </c>
      <c r="D1159" s="630">
        <v>4.1100000000000003</v>
      </c>
      <c r="E1159" s="622"/>
      <c r="F1159" s="334"/>
      <c r="G1159" s="334"/>
      <c r="H1159" s="602"/>
      <c r="I1159" s="334"/>
      <c r="J1159" s="334"/>
      <c r="K1159" s="334"/>
      <c r="L1159" s="334"/>
      <c r="M1159" s="334"/>
      <c r="N1159" s="334"/>
      <c r="O1159" s="334"/>
    </row>
    <row r="1160" spans="1:15" ht="12.75" hidden="1" customHeight="1" outlineLevel="1" x14ac:dyDescent="0.2">
      <c r="A1160" s="623" t="s">
        <v>2179</v>
      </c>
      <c r="B1160" s="624" t="s">
        <v>1156</v>
      </c>
      <c r="C1160" s="625" t="s">
        <v>100</v>
      </c>
      <c r="D1160" s="626">
        <v>3.06</v>
      </c>
      <c r="E1160" s="622"/>
      <c r="F1160" s="334"/>
      <c r="G1160" s="334"/>
      <c r="H1160" s="602"/>
      <c r="I1160" s="334"/>
      <c r="J1160" s="334"/>
      <c r="K1160" s="334"/>
      <c r="L1160" s="334"/>
      <c r="M1160" s="334"/>
      <c r="N1160" s="334"/>
      <c r="O1160" s="334"/>
    </row>
    <row r="1161" spans="1:15" ht="12.75" hidden="1" customHeight="1" outlineLevel="1" x14ac:dyDescent="0.2">
      <c r="A1161" s="627" t="s">
        <v>2180</v>
      </c>
      <c r="B1161" s="624" t="s">
        <v>1156</v>
      </c>
      <c r="C1161" s="629" t="s">
        <v>100</v>
      </c>
      <c r="D1161" s="630">
        <v>0.27</v>
      </c>
      <c r="E1161" s="622"/>
      <c r="F1161" s="334"/>
      <c r="G1161" s="334"/>
      <c r="H1161" s="602"/>
      <c r="I1161" s="334"/>
      <c r="J1161" s="334"/>
      <c r="K1161" s="334"/>
      <c r="L1161" s="334"/>
      <c r="M1161" s="334"/>
      <c r="N1161" s="334"/>
      <c r="O1161" s="334"/>
    </row>
    <row r="1162" spans="1:15" ht="12.75" hidden="1" customHeight="1" outlineLevel="1" x14ac:dyDescent="0.2">
      <c r="A1162" s="623" t="s">
        <v>2181</v>
      </c>
      <c r="B1162" s="624" t="s">
        <v>1158</v>
      </c>
      <c r="C1162" s="625" t="s">
        <v>100</v>
      </c>
      <c r="D1162" s="626">
        <v>49.09</v>
      </c>
      <c r="E1162" s="622"/>
      <c r="F1162" s="334"/>
      <c r="G1162" s="334"/>
      <c r="H1162" s="602"/>
      <c r="I1162" s="334"/>
      <c r="J1162" s="334"/>
      <c r="K1162" s="334"/>
      <c r="L1162" s="334"/>
      <c r="M1162" s="334"/>
      <c r="N1162" s="334"/>
      <c r="O1162" s="334"/>
    </row>
    <row r="1163" spans="1:15" ht="12.75" hidden="1" customHeight="1" outlineLevel="1" x14ac:dyDescent="0.2">
      <c r="A1163" s="627" t="s">
        <v>2182</v>
      </c>
      <c r="B1163" s="624" t="s">
        <v>1158</v>
      </c>
      <c r="C1163" s="629" t="s">
        <v>100</v>
      </c>
      <c r="D1163" s="630">
        <v>231.96</v>
      </c>
      <c r="E1163" s="622"/>
      <c r="F1163" s="334"/>
      <c r="G1163" s="334"/>
      <c r="H1163" s="602"/>
      <c r="I1163" s="334"/>
      <c r="J1163" s="334"/>
      <c r="K1163" s="334"/>
      <c r="L1163" s="334"/>
      <c r="M1163" s="334"/>
      <c r="N1163" s="334"/>
      <c r="O1163" s="334"/>
    </row>
    <row r="1164" spans="1:15" ht="12.75" hidden="1" customHeight="1" outlineLevel="1" x14ac:dyDescent="0.2">
      <c r="A1164" s="623" t="s">
        <v>2183</v>
      </c>
      <c r="B1164" s="624" t="s">
        <v>1158</v>
      </c>
      <c r="C1164" s="625" t="s">
        <v>100</v>
      </c>
      <c r="D1164" s="626">
        <v>42.22</v>
      </c>
      <c r="E1164" s="622"/>
      <c r="F1164" s="334"/>
      <c r="G1164" s="334"/>
      <c r="H1164" s="602"/>
      <c r="I1164" s="334"/>
      <c r="J1164" s="334"/>
      <c r="K1164" s="334"/>
      <c r="L1164" s="334"/>
      <c r="M1164" s="334"/>
      <c r="N1164" s="334"/>
      <c r="O1164" s="334"/>
    </row>
    <row r="1165" spans="1:15" ht="12.75" hidden="1" customHeight="1" outlineLevel="1" x14ac:dyDescent="0.2">
      <c r="A1165" s="627" t="s">
        <v>2184</v>
      </c>
      <c r="B1165" s="624" t="s">
        <v>1158</v>
      </c>
      <c r="C1165" s="629" t="s">
        <v>100</v>
      </c>
      <c r="D1165" s="630">
        <v>18.25</v>
      </c>
      <c r="E1165" s="622"/>
      <c r="F1165" s="334"/>
      <c r="G1165" s="334"/>
      <c r="H1165" s="602"/>
      <c r="I1165" s="334"/>
      <c r="J1165" s="334"/>
      <c r="K1165" s="334"/>
      <c r="L1165" s="334"/>
      <c r="M1165" s="334"/>
      <c r="N1165" s="334"/>
      <c r="O1165" s="334"/>
    </row>
    <row r="1166" spans="1:15" ht="12.75" hidden="1" customHeight="1" outlineLevel="1" x14ac:dyDescent="0.2">
      <c r="A1166" s="623" t="s">
        <v>2185</v>
      </c>
      <c r="B1166" s="624" t="s">
        <v>1156</v>
      </c>
      <c r="C1166" s="625" t="s">
        <v>100</v>
      </c>
      <c r="D1166" s="626">
        <v>7.06</v>
      </c>
      <c r="E1166" s="622"/>
      <c r="F1166" s="334"/>
      <c r="G1166" s="334"/>
      <c r="H1166" s="602"/>
      <c r="I1166" s="334"/>
      <c r="J1166" s="334"/>
      <c r="K1166" s="334"/>
      <c r="L1166" s="334"/>
      <c r="M1166" s="334"/>
      <c r="N1166" s="334"/>
      <c r="O1166" s="334"/>
    </row>
    <row r="1167" spans="1:15" ht="12.75" hidden="1" customHeight="1" outlineLevel="1" x14ac:dyDescent="0.2">
      <c r="A1167" s="627" t="s">
        <v>2186</v>
      </c>
      <c r="B1167" s="624" t="s">
        <v>1158</v>
      </c>
      <c r="C1167" s="629" t="s">
        <v>100</v>
      </c>
      <c r="D1167" s="630">
        <v>2.1800000000000002</v>
      </c>
      <c r="E1167" s="622"/>
      <c r="F1167" s="334"/>
      <c r="G1167" s="334"/>
      <c r="H1167" s="602"/>
      <c r="I1167" s="334"/>
      <c r="J1167" s="334"/>
      <c r="K1167" s="334"/>
      <c r="L1167" s="334"/>
      <c r="M1167" s="334"/>
      <c r="N1167" s="334"/>
      <c r="O1167" s="334"/>
    </row>
    <row r="1168" spans="1:15" ht="12.75" hidden="1" customHeight="1" outlineLevel="1" x14ac:dyDescent="0.2">
      <c r="A1168" s="623" t="s">
        <v>2187</v>
      </c>
      <c r="B1168" s="624" t="s">
        <v>1158</v>
      </c>
      <c r="C1168" s="625" t="s">
        <v>100</v>
      </c>
      <c r="D1168" s="626">
        <v>8.26</v>
      </c>
      <c r="E1168" s="622"/>
      <c r="F1168" s="334"/>
      <c r="G1168" s="334"/>
      <c r="H1168" s="602"/>
      <c r="I1168" s="334"/>
      <c r="J1168" s="334"/>
      <c r="K1168" s="334"/>
      <c r="L1168" s="334"/>
      <c r="M1168" s="334"/>
      <c r="N1168" s="334"/>
      <c r="O1168" s="334"/>
    </row>
    <row r="1169" spans="1:15" ht="12.75" hidden="1" customHeight="1" outlineLevel="1" x14ac:dyDescent="0.2">
      <c r="A1169" s="627" t="s">
        <v>2188</v>
      </c>
      <c r="B1169" s="624" t="s">
        <v>1158</v>
      </c>
      <c r="C1169" s="629" t="s">
        <v>100</v>
      </c>
      <c r="D1169" s="630">
        <v>24.45</v>
      </c>
      <c r="E1169" s="622"/>
      <c r="F1169" s="334"/>
      <c r="G1169" s="334"/>
      <c r="H1169" s="602"/>
      <c r="I1169" s="334"/>
      <c r="J1169" s="334"/>
      <c r="K1169" s="334"/>
      <c r="L1169" s="334"/>
      <c r="M1169" s="334"/>
      <c r="N1169" s="334"/>
      <c r="O1169" s="334"/>
    </row>
    <row r="1170" spans="1:15" ht="12.75" hidden="1" customHeight="1" outlineLevel="1" x14ac:dyDescent="0.2">
      <c r="A1170" s="618" t="s">
        <v>2189</v>
      </c>
      <c r="B1170" s="619" t="s">
        <v>1086</v>
      </c>
      <c r="C1170" s="620"/>
      <c r="D1170" s="621"/>
      <c r="E1170" s="622"/>
      <c r="F1170" s="334"/>
      <c r="G1170" s="334"/>
      <c r="H1170" s="602"/>
      <c r="I1170" s="334"/>
      <c r="J1170" s="334"/>
      <c r="K1170" s="334"/>
      <c r="L1170" s="334"/>
      <c r="M1170" s="334"/>
      <c r="N1170" s="334"/>
      <c r="O1170" s="334"/>
    </row>
    <row r="1171" spans="1:15" ht="12.75" hidden="1" customHeight="1" outlineLevel="1" x14ac:dyDescent="0.2">
      <c r="A1171" s="623" t="s">
        <v>2190</v>
      </c>
      <c r="B1171" s="624" t="s">
        <v>1156</v>
      </c>
      <c r="C1171" s="625" t="s">
        <v>100</v>
      </c>
      <c r="D1171" s="626">
        <v>13.46</v>
      </c>
      <c r="E1171" s="622"/>
      <c r="F1171" s="334"/>
      <c r="G1171" s="334"/>
      <c r="H1171" s="602"/>
      <c r="I1171" s="334"/>
      <c r="J1171" s="334"/>
      <c r="K1171" s="334"/>
      <c r="L1171" s="334"/>
      <c r="M1171" s="334"/>
      <c r="N1171" s="334"/>
      <c r="O1171" s="334"/>
    </row>
    <row r="1172" spans="1:15" ht="12.75" hidden="1" customHeight="1" outlineLevel="1" x14ac:dyDescent="0.2">
      <c r="A1172" s="627" t="s">
        <v>2191</v>
      </c>
      <c r="B1172" s="624" t="s">
        <v>1156</v>
      </c>
      <c r="C1172" s="629" t="s">
        <v>100</v>
      </c>
      <c r="D1172" s="630">
        <v>2.9</v>
      </c>
      <c r="E1172" s="622"/>
      <c r="F1172" s="334"/>
      <c r="G1172" s="334"/>
      <c r="H1172" s="602"/>
      <c r="I1172" s="334"/>
      <c r="J1172" s="334"/>
      <c r="K1172" s="334"/>
      <c r="L1172" s="334"/>
      <c r="M1172" s="334"/>
      <c r="N1172" s="334"/>
      <c r="O1172" s="334"/>
    </row>
    <row r="1173" spans="1:15" ht="12.75" hidden="1" customHeight="1" outlineLevel="1" x14ac:dyDescent="0.2">
      <c r="A1173" s="623" t="s">
        <v>2192</v>
      </c>
      <c r="B1173" s="624" t="s">
        <v>1158</v>
      </c>
      <c r="C1173" s="625" t="s">
        <v>100</v>
      </c>
      <c r="D1173" s="626">
        <v>29.9</v>
      </c>
      <c r="E1173" s="622"/>
      <c r="F1173" s="334"/>
      <c r="G1173" s="334"/>
      <c r="H1173" s="602"/>
      <c r="I1173" s="334"/>
      <c r="J1173" s="334"/>
      <c r="K1173" s="334"/>
      <c r="L1173" s="334"/>
      <c r="M1173" s="334"/>
      <c r="N1173" s="334"/>
      <c r="O1173" s="334"/>
    </row>
    <row r="1174" spans="1:15" ht="12.75" hidden="1" customHeight="1" outlineLevel="1" x14ac:dyDescent="0.2">
      <c r="A1174" s="627" t="s">
        <v>2193</v>
      </c>
      <c r="B1174" s="624" t="s">
        <v>1158</v>
      </c>
      <c r="C1174" s="629" t="s">
        <v>100</v>
      </c>
      <c r="D1174" s="630">
        <v>4.1100000000000003</v>
      </c>
      <c r="E1174" s="622"/>
      <c r="F1174" s="334"/>
      <c r="G1174" s="334"/>
      <c r="H1174" s="602"/>
      <c r="I1174" s="334"/>
      <c r="J1174" s="334"/>
      <c r="K1174" s="334"/>
      <c r="L1174" s="334"/>
      <c r="M1174" s="334"/>
      <c r="N1174" s="334"/>
      <c r="O1174" s="334"/>
    </row>
    <row r="1175" spans="1:15" ht="12.75" hidden="1" customHeight="1" outlineLevel="1" x14ac:dyDescent="0.2">
      <c r="A1175" s="623" t="s">
        <v>2194</v>
      </c>
      <c r="B1175" s="624" t="s">
        <v>1156</v>
      </c>
      <c r="C1175" s="625" t="s">
        <v>100</v>
      </c>
      <c r="D1175" s="626">
        <v>3.06</v>
      </c>
      <c r="E1175" s="622"/>
      <c r="F1175" s="334"/>
      <c r="G1175" s="334"/>
      <c r="H1175" s="602"/>
      <c r="I1175" s="334"/>
      <c r="J1175" s="334"/>
      <c r="K1175" s="334"/>
      <c r="L1175" s="334"/>
      <c r="M1175" s="334"/>
      <c r="N1175" s="334"/>
      <c r="O1175" s="334"/>
    </row>
    <row r="1176" spans="1:15" ht="12.75" hidden="1" customHeight="1" outlineLevel="1" x14ac:dyDescent="0.2">
      <c r="A1176" s="627" t="s">
        <v>2195</v>
      </c>
      <c r="B1176" s="624" t="s">
        <v>1156</v>
      </c>
      <c r="C1176" s="629" t="s">
        <v>100</v>
      </c>
      <c r="D1176" s="630">
        <v>0.27</v>
      </c>
      <c r="E1176" s="622"/>
      <c r="F1176" s="334"/>
      <c r="G1176" s="334"/>
      <c r="H1176" s="602"/>
      <c r="I1176" s="334"/>
      <c r="J1176" s="334"/>
      <c r="K1176" s="334"/>
      <c r="L1176" s="334"/>
      <c r="M1176" s="334"/>
      <c r="N1176" s="334"/>
      <c r="O1176" s="334"/>
    </row>
    <row r="1177" spans="1:15" ht="12.75" hidden="1" customHeight="1" outlineLevel="1" x14ac:dyDescent="0.2">
      <c r="A1177" s="623" t="s">
        <v>2196</v>
      </c>
      <c r="B1177" s="624" t="s">
        <v>1158</v>
      </c>
      <c r="C1177" s="625" t="s">
        <v>100</v>
      </c>
      <c r="D1177" s="626">
        <v>49.09</v>
      </c>
      <c r="E1177" s="622"/>
      <c r="F1177" s="334"/>
      <c r="G1177" s="334"/>
      <c r="H1177" s="602"/>
      <c r="I1177" s="334"/>
      <c r="J1177" s="334"/>
      <c r="K1177" s="334"/>
      <c r="L1177" s="334"/>
      <c r="M1177" s="334"/>
      <c r="N1177" s="334"/>
      <c r="O1177" s="334"/>
    </row>
    <row r="1178" spans="1:15" ht="12.75" hidden="1" customHeight="1" outlineLevel="1" x14ac:dyDescent="0.2">
      <c r="A1178" s="627" t="s">
        <v>2197</v>
      </c>
      <c r="B1178" s="624" t="s">
        <v>1158</v>
      </c>
      <c r="C1178" s="629" t="s">
        <v>100</v>
      </c>
      <c r="D1178" s="630">
        <v>231.96</v>
      </c>
      <c r="E1178" s="622"/>
      <c r="F1178" s="334"/>
      <c r="G1178" s="334"/>
      <c r="H1178" s="602"/>
      <c r="I1178" s="334"/>
      <c r="J1178" s="334"/>
      <c r="K1178" s="334"/>
      <c r="L1178" s="334"/>
      <c r="M1178" s="334"/>
      <c r="N1178" s="334"/>
      <c r="O1178" s="334"/>
    </row>
    <row r="1179" spans="1:15" ht="12.75" hidden="1" customHeight="1" outlineLevel="1" x14ac:dyDescent="0.2">
      <c r="A1179" s="623" t="s">
        <v>2198</v>
      </c>
      <c r="B1179" s="624" t="s">
        <v>1158</v>
      </c>
      <c r="C1179" s="625" t="s">
        <v>100</v>
      </c>
      <c r="D1179" s="626">
        <v>42.22</v>
      </c>
      <c r="E1179" s="622"/>
      <c r="F1179" s="334"/>
      <c r="G1179" s="334"/>
      <c r="H1179" s="602"/>
      <c r="I1179" s="334"/>
      <c r="J1179" s="334"/>
      <c r="K1179" s="334"/>
      <c r="L1179" s="334"/>
      <c r="M1179" s="334"/>
      <c r="N1179" s="334"/>
      <c r="O1179" s="334"/>
    </row>
    <row r="1180" spans="1:15" ht="12.75" hidden="1" customHeight="1" outlineLevel="1" x14ac:dyDescent="0.2">
      <c r="A1180" s="627" t="s">
        <v>2199</v>
      </c>
      <c r="B1180" s="624" t="s">
        <v>1158</v>
      </c>
      <c r="C1180" s="629" t="s">
        <v>100</v>
      </c>
      <c r="D1180" s="630">
        <v>18.25</v>
      </c>
      <c r="E1180" s="622"/>
      <c r="F1180" s="334"/>
      <c r="G1180" s="334"/>
      <c r="H1180" s="602"/>
      <c r="I1180" s="334"/>
      <c r="J1180" s="334"/>
      <c r="K1180" s="334"/>
      <c r="L1180" s="334"/>
      <c r="M1180" s="334"/>
      <c r="N1180" s="334"/>
      <c r="O1180" s="334"/>
    </row>
    <row r="1181" spans="1:15" ht="12.75" hidden="1" customHeight="1" outlineLevel="1" x14ac:dyDescent="0.2">
      <c r="A1181" s="623" t="s">
        <v>2200</v>
      </c>
      <c r="B1181" s="624" t="s">
        <v>1156</v>
      </c>
      <c r="C1181" s="625" t="s">
        <v>100</v>
      </c>
      <c r="D1181" s="626">
        <v>7.06</v>
      </c>
      <c r="E1181" s="622"/>
      <c r="F1181" s="334"/>
      <c r="G1181" s="334"/>
      <c r="H1181" s="602"/>
      <c r="I1181" s="334"/>
      <c r="J1181" s="334"/>
      <c r="K1181" s="334"/>
      <c r="L1181" s="334"/>
      <c r="M1181" s="334"/>
      <c r="N1181" s="334"/>
      <c r="O1181" s="334"/>
    </row>
    <row r="1182" spans="1:15" ht="12.75" hidden="1" customHeight="1" outlineLevel="1" x14ac:dyDescent="0.2">
      <c r="A1182" s="627" t="s">
        <v>2201</v>
      </c>
      <c r="B1182" s="624" t="s">
        <v>1158</v>
      </c>
      <c r="C1182" s="629" t="s">
        <v>100</v>
      </c>
      <c r="D1182" s="630">
        <v>2.1800000000000002</v>
      </c>
      <c r="E1182" s="622"/>
      <c r="F1182" s="334"/>
      <c r="G1182" s="334"/>
      <c r="H1182" s="602"/>
      <c r="I1182" s="334"/>
      <c r="J1182" s="334"/>
      <c r="K1182" s="334"/>
      <c r="L1182" s="334"/>
      <c r="M1182" s="334"/>
      <c r="N1182" s="334"/>
      <c r="O1182" s="334"/>
    </row>
    <row r="1183" spans="1:15" ht="12.75" hidden="1" customHeight="1" outlineLevel="1" x14ac:dyDescent="0.2">
      <c r="A1183" s="623" t="s">
        <v>2202</v>
      </c>
      <c r="B1183" s="624" t="s">
        <v>1158</v>
      </c>
      <c r="C1183" s="625" t="s">
        <v>100</v>
      </c>
      <c r="D1183" s="626">
        <v>8.26</v>
      </c>
      <c r="E1183" s="622"/>
      <c r="F1183" s="334"/>
      <c r="G1183" s="334"/>
      <c r="H1183" s="602"/>
      <c r="I1183" s="334"/>
      <c r="J1183" s="334"/>
      <c r="K1183" s="334"/>
      <c r="L1183" s="334"/>
      <c r="M1183" s="334"/>
      <c r="N1183" s="334"/>
      <c r="O1183" s="334"/>
    </row>
    <row r="1184" spans="1:15" ht="12.75" hidden="1" customHeight="1" outlineLevel="1" x14ac:dyDescent="0.2">
      <c r="A1184" s="627" t="s">
        <v>2203</v>
      </c>
      <c r="B1184" s="624" t="s">
        <v>1158</v>
      </c>
      <c r="C1184" s="629" t="s">
        <v>100</v>
      </c>
      <c r="D1184" s="630">
        <v>24.45</v>
      </c>
      <c r="E1184" s="622"/>
      <c r="F1184" s="334"/>
      <c r="G1184" s="334"/>
      <c r="H1184" s="602"/>
      <c r="I1184" s="334"/>
      <c r="J1184" s="334"/>
      <c r="K1184" s="334"/>
      <c r="L1184" s="334"/>
      <c r="M1184" s="334"/>
      <c r="N1184" s="334"/>
      <c r="O1184" s="334"/>
    </row>
    <row r="1185" spans="1:15" ht="12.75" hidden="1" customHeight="1" outlineLevel="1" x14ac:dyDescent="0.2">
      <c r="A1185" s="618" t="s">
        <v>2204</v>
      </c>
      <c r="B1185" s="619" t="s">
        <v>1094</v>
      </c>
      <c r="C1185" s="620"/>
      <c r="D1185" s="621"/>
      <c r="E1185" s="622"/>
      <c r="F1185" s="334"/>
      <c r="G1185" s="334"/>
      <c r="H1185" s="602"/>
      <c r="I1185" s="334"/>
      <c r="J1185" s="334"/>
      <c r="K1185" s="334"/>
      <c r="L1185" s="334"/>
      <c r="M1185" s="334"/>
      <c r="N1185" s="334"/>
      <c r="O1185" s="334"/>
    </row>
    <row r="1186" spans="1:15" ht="12.75" hidden="1" customHeight="1" outlineLevel="1" x14ac:dyDescent="0.2">
      <c r="A1186" s="623" t="s">
        <v>2205</v>
      </c>
      <c r="B1186" s="624" t="s">
        <v>1156</v>
      </c>
      <c r="C1186" s="625" t="s">
        <v>100</v>
      </c>
      <c r="D1186" s="626">
        <v>13.46</v>
      </c>
      <c r="E1186" s="622"/>
      <c r="F1186" s="334"/>
      <c r="G1186" s="334"/>
      <c r="H1186" s="602"/>
      <c r="I1186" s="334"/>
      <c r="J1186" s="334"/>
      <c r="K1186" s="334"/>
      <c r="L1186" s="334"/>
      <c r="M1186" s="334"/>
      <c r="N1186" s="334"/>
      <c r="O1186" s="334"/>
    </row>
    <row r="1187" spans="1:15" ht="12.75" hidden="1" customHeight="1" outlineLevel="1" x14ac:dyDescent="0.2">
      <c r="A1187" s="627" t="s">
        <v>2206</v>
      </c>
      <c r="B1187" s="624" t="s">
        <v>1156</v>
      </c>
      <c r="C1187" s="629" t="s">
        <v>100</v>
      </c>
      <c r="D1187" s="630">
        <v>2.9</v>
      </c>
      <c r="E1187" s="622"/>
      <c r="F1187" s="334"/>
      <c r="G1187" s="334"/>
      <c r="H1187" s="602"/>
      <c r="I1187" s="334"/>
      <c r="J1187" s="334"/>
      <c r="K1187" s="334"/>
      <c r="L1187" s="334"/>
      <c r="M1187" s="334"/>
      <c r="N1187" s="334"/>
      <c r="O1187" s="334"/>
    </row>
    <row r="1188" spans="1:15" ht="12.75" hidden="1" customHeight="1" outlineLevel="1" x14ac:dyDescent="0.2">
      <c r="A1188" s="623" t="s">
        <v>2207</v>
      </c>
      <c r="B1188" s="624" t="s">
        <v>1158</v>
      </c>
      <c r="C1188" s="625" t="s">
        <v>100</v>
      </c>
      <c r="D1188" s="626">
        <v>29.9</v>
      </c>
      <c r="E1188" s="622"/>
      <c r="F1188" s="334"/>
      <c r="G1188" s="334"/>
      <c r="H1188" s="602"/>
      <c r="I1188" s="334"/>
      <c r="J1188" s="334"/>
      <c r="K1188" s="334"/>
      <c r="L1188" s="334"/>
      <c r="M1188" s="334"/>
      <c r="N1188" s="334"/>
      <c r="O1188" s="334"/>
    </row>
    <row r="1189" spans="1:15" ht="12.75" hidden="1" customHeight="1" outlineLevel="1" x14ac:dyDescent="0.2">
      <c r="A1189" s="627" t="s">
        <v>2208</v>
      </c>
      <c r="B1189" s="624" t="s">
        <v>1158</v>
      </c>
      <c r="C1189" s="629" t="s">
        <v>100</v>
      </c>
      <c r="D1189" s="630">
        <v>4.1100000000000003</v>
      </c>
      <c r="E1189" s="622"/>
      <c r="F1189" s="334"/>
      <c r="G1189" s="334"/>
      <c r="H1189" s="602"/>
      <c r="I1189" s="334"/>
      <c r="J1189" s="334"/>
      <c r="K1189" s="334"/>
      <c r="L1189" s="334"/>
      <c r="M1189" s="334"/>
      <c r="N1189" s="334"/>
      <c r="O1189" s="334"/>
    </row>
    <row r="1190" spans="1:15" ht="12.75" hidden="1" customHeight="1" outlineLevel="1" x14ac:dyDescent="0.2">
      <c r="A1190" s="623" t="s">
        <v>2209</v>
      </c>
      <c r="B1190" s="624" t="s">
        <v>1156</v>
      </c>
      <c r="C1190" s="625" t="s">
        <v>100</v>
      </c>
      <c r="D1190" s="626">
        <v>3.06</v>
      </c>
      <c r="E1190" s="622"/>
      <c r="F1190" s="334"/>
      <c r="G1190" s="334"/>
      <c r="H1190" s="602"/>
      <c r="I1190" s="334"/>
      <c r="J1190" s="334"/>
      <c r="K1190" s="334"/>
      <c r="L1190" s="334"/>
      <c r="M1190" s="334"/>
      <c r="N1190" s="334"/>
      <c r="O1190" s="334"/>
    </row>
    <row r="1191" spans="1:15" ht="12.75" hidden="1" customHeight="1" outlineLevel="1" x14ac:dyDescent="0.2">
      <c r="A1191" s="627" t="s">
        <v>2210</v>
      </c>
      <c r="B1191" s="624" t="s">
        <v>1156</v>
      </c>
      <c r="C1191" s="629" t="s">
        <v>100</v>
      </c>
      <c r="D1191" s="630">
        <v>0.27</v>
      </c>
      <c r="E1191" s="622"/>
      <c r="F1191" s="334"/>
      <c r="G1191" s="334"/>
      <c r="H1191" s="602"/>
      <c r="I1191" s="334"/>
      <c r="J1191" s="334"/>
      <c r="K1191" s="334"/>
      <c r="L1191" s="334"/>
      <c r="M1191" s="334"/>
      <c r="N1191" s="334"/>
      <c r="O1191" s="334"/>
    </row>
    <row r="1192" spans="1:15" ht="12.75" hidden="1" customHeight="1" outlineLevel="1" x14ac:dyDescent="0.2">
      <c r="A1192" s="623" t="s">
        <v>2211</v>
      </c>
      <c r="B1192" s="624" t="s">
        <v>1158</v>
      </c>
      <c r="C1192" s="625" t="s">
        <v>100</v>
      </c>
      <c r="D1192" s="626">
        <v>49.09</v>
      </c>
      <c r="E1192" s="622"/>
      <c r="F1192" s="334"/>
      <c r="G1192" s="334"/>
      <c r="H1192" s="602"/>
      <c r="I1192" s="334"/>
      <c r="J1192" s="334"/>
      <c r="K1192" s="334"/>
      <c r="L1192" s="334"/>
      <c r="M1192" s="334"/>
      <c r="N1192" s="334"/>
      <c r="O1192" s="334"/>
    </row>
    <row r="1193" spans="1:15" ht="12.75" hidden="1" customHeight="1" outlineLevel="1" x14ac:dyDescent="0.2">
      <c r="A1193" s="627" t="s">
        <v>2212</v>
      </c>
      <c r="B1193" s="624" t="s">
        <v>1158</v>
      </c>
      <c r="C1193" s="629" t="s">
        <v>100</v>
      </c>
      <c r="D1193" s="630">
        <v>231.96</v>
      </c>
      <c r="E1193" s="622"/>
      <c r="F1193" s="334"/>
      <c r="G1193" s="334"/>
      <c r="H1193" s="602"/>
      <c r="I1193" s="334"/>
      <c r="J1193" s="334"/>
      <c r="K1193" s="334"/>
      <c r="L1193" s="334"/>
      <c r="M1193" s="334"/>
      <c r="N1193" s="334"/>
      <c r="O1193" s="334"/>
    </row>
    <row r="1194" spans="1:15" ht="12.75" hidden="1" customHeight="1" outlineLevel="1" x14ac:dyDescent="0.2">
      <c r="A1194" s="623" t="s">
        <v>2213</v>
      </c>
      <c r="B1194" s="624" t="s">
        <v>1158</v>
      </c>
      <c r="C1194" s="625" t="s">
        <v>100</v>
      </c>
      <c r="D1194" s="626">
        <v>42.22</v>
      </c>
      <c r="E1194" s="622"/>
      <c r="F1194" s="334"/>
      <c r="G1194" s="334"/>
      <c r="H1194" s="602"/>
      <c r="I1194" s="334"/>
      <c r="J1194" s="334"/>
      <c r="K1194" s="334"/>
      <c r="L1194" s="334"/>
      <c r="M1194" s="334"/>
      <c r="N1194" s="334"/>
      <c r="O1194" s="334"/>
    </row>
    <row r="1195" spans="1:15" ht="12.75" hidden="1" customHeight="1" outlineLevel="1" x14ac:dyDescent="0.2">
      <c r="A1195" s="627" t="s">
        <v>2214</v>
      </c>
      <c r="B1195" s="624" t="s">
        <v>1158</v>
      </c>
      <c r="C1195" s="629" t="s">
        <v>100</v>
      </c>
      <c r="D1195" s="630">
        <v>18.25</v>
      </c>
      <c r="E1195" s="622"/>
      <c r="F1195" s="334"/>
      <c r="G1195" s="334"/>
      <c r="H1195" s="602"/>
      <c r="I1195" s="334"/>
      <c r="J1195" s="334"/>
      <c r="K1195" s="334"/>
      <c r="L1195" s="334"/>
      <c r="M1195" s="334"/>
      <c r="N1195" s="334"/>
      <c r="O1195" s="334"/>
    </row>
    <row r="1196" spans="1:15" ht="12.75" hidden="1" customHeight="1" outlineLevel="1" x14ac:dyDescent="0.2">
      <c r="A1196" s="623" t="s">
        <v>2215</v>
      </c>
      <c r="B1196" s="624" t="s">
        <v>1156</v>
      </c>
      <c r="C1196" s="625" t="s">
        <v>100</v>
      </c>
      <c r="D1196" s="626">
        <v>7.06</v>
      </c>
      <c r="E1196" s="622"/>
      <c r="F1196" s="334"/>
      <c r="G1196" s="334"/>
      <c r="H1196" s="602"/>
      <c r="I1196" s="334"/>
      <c r="J1196" s="334"/>
      <c r="K1196" s="334"/>
      <c r="L1196" s="334"/>
      <c r="M1196" s="334"/>
      <c r="N1196" s="334"/>
      <c r="O1196" s="334"/>
    </row>
    <row r="1197" spans="1:15" ht="12.75" hidden="1" customHeight="1" outlineLevel="1" x14ac:dyDescent="0.2">
      <c r="A1197" s="627" t="s">
        <v>2216</v>
      </c>
      <c r="B1197" s="624" t="s">
        <v>1158</v>
      </c>
      <c r="C1197" s="629" t="s">
        <v>100</v>
      </c>
      <c r="D1197" s="630">
        <v>2.1800000000000002</v>
      </c>
      <c r="E1197" s="622"/>
      <c r="F1197" s="334"/>
      <c r="G1197" s="334"/>
      <c r="H1197" s="602"/>
      <c r="I1197" s="334"/>
      <c r="J1197" s="334"/>
      <c r="K1197" s="334"/>
      <c r="L1197" s="334"/>
      <c r="M1197" s="334"/>
      <c r="N1197" s="334"/>
      <c r="O1197" s="334"/>
    </row>
    <row r="1198" spans="1:15" ht="12.75" hidden="1" customHeight="1" outlineLevel="1" x14ac:dyDescent="0.2">
      <c r="A1198" s="623" t="s">
        <v>2217</v>
      </c>
      <c r="B1198" s="624" t="s">
        <v>1158</v>
      </c>
      <c r="C1198" s="625" t="s">
        <v>100</v>
      </c>
      <c r="D1198" s="626">
        <v>8.26</v>
      </c>
      <c r="E1198" s="622"/>
      <c r="F1198" s="334"/>
      <c r="G1198" s="334"/>
      <c r="H1198" s="602"/>
      <c r="I1198" s="334"/>
      <c r="J1198" s="334"/>
      <c r="K1198" s="334"/>
      <c r="L1198" s="334"/>
      <c r="M1198" s="334"/>
      <c r="N1198" s="334"/>
      <c r="O1198" s="334"/>
    </row>
    <row r="1199" spans="1:15" ht="12.75" hidden="1" customHeight="1" outlineLevel="1" x14ac:dyDescent="0.2">
      <c r="A1199" s="627" t="s">
        <v>2218</v>
      </c>
      <c r="B1199" s="624" t="s">
        <v>1158</v>
      </c>
      <c r="C1199" s="629" t="s">
        <v>100</v>
      </c>
      <c r="D1199" s="630">
        <v>24.45</v>
      </c>
      <c r="E1199" s="622"/>
      <c r="F1199" s="334"/>
      <c r="G1199" s="334"/>
      <c r="H1199" s="602"/>
      <c r="I1199" s="334"/>
      <c r="J1199" s="334"/>
      <c r="K1199" s="334"/>
      <c r="L1199" s="334"/>
      <c r="M1199" s="334"/>
      <c r="N1199" s="334"/>
      <c r="O1199" s="334"/>
    </row>
    <row r="1200" spans="1:15" ht="12.75" hidden="1" customHeight="1" outlineLevel="1" x14ac:dyDescent="0.2">
      <c r="A1200" s="618" t="s">
        <v>2219</v>
      </c>
      <c r="B1200" s="619" t="s">
        <v>1102</v>
      </c>
      <c r="C1200" s="620"/>
      <c r="D1200" s="621"/>
      <c r="E1200" s="622"/>
      <c r="F1200" s="334"/>
      <c r="G1200" s="334"/>
      <c r="H1200" s="602"/>
      <c r="I1200" s="334"/>
      <c r="J1200" s="334"/>
      <c r="K1200" s="334"/>
      <c r="L1200" s="334"/>
      <c r="M1200" s="334"/>
      <c r="N1200" s="334"/>
      <c r="O1200" s="334"/>
    </row>
    <row r="1201" spans="1:15" ht="12.75" hidden="1" customHeight="1" outlineLevel="1" x14ac:dyDescent="0.2">
      <c r="A1201" s="623" t="s">
        <v>2220</v>
      </c>
      <c r="B1201" s="624" t="s">
        <v>1156</v>
      </c>
      <c r="C1201" s="625" t="s">
        <v>100</v>
      </c>
      <c r="D1201" s="626">
        <v>35.74</v>
      </c>
      <c r="E1201" s="622"/>
      <c r="F1201" s="334"/>
      <c r="G1201" s="334"/>
      <c r="H1201" s="602"/>
      <c r="I1201" s="334"/>
      <c r="J1201" s="334"/>
      <c r="K1201" s="334"/>
      <c r="L1201" s="334"/>
      <c r="M1201" s="334"/>
      <c r="N1201" s="334"/>
      <c r="O1201" s="334"/>
    </row>
    <row r="1202" spans="1:15" ht="12.75" hidden="1" customHeight="1" outlineLevel="1" x14ac:dyDescent="0.2">
      <c r="A1202" s="627" t="s">
        <v>2221</v>
      </c>
      <c r="B1202" s="624" t="s">
        <v>1156</v>
      </c>
      <c r="C1202" s="629" t="s">
        <v>100</v>
      </c>
      <c r="D1202" s="630">
        <v>2.93</v>
      </c>
      <c r="E1202" s="622"/>
      <c r="F1202" s="334"/>
      <c r="G1202" s="334"/>
      <c r="H1202" s="602"/>
      <c r="I1202" s="334"/>
      <c r="J1202" s="334"/>
      <c r="K1202" s="334"/>
      <c r="L1202" s="334"/>
      <c r="M1202" s="334"/>
      <c r="N1202" s="334"/>
      <c r="O1202" s="334"/>
    </row>
    <row r="1203" spans="1:15" ht="12.75" hidden="1" customHeight="1" outlineLevel="1" x14ac:dyDescent="0.2">
      <c r="A1203" s="623" t="s">
        <v>2222</v>
      </c>
      <c r="B1203" s="624" t="s">
        <v>1158</v>
      </c>
      <c r="C1203" s="625" t="s">
        <v>100</v>
      </c>
      <c r="D1203" s="626">
        <v>3.13</v>
      </c>
      <c r="E1203" s="622"/>
      <c r="F1203" s="334"/>
      <c r="G1203" s="334"/>
      <c r="H1203" s="602"/>
      <c r="I1203" s="334"/>
      <c r="J1203" s="334"/>
      <c r="K1203" s="334"/>
      <c r="L1203" s="334"/>
      <c r="M1203" s="334"/>
      <c r="N1203" s="334"/>
      <c r="O1203" s="334"/>
    </row>
    <row r="1204" spans="1:15" ht="12.75" hidden="1" customHeight="1" outlineLevel="1" x14ac:dyDescent="0.2">
      <c r="A1204" s="627" t="s">
        <v>2223</v>
      </c>
      <c r="B1204" s="624" t="s">
        <v>1158</v>
      </c>
      <c r="C1204" s="629" t="s">
        <v>100</v>
      </c>
      <c r="D1204" s="630">
        <v>22.65</v>
      </c>
      <c r="E1204" s="622"/>
      <c r="F1204" s="334"/>
      <c r="G1204" s="334"/>
      <c r="H1204" s="602"/>
      <c r="I1204" s="334"/>
      <c r="J1204" s="334"/>
      <c r="K1204" s="334"/>
      <c r="L1204" s="334"/>
      <c r="M1204" s="334"/>
      <c r="N1204" s="334"/>
      <c r="O1204" s="334"/>
    </row>
    <row r="1205" spans="1:15" ht="12.75" hidden="1" customHeight="1" outlineLevel="1" x14ac:dyDescent="0.2">
      <c r="A1205" s="623" t="s">
        <v>2224</v>
      </c>
      <c r="B1205" s="624" t="s">
        <v>1156</v>
      </c>
      <c r="C1205" s="625" t="s">
        <v>100</v>
      </c>
      <c r="D1205" s="626">
        <v>3.09</v>
      </c>
      <c r="E1205" s="622"/>
      <c r="F1205" s="334"/>
      <c r="G1205" s="334"/>
      <c r="H1205" s="602"/>
      <c r="I1205" s="334"/>
      <c r="J1205" s="334"/>
      <c r="K1205" s="334"/>
      <c r="L1205" s="334"/>
      <c r="M1205" s="334"/>
      <c r="N1205" s="334"/>
      <c r="O1205" s="334"/>
    </row>
    <row r="1206" spans="1:15" ht="12.75" hidden="1" customHeight="1" outlineLevel="1" x14ac:dyDescent="0.2">
      <c r="A1206" s="627" t="s">
        <v>2225</v>
      </c>
      <c r="B1206" s="624" t="s">
        <v>1156</v>
      </c>
      <c r="C1206" s="629" t="s">
        <v>100</v>
      </c>
      <c r="D1206" s="630">
        <v>0.27</v>
      </c>
      <c r="E1206" s="622"/>
      <c r="F1206" s="334"/>
      <c r="G1206" s="334"/>
      <c r="J1206" s="334"/>
      <c r="K1206" s="334"/>
      <c r="L1206" s="334"/>
      <c r="M1206" s="334"/>
      <c r="N1206" s="334"/>
      <c r="O1206" s="334"/>
    </row>
    <row r="1207" spans="1:15" ht="12.75" hidden="1" customHeight="1" outlineLevel="1" x14ac:dyDescent="0.2">
      <c r="A1207" s="623" t="s">
        <v>2226</v>
      </c>
      <c r="B1207" s="624" t="s">
        <v>1158</v>
      </c>
      <c r="C1207" s="625" t="s">
        <v>100</v>
      </c>
      <c r="D1207" s="626">
        <v>32.42</v>
      </c>
      <c r="E1207" s="622"/>
      <c r="F1207" s="334"/>
      <c r="G1207" s="334"/>
      <c r="J1207" s="334"/>
      <c r="K1207" s="334"/>
      <c r="L1207" s="334"/>
      <c r="M1207" s="334"/>
      <c r="N1207" s="334"/>
      <c r="O1207" s="334"/>
    </row>
    <row r="1208" spans="1:15" ht="12.75" hidden="1" customHeight="1" outlineLevel="1" x14ac:dyDescent="0.2">
      <c r="A1208" s="627" t="s">
        <v>2227</v>
      </c>
      <c r="B1208" s="624" t="s">
        <v>1158</v>
      </c>
      <c r="C1208" s="629" t="s">
        <v>100</v>
      </c>
      <c r="D1208" s="630">
        <v>156.29</v>
      </c>
      <c r="E1208" s="622"/>
      <c r="F1208" s="334"/>
      <c r="G1208" s="334"/>
      <c r="J1208" s="334"/>
      <c r="K1208" s="334"/>
      <c r="L1208" s="334"/>
      <c r="M1208" s="334"/>
      <c r="N1208" s="334"/>
      <c r="O1208" s="334"/>
    </row>
    <row r="1209" spans="1:15" ht="12.75" hidden="1" customHeight="1" outlineLevel="1" x14ac:dyDescent="0.2">
      <c r="A1209" s="623" t="s">
        <v>2228</v>
      </c>
      <c r="B1209" s="624" t="s">
        <v>1158</v>
      </c>
      <c r="C1209" s="625" t="s">
        <v>100</v>
      </c>
      <c r="D1209" s="626">
        <v>7.14</v>
      </c>
      <c r="E1209" s="622"/>
      <c r="F1209" s="334"/>
      <c r="G1209" s="334"/>
      <c r="J1209" s="334"/>
      <c r="K1209" s="334"/>
      <c r="L1209" s="334"/>
      <c r="M1209" s="334"/>
      <c r="N1209" s="334"/>
      <c r="O1209" s="334"/>
    </row>
    <row r="1210" spans="1:15" ht="12.75" hidden="1" customHeight="1" outlineLevel="1" x14ac:dyDescent="0.2">
      <c r="A1210" s="627" t="s">
        <v>2229</v>
      </c>
      <c r="B1210" s="624" t="s">
        <v>1158</v>
      </c>
      <c r="C1210" s="629" t="s">
        <v>100</v>
      </c>
      <c r="D1210" s="630">
        <v>24.34</v>
      </c>
      <c r="E1210" s="622"/>
      <c r="F1210" s="334"/>
      <c r="G1210" s="334"/>
      <c r="J1210" s="334"/>
      <c r="K1210" s="334"/>
      <c r="L1210" s="334"/>
      <c r="M1210" s="334"/>
      <c r="N1210" s="334"/>
      <c r="O1210" s="334"/>
    </row>
    <row r="1211" spans="1:15" ht="12.75" hidden="1" customHeight="1" outlineLevel="1" x14ac:dyDescent="0.2">
      <c r="A1211" s="623" t="s">
        <v>2230</v>
      </c>
      <c r="B1211" s="624" t="s">
        <v>1156</v>
      </c>
      <c r="C1211" s="625" t="s">
        <v>100</v>
      </c>
      <c r="D1211" s="626">
        <v>8.15</v>
      </c>
      <c r="E1211" s="622"/>
      <c r="F1211" s="334"/>
      <c r="G1211" s="334"/>
      <c r="J1211" s="334"/>
      <c r="K1211" s="334"/>
      <c r="L1211" s="334"/>
      <c r="M1211" s="334"/>
      <c r="N1211" s="334"/>
      <c r="O1211" s="334"/>
    </row>
    <row r="1212" spans="1:15" ht="12.75" hidden="1" customHeight="1" outlineLevel="1" x14ac:dyDescent="0.2">
      <c r="A1212" s="627" t="s">
        <v>2231</v>
      </c>
      <c r="B1212" s="624" t="s">
        <v>1158</v>
      </c>
      <c r="C1212" s="629" t="s">
        <v>100</v>
      </c>
      <c r="D1212" s="630">
        <v>1.95</v>
      </c>
      <c r="E1212" s="622"/>
      <c r="F1212" s="334"/>
      <c r="G1212" s="334"/>
      <c r="J1212" s="334"/>
      <c r="K1212" s="334"/>
      <c r="L1212" s="334"/>
      <c r="M1212" s="334"/>
      <c r="N1212" s="334"/>
      <c r="O1212" s="334"/>
    </row>
    <row r="1213" spans="1:15" ht="12.75" hidden="1" customHeight="1" outlineLevel="1" x14ac:dyDescent="0.2">
      <c r="A1213" s="623" t="s">
        <v>2232</v>
      </c>
      <c r="B1213" s="624" t="s">
        <v>1158</v>
      </c>
      <c r="C1213" s="625" t="s">
        <v>100</v>
      </c>
      <c r="D1213" s="626">
        <v>6.77</v>
      </c>
      <c r="E1213" s="622"/>
      <c r="F1213" s="334"/>
      <c r="G1213" s="334"/>
      <c r="J1213" s="334"/>
      <c r="K1213" s="334"/>
      <c r="L1213" s="334"/>
      <c r="M1213" s="334"/>
      <c r="N1213" s="334"/>
      <c r="O1213" s="334"/>
    </row>
    <row r="1214" spans="1:15" ht="12.75" hidden="1" customHeight="1" outlineLevel="1" x14ac:dyDescent="0.2">
      <c r="A1214" s="627" t="s">
        <v>2233</v>
      </c>
      <c r="B1214" s="624" t="s">
        <v>1158</v>
      </c>
      <c r="C1214" s="629" t="s">
        <v>100</v>
      </c>
      <c r="D1214" s="630">
        <v>77.709999999999994</v>
      </c>
      <c r="E1214" s="622"/>
      <c r="F1214" s="334"/>
      <c r="G1214" s="334"/>
      <c r="J1214" s="334"/>
      <c r="K1214" s="334"/>
      <c r="L1214" s="334"/>
      <c r="M1214" s="334"/>
      <c r="N1214" s="334"/>
      <c r="O1214" s="334"/>
    </row>
    <row r="1215" spans="1:15" ht="12.75" hidden="1" customHeight="1" outlineLevel="1" x14ac:dyDescent="0.2">
      <c r="A1215" s="623" t="s">
        <v>2234</v>
      </c>
      <c r="B1215" s="624" t="s">
        <v>1158</v>
      </c>
      <c r="C1215" s="625" t="s">
        <v>100</v>
      </c>
      <c r="D1215" s="626">
        <v>11.78</v>
      </c>
      <c r="E1215" s="622"/>
      <c r="F1215" s="334"/>
      <c r="G1215" s="334"/>
      <c r="J1215" s="334"/>
      <c r="K1215" s="334"/>
      <c r="L1215" s="334"/>
      <c r="M1215" s="334"/>
      <c r="N1215" s="334"/>
      <c r="O1215" s="334"/>
    </row>
    <row r="1216" spans="1:15" ht="12.75" hidden="1" customHeight="1" outlineLevel="1" x14ac:dyDescent="0.2">
      <c r="A1216" s="627" t="s">
        <v>2235</v>
      </c>
      <c r="B1216" s="624" t="s">
        <v>1158</v>
      </c>
      <c r="C1216" s="629" t="s">
        <v>100</v>
      </c>
      <c r="D1216" s="630">
        <v>48.14</v>
      </c>
      <c r="E1216" s="622"/>
      <c r="F1216" s="334"/>
      <c r="G1216" s="334"/>
      <c r="J1216" s="334"/>
      <c r="K1216" s="334"/>
      <c r="L1216" s="334"/>
      <c r="M1216" s="334"/>
      <c r="N1216" s="334"/>
      <c r="O1216" s="334"/>
    </row>
    <row r="1217" spans="1:15" ht="12.75" hidden="1" customHeight="1" outlineLevel="1" x14ac:dyDescent="0.2">
      <c r="A1217" s="618" t="s">
        <v>2236</v>
      </c>
      <c r="B1217" s="619" t="s">
        <v>1112</v>
      </c>
      <c r="C1217" s="620"/>
      <c r="D1217" s="621"/>
      <c r="E1217" s="622"/>
      <c r="F1217" s="334"/>
      <c r="G1217" s="334"/>
      <c r="J1217" s="334"/>
      <c r="K1217" s="334"/>
      <c r="L1217" s="334"/>
      <c r="M1217" s="334"/>
      <c r="N1217" s="334"/>
      <c r="O1217" s="334"/>
    </row>
    <row r="1218" spans="1:15" ht="12.75" hidden="1" customHeight="1" outlineLevel="1" x14ac:dyDescent="0.2">
      <c r="A1218" s="623" t="s">
        <v>2237</v>
      </c>
      <c r="B1218" s="624" t="s">
        <v>1156</v>
      </c>
      <c r="C1218" s="625" t="s">
        <v>100</v>
      </c>
      <c r="D1218" s="626">
        <v>15.68</v>
      </c>
      <c r="E1218" s="622"/>
      <c r="F1218" s="334"/>
      <c r="G1218" s="334"/>
      <c r="J1218" s="334"/>
      <c r="K1218" s="334"/>
      <c r="L1218" s="334"/>
      <c r="M1218" s="334"/>
      <c r="N1218" s="334"/>
      <c r="O1218" s="334"/>
    </row>
    <row r="1219" spans="1:15" ht="12.75" hidden="1" customHeight="1" outlineLevel="1" x14ac:dyDescent="0.2">
      <c r="A1219" s="627" t="s">
        <v>2238</v>
      </c>
      <c r="B1219" s="628" t="s">
        <v>1158</v>
      </c>
      <c r="C1219" s="629" t="s">
        <v>100</v>
      </c>
      <c r="D1219" s="630">
        <v>13.96</v>
      </c>
      <c r="E1219" s="622"/>
      <c r="F1219" s="334"/>
      <c r="G1219" s="334"/>
      <c r="J1219" s="334"/>
      <c r="K1219" s="334"/>
      <c r="L1219" s="334"/>
      <c r="M1219" s="334"/>
      <c r="N1219" s="334"/>
      <c r="O1219" s="334"/>
    </row>
    <row r="1220" spans="1:15" ht="12.75" hidden="1" customHeight="1" outlineLevel="1" x14ac:dyDescent="0.2">
      <c r="A1220" s="623" t="s">
        <v>2239</v>
      </c>
      <c r="B1220" s="628" t="s">
        <v>1158</v>
      </c>
      <c r="C1220" s="625" t="s">
        <v>100</v>
      </c>
      <c r="D1220" s="626">
        <v>3.68</v>
      </c>
      <c r="E1220" s="622"/>
      <c r="F1220" s="334"/>
      <c r="G1220" s="334"/>
      <c r="J1220" s="334"/>
      <c r="K1220" s="334"/>
      <c r="L1220" s="334"/>
      <c r="M1220" s="334"/>
      <c r="N1220" s="334"/>
      <c r="O1220" s="334"/>
    </row>
    <row r="1221" spans="1:15" ht="12.75" hidden="1" customHeight="1" outlineLevel="1" x14ac:dyDescent="0.2">
      <c r="A1221" s="627" t="s">
        <v>2240</v>
      </c>
      <c r="B1221" s="628" t="s">
        <v>1156</v>
      </c>
      <c r="C1221" s="629" t="s">
        <v>100</v>
      </c>
      <c r="D1221" s="630">
        <v>3.09</v>
      </c>
      <c r="E1221" s="622"/>
      <c r="F1221" s="334"/>
      <c r="G1221" s="334"/>
      <c r="J1221" s="334"/>
      <c r="K1221" s="334"/>
      <c r="L1221" s="334"/>
      <c r="M1221" s="334"/>
      <c r="N1221" s="334"/>
      <c r="O1221" s="334"/>
    </row>
    <row r="1222" spans="1:15" ht="12.75" hidden="1" customHeight="1" outlineLevel="1" x14ac:dyDescent="0.2">
      <c r="A1222" s="623" t="s">
        <v>2241</v>
      </c>
      <c r="B1222" s="628" t="s">
        <v>1158</v>
      </c>
      <c r="C1222" s="625" t="s">
        <v>100</v>
      </c>
      <c r="D1222" s="626">
        <v>21.94</v>
      </c>
      <c r="E1222" s="622"/>
      <c r="F1222" s="334"/>
      <c r="G1222" s="334"/>
      <c r="H1222" s="602"/>
      <c r="I1222" s="602"/>
      <c r="J1222" s="334"/>
      <c r="K1222" s="334"/>
      <c r="L1222" s="334"/>
      <c r="M1222" s="334"/>
      <c r="N1222" s="334"/>
      <c r="O1222" s="334"/>
    </row>
    <row r="1223" spans="1:15" ht="12.75" hidden="1" customHeight="1" outlineLevel="1" x14ac:dyDescent="0.2">
      <c r="A1223" s="627" t="s">
        <v>2242</v>
      </c>
      <c r="B1223" s="628" t="s">
        <v>1158</v>
      </c>
      <c r="C1223" s="629" t="s">
        <v>100</v>
      </c>
      <c r="D1223" s="630">
        <v>81.67</v>
      </c>
      <c r="E1223" s="622"/>
      <c r="F1223" s="334"/>
      <c r="G1223" s="334"/>
      <c r="H1223" s="602"/>
      <c r="I1223" s="602"/>
      <c r="J1223" s="334"/>
      <c r="K1223" s="334"/>
      <c r="L1223" s="334"/>
      <c r="M1223" s="334"/>
      <c r="N1223" s="334"/>
      <c r="O1223" s="334"/>
    </row>
    <row r="1224" spans="1:15" ht="12.75" hidden="1" customHeight="1" outlineLevel="1" x14ac:dyDescent="0.2">
      <c r="A1224" s="623" t="s">
        <v>2243</v>
      </c>
      <c r="B1224" s="624" t="s">
        <v>1156</v>
      </c>
      <c r="C1224" s="625" t="s">
        <v>100</v>
      </c>
      <c r="D1224" s="626">
        <v>7.07</v>
      </c>
      <c r="E1224" s="622"/>
      <c r="F1224" s="334"/>
      <c r="G1224" s="334"/>
      <c r="H1224" s="602"/>
      <c r="I1224" s="602"/>
      <c r="J1224" s="334"/>
      <c r="K1224" s="334"/>
      <c r="L1224" s="334"/>
      <c r="M1224" s="334"/>
      <c r="N1224" s="334"/>
      <c r="O1224" s="334"/>
    </row>
    <row r="1225" spans="1:15" ht="12.75" hidden="1" customHeight="1" outlineLevel="1" x14ac:dyDescent="0.2">
      <c r="A1225" s="627" t="s">
        <v>2244</v>
      </c>
      <c r="B1225" s="628" t="s">
        <v>1158</v>
      </c>
      <c r="C1225" s="629" t="s">
        <v>100</v>
      </c>
      <c r="D1225" s="630">
        <v>13.24</v>
      </c>
      <c r="E1225" s="622"/>
      <c r="F1225" s="334"/>
      <c r="J1225" s="334"/>
      <c r="K1225" s="334"/>
      <c r="L1225" s="334"/>
      <c r="M1225" s="334"/>
      <c r="N1225" s="334"/>
      <c r="O1225" s="334"/>
    </row>
    <row r="1226" spans="1:15" ht="12.75" hidden="1" customHeight="1" outlineLevel="1" x14ac:dyDescent="0.2">
      <c r="A1226" s="623" t="s">
        <v>2245</v>
      </c>
      <c r="B1226" s="628" t="s">
        <v>1158</v>
      </c>
      <c r="C1226" s="625" t="s">
        <v>100</v>
      </c>
      <c r="D1226" s="626">
        <v>10.199999999999999</v>
      </c>
      <c r="E1226" s="622"/>
      <c r="F1226" s="334"/>
      <c r="J1226" s="334"/>
      <c r="K1226" s="334"/>
      <c r="L1226" s="334"/>
      <c r="M1226" s="334"/>
      <c r="N1226" s="334"/>
      <c r="O1226" s="334"/>
    </row>
    <row r="1227" spans="1:15" ht="12.75" hidden="1" customHeight="1" outlineLevel="1" x14ac:dyDescent="0.2">
      <c r="A1227" s="627" t="s">
        <v>2246</v>
      </c>
      <c r="B1227" s="628" t="s">
        <v>1158</v>
      </c>
      <c r="C1227" s="629" t="s">
        <v>100</v>
      </c>
      <c r="D1227" s="630">
        <v>1.47</v>
      </c>
      <c r="E1227" s="622"/>
      <c r="F1227" s="334"/>
      <c r="J1227" s="334"/>
      <c r="K1227" s="334"/>
      <c r="L1227" s="334"/>
      <c r="M1227" s="334"/>
      <c r="N1227" s="334"/>
      <c r="O1227" s="334"/>
    </row>
    <row r="1228" spans="1:15" ht="12.75" hidden="1" customHeight="1" outlineLevel="1" x14ac:dyDescent="0.2">
      <c r="A1228" s="623" t="s">
        <v>2247</v>
      </c>
      <c r="B1228" s="628" t="s">
        <v>1158</v>
      </c>
      <c r="C1228" s="625" t="s">
        <v>100</v>
      </c>
      <c r="D1228" s="626">
        <v>3.69</v>
      </c>
      <c r="E1228" s="622"/>
      <c r="F1228" s="334"/>
      <c r="J1228" s="334"/>
      <c r="K1228" s="334"/>
      <c r="L1228" s="334"/>
      <c r="M1228" s="334"/>
      <c r="N1228" s="334"/>
      <c r="O1228" s="334"/>
    </row>
    <row r="1229" spans="1:15" ht="12.75" hidden="1" customHeight="1" outlineLevel="1" x14ac:dyDescent="0.2">
      <c r="A1229" s="627" t="s">
        <v>2248</v>
      </c>
      <c r="B1229" s="628" t="s">
        <v>1158</v>
      </c>
      <c r="C1229" s="629" t="s">
        <v>100</v>
      </c>
      <c r="D1229" s="630">
        <v>11.95</v>
      </c>
      <c r="E1229" s="622"/>
      <c r="F1229" s="334"/>
      <c r="J1229" s="334"/>
      <c r="K1229" s="334"/>
      <c r="L1229" s="334"/>
      <c r="M1229" s="334"/>
      <c r="N1229" s="334"/>
      <c r="O1229" s="334"/>
    </row>
    <row r="1230" spans="1:15" ht="12.75" hidden="1" customHeight="1" outlineLevel="1" x14ac:dyDescent="0.2">
      <c r="A1230" s="618" t="s">
        <v>2249</v>
      </c>
      <c r="B1230" s="619" t="s">
        <v>1127</v>
      </c>
      <c r="C1230" s="620"/>
      <c r="D1230" s="621"/>
      <c r="E1230" s="622"/>
      <c r="F1230" s="334"/>
      <c r="J1230" s="334"/>
      <c r="K1230" s="334"/>
      <c r="L1230" s="334"/>
      <c r="M1230" s="334"/>
      <c r="N1230" s="334"/>
      <c r="O1230" s="334"/>
    </row>
    <row r="1231" spans="1:15" ht="12.75" hidden="1" customHeight="1" outlineLevel="1" x14ac:dyDescent="0.2">
      <c r="A1231" s="623" t="s">
        <v>2250</v>
      </c>
      <c r="B1231" s="624" t="s">
        <v>1156</v>
      </c>
      <c r="C1231" s="625" t="s">
        <v>100</v>
      </c>
      <c r="D1231" s="626">
        <v>2.9</v>
      </c>
      <c r="E1231" s="622"/>
      <c r="F1231" s="334"/>
      <c r="J1231" s="334"/>
      <c r="K1231" s="334"/>
      <c r="L1231" s="334"/>
      <c r="M1231" s="334"/>
      <c r="N1231" s="334"/>
      <c r="O1231" s="334"/>
    </row>
    <row r="1232" spans="1:15" ht="12.75" hidden="1" customHeight="1" outlineLevel="1" x14ac:dyDescent="0.2">
      <c r="A1232" s="627" t="s">
        <v>2251</v>
      </c>
      <c r="B1232" s="628" t="s">
        <v>1158</v>
      </c>
      <c r="C1232" s="629" t="s">
        <v>100</v>
      </c>
      <c r="D1232" s="630">
        <v>2.67</v>
      </c>
      <c r="E1232" s="622"/>
      <c r="F1232" s="334"/>
      <c r="J1232" s="334"/>
      <c r="K1232" s="334"/>
      <c r="L1232" s="334"/>
      <c r="M1232" s="334"/>
      <c r="N1232" s="334"/>
      <c r="O1232" s="334"/>
    </row>
    <row r="1233" spans="1:15" ht="12.75" hidden="1" customHeight="1" outlineLevel="1" x14ac:dyDescent="0.2">
      <c r="A1233" s="623" t="s">
        <v>2252</v>
      </c>
      <c r="B1233" s="628" t="s">
        <v>1158</v>
      </c>
      <c r="C1233" s="625" t="s">
        <v>100</v>
      </c>
      <c r="D1233" s="626">
        <v>12.42</v>
      </c>
      <c r="E1233" s="622"/>
      <c r="F1233" s="334"/>
      <c r="J1233" s="334"/>
      <c r="K1233" s="334"/>
      <c r="L1233" s="334"/>
      <c r="M1233" s="334"/>
      <c r="N1233" s="334"/>
      <c r="O1233" s="334"/>
    </row>
    <row r="1234" spans="1:15" ht="12.75" hidden="1" customHeight="1" outlineLevel="1" x14ac:dyDescent="0.2">
      <c r="A1234" s="627" t="s">
        <v>2253</v>
      </c>
      <c r="B1234" s="628" t="s">
        <v>1156</v>
      </c>
      <c r="C1234" s="629" t="s">
        <v>100</v>
      </c>
      <c r="D1234" s="630">
        <v>0.27</v>
      </c>
      <c r="E1234" s="622"/>
      <c r="F1234" s="334"/>
      <c r="J1234" s="334"/>
      <c r="K1234" s="334"/>
      <c r="L1234" s="334"/>
      <c r="M1234" s="334"/>
      <c r="N1234" s="334"/>
      <c r="O1234" s="334"/>
    </row>
    <row r="1235" spans="1:15" ht="12.75" hidden="1" customHeight="1" outlineLevel="1" x14ac:dyDescent="0.2">
      <c r="A1235" s="623" t="s">
        <v>2254</v>
      </c>
      <c r="B1235" s="628" t="s">
        <v>1158</v>
      </c>
      <c r="C1235" s="625" t="s">
        <v>100</v>
      </c>
      <c r="D1235" s="626">
        <v>12.97</v>
      </c>
      <c r="E1235" s="622"/>
      <c r="F1235" s="334"/>
      <c r="J1235" s="334"/>
      <c r="K1235" s="334"/>
      <c r="L1235" s="334"/>
      <c r="M1235" s="334"/>
      <c r="N1235" s="334"/>
      <c r="O1235" s="334"/>
    </row>
    <row r="1236" spans="1:15" ht="12.75" hidden="1" customHeight="1" outlineLevel="1" x14ac:dyDescent="0.2">
      <c r="A1236" s="627" t="s">
        <v>2255</v>
      </c>
      <c r="B1236" s="628" t="s">
        <v>1156</v>
      </c>
      <c r="C1236" s="629" t="s">
        <v>100</v>
      </c>
      <c r="D1236" s="630">
        <v>7.07</v>
      </c>
      <c r="E1236" s="622"/>
      <c r="F1236" s="334"/>
      <c r="J1236" s="334"/>
      <c r="K1236" s="334"/>
      <c r="L1236" s="334"/>
      <c r="M1236" s="334"/>
      <c r="N1236" s="334"/>
      <c r="O1236" s="334"/>
    </row>
    <row r="1237" spans="1:15" ht="12.75" hidden="1" customHeight="1" outlineLevel="1" x14ac:dyDescent="0.2">
      <c r="A1237" s="623" t="s">
        <v>2256</v>
      </c>
      <c r="B1237" s="628" t="s">
        <v>1158</v>
      </c>
      <c r="C1237" s="625" t="s">
        <v>100</v>
      </c>
      <c r="D1237" s="626">
        <v>112.58</v>
      </c>
      <c r="E1237" s="622"/>
      <c r="F1237" s="334"/>
      <c r="J1237" s="334"/>
      <c r="K1237" s="334"/>
      <c r="L1237" s="334"/>
      <c r="M1237" s="334"/>
      <c r="N1237" s="334"/>
      <c r="O1237" s="334"/>
    </row>
    <row r="1238" spans="1:15" ht="12.75" hidden="1" customHeight="1" outlineLevel="1" x14ac:dyDescent="0.2">
      <c r="A1238" s="627" t="s">
        <v>2257</v>
      </c>
      <c r="B1238" s="628" t="s">
        <v>1158</v>
      </c>
      <c r="C1238" s="629" t="s">
        <v>100</v>
      </c>
      <c r="D1238" s="630">
        <v>1.85</v>
      </c>
      <c r="E1238" s="622"/>
      <c r="F1238" s="334"/>
      <c r="J1238" s="334"/>
      <c r="K1238" s="334"/>
      <c r="L1238" s="334"/>
      <c r="M1238" s="334"/>
      <c r="N1238" s="334"/>
      <c r="O1238" s="334"/>
    </row>
    <row r="1239" spans="1:15" ht="12.75" hidden="1" customHeight="1" outlineLevel="1" x14ac:dyDescent="0.2">
      <c r="A1239" s="623" t="s">
        <v>2258</v>
      </c>
      <c r="B1239" s="628" t="s">
        <v>1158</v>
      </c>
      <c r="C1239" s="625" t="s">
        <v>100</v>
      </c>
      <c r="D1239" s="626">
        <v>33.54</v>
      </c>
      <c r="E1239" s="622"/>
      <c r="F1239" s="334"/>
      <c r="J1239" s="334"/>
      <c r="K1239" s="334"/>
      <c r="L1239" s="334"/>
      <c r="M1239" s="334"/>
      <c r="N1239" s="334"/>
      <c r="O1239" s="334"/>
    </row>
    <row r="1240" spans="1:15" ht="12.75" hidden="1" customHeight="1" outlineLevel="1" x14ac:dyDescent="0.2">
      <c r="A1240" s="627" t="s">
        <v>2259</v>
      </c>
      <c r="B1240" s="628" t="s">
        <v>1158</v>
      </c>
      <c r="C1240" s="629" t="s">
        <v>100</v>
      </c>
      <c r="D1240" s="630">
        <v>0.91</v>
      </c>
      <c r="E1240" s="622"/>
      <c r="F1240" s="334"/>
      <c r="J1240" s="334"/>
      <c r="K1240" s="334"/>
      <c r="L1240" s="334"/>
      <c r="M1240" s="334"/>
      <c r="N1240" s="334"/>
      <c r="O1240" s="334"/>
    </row>
    <row r="1241" spans="1:15" ht="12.75" hidden="1" customHeight="1" outlineLevel="1" x14ac:dyDescent="0.2">
      <c r="A1241" s="623" t="s">
        <v>2260</v>
      </c>
      <c r="B1241" s="628" t="s">
        <v>1158</v>
      </c>
      <c r="C1241" s="625" t="s">
        <v>100</v>
      </c>
      <c r="D1241" s="626">
        <v>5.33</v>
      </c>
      <c r="E1241" s="622"/>
      <c r="F1241" s="334"/>
      <c r="J1241" s="334"/>
      <c r="K1241" s="334"/>
      <c r="L1241" s="334"/>
      <c r="M1241" s="334"/>
      <c r="N1241" s="334"/>
      <c r="O1241" s="334"/>
    </row>
    <row r="1242" spans="1:15" ht="12.75" hidden="1" customHeight="1" outlineLevel="1" x14ac:dyDescent="0.2">
      <c r="A1242" s="627" t="s">
        <v>2261</v>
      </c>
      <c r="B1242" s="628" t="s">
        <v>1158</v>
      </c>
      <c r="C1242" s="629" t="s">
        <v>100</v>
      </c>
      <c r="D1242" s="630">
        <v>5</v>
      </c>
      <c r="E1242" s="622"/>
      <c r="F1242" s="334"/>
      <c r="J1242" s="334"/>
      <c r="K1242" s="334"/>
      <c r="L1242" s="334"/>
      <c r="M1242" s="334"/>
      <c r="N1242" s="334"/>
      <c r="O1242" s="334"/>
    </row>
    <row r="1243" spans="1:15" ht="12.75" hidden="1" customHeight="1" outlineLevel="1" x14ac:dyDescent="0.2">
      <c r="A1243" s="623" t="s">
        <v>2262</v>
      </c>
      <c r="B1243" s="628" t="s">
        <v>1158</v>
      </c>
      <c r="C1243" s="625" t="s">
        <v>100</v>
      </c>
      <c r="D1243" s="626">
        <v>77.63</v>
      </c>
      <c r="E1243" s="622"/>
      <c r="F1243" s="334"/>
      <c r="J1243" s="334"/>
      <c r="K1243" s="334"/>
      <c r="L1243" s="334"/>
      <c r="M1243" s="334"/>
      <c r="N1243" s="334"/>
      <c r="O1243" s="334"/>
    </row>
    <row r="1244" spans="1:15" ht="12.75" hidden="1" customHeight="1" outlineLevel="1" x14ac:dyDescent="0.2">
      <c r="A1244" s="627" t="s">
        <v>2263</v>
      </c>
      <c r="B1244" s="628" t="s">
        <v>2264</v>
      </c>
      <c r="C1244" s="629" t="s">
        <v>100</v>
      </c>
      <c r="D1244" s="630">
        <v>4.58</v>
      </c>
      <c r="E1244" s="622"/>
      <c r="F1244" s="334"/>
      <c r="J1244" s="334"/>
      <c r="K1244" s="334"/>
      <c r="L1244" s="334"/>
      <c r="M1244" s="334"/>
      <c r="N1244" s="334"/>
      <c r="O1244" s="334"/>
    </row>
    <row r="1245" spans="1:15" ht="12.75" hidden="1" customHeight="1" outlineLevel="1" x14ac:dyDescent="0.2">
      <c r="A1245" s="618" t="s">
        <v>2265</v>
      </c>
      <c r="B1245" s="619" t="s">
        <v>1137</v>
      </c>
      <c r="C1245" s="620"/>
      <c r="D1245" s="621"/>
      <c r="E1245" s="622"/>
      <c r="F1245" s="334"/>
      <c r="J1245" s="334"/>
      <c r="K1245" s="334"/>
      <c r="L1245" s="334"/>
      <c r="M1245" s="334"/>
      <c r="N1245" s="334"/>
      <c r="O1245" s="334"/>
    </row>
    <row r="1246" spans="1:15" ht="12.75" hidden="1" customHeight="1" outlineLevel="1" x14ac:dyDescent="0.2">
      <c r="A1246" s="623" t="s">
        <v>2266</v>
      </c>
      <c r="B1246" s="628" t="s">
        <v>1156</v>
      </c>
      <c r="C1246" s="625" t="s">
        <v>100</v>
      </c>
      <c r="D1246" s="626">
        <v>2.93</v>
      </c>
      <c r="E1246" s="622"/>
      <c r="F1246" s="334"/>
      <c r="J1246" s="334"/>
      <c r="K1246" s="334"/>
      <c r="L1246" s="334"/>
      <c r="M1246" s="334"/>
      <c r="N1246" s="334"/>
      <c r="O1246" s="334"/>
    </row>
    <row r="1247" spans="1:15" ht="12.75" hidden="1" customHeight="1" outlineLevel="1" x14ac:dyDescent="0.2">
      <c r="A1247" s="627" t="s">
        <v>2267</v>
      </c>
      <c r="B1247" s="628" t="s">
        <v>1156</v>
      </c>
      <c r="C1247" s="629" t="s">
        <v>100</v>
      </c>
      <c r="D1247" s="630">
        <v>10.199999999999999</v>
      </c>
      <c r="E1247" s="622"/>
      <c r="F1247" s="334"/>
      <c r="J1247" s="334"/>
      <c r="K1247" s="334"/>
      <c r="L1247" s="334"/>
      <c r="M1247" s="334"/>
      <c r="N1247" s="334"/>
      <c r="O1247" s="334"/>
    </row>
    <row r="1248" spans="1:15" ht="12.75" hidden="1" customHeight="1" outlineLevel="1" x14ac:dyDescent="0.2">
      <c r="A1248" s="623" t="s">
        <v>2268</v>
      </c>
      <c r="B1248" s="628" t="s">
        <v>1156</v>
      </c>
      <c r="C1248" s="625" t="s">
        <v>100</v>
      </c>
      <c r="D1248" s="626">
        <v>0.27</v>
      </c>
      <c r="E1248" s="622"/>
      <c r="F1248" s="334"/>
      <c r="J1248" s="334"/>
      <c r="K1248" s="334"/>
      <c r="L1248" s="334"/>
      <c r="M1248" s="334"/>
      <c r="N1248" s="334"/>
      <c r="O1248" s="334"/>
    </row>
    <row r="1249" spans="1:15" ht="12.75" hidden="1" customHeight="1" outlineLevel="1" x14ac:dyDescent="0.2">
      <c r="A1249" s="627" t="s">
        <v>2269</v>
      </c>
      <c r="B1249" s="628" t="s">
        <v>1156</v>
      </c>
      <c r="C1249" s="629" t="s">
        <v>100</v>
      </c>
      <c r="D1249" s="630">
        <v>16.66</v>
      </c>
      <c r="E1249" s="622"/>
      <c r="F1249" s="334"/>
      <c r="J1249" s="334"/>
      <c r="K1249" s="334"/>
      <c r="L1249" s="334"/>
      <c r="M1249" s="334"/>
      <c r="N1249" s="334"/>
      <c r="O1249" s="334"/>
    </row>
    <row r="1250" spans="1:15" ht="12.75" customHeight="1" x14ac:dyDescent="0.2">
      <c r="A1250" s="614" t="s">
        <v>2270</v>
      </c>
      <c r="B1250" s="615" t="s">
        <v>2271</v>
      </c>
      <c r="C1250" s="616"/>
      <c r="D1250" s="617"/>
      <c r="E1250" s="622"/>
      <c r="F1250" s="334"/>
      <c r="J1250" s="334"/>
      <c r="K1250" s="334"/>
      <c r="L1250" s="334"/>
      <c r="M1250" s="334"/>
      <c r="N1250" s="334"/>
      <c r="O1250" s="334"/>
    </row>
    <row r="1251" spans="1:15" ht="12.75" customHeight="1" x14ac:dyDescent="0.2">
      <c r="A1251" s="618" t="s">
        <v>2272</v>
      </c>
      <c r="B1251" s="619" t="s">
        <v>1127</v>
      </c>
      <c r="C1251" s="620"/>
      <c r="D1251" s="621"/>
      <c r="E1251" s="622"/>
      <c r="F1251" s="334"/>
      <c r="J1251" s="334"/>
      <c r="K1251" s="334"/>
      <c r="L1251" s="334"/>
      <c r="M1251" s="334"/>
      <c r="N1251" s="334"/>
      <c r="O1251" s="334"/>
    </row>
    <row r="1252" spans="1:15" ht="12.75" customHeight="1" x14ac:dyDescent="0.2">
      <c r="A1252" s="623" t="s">
        <v>2273</v>
      </c>
      <c r="B1252" s="624" t="s">
        <v>1162</v>
      </c>
      <c r="C1252" s="625" t="s">
        <v>100</v>
      </c>
      <c r="D1252" s="626">
        <v>64.849999999999994</v>
      </c>
      <c r="E1252" s="622"/>
      <c r="F1252" s="334"/>
      <c r="J1252" s="334"/>
      <c r="K1252" s="334"/>
      <c r="L1252" s="334"/>
      <c r="M1252" s="334"/>
      <c r="N1252" s="334"/>
      <c r="O1252" s="334"/>
    </row>
    <row r="1253" spans="1:15" ht="12.75" customHeight="1" x14ac:dyDescent="0.2">
      <c r="A1253" s="614" t="s">
        <v>2274</v>
      </c>
      <c r="B1253" s="615" t="s">
        <v>502</v>
      </c>
      <c r="C1253" s="616"/>
      <c r="D1253" s="617"/>
      <c r="E1253" s="622"/>
      <c r="F1253" s="334"/>
      <c r="J1253" s="334"/>
      <c r="K1253" s="334"/>
      <c r="L1253" s="334"/>
      <c r="M1253" s="334"/>
      <c r="N1253" s="334"/>
      <c r="O1253" s="334"/>
    </row>
    <row r="1254" spans="1:15" ht="12.75" customHeight="1" x14ac:dyDescent="0.2">
      <c r="A1254" s="618" t="s">
        <v>2275</v>
      </c>
      <c r="B1254" s="619" t="s">
        <v>1127</v>
      </c>
      <c r="C1254" s="620"/>
      <c r="D1254" s="621"/>
      <c r="E1254" s="622"/>
      <c r="F1254" s="334"/>
      <c r="J1254" s="334"/>
      <c r="K1254" s="334"/>
      <c r="L1254" s="334"/>
      <c r="M1254" s="334"/>
      <c r="N1254" s="334"/>
      <c r="O1254" s="334"/>
    </row>
    <row r="1255" spans="1:15" ht="12.75" customHeight="1" x14ac:dyDescent="0.2">
      <c r="A1255" s="627" t="s">
        <v>2276</v>
      </c>
      <c r="B1255" s="628" t="s">
        <v>1164</v>
      </c>
      <c r="C1255" s="629" t="s">
        <v>100</v>
      </c>
      <c r="D1255" s="630">
        <v>29.57</v>
      </c>
      <c r="E1255" s="622"/>
      <c r="F1255" s="334"/>
      <c r="J1255" s="334"/>
      <c r="K1255" s="334"/>
      <c r="L1255" s="334"/>
      <c r="M1255" s="334"/>
      <c r="N1255" s="334"/>
      <c r="O1255" s="334"/>
    </row>
    <row r="1256" spans="1:15" ht="12.75" customHeight="1" collapsed="1" x14ac:dyDescent="0.2">
      <c r="A1256" s="614" t="s">
        <v>2277</v>
      </c>
      <c r="B1256" s="615" t="s">
        <v>2278</v>
      </c>
      <c r="C1256" s="616"/>
      <c r="D1256" s="617"/>
      <c r="E1256" s="622"/>
      <c r="F1256" s="334"/>
      <c r="J1256" s="334"/>
      <c r="K1256" s="334"/>
      <c r="L1256" s="334"/>
      <c r="M1256" s="334"/>
      <c r="N1256" s="334"/>
      <c r="O1256" s="334"/>
    </row>
    <row r="1257" spans="1:15" ht="12.75" hidden="1" customHeight="1" outlineLevel="1" x14ac:dyDescent="0.2">
      <c r="A1257" s="618" t="s">
        <v>2279</v>
      </c>
      <c r="B1257" s="619" t="s">
        <v>1009</v>
      </c>
      <c r="C1257" s="620"/>
      <c r="D1257" s="621"/>
      <c r="E1257" s="622"/>
      <c r="F1257" s="334"/>
      <c r="J1257" s="334"/>
      <c r="K1257" s="334"/>
      <c r="L1257" s="334"/>
      <c r="M1257" s="334"/>
      <c r="N1257" s="334"/>
      <c r="O1257" s="334"/>
    </row>
    <row r="1258" spans="1:15" ht="12.75" hidden="1" customHeight="1" outlineLevel="1" x14ac:dyDescent="0.2">
      <c r="A1258" s="623" t="s">
        <v>2280</v>
      </c>
      <c r="B1258" s="624" t="s">
        <v>1166</v>
      </c>
      <c r="C1258" s="625" t="s">
        <v>100</v>
      </c>
      <c r="D1258" s="626">
        <v>23.7</v>
      </c>
      <c r="E1258" s="622"/>
      <c r="F1258" s="334"/>
      <c r="J1258" s="334"/>
      <c r="K1258" s="334"/>
      <c r="L1258" s="334"/>
      <c r="M1258" s="334"/>
      <c r="N1258" s="334"/>
      <c r="O1258" s="334"/>
    </row>
    <row r="1259" spans="1:15" ht="12.75" hidden="1" customHeight="1" outlineLevel="1" x14ac:dyDescent="0.2">
      <c r="A1259" s="627" t="s">
        <v>2281</v>
      </c>
      <c r="B1259" s="628" t="s">
        <v>1168</v>
      </c>
      <c r="C1259" s="629" t="s">
        <v>100</v>
      </c>
      <c r="D1259" s="630">
        <v>0.38</v>
      </c>
      <c r="E1259" s="622"/>
      <c r="F1259" s="334"/>
      <c r="J1259" s="334"/>
      <c r="K1259" s="334"/>
      <c r="L1259" s="334"/>
      <c r="M1259" s="334"/>
      <c r="N1259" s="334"/>
      <c r="O1259" s="334"/>
    </row>
    <row r="1260" spans="1:15" ht="12.75" hidden="1" customHeight="1" outlineLevel="1" x14ac:dyDescent="0.2">
      <c r="A1260" s="618" t="s">
        <v>2282</v>
      </c>
      <c r="B1260" s="619" t="s">
        <v>1017</v>
      </c>
      <c r="C1260" s="620"/>
      <c r="D1260" s="621"/>
      <c r="E1260" s="622"/>
      <c r="F1260" s="334"/>
      <c r="J1260" s="334"/>
      <c r="K1260" s="334"/>
      <c r="L1260" s="334"/>
      <c r="M1260" s="334"/>
      <c r="N1260" s="334"/>
      <c r="O1260" s="334"/>
    </row>
    <row r="1261" spans="1:15" ht="12.75" hidden="1" customHeight="1" outlineLevel="1" x14ac:dyDescent="0.2">
      <c r="A1261" s="623" t="s">
        <v>2283</v>
      </c>
      <c r="B1261" s="624" t="s">
        <v>1166</v>
      </c>
      <c r="C1261" s="625" t="s">
        <v>100</v>
      </c>
      <c r="D1261" s="626">
        <v>10.11</v>
      </c>
      <c r="E1261" s="622"/>
      <c r="F1261" s="334"/>
      <c r="J1261" s="334"/>
      <c r="K1261" s="334"/>
      <c r="L1261" s="334"/>
      <c r="M1261" s="334"/>
      <c r="N1261" s="334"/>
      <c r="O1261" s="334"/>
    </row>
    <row r="1262" spans="1:15" ht="12.75" hidden="1" customHeight="1" outlineLevel="1" x14ac:dyDescent="0.2">
      <c r="A1262" s="627" t="s">
        <v>2284</v>
      </c>
      <c r="B1262" s="628" t="s">
        <v>1168</v>
      </c>
      <c r="C1262" s="629" t="s">
        <v>100</v>
      </c>
      <c r="D1262" s="630">
        <v>0.38</v>
      </c>
      <c r="E1262" s="622"/>
      <c r="F1262" s="334"/>
      <c r="J1262" s="334"/>
      <c r="K1262" s="334"/>
      <c r="L1262" s="334"/>
      <c r="M1262" s="334"/>
      <c r="N1262" s="334"/>
      <c r="O1262" s="334"/>
    </row>
    <row r="1263" spans="1:15" ht="12.75" hidden="1" customHeight="1" outlineLevel="1" x14ac:dyDescent="0.2">
      <c r="A1263" s="618" t="s">
        <v>2285</v>
      </c>
      <c r="B1263" s="619" t="s">
        <v>1021</v>
      </c>
      <c r="C1263" s="620"/>
      <c r="D1263" s="621"/>
      <c r="E1263" s="622"/>
      <c r="F1263" s="334"/>
      <c r="J1263" s="334"/>
      <c r="K1263" s="334"/>
      <c r="L1263" s="334"/>
      <c r="M1263" s="334"/>
      <c r="N1263" s="334"/>
      <c r="O1263" s="334"/>
    </row>
    <row r="1264" spans="1:15" ht="12.75" hidden="1" customHeight="1" outlineLevel="1" x14ac:dyDescent="0.2">
      <c r="A1264" s="623" t="s">
        <v>2286</v>
      </c>
      <c r="B1264" s="624" t="s">
        <v>1170</v>
      </c>
      <c r="C1264" s="625" t="s">
        <v>100</v>
      </c>
      <c r="D1264" s="626">
        <v>6.15</v>
      </c>
      <c r="E1264" s="622"/>
      <c r="F1264" s="334"/>
      <c r="J1264" s="334"/>
      <c r="K1264" s="334"/>
      <c r="L1264" s="334"/>
      <c r="M1264" s="334"/>
      <c r="N1264" s="334"/>
      <c r="O1264" s="334"/>
    </row>
    <row r="1265" spans="1:15" ht="12.75" hidden="1" customHeight="1" outlineLevel="1" x14ac:dyDescent="0.2">
      <c r="A1265" s="627" t="s">
        <v>2287</v>
      </c>
      <c r="B1265" s="628" t="s">
        <v>1166</v>
      </c>
      <c r="C1265" s="629" t="s">
        <v>100</v>
      </c>
      <c r="D1265" s="630">
        <v>41.1</v>
      </c>
      <c r="E1265" s="622"/>
      <c r="F1265" s="334"/>
      <c r="J1265" s="334"/>
      <c r="K1265" s="334"/>
      <c r="L1265" s="334"/>
      <c r="M1265" s="334"/>
      <c r="N1265" s="334"/>
      <c r="O1265" s="334"/>
    </row>
    <row r="1266" spans="1:15" ht="12.75" hidden="1" customHeight="1" outlineLevel="1" x14ac:dyDescent="0.2">
      <c r="A1266" s="623" t="s">
        <v>2288</v>
      </c>
      <c r="B1266" s="624" t="s">
        <v>1168</v>
      </c>
      <c r="C1266" s="625" t="s">
        <v>100</v>
      </c>
      <c r="D1266" s="626">
        <v>0.38</v>
      </c>
      <c r="E1266" s="622"/>
      <c r="F1266" s="334"/>
      <c r="J1266" s="334"/>
      <c r="K1266" s="334"/>
      <c r="L1266" s="334"/>
      <c r="M1266" s="334"/>
      <c r="N1266" s="334"/>
      <c r="O1266" s="334"/>
    </row>
    <row r="1267" spans="1:15" ht="12.75" hidden="1" customHeight="1" outlineLevel="1" x14ac:dyDescent="0.2">
      <c r="A1267" s="627" t="s">
        <v>2289</v>
      </c>
      <c r="B1267" s="628" t="s">
        <v>2290</v>
      </c>
      <c r="C1267" s="629" t="s">
        <v>100</v>
      </c>
      <c r="D1267" s="630">
        <v>11.4</v>
      </c>
      <c r="E1267" s="622"/>
      <c r="F1267" s="334"/>
      <c r="J1267" s="334"/>
      <c r="K1267" s="334"/>
      <c r="L1267" s="334"/>
      <c r="M1267" s="334"/>
      <c r="N1267" s="334"/>
      <c r="O1267" s="334"/>
    </row>
    <row r="1268" spans="1:15" ht="12.75" hidden="1" customHeight="1" outlineLevel="1" x14ac:dyDescent="0.2">
      <c r="A1268" s="618" t="s">
        <v>2291</v>
      </c>
      <c r="B1268" s="619" t="s">
        <v>1030</v>
      </c>
      <c r="C1268" s="620"/>
      <c r="D1268" s="621"/>
      <c r="E1268" s="622"/>
      <c r="F1268" s="334"/>
      <c r="J1268" s="334"/>
      <c r="K1268" s="334"/>
      <c r="L1268" s="334"/>
      <c r="M1268" s="334"/>
      <c r="N1268" s="334"/>
      <c r="O1268" s="334"/>
    </row>
    <row r="1269" spans="1:15" ht="12.75" hidden="1" customHeight="1" outlineLevel="1" x14ac:dyDescent="0.2">
      <c r="A1269" s="623" t="s">
        <v>2292</v>
      </c>
      <c r="B1269" s="624" t="s">
        <v>1170</v>
      </c>
      <c r="C1269" s="625" t="s">
        <v>100</v>
      </c>
      <c r="D1269" s="626">
        <v>6.15</v>
      </c>
      <c r="E1269" s="622"/>
      <c r="F1269" s="334"/>
      <c r="J1269" s="334"/>
      <c r="K1269" s="334"/>
      <c r="L1269" s="334"/>
      <c r="M1269" s="334"/>
      <c r="N1269" s="334"/>
      <c r="O1269" s="334"/>
    </row>
    <row r="1270" spans="1:15" ht="12.75" hidden="1" customHeight="1" outlineLevel="1" x14ac:dyDescent="0.2">
      <c r="A1270" s="627" t="s">
        <v>2293</v>
      </c>
      <c r="B1270" s="628" t="s">
        <v>1166</v>
      </c>
      <c r="C1270" s="629" t="s">
        <v>100</v>
      </c>
      <c r="D1270" s="630">
        <v>3.87</v>
      </c>
      <c r="E1270" s="622"/>
      <c r="F1270" s="334"/>
      <c r="J1270" s="334"/>
      <c r="K1270" s="334"/>
      <c r="L1270" s="334"/>
      <c r="M1270" s="334"/>
      <c r="N1270" s="334"/>
      <c r="O1270" s="334"/>
    </row>
    <row r="1271" spans="1:15" ht="12.75" hidden="1" customHeight="1" outlineLevel="1" x14ac:dyDescent="0.2">
      <c r="A1271" s="623" t="s">
        <v>2294</v>
      </c>
      <c r="B1271" s="624" t="s">
        <v>1168</v>
      </c>
      <c r="C1271" s="625" t="s">
        <v>100</v>
      </c>
      <c r="D1271" s="626">
        <v>0.38</v>
      </c>
      <c r="E1271" s="622"/>
      <c r="F1271" s="334"/>
      <c r="J1271" s="334"/>
      <c r="K1271" s="334"/>
      <c r="L1271" s="334"/>
      <c r="M1271" s="334"/>
      <c r="N1271" s="334"/>
      <c r="O1271" s="334"/>
    </row>
    <row r="1272" spans="1:15" ht="12.75" hidden="1" customHeight="1" outlineLevel="1" x14ac:dyDescent="0.2">
      <c r="A1272" s="627" t="s">
        <v>2295</v>
      </c>
      <c r="B1272" s="628" t="s">
        <v>2290</v>
      </c>
      <c r="C1272" s="629" t="s">
        <v>100</v>
      </c>
      <c r="D1272" s="630">
        <v>8.26</v>
      </c>
      <c r="E1272" s="622"/>
      <c r="F1272" s="334"/>
      <c r="K1272" s="334"/>
      <c r="L1272" s="334"/>
      <c r="M1272" s="334"/>
      <c r="N1272" s="334"/>
      <c r="O1272" s="334"/>
    </row>
    <row r="1273" spans="1:15" ht="12.75" hidden="1" customHeight="1" outlineLevel="1" x14ac:dyDescent="0.2">
      <c r="A1273" s="618" t="s">
        <v>2296</v>
      </c>
      <c r="B1273" s="619" t="s">
        <v>1039</v>
      </c>
      <c r="C1273" s="620"/>
      <c r="D1273" s="621"/>
      <c r="E1273" s="622"/>
      <c r="F1273" s="334"/>
      <c r="K1273" s="334"/>
      <c r="L1273" s="334"/>
      <c r="M1273" s="334"/>
      <c r="N1273" s="334"/>
      <c r="O1273" s="334"/>
    </row>
    <row r="1274" spans="1:15" ht="12.75" hidden="1" customHeight="1" outlineLevel="1" x14ac:dyDescent="0.2">
      <c r="A1274" s="623" t="s">
        <v>2297</v>
      </c>
      <c r="B1274" s="624" t="s">
        <v>1170</v>
      </c>
      <c r="C1274" s="625" t="s">
        <v>100</v>
      </c>
      <c r="D1274" s="626">
        <v>4.1500000000000004</v>
      </c>
      <c r="E1274" s="622"/>
      <c r="F1274" s="334"/>
      <c r="K1274" s="334"/>
      <c r="L1274" s="334"/>
      <c r="M1274" s="334"/>
      <c r="N1274" s="334"/>
      <c r="O1274" s="334"/>
    </row>
    <row r="1275" spans="1:15" ht="12.75" hidden="1" customHeight="1" outlineLevel="1" x14ac:dyDescent="0.2">
      <c r="A1275" s="627" t="s">
        <v>2298</v>
      </c>
      <c r="B1275" s="628" t="s">
        <v>1166</v>
      </c>
      <c r="C1275" s="629" t="s">
        <v>100</v>
      </c>
      <c r="D1275" s="630">
        <v>3.87</v>
      </c>
      <c r="E1275" s="622"/>
      <c r="F1275" s="334"/>
      <c r="K1275" s="334"/>
      <c r="L1275" s="334"/>
      <c r="M1275" s="334"/>
      <c r="N1275" s="334"/>
      <c r="O1275" s="334"/>
    </row>
    <row r="1276" spans="1:15" ht="12.75" hidden="1" customHeight="1" outlineLevel="1" x14ac:dyDescent="0.2">
      <c r="A1276" s="623" t="s">
        <v>2299</v>
      </c>
      <c r="B1276" s="624" t="s">
        <v>1168</v>
      </c>
      <c r="C1276" s="625" t="s">
        <v>100</v>
      </c>
      <c r="D1276" s="626">
        <v>0.38</v>
      </c>
      <c r="E1276" s="622"/>
      <c r="F1276" s="334"/>
      <c r="K1276" s="334"/>
      <c r="L1276" s="334"/>
      <c r="M1276" s="334"/>
      <c r="N1276" s="334"/>
      <c r="O1276" s="334"/>
    </row>
    <row r="1277" spans="1:15" ht="12.75" hidden="1" customHeight="1" outlineLevel="1" x14ac:dyDescent="0.2">
      <c r="A1277" s="627" t="s">
        <v>2300</v>
      </c>
      <c r="B1277" s="628" t="s">
        <v>2290</v>
      </c>
      <c r="C1277" s="629" t="s">
        <v>100</v>
      </c>
      <c r="D1277" s="630">
        <v>8.26</v>
      </c>
      <c r="E1277" s="622"/>
      <c r="F1277" s="334"/>
      <c r="K1277" s="334"/>
      <c r="L1277" s="334"/>
      <c r="M1277" s="334"/>
      <c r="N1277" s="334"/>
      <c r="O1277" s="334"/>
    </row>
    <row r="1278" spans="1:15" ht="12.75" hidden="1" customHeight="1" outlineLevel="1" x14ac:dyDescent="0.2">
      <c r="A1278" s="618" t="s">
        <v>2301</v>
      </c>
      <c r="B1278" s="619" t="s">
        <v>1047</v>
      </c>
      <c r="C1278" s="620"/>
      <c r="D1278" s="621"/>
      <c r="E1278" s="622"/>
      <c r="F1278" s="334"/>
      <c r="K1278" s="334"/>
      <c r="L1278" s="334"/>
      <c r="M1278" s="334"/>
      <c r="N1278" s="334"/>
      <c r="O1278" s="334"/>
    </row>
    <row r="1279" spans="1:15" ht="12.75" hidden="1" customHeight="1" outlineLevel="1" x14ac:dyDescent="0.2">
      <c r="A1279" s="623" t="s">
        <v>2302</v>
      </c>
      <c r="B1279" s="624" t="s">
        <v>1170</v>
      </c>
      <c r="C1279" s="625" t="s">
        <v>100</v>
      </c>
      <c r="D1279" s="626">
        <v>6.15</v>
      </c>
      <c r="E1279" s="622"/>
      <c r="F1279" s="334"/>
      <c r="K1279" s="334"/>
      <c r="L1279" s="334"/>
      <c r="M1279" s="334"/>
      <c r="N1279" s="334"/>
      <c r="O1279" s="334"/>
    </row>
    <row r="1280" spans="1:15" ht="12.75" hidden="1" customHeight="1" outlineLevel="1" x14ac:dyDescent="0.2">
      <c r="A1280" s="627" t="s">
        <v>2303</v>
      </c>
      <c r="B1280" s="628" t="s">
        <v>1166</v>
      </c>
      <c r="C1280" s="629" t="s">
        <v>100</v>
      </c>
      <c r="D1280" s="630">
        <v>3.87</v>
      </c>
      <c r="E1280" s="622"/>
      <c r="F1280" s="334"/>
      <c r="K1280" s="334"/>
      <c r="L1280" s="334"/>
      <c r="M1280" s="334"/>
      <c r="N1280" s="334"/>
      <c r="O1280" s="334"/>
    </row>
    <row r="1281" spans="1:15" ht="12.75" hidden="1" customHeight="1" outlineLevel="1" x14ac:dyDescent="0.2">
      <c r="A1281" s="623" t="s">
        <v>2304</v>
      </c>
      <c r="B1281" s="624" t="s">
        <v>1168</v>
      </c>
      <c r="C1281" s="625" t="s">
        <v>100</v>
      </c>
      <c r="D1281" s="626">
        <v>0.38</v>
      </c>
      <c r="E1281" s="622"/>
      <c r="F1281" s="334"/>
      <c r="K1281" s="334"/>
      <c r="L1281" s="334"/>
      <c r="M1281" s="334"/>
      <c r="N1281" s="334"/>
      <c r="O1281" s="334"/>
    </row>
    <row r="1282" spans="1:15" ht="12.75" hidden="1" customHeight="1" outlineLevel="1" x14ac:dyDescent="0.2">
      <c r="A1282" s="627" t="s">
        <v>2305</v>
      </c>
      <c r="B1282" s="628" t="s">
        <v>2290</v>
      </c>
      <c r="C1282" s="629" t="s">
        <v>100</v>
      </c>
      <c r="D1282" s="630">
        <v>8.26</v>
      </c>
      <c r="E1282" s="622"/>
      <c r="F1282" s="334"/>
      <c r="K1282" s="334"/>
      <c r="L1282" s="334"/>
      <c r="M1282" s="334"/>
      <c r="N1282" s="334"/>
      <c r="O1282" s="334"/>
    </row>
    <row r="1283" spans="1:15" ht="12.75" hidden="1" customHeight="1" outlineLevel="1" x14ac:dyDescent="0.2">
      <c r="A1283" s="618" t="s">
        <v>2306</v>
      </c>
      <c r="B1283" s="619" t="s">
        <v>1058</v>
      </c>
      <c r="C1283" s="620"/>
      <c r="D1283" s="621"/>
      <c r="E1283" s="622"/>
      <c r="F1283" s="334"/>
      <c r="K1283" s="334"/>
      <c r="L1283" s="334"/>
      <c r="M1283" s="334"/>
      <c r="N1283" s="334"/>
      <c r="O1283" s="334"/>
    </row>
    <row r="1284" spans="1:15" ht="12.75" hidden="1" customHeight="1" outlineLevel="1" x14ac:dyDescent="0.2">
      <c r="A1284" s="623" t="s">
        <v>2307</v>
      </c>
      <c r="B1284" s="624" t="s">
        <v>1170</v>
      </c>
      <c r="C1284" s="625" t="s">
        <v>100</v>
      </c>
      <c r="D1284" s="626">
        <v>6.15</v>
      </c>
      <c r="E1284" s="622"/>
      <c r="F1284" s="334"/>
      <c r="K1284" s="334"/>
      <c r="L1284" s="334"/>
      <c r="M1284" s="334"/>
      <c r="N1284" s="334"/>
      <c r="O1284" s="334"/>
    </row>
    <row r="1285" spans="1:15" ht="12.75" hidden="1" customHeight="1" outlineLevel="1" x14ac:dyDescent="0.2">
      <c r="A1285" s="627" t="s">
        <v>2308</v>
      </c>
      <c r="B1285" s="628" t="s">
        <v>1166</v>
      </c>
      <c r="C1285" s="629" t="s">
        <v>100</v>
      </c>
      <c r="D1285" s="630">
        <v>3.87</v>
      </c>
      <c r="E1285" s="622"/>
      <c r="F1285" s="334"/>
      <c r="K1285" s="334"/>
      <c r="L1285" s="334"/>
      <c r="M1285" s="334"/>
      <c r="N1285" s="334"/>
      <c r="O1285" s="334"/>
    </row>
    <row r="1286" spans="1:15" ht="12.75" hidden="1" customHeight="1" outlineLevel="1" x14ac:dyDescent="0.2">
      <c r="A1286" s="623" t="s">
        <v>2309</v>
      </c>
      <c r="B1286" s="624" t="s">
        <v>1168</v>
      </c>
      <c r="C1286" s="625" t="s">
        <v>100</v>
      </c>
      <c r="D1286" s="626">
        <v>0.38</v>
      </c>
      <c r="E1286" s="622"/>
      <c r="F1286" s="334"/>
      <c r="K1286" s="334"/>
      <c r="L1286" s="334"/>
      <c r="M1286" s="334"/>
      <c r="N1286" s="334"/>
      <c r="O1286" s="334"/>
    </row>
    <row r="1287" spans="1:15" ht="12.75" hidden="1" customHeight="1" outlineLevel="1" x14ac:dyDescent="0.2">
      <c r="A1287" s="627" t="s">
        <v>2310</v>
      </c>
      <c r="B1287" s="628" t="s">
        <v>2290</v>
      </c>
      <c r="C1287" s="629" t="s">
        <v>100</v>
      </c>
      <c r="D1287" s="630">
        <v>8.26</v>
      </c>
      <c r="E1287" s="622"/>
      <c r="F1287" s="334"/>
      <c r="K1287" s="334"/>
      <c r="L1287" s="334"/>
      <c r="M1287" s="334"/>
      <c r="N1287" s="334"/>
      <c r="O1287" s="334"/>
    </row>
    <row r="1288" spans="1:15" ht="12.75" hidden="1" customHeight="1" outlineLevel="1" x14ac:dyDescent="0.2">
      <c r="A1288" s="618" t="s">
        <v>2311</v>
      </c>
      <c r="B1288" s="619" t="s">
        <v>1069</v>
      </c>
      <c r="C1288" s="620"/>
      <c r="D1288" s="621"/>
      <c r="E1288" s="622"/>
      <c r="F1288" s="334"/>
      <c r="K1288" s="334"/>
      <c r="L1288" s="334"/>
      <c r="M1288" s="334"/>
      <c r="N1288" s="334"/>
      <c r="O1288" s="334"/>
    </row>
    <row r="1289" spans="1:15" ht="12.75" hidden="1" customHeight="1" outlineLevel="1" x14ac:dyDescent="0.2">
      <c r="A1289" s="623" t="s">
        <v>2312</v>
      </c>
      <c r="B1289" s="624" t="s">
        <v>1170</v>
      </c>
      <c r="C1289" s="625" t="s">
        <v>100</v>
      </c>
      <c r="D1289" s="626">
        <v>6.15</v>
      </c>
      <c r="E1289" s="622"/>
      <c r="F1289" s="334"/>
      <c r="K1289" s="334"/>
      <c r="L1289" s="334"/>
      <c r="M1289" s="334"/>
      <c r="N1289" s="334"/>
      <c r="O1289" s="334"/>
    </row>
    <row r="1290" spans="1:15" ht="12.75" hidden="1" customHeight="1" outlineLevel="1" x14ac:dyDescent="0.2">
      <c r="A1290" s="627" t="s">
        <v>2313</v>
      </c>
      <c r="B1290" s="628" t="s">
        <v>1166</v>
      </c>
      <c r="C1290" s="629" t="s">
        <v>100</v>
      </c>
      <c r="D1290" s="630">
        <v>3.87</v>
      </c>
      <c r="E1290" s="622"/>
      <c r="F1290" s="334"/>
      <c r="J1290" s="334"/>
      <c r="K1290" s="334"/>
      <c r="L1290" s="334"/>
      <c r="M1290" s="334"/>
      <c r="N1290" s="334"/>
      <c r="O1290" s="334"/>
    </row>
    <row r="1291" spans="1:15" ht="12.75" hidden="1" customHeight="1" outlineLevel="1" x14ac:dyDescent="0.2">
      <c r="A1291" s="623" t="s">
        <v>2314</v>
      </c>
      <c r="B1291" s="624" t="s">
        <v>1168</v>
      </c>
      <c r="C1291" s="625" t="s">
        <v>100</v>
      </c>
      <c r="D1291" s="626">
        <v>0.38</v>
      </c>
      <c r="E1291" s="622"/>
      <c r="F1291" s="334"/>
      <c r="J1291" s="334"/>
      <c r="K1291" s="334"/>
      <c r="L1291" s="334"/>
      <c r="M1291" s="334"/>
      <c r="N1291" s="334"/>
      <c r="O1291" s="334"/>
    </row>
    <row r="1292" spans="1:15" ht="12.75" hidden="1" customHeight="1" outlineLevel="1" x14ac:dyDescent="0.2">
      <c r="A1292" s="627" t="s">
        <v>2315</v>
      </c>
      <c r="B1292" s="628" t="s">
        <v>2290</v>
      </c>
      <c r="C1292" s="629" t="s">
        <v>100</v>
      </c>
      <c r="D1292" s="630">
        <v>8.26</v>
      </c>
      <c r="E1292" s="622"/>
      <c r="F1292" s="334"/>
      <c r="J1292" s="334"/>
      <c r="K1292" s="334"/>
      <c r="L1292" s="334"/>
      <c r="M1292" s="334"/>
      <c r="N1292" s="334"/>
      <c r="O1292" s="334"/>
    </row>
    <row r="1293" spans="1:15" ht="12.75" hidden="1" customHeight="1" outlineLevel="1" x14ac:dyDescent="0.2">
      <c r="A1293" s="618" t="s">
        <v>2316</v>
      </c>
      <c r="B1293" s="619" t="s">
        <v>1079</v>
      </c>
      <c r="C1293" s="620"/>
      <c r="D1293" s="621"/>
      <c r="E1293" s="622"/>
      <c r="F1293" s="334"/>
      <c r="J1293" s="334"/>
      <c r="K1293" s="334"/>
      <c r="L1293" s="334"/>
      <c r="M1293" s="334"/>
      <c r="N1293" s="334"/>
      <c r="O1293" s="334"/>
    </row>
    <row r="1294" spans="1:15" ht="12.75" hidden="1" customHeight="1" outlineLevel="1" x14ac:dyDescent="0.2">
      <c r="A1294" s="623" t="s">
        <v>2317</v>
      </c>
      <c r="B1294" s="624" t="s">
        <v>1170</v>
      </c>
      <c r="C1294" s="625" t="s">
        <v>100</v>
      </c>
      <c r="D1294" s="626">
        <v>6.15</v>
      </c>
      <c r="E1294" s="622"/>
      <c r="F1294" s="334"/>
      <c r="J1294" s="334"/>
      <c r="K1294" s="334"/>
      <c r="L1294" s="334"/>
      <c r="M1294" s="334"/>
      <c r="N1294" s="334"/>
      <c r="O1294" s="334"/>
    </row>
    <row r="1295" spans="1:15" ht="12.75" hidden="1" customHeight="1" outlineLevel="1" x14ac:dyDescent="0.2">
      <c r="A1295" s="627" t="s">
        <v>2318</v>
      </c>
      <c r="B1295" s="628" t="s">
        <v>1166</v>
      </c>
      <c r="C1295" s="629" t="s">
        <v>100</v>
      </c>
      <c r="D1295" s="630">
        <v>3.87</v>
      </c>
      <c r="E1295" s="622"/>
      <c r="F1295" s="334"/>
      <c r="J1295" s="334"/>
      <c r="K1295" s="334"/>
      <c r="L1295" s="334"/>
      <c r="M1295" s="334"/>
      <c r="N1295" s="334"/>
      <c r="O1295" s="334"/>
    </row>
    <row r="1296" spans="1:15" ht="12.75" hidden="1" customHeight="1" outlineLevel="1" x14ac:dyDescent="0.2">
      <c r="A1296" s="623" t="s">
        <v>2319</v>
      </c>
      <c r="B1296" s="624" t="s">
        <v>1168</v>
      </c>
      <c r="C1296" s="625" t="s">
        <v>100</v>
      </c>
      <c r="D1296" s="626">
        <v>0.38</v>
      </c>
      <c r="E1296" s="622"/>
      <c r="F1296" s="334"/>
      <c r="J1296" s="334"/>
      <c r="K1296" s="334"/>
      <c r="L1296" s="334"/>
      <c r="M1296" s="334"/>
      <c r="N1296" s="334"/>
      <c r="O1296" s="334"/>
    </row>
    <row r="1297" spans="1:15" ht="12.75" hidden="1" customHeight="1" outlineLevel="1" x14ac:dyDescent="0.2">
      <c r="A1297" s="627" t="s">
        <v>2320</v>
      </c>
      <c r="B1297" s="628" t="s">
        <v>2290</v>
      </c>
      <c r="C1297" s="629" t="s">
        <v>100</v>
      </c>
      <c r="D1297" s="630">
        <v>8.26</v>
      </c>
      <c r="E1297" s="622"/>
      <c r="F1297" s="334"/>
      <c r="J1297" s="334"/>
      <c r="K1297" s="334"/>
      <c r="L1297" s="334"/>
      <c r="M1297" s="334"/>
      <c r="N1297" s="334"/>
      <c r="O1297" s="334"/>
    </row>
    <row r="1298" spans="1:15" ht="12.75" hidden="1" customHeight="1" outlineLevel="1" x14ac:dyDescent="0.2">
      <c r="A1298" s="618" t="s">
        <v>2321</v>
      </c>
      <c r="B1298" s="619" t="s">
        <v>1086</v>
      </c>
      <c r="C1298" s="620"/>
      <c r="D1298" s="621"/>
      <c r="E1298" s="622"/>
      <c r="F1298" s="334"/>
      <c r="J1298" s="334"/>
      <c r="K1298" s="334"/>
      <c r="L1298" s="334"/>
      <c r="M1298" s="334"/>
      <c r="N1298" s="334"/>
      <c r="O1298" s="334"/>
    </row>
    <row r="1299" spans="1:15" ht="12.75" hidden="1" customHeight="1" outlineLevel="1" x14ac:dyDescent="0.2">
      <c r="A1299" s="623" t="s">
        <v>2322</v>
      </c>
      <c r="B1299" s="624" t="s">
        <v>1170</v>
      </c>
      <c r="C1299" s="625" t="s">
        <v>100</v>
      </c>
      <c r="D1299" s="626">
        <v>6.15</v>
      </c>
      <c r="E1299" s="622"/>
      <c r="F1299" s="334"/>
      <c r="J1299" s="334"/>
      <c r="K1299" s="334"/>
      <c r="L1299" s="334"/>
      <c r="M1299" s="334"/>
      <c r="N1299" s="334"/>
      <c r="O1299" s="334"/>
    </row>
    <row r="1300" spans="1:15" ht="12.75" hidden="1" customHeight="1" outlineLevel="1" x14ac:dyDescent="0.2">
      <c r="A1300" s="627" t="s">
        <v>2323</v>
      </c>
      <c r="B1300" s="628" t="s">
        <v>1166</v>
      </c>
      <c r="C1300" s="629" t="s">
        <v>100</v>
      </c>
      <c r="D1300" s="630">
        <v>3.87</v>
      </c>
      <c r="E1300" s="622"/>
      <c r="F1300" s="334"/>
      <c r="J1300" s="334"/>
      <c r="K1300" s="334"/>
      <c r="L1300" s="334"/>
      <c r="M1300" s="334"/>
      <c r="N1300" s="334"/>
      <c r="O1300" s="334"/>
    </row>
    <row r="1301" spans="1:15" ht="12.75" hidden="1" customHeight="1" outlineLevel="1" x14ac:dyDescent="0.2">
      <c r="A1301" s="623" t="s">
        <v>2324</v>
      </c>
      <c r="B1301" s="624" t="s">
        <v>1168</v>
      </c>
      <c r="C1301" s="625" t="s">
        <v>100</v>
      </c>
      <c r="D1301" s="626">
        <v>0.38</v>
      </c>
      <c r="E1301" s="622"/>
      <c r="F1301" s="334"/>
      <c r="J1301" s="334"/>
      <c r="K1301" s="334"/>
      <c r="L1301" s="334"/>
      <c r="M1301" s="334"/>
      <c r="N1301" s="334"/>
      <c r="O1301" s="334"/>
    </row>
    <row r="1302" spans="1:15" ht="12.75" hidden="1" customHeight="1" outlineLevel="1" x14ac:dyDescent="0.2">
      <c r="A1302" s="627" t="s">
        <v>2325</v>
      </c>
      <c r="B1302" s="628" t="s">
        <v>2290</v>
      </c>
      <c r="C1302" s="629" t="s">
        <v>100</v>
      </c>
      <c r="D1302" s="630">
        <v>8.26</v>
      </c>
      <c r="E1302" s="622"/>
      <c r="F1302" s="334"/>
      <c r="J1302" s="334"/>
      <c r="K1302" s="334"/>
      <c r="L1302" s="334"/>
      <c r="M1302" s="334"/>
      <c r="N1302" s="334"/>
      <c r="O1302" s="334"/>
    </row>
    <row r="1303" spans="1:15" ht="12.75" hidden="1" customHeight="1" outlineLevel="1" x14ac:dyDescent="0.2">
      <c r="A1303" s="618" t="s">
        <v>2326</v>
      </c>
      <c r="B1303" s="619" t="s">
        <v>1094</v>
      </c>
      <c r="C1303" s="620"/>
      <c r="D1303" s="621"/>
      <c r="E1303" s="622"/>
      <c r="F1303" s="334"/>
      <c r="J1303" s="334"/>
      <c r="K1303" s="334"/>
      <c r="L1303" s="334"/>
      <c r="M1303" s="334"/>
      <c r="N1303" s="334"/>
      <c r="O1303" s="334"/>
    </row>
    <row r="1304" spans="1:15" ht="12.75" hidden="1" customHeight="1" outlineLevel="1" x14ac:dyDescent="0.2">
      <c r="A1304" s="623" t="s">
        <v>2327</v>
      </c>
      <c r="B1304" s="624" t="s">
        <v>1170</v>
      </c>
      <c r="C1304" s="625" t="s">
        <v>100</v>
      </c>
      <c r="D1304" s="626">
        <v>6.15</v>
      </c>
      <c r="E1304" s="622"/>
      <c r="F1304" s="334"/>
      <c r="J1304" s="334"/>
      <c r="K1304" s="334"/>
      <c r="L1304" s="334"/>
      <c r="M1304" s="334"/>
      <c r="N1304" s="334"/>
      <c r="O1304" s="334"/>
    </row>
    <row r="1305" spans="1:15" ht="12.75" hidden="1" customHeight="1" outlineLevel="1" x14ac:dyDescent="0.2">
      <c r="A1305" s="627" t="s">
        <v>2328</v>
      </c>
      <c r="B1305" s="628" t="s">
        <v>1166</v>
      </c>
      <c r="C1305" s="629" t="s">
        <v>100</v>
      </c>
      <c r="D1305" s="630">
        <v>3.87</v>
      </c>
      <c r="E1305" s="622"/>
      <c r="F1305" s="334"/>
      <c r="J1305" s="334"/>
      <c r="K1305" s="334"/>
      <c r="L1305" s="334"/>
      <c r="M1305" s="334"/>
      <c r="N1305" s="334"/>
      <c r="O1305" s="334"/>
    </row>
    <row r="1306" spans="1:15" ht="12.75" hidden="1" customHeight="1" outlineLevel="1" x14ac:dyDescent="0.2">
      <c r="A1306" s="623" t="s">
        <v>2329</v>
      </c>
      <c r="B1306" s="624" t="s">
        <v>1168</v>
      </c>
      <c r="C1306" s="625" t="s">
        <v>100</v>
      </c>
      <c r="D1306" s="626">
        <v>0.38</v>
      </c>
      <c r="E1306" s="622"/>
      <c r="F1306" s="334"/>
      <c r="J1306" s="334"/>
      <c r="K1306" s="334"/>
      <c r="L1306" s="334"/>
      <c r="M1306" s="334"/>
      <c r="N1306" s="334"/>
      <c r="O1306" s="334"/>
    </row>
    <row r="1307" spans="1:15" ht="12.75" hidden="1" customHeight="1" outlineLevel="1" x14ac:dyDescent="0.2">
      <c r="A1307" s="627" t="s">
        <v>2330</v>
      </c>
      <c r="B1307" s="628" t="s">
        <v>2290</v>
      </c>
      <c r="C1307" s="629" t="s">
        <v>100</v>
      </c>
      <c r="D1307" s="630">
        <v>8.26</v>
      </c>
      <c r="E1307" s="622"/>
      <c r="F1307" s="334"/>
      <c r="J1307" s="334"/>
      <c r="K1307" s="334"/>
      <c r="L1307" s="334"/>
      <c r="M1307" s="334"/>
      <c r="N1307" s="334"/>
      <c r="O1307" s="334"/>
    </row>
    <row r="1308" spans="1:15" ht="12.75" hidden="1" customHeight="1" outlineLevel="1" x14ac:dyDescent="0.2">
      <c r="A1308" s="618" t="s">
        <v>2331</v>
      </c>
      <c r="B1308" s="619" t="s">
        <v>1102</v>
      </c>
      <c r="C1308" s="620"/>
      <c r="D1308" s="621"/>
      <c r="E1308" s="622"/>
      <c r="F1308" s="334"/>
      <c r="J1308" s="334"/>
      <c r="K1308" s="334"/>
      <c r="L1308" s="334"/>
      <c r="M1308" s="334"/>
      <c r="N1308" s="334"/>
      <c r="O1308" s="334"/>
    </row>
    <row r="1309" spans="1:15" ht="12.75" hidden="1" customHeight="1" outlineLevel="1" x14ac:dyDescent="0.2">
      <c r="A1309" s="623" t="s">
        <v>2332</v>
      </c>
      <c r="B1309" s="624" t="s">
        <v>1166</v>
      </c>
      <c r="C1309" s="625" t="s">
        <v>100</v>
      </c>
      <c r="D1309" s="626">
        <v>2.81</v>
      </c>
      <c r="E1309" s="622"/>
      <c r="F1309" s="334"/>
      <c r="J1309" s="334"/>
      <c r="K1309" s="334"/>
      <c r="L1309" s="334"/>
      <c r="M1309" s="334"/>
      <c r="N1309" s="334"/>
      <c r="O1309" s="334"/>
    </row>
    <row r="1310" spans="1:15" ht="12.75" hidden="1" customHeight="1" outlineLevel="1" x14ac:dyDescent="0.2">
      <c r="A1310" s="627" t="s">
        <v>2333</v>
      </c>
      <c r="B1310" s="628" t="s">
        <v>1168</v>
      </c>
      <c r="C1310" s="629" t="s">
        <v>100</v>
      </c>
      <c r="D1310" s="630">
        <v>0.38</v>
      </c>
      <c r="E1310" s="622"/>
      <c r="F1310" s="334"/>
      <c r="J1310" s="334"/>
      <c r="K1310" s="334"/>
      <c r="L1310" s="334"/>
      <c r="M1310" s="334"/>
      <c r="N1310" s="334"/>
      <c r="O1310" s="334"/>
    </row>
    <row r="1311" spans="1:15" ht="12.75" hidden="1" customHeight="1" outlineLevel="1" x14ac:dyDescent="0.2">
      <c r="A1311" s="623" t="s">
        <v>2334</v>
      </c>
      <c r="B1311" s="624" t="s">
        <v>2290</v>
      </c>
      <c r="C1311" s="625" t="s">
        <v>100</v>
      </c>
      <c r="D1311" s="626">
        <v>6.77</v>
      </c>
      <c r="E1311" s="622"/>
      <c r="F1311" s="334"/>
      <c r="J1311" s="334"/>
      <c r="K1311" s="334"/>
      <c r="L1311" s="334"/>
      <c r="M1311" s="334"/>
      <c r="N1311" s="334"/>
      <c r="O1311" s="334"/>
    </row>
    <row r="1312" spans="1:15" ht="12.75" hidden="1" customHeight="1" outlineLevel="1" x14ac:dyDescent="0.2">
      <c r="A1312" s="618" t="s">
        <v>2335</v>
      </c>
      <c r="B1312" s="619" t="s">
        <v>1112</v>
      </c>
      <c r="C1312" s="620"/>
      <c r="D1312" s="621"/>
      <c r="E1312" s="622"/>
      <c r="F1312" s="334"/>
      <c r="J1312" s="334"/>
      <c r="K1312" s="334"/>
      <c r="L1312" s="334"/>
      <c r="M1312" s="334"/>
      <c r="N1312" s="334"/>
      <c r="O1312" s="334"/>
    </row>
    <row r="1313" spans="1:15" ht="12.75" hidden="1" customHeight="1" outlineLevel="1" x14ac:dyDescent="0.2">
      <c r="A1313" s="627" t="s">
        <v>2336</v>
      </c>
      <c r="B1313" s="628" t="s">
        <v>1166</v>
      </c>
      <c r="C1313" s="629" t="s">
        <v>100</v>
      </c>
      <c r="D1313" s="630">
        <v>5.19</v>
      </c>
      <c r="E1313" s="622"/>
      <c r="F1313" s="334"/>
      <c r="J1313" s="334"/>
      <c r="K1313" s="334"/>
      <c r="L1313" s="334"/>
      <c r="M1313" s="334"/>
      <c r="N1313" s="334"/>
      <c r="O1313" s="334"/>
    </row>
    <row r="1314" spans="1:15" ht="12.75" hidden="1" customHeight="1" outlineLevel="1" x14ac:dyDescent="0.2">
      <c r="A1314" s="623" t="s">
        <v>2337</v>
      </c>
      <c r="B1314" s="624" t="s">
        <v>2290</v>
      </c>
      <c r="C1314" s="625" t="s">
        <v>100</v>
      </c>
      <c r="D1314" s="626">
        <v>3.69</v>
      </c>
      <c r="E1314" s="622"/>
      <c r="F1314" s="334"/>
      <c r="J1314" s="334"/>
      <c r="K1314" s="334"/>
      <c r="L1314" s="334"/>
      <c r="M1314" s="334"/>
      <c r="N1314" s="334"/>
      <c r="O1314" s="334"/>
    </row>
    <row r="1315" spans="1:15" ht="12.75" hidden="1" customHeight="1" outlineLevel="1" x14ac:dyDescent="0.2">
      <c r="A1315" s="618" t="s">
        <v>2338</v>
      </c>
      <c r="B1315" s="619" t="s">
        <v>1127</v>
      </c>
      <c r="C1315" s="620"/>
      <c r="D1315" s="621"/>
      <c r="E1315" s="622"/>
      <c r="F1315" s="334"/>
      <c r="J1315" s="334"/>
      <c r="K1315" s="334"/>
      <c r="L1315" s="334"/>
      <c r="M1315" s="334"/>
      <c r="N1315" s="334"/>
      <c r="O1315" s="334"/>
    </row>
    <row r="1316" spans="1:15" ht="12.75" hidden="1" customHeight="1" outlineLevel="1" x14ac:dyDescent="0.2">
      <c r="A1316" s="627" t="s">
        <v>2339</v>
      </c>
      <c r="B1316" s="628" t="s">
        <v>1166</v>
      </c>
      <c r="C1316" s="629" t="s">
        <v>100</v>
      </c>
      <c r="D1316" s="630">
        <v>7.77</v>
      </c>
      <c r="E1316" s="622"/>
      <c r="F1316" s="334"/>
      <c r="J1316" s="334"/>
      <c r="K1316" s="334"/>
      <c r="L1316" s="334"/>
      <c r="M1316" s="334"/>
      <c r="N1316" s="334"/>
      <c r="O1316" s="334"/>
    </row>
    <row r="1317" spans="1:15" ht="12.75" hidden="1" customHeight="1" outlineLevel="1" x14ac:dyDescent="0.2">
      <c r="A1317" s="623" t="s">
        <v>2340</v>
      </c>
      <c r="B1317" s="624" t="s">
        <v>1168</v>
      </c>
      <c r="C1317" s="625" t="s">
        <v>100</v>
      </c>
      <c r="D1317" s="626">
        <v>0.38</v>
      </c>
      <c r="E1317" s="622"/>
      <c r="F1317" s="334"/>
      <c r="J1317" s="334"/>
      <c r="K1317" s="334"/>
      <c r="L1317" s="334"/>
      <c r="M1317" s="334"/>
      <c r="N1317" s="334"/>
      <c r="O1317" s="334"/>
    </row>
    <row r="1318" spans="1:15" ht="12.75" hidden="1" customHeight="1" outlineLevel="1" x14ac:dyDescent="0.2">
      <c r="A1318" s="627" t="s">
        <v>2341</v>
      </c>
      <c r="B1318" s="628" t="s">
        <v>2290</v>
      </c>
      <c r="C1318" s="629" t="s">
        <v>100</v>
      </c>
      <c r="D1318" s="630">
        <v>5</v>
      </c>
      <c r="E1318" s="622"/>
      <c r="F1318" s="334"/>
      <c r="J1318" s="334"/>
      <c r="K1318" s="334"/>
      <c r="L1318" s="334"/>
      <c r="M1318" s="334"/>
      <c r="N1318" s="334"/>
      <c r="O1318" s="334"/>
    </row>
    <row r="1319" spans="1:15" ht="12.75" hidden="1" customHeight="1" outlineLevel="1" x14ac:dyDescent="0.2">
      <c r="A1319" s="618" t="s">
        <v>2342</v>
      </c>
      <c r="B1319" s="619" t="s">
        <v>1137</v>
      </c>
      <c r="C1319" s="620"/>
      <c r="D1319" s="621"/>
      <c r="E1319" s="622"/>
      <c r="F1319" s="334"/>
      <c r="J1319" s="334"/>
      <c r="K1319" s="334"/>
      <c r="L1319" s="334"/>
      <c r="M1319" s="334"/>
      <c r="N1319" s="334"/>
      <c r="O1319" s="334"/>
    </row>
    <row r="1320" spans="1:15" ht="12.75" hidden="1" customHeight="1" outlineLevel="1" x14ac:dyDescent="0.2">
      <c r="A1320" s="623" t="s">
        <v>2343</v>
      </c>
      <c r="B1320" s="624" t="s">
        <v>1166</v>
      </c>
      <c r="C1320" s="625" t="s">
        <v>100</v>
      </c>
      <c r="D1320" s="626">
        <v>13.62</v>
      </c>
      <c r="E1320" s="622"/>
      <c r="F1320" s="334"/>
      <c r="J1320" s="334"/>
      <c r="K1320" s="334"/>
      <c r="L1320" s="334"/>
      <c r="M1320" s="334"/>
      <c r="N1320" s="334"/>
      <c r="O1320" s="334"/>
    </row>
    <row r="1321" spans="1:15" ht="12.75" hidden="1" customHeight="1" outlineLevel="1" x14ac:dyDescent="0.2">
      <c r="A1321" s="627" t="s">
        <v>2344</v>
      </c>
      <c r="B1321" s="628" t="s">
        <v>1168</v>
      </c>
      <c r="C1321" s="629" t="s">
        <v>100</v>
      </c>
      <c r="D1321" s="630">
        <v>0.38</v>
      </c>
      <c r="E1321" s="622"/>
      <c r="F1321" s="334"/>
      <c r="J1321" s="334"/>
      <c r="K1321" s="334"/>
      <c r="L1321" s="334"/>
      <c r="M1321" s="334"/>
      <c r="N1321" s="334"/>
      <c r="O1321" s="334"/>
    </row>
    <row r="1322" spans="1:15" ht="12.75" hidden="1" customHeight="1" outlineLevel="1" x14ac:dyDescent="0.2">
      <c r="A1322" s="618" t="s">
        <v>2345</v>
      </c>
      <c r="B1322" s="619" t="s">
        <v>2035</v>
      </c>
      <c r="C1322" s="620"/>
      <c r="D1322" s="621"/>
      <c r="E1322" s="622"/>
      <c r="F1322" s="334"/>
      <c r="J1322" s="334"/>
      <c r="K1322" s="334"/>
      <c r="L1322" s="334"/>
      <c r="M1322" s="334"/>
      <c r="N1322" s="334"/>
      <c r="O1322" s="334"/>
    </row>
    <row r="1323" spans="1:15" ht="12.75" hidden="1" customHeight="1" outlineLevel="1" x14ac:dyDescent="0.2">
      <c r="A1323" s="623" t="s">
        <v>2346</v>
      </c>
      <c r="B1323" s="624" t="s">
        <v>1166</v>
      </c>
      <c r="C1323" s="625" t="s">
        <v>100</v>
      </c>
      <c r="D1323" s="626">
        <v>1.9</v>
      </c>
      <c r="E1323" s="622"/>
      <c r="F1323" s="334"/>
      <c r="J1323" s="334"/>
      <c r="K1323" s="334"/>
      <c r="L1323" s="334"/>
      <c r="M1323" s="334"/>
      <c r="N1323" s="334"/>
      <c r="O1323" s="334"/>
    </row>
    <row r="1324" spans="1:15" ht="12.75" customHeight="1" collapsed="1" x14ac:dyDescent="0.2">
      <c r="A1324" s="614" t="s">
        <v>2347</v>
      </c>
      <c r="B1324" s="615" t="s">
        <v>2348</v>
      </c>
      <c r="C1324" s="616"/>
      <c r="D1324" s="617"/>
      <c r="E1324" s="622"/>
      <c r="F1324" s="334"/>
      <c r="J1324" s="334"/>
      <c r="K1324" s="334"/>
      <c r="L1324" s="334"/>
      <c r="M1324" s="334"/>
      <c r="N1324" s="334"/>
      <c r="O1324" s="334"/>
    </row>
    <row r="1325" spans="1:15" ht="12.75" hidden="1" customHeight="1" outlineLevel="1" x14ac:dyDescent="0.2">
      <c r="A1325" s="618" t="s">
        <v>2349</v>
      </c>
      <c r="B1325" s="619" t="s">
        <v>1009</v>
      </c>
      <c r="C1325" s="620"/>
      <c r="D1325" s="621"/>
      <c r="E1325" s="622"/>
      <c r="F1325" s="334"/>
      <c r="J1325" s="334"/>
      <c r="K1325" s="334"/>
      <c r="L1325" s="334"/>
      <c r="M1325" s="334"/>
      <c r="N1325" s="334"/>
      <c r="O1325" s="334"/>
    </row>
    <row r="1326" spans="1:15" ht="12.75" hidden="1" customHeight="1" outlineLevel="1" x14ac:dyDescent="0.2">
      <c r="A1326" s="627" t="s">
        <v>2350</v>
      </c>
      <c r="B1326" s="628" t="s">
        <v>2351</v>
      </c>
      <c r="C1326" s="629" t="s">
        <v>100</v>
      </c>
      <c r="D1326" s="630">
        <v>1.74</v>
      </c>
      <c r="E1326" s="622"/>
      <c r="F1326" s="334"/>
      <c r="J1326" s="334"/>
      <c r="K1326" s="334"/>
      <c r="L1326" s="334"/>
      <c r="M1326" s="334"/>
      <c r="N1326" s="334"/>
      <c r="O1326" s="334"/>
    </row>
    <row r="1327" spans="1:15" ht="12.75" hidden="1" customHeight="1" outlineLevel="1" x14ac:dyDescent="0.2">
      <c r="A1327" s="623" t="s">
        <v>2352</v>
      </c>
      <c r="B1327" s="624" t="s">
        <v>2353</v>
      </c>
      <c r="C1327" s="625" t="s">
        <v>100</v>
      </c>
      <c r="D1327" s="626">
        <v>2.4500000000000002</v>
      </c>
      <c r="E1327" s="622"/>
      <c r="F1327" s="334"/>
      <c r="G1327" s="334"/>
      <c r="J1327" s="334"/>
      <c r="K1327" s="334"/>
      <c r="L1327" s="334"/>
      <c r="M1327" s="334"/>
      <c r="N1327" s="334"/>
      <c r="O1327" s="334"/>
    </row>
    <row r="1328" spans="1:15" ht="12.75" hidden="1" customHeight="1" outlineLevel="1" x14ac:dyDescent="0.2">
      <c r="A1328" s="627" t="s">
        <v>2354</v>
      </c>
      <c r="B1328" s="628" t="s">
        <v>2355</v>
      </c>
      <c r="C1328" s="629" t="s">
        <v>100</v>
      </c>
      <c r="D1328" s="630">
        <v>1.1200000000000001</v>
      </c>
      <c r="E1328" s="622"/>
      <c r="F1328" s="334"/>
      <c r="G1328" s="334"/>
      <c r="H1328" s="602"/>
      <c r="I1328" s="334"/>
      <c r="J1328" s="334"/>
      <c r="K1328" s="334"/>
      <c r="L1328" s="334"/>
      <c r="M1328" s="334"/>
      <c r="N1328" s="334"/>
      <c r="O1328" s="334"/>
    </row>
    <row r="1329" spans="1:15" ht="12.75" hidden="1" customHeight="1" outlineLevel="1" x14ac:dyDescent="0.2">
      <c r="A1329" s="618" t="s">
        <v>2356</v>
      </c>
      <c r="B1329" s="619" t="s">
        <v>1017</v>
      </c>
      <c r="C1329" s="620"/>
      <c r="D1329" s="621"/>
      <c r="E1329" s="622"/>
      <c r="F1329" s="334"/>
      <c r="G1329" s="334"/>
      <c r="H1329" s="602"/>
      <c r="I1329" s="334"/>
      <c r="J1329" s="334"/>
      <c r="K1329" s="334"/>
      <c r="L1329" s="334"/>
      <c r="M1329" s="334"/>
      <c r="N1329" s="334"/>
      <c r="O1329" s="334"/>
    </row>
    <row r="1330" spans="1:15" ht="12.75" hidden="1" customHeight="1" outlineLevel="1" x14ac:dyDescent="0.2">
      <c r="A1330" s="623" t="s">
        <v>2357</v>
      </c>
      <c r="B1330" s="624" t="s">
        <v>2351</v>
      </c>
      <c r="C1330" s="625" t="s">
        <v>100</v>
      </c>
      <c r="D1330" s="626">
        <v>0.27</v>
      </c>
      <c r="E1330" s="622"/>
      <c r="F1330" s="334"/>
      <c r="G1330" s="334"/>
      <c r="H1330" s="602"/>
      <c r="I1330" s="334"/>
      <c r="J1330" s="334"/>
      <c r="K1330" s="334"/>
      <c r="L1330" s="334"/>
      <c r="M1330" s="334"/>
      <c r="N1330" s="334"/>
      <c r="O1330" s="334"/>
    </row>
    <row r="1331" spans="1:15" ht="12.75" hidden="1" customHeight="1" outlineLevel="1" x14ac:dyDescent="0.2">
      <c r="A1331" s="618" t="s">
        <v>2358</v>
      </c>
      <c r="B1331" s="619" t="s">
        <v>1021</v>
      </c>
      <c r="C1331" s="620"/>
      <c r="D1331" s="621"/>
      <c r="E1331" s="622"/>
      <c r="F1331" s="334"/>
      <c r="G1331" s="334"/>
      <c r="H1331" s="602"/>
      <c r="I1331" s="334"/>
      <c r="J1331" s="334"/>
      <c r="K1331" s="334"/>
      <c r="L1331" s="334"/>
      <c r="M1331" s="334"/>
      <c r="N1331" s="334"/>
      <c r="O1331" s="334"/>
    </row>
    <row r="1332" spans="1:15" ht="12.75" hidden="1" customHeight="1" outlineLevel="1" x14ac:dyDescent="0.2">
      <c r="A1332" s="627" t="s">
        <v>2359</v>
      </c>
      <c r="B1332" s="628" t="s">
        <v>2351</v>
      </c>
      <c r="C1332" s="629" t="s">
        <v>100</v>
      </c>
      <c r="D1332" s="630">
        <v>0.37</v>
      </c>
      <c r="E1332" s="622"/>
      <c r="F1332" s="334"/>
      <c r="G1332" s="334"/>
      <c r="H1332" s="602"/>
      <c r="I1332" s="334"/>
      <c r="J1332" s="334"/>
      <c r="K1332" s="334"/>
      <c r="L1332" s="334"/>
      <c r="M1332" s="334"/>
      <c r="N1332" s="334"/>
      <c r="O1332" s="334"/>
    </row>
    <row r="1333" spans="1:15" ht="12.75" hidden="1" customHeight="1" outlineLevel="1" x14ac:dyDescent="0.2">
      <c r="A1333" s="623" t="s">
        <v>2360</v>
      </c>
      <c r="B1333" s="624" t="s">
        <v>2353</v>
      </c>
      <c r="C1333" s="625" t="s">
        <v>100</v>
      </c>
      <c r="D1333" s="626">
        <v>2.5099999999999998</v>
      </c>
      <c r="E1333" s="622"/>
      <c r="F1333" s="334"/>
      <c r="G1333" s="334"/>
      <c r="H1333" s="602"/>
      <c r="I1333" s="334"/>
      <c r="J1333" s="334"/>
      <c r="K1333" s="334"/>
      <c r="L1333" s="334"/>
      <c r="M1333" s="334"/>
      <c r="N1333" s="334"/>
      <c r="O1333" s="334"/>
    </row>
    <row r="1334" spans="1:15" ht="12.75" hidden="1" customHeight="1" outlineLevel="1" x14ac:dyDescent="0.2">
      <c r="A1334" s="618" t="s">
        <v>2361</v>
      </c>
      <c r="B1334" s="619" t="s">
        <v>1030</v>
      </c>
      <c r="C1334" s="620"/>
      <c r="D1334" s="621"/>
      <c r="E1334" s="622"/>
      <c r="F1334" s="334"/>
      <c r="G1334" s="334"/>
      <c r="H1334" s="602"/>
      <c r="I1334" s="334"/>
      <c r="J1334" s="334"/>
      <c r="K1334" s="334"/>
      <c r="L1334" s="334"/>
      <c r="M1334" s="334"/>
      <c r="N1334" s="334"/>
      <c r="O1334" s="334"/>
    </row>
    <row r="1335" spans="1:15" ht="12.75" hidden="1" customHeight="1" outlineLevel="1" x14ac:dyDescent="0.2">
      <c r="A1335" s="627" t="s">
        <v>2362</v>
      </c>
      <c r="B1335" s="628" t="s">
        <v>2351</v>
      </c>
      <c r="C1335" s="629" t="s">
        <v>100</v>
      </c>
      <c r="D1335" s="630">
        <v>0.27</v>
      </c>
      <c r="E1335" s="622"/>
      <c r="F1335" s="334"/>
      <c r="G1335" s="334"/>
      <c r="H1335" s="602"/>
      <c r="I1335" s="334"/>
      <c r="J1335" s="334"/>
      <c r="K1335" s="334"/>
      <c r="L1335" s="334"/>
      <c r="M1335" s="334"/>
      <c r="N1335" s="334"/>
      <c r="O1335" s="334"/>
    </row>
    <row r="1336" spans="1:15" ht="12.75" hidden="1" customHeight="1" outlineLevel="1" x14ac:dyDescent="0.2">
      <c r="A1336" s="623" t="s">
        <v>2363</v>
      </c>
      <c r="B1336" s="624" t="s">
        <v>2353</v>
      </c>
      <c r="C1336" s="625" t="s">
        <v>100</v>
      </c>
      <c r="D1336" s="626">
        <v>2.1800000000000002</v>
      </c>
      <c r="E1336" s="622"/>
      <c r="F1336" s="334"/>
      <c r="G1336" s="334"/>
      <c r="H1336" s="602"/>
      <c r="I1336" s="334"/>
      <c r="J1336" s="334"/>
      <c r="K1336" s="334"/>
      <c r="L1336" s="334"/>
      <c r="M1336" s="334"/>
      <c r="N1336" s="334"/>
      <c r="O1336" s="334"/>
    </row>
    <row r="1337" spans="1:15" ht="12.75" hidden="1" customHeight="1" outlineLevel="1" x14ac:dyDescent="0.2">
      <c r="A1337" s="627" t="s">
        <v>2364</v>
      </c>
      <c r="B1337" s="628" t="s">
        <v>2355</v>
      </c>
      <c r="C1337" s="629" t="s">
        <v>100</v>
      </c>
      <c r="D1337" s="630">
        <v>0.12</v>
      </c>
      <c r="E1337" s="622"/>
      <c r="F1337" s="334"/>
      <c r="G1337" s="334"/>
      <c r="H1337" s="602"/>
      <c r="I1337" s="334"/>
      <c r="J1337" s="334"/>
      <c r="K1337" s="334"/>
      <c r="L1337" s="334"/>
      <c r="M1337" s="334"/>
      <c r="N1337" s="334"/>
      <c r="O1337" s="334"/>
    </row>
    <row r="1338" spans="1:15" ht="12.75" hidden="1" customHeight="1" outlineLevel="1" x14ac:dyDescent="0.2">
      <c r="A1338" s="618" t="s">
        <v>2365</v>
      </c>
      <c r="B1338" s="619" t="s">
        <v>1039</v>
      </c>
      <c r="C1338" s="620"/>
      <c r="D1338" s="621"/>
      <c r="E1338" s="622"/>
      <c r="F1338" s="334"/>
      <c r="G1338" s="334"/>
      <c r="H1338" s="602"/>
      <c r="I1338" s="334"/>
      <c r="J1338" s="334"/>
      <c r="K1338" s="334"/>
      <c r="L1338" s="334"/>
      <c r="M1338" s="334"/>
      <c r="N1338" s="334"/>
      <c r="O1338" s="334"/>
    </row>
    <row r="1339" spans="1:15" ht="12.75" hidden="1" customHeight="1" outlineLevel="1" x14ac:dyDescent="0.2">
      <c r="A1339" s="623" t="s">
        <v>2366</v>
      </c>
      <c r="B1339" s="624" t="s">
        <v>2351</v>
      </c>
      <c r="C1339" s="625" t="s">
        <v>100</v>
      </c>
      <c r="D1339" s="626">
        <v>0.27</v>
      </c>
      <c r="E1339" s="622"/>
      <c r="F1339" s="334"/>
      <c r="G1339" s="334"/>
      <c r="H1339" s="602"/>
      <c r="I1339" s="334"/>
      <c r="J1339" s="334"/>
      <c r="K1339" s="334"/>
      <c r="L1339" s="334"/>
      <c r="M1339" s="334"/>
      <c r="N1339" s="334"/>
      <c r="O1339" s="334"/>
    </row>
    <row r="1340" spans="1:15" ht="12.75" hidden="1" customHeight="1" outlineLevel="1" x14ac:dyDescent="0.2">
      <c r="A1340" s="627" t="s">
        <v>2367</v>
      </c>
      <c r="B1340" s="628" t="s">
        <v>2353</v>
      </c>
      <c r="C1340" s="629" t="s">
        <v>100</v>
      </c>
      <c r="D1340" s="630">
        <v>2.62</v>
      </c>
      <c r="E1340" s="622"/>
      <c r="F1340" s="334"/>
      <c r="G1340" s="334"/>
      <c r="H1340" s="602"/>
      <c r="I1340" s="334"/>
      <c r="J1340" s="334"/>
      <c r="K1340" s="334"/>
      <c r="L1340" s="334"/>
      <c r="M1340" s="334"/>
      <c r="N1340" s="334"/>
      <c r="O1340" s="334"/>
    </row>
    <row r="1341" spans="1:15" ht="12.75" hidden="1" customHeight="1" outlineLevel="1" x14ac:dyDescent="0.2">
      <c r="A1341" s="623" t="s">
        <v>2368</v>
      </c>
      <c r="B1341" s="624" t="s">
        <v>2355</v>
      </c>
      <c r="C1341" s="625" t="s">
        <v>100</v>
      </c>
      <c r="D1341" s="626">
        <v>0.12</v>
      </c>
      <c r="E1341" s="622"/>
      <c r="F1341" s="334"/>
      <c r="G1341" s="334"/>
      <c r="H1341" s="602"/>
      <c r="I1341" s="334"/>
      <c r="J1341" s="334"/>
      <c r="K1341" s="334"/>
      <c r="L1341" s="334"/>
      <c r="M1341" s="334"/>
      <c r="N1341" s="334"/>
      <c r="O1341" s="334"/>
    </row>
    <row r="1342" spans="1:15" ht="12.75" hidden="1" customHeight="1" outlineLevel="1" x14ac:dyDescent="0.2">
      <c r="A1342" s="618" t="s">
        <v>2369</v>
      </c>
      <c r="B1342" s="619" t="s">
        <v>1047</v>
      </c>
      <c r="C1342" s="620"/>
      <c r="D1342" s="621"/>
      <c r="E1342" s="622"/>
      <c r="F1342" s="334"/>
      <c r="G1342" s="334"/>
      <c r="H1342" s="602"/>
      <c r="I1342" s="334"/>
      <c r="J1342" s="334"/>
      <c r="K1342" s="334"/>
      <c r="L1342" s="334"/>
      <c r="M1342" s="334"/>
      <c r="N1342" s="334"/>
      <c r="O1342" s="334"/>
    </row>
    <row r="1343" spans="1:15" ht="12.75" hidden="1" customHeight="1" outlineLevel="1" x14ac:dyDescent="0.2">
      <c r="A1343" s="627" t="s">
        <v>2370</v>
      </c>
      <c r="B1343" s="628" t="s">
        <v>2351</v>
      </c>
      <c r="C1343" s="629" t="s">
        <v>100</v>
      </c>
      <c r="D1343" s="630">
        <v>0.27</v>
      </c>
      <c r="E1343" s="622"/>
      <c r="F1343" s="334"/>
      <c r="G1343" s="334"/>
      <c r="H1343" s="602"/>
      <c r="I1343" s="334"/>
      <c r="J1343" s="334"/>
      <c r="K1343" s="334"/>
      <c r="L1343" s="334"/>
      <c r="M1343" s="334"/>
      <c r="N1343" s="334"/>
      <c r="O1343" s="334"/>
    </row>
    <row r="1344" spans="1:15" ht="12.75" hidden="1" customHeight="1" outlineLevel="1" x14ac:dyDescent="0.2">
      <c r="A1344" s="623" t="s">
        <v>2371</v>
      </c>
      <c r="B1344" s="624" t="s">
        <v>2353</v>
      </c>
      <c r="C1344" s="625" t="s">
        <v>100</v>
      </c>
      <c r="D1344" s="626">
        <v>2.1800000000000002</v>
      </c>
      <c r="E1344" s="622"/>
      <c r="F1344" s="334"/>
      <c r="G1344" s="334"/>
      <c r="H1344" s="602"/>
      <c r="I1344" s="334"/>
      <c r="J1344" s="334"/>
      <c r="K1344" s="334"/>
      <c r="L1344" s="334"/>
      <c r="M1344" s="334"/>
      <c r="N1344" s="334"/>
      <c r="O1344" s="334"/>
    </row>
    <row r="1345" spans="1:15" ht="12.75" hidden="1" customHeight="1" outlineLevel="1" x14ac:dyDescent="0.2">
      <c r="A1345" s="627" t="s">
        <v>2372</v>
      </c>
      <c r="B1345" s="628" t="s">
        <v>2355</v>
      </c>
      <c r="C1345" s="629" t="s">
        <v>100</v>
      </c>
      <c r="D1345" s="630">
        <v>0.12</v>
      </c>
      <c r="E1345" s="622"/>
      <c r="F1345" s="334"/>
      <c r="G1345" s="334"/>
      <c r="H1345" s="602"/>
      <c r="I1345" s="334"/>
      <c r="J1345" s="334"/>
      <c r="K1345" s="334"/>
      <c r="L1345" s="334"/>
      <c r="M1345" s="334"/>
      <c r="N1345" s="334"/>
      <c r="O1345" s="334"/>
    </row>
    <row r="1346" spans="1:15" ht="12.75" hidden="1" customHeight="1" outlineLevel="1" x14ac:dyDescent="0.2">
      <c r="A1346" s="618" t="s">
        <v>2373</v>
      </c>
      <c r="B1346" s="619" t="s">
        <v>1058</v>
      </c>
      <c r="C1346" s="620"/>
      <c r="D1346" s="621"/>
      <c r="E1346" s="622"/>
      <c r="F1346" s="334"/>
      <c r="G1346" s="334"/>
      <c r="H1346" s="602"/>
      <c r="I1346" s="334"/>
      <c r="J1346" s="334"/>
      <c r="K1346" s="334"/>
      <c r="L1346" s="334"/>
      <c r="M1346" s="334"/>
      <c r="N1346" s="334"/>
      <c r="O1346" s="334"/>
    </row>
    <row r="1347" spans="1:15" ht="12.75" hidden="1" customHeight="1" outlineLevel="1" x14ac:dyDescent="0.2">
      <c r="A1347" s="623" t="s">
        <v>2374</v>
      </c>
      <c r="B1347" s="624" t="s">
        <v>2351</v>
      </c>
      <c r="C1347" s="625" t="s">
        <v>100</v>
      </c>
      <c r="D1347" s="626">
        <v>0.27</v>
      </c>
      <c r="E1347" s="622"/>
      <c r="F1347" s="334"/>
      <c r="G1347" s="334"/>
      <c r="H1347" s="602"/>
      <c r="I1347" s="334"/>
      <c r="J1347" s="334"/>
      <c r="K1347" s="334"/>
      <c r="L1347" s="334"/>
      <c r="M1347" s="334"/>
      <c r="N1347" s="334"/>
      <c r="O1347" s="334"/>
    </row>
    <row r="1348" spans="1:15" ht="12.75" hidden="1" customHeight="1" outlineLevel="1" x14ac:dyDescent="0.2">
      <c r="A1348" s="627" t="s">
        <v>2375</v>
      </c>
      <c r="B1348" s="628" t="s">
        <v>2353</v>
      </c>
      <c r="C1348" s="629" t="s">
        <v>100</v>
      </c>
      <c r="D1348" s="630">
        <v>2.1800000000000002</v>
      </c>
      <c r="E1348" s="622"/>
      <c r="F1348" s="334"/>
      <c r="G1348" s="334"/>
      <c r="H1348" s="602"/>
      <c r="I1348" s="334"/>
      <c r="J1348" s="334"/>
      <c r="K1348" s="334"/>
      <c r="L1348" s="334"/>
      <c r="M1348" s="334"/>
      <c r="N1348" s="334"/>
      <c r="O1348" s="334"/>
    </row>
    <row r="1349" spans="1:15" ht="12.75" hidden="1" customHeight="1" outlineLevel="1" x14ac:dyDescent="0.2">
      <c r="A1349" s="623" t="s">
        <v>2376</v>
      </c>
      <c r="B1349" s="624" t="s">
        <v>2355</v>
      </c>
      <c r="C1349" s="625" t="s">
        <v>100</v>
      </c>
      <c r="D1349" s="626">
        <v>0.12</v>
      </c>
      <c r="E1349" s="622"/>
      <c r="F1349" s="334"/>
      <c r="G1349" s="334"/>
      <c r="H1349" s="602"/>
      <c r="I1349" s="334"/>
      <c r="J1349" s="334"/>
      <c r="K1349" s="334"/>
      <c r="L1349" s="334"/>
      <c r="M1349" s="334"/>
      <c r="N1349" s="334"/>
      <c r="O1349" s="334"/>
    </row>
    <row r="1350" spans="1:15" ht="12.75" hidden="1" customHeight="1" outlineLevel="1" x14ac:dyDescent="0.2">
      <c r="A1350" s="618" t="s">
        <v>2377</v>
      </c>
      <c r="B1350" s="619" t="s">
        <v>1069</v>
      </c>
      <c r="C1350" s="620"/>
      <c r="D1350" s="621"/>
      <c r="E1350" s="622"/>
      <c r="F1350" s="334"/>
      <c r="G1350" s="334"/>
      <c r="H1350" s="602"/>
      <c r="I1350" s="334"/>
      <c r="J1350" s="334"/>
      <c r="K1350" s="334"/>
      <c r="L1350" s="334"/>
      <c r="M1350" s="334"/>
      <c r="N1350" s="334"/>
      <c r="O1350" s="334"/>
    </row>
    <row r="1351" spans="1:15" ht="12.75" hidden="1" customHeight="1" outlineLevel="1" x14ac:dyDescent="0.2">
      <c r="A1351" s="627" t="s">
        <v>2378</v>
      </c>
      <c r="B1351" s="628" t="s">
        <v>2351</v>
      </c>
      <c r="C1351" s="629" t="s">
        <v>100</v>
      </c>
      <c r="D1351" s="630">
        <v>0.27</v>
      </c>
      <c r="E1351" s="622"/>
      <c r="F1351" s="334"/>
      <c r="G1351" s="334"/>
      <c r="H1351" s="602"/>
      <c r="I1351" s="334"/>
      <c r="J1351" s="334"/>
      <c r="K1351" s="334"/>
      <c r="L1351" s="334"/>
      <c r="M1351" s="334"/>
      <c r="N1351" s="334"/>
      <c r="O1351" s="334"/>
    </row>
    <row r="1352" spans="1:15" ht="12.75" hidden="1" customHeight="1" outlineLevel="1" x14ac:dyDescent="0.2">
      <c r="A1352" s="623" t="s">
        <v>2379</v>
      </c>
      <c r="B1352" s="624" t="s">
        <v>2353</v>
      </c>
      <c r="C1352" s="625" t="s">
        <v>100</v>
      </c>
      <c r="D1352" s="626">
        <v>2.1800000000000002</v>
      </c>
      <c r="E1352" s="622"/>
      <c r="F1352" s="334"/>
      <c r="G1352" s="334"/>
      <c r="H1352" s="602"/>
      <c r="I1352" s="334"/>
      <c r="J1352" s="334"/>
      <c r="K1352" s="334"/>
      <c r="L1352" s="334"/>
      <c r="M1352" s="334"/>
      <c r="N1352" s="334"/>
      <c r="O1352" s="334"/>
    </row>
    <row r="1353" spans="1:15" ht="12.75" hidden="1" customHeight="1" outlineLevel="1" x14ac:dyDescent="0.2">
      <c r="A1353" s="627" t="s">
        <v>2380</v>
      </c>
      <c r="B1353" s="628" t="s">
        <v>2355</v>
      </c>
      <c r="C1353" s="629" t="s">
        <v>100</v>
      </c>
      <c r="D1353" s="630">
        <v>0.12</v>
      </c>
      <c r="E1353" s="622"/>
      <c r="F1353" s="334"/>
      <c r="G1353" s="334"/>
      <c r="H1353" s="602"/>
      <c r="I1353" s="334"/>
      <c r="J1353" s="334"/>
      <c r="K1353" s="334"/>
      <c r="L1353" s="334"/>
      <c r="M1353" s="334"/>
      <c r="N1353" s="334"/>
      <c r="O1353" s="334"/>
    </row>
    <row r="1354" spans="1:15" ht="12.75" hidden="1" customHeight="1" outlineLevel="1" x14ac:dyDescent="0.2">
      <c r="A1354" s="618" t="s">
        <v>2381</v>
      </c>
      <c r="B1354" s="619" t="s">
        <v>1079</v>
      </c>
      <c r="C1354" s="620"/>
      <c r="D1354" s="621"/>
      <c r="E1354" s="622"/>
      <c r="F1354" s="334"/>
      <c r="G1354" s="334"/>
      <c r="H1354" s="602"/>
      <c r="I1354" s="334"/>
      <c r="J1354" s="334"/>
      <c r="K1354" s="334"/>
      <c r="L1354" s="334"/>
      <c r="M1354" s="334"/>
      <c r="N1354" s="334"/>
      <c r="O1354" s="334"/>
    </row>
    <row r="1355" spans="1:15" ht="12.75" hidden="1" customHeight="1" outlineLevel="1" x14ac:dyDescent="0.2">
      <c r="A1355" s="623" t="s">
        <v>2382</v>
      </c>
      <c r="B1355" s="624" t="s">
        <v>2351</v>
      </c>
      <c r="C1355" s="625" t="s">
        <v>100</v>
      </c>
      <c r="D1355" s="626">
        <v>0.27</v>
      </c>
      <c r="E1355" s="622"/>
      <c r="F1355" s="334"/>
      <c r="G1355" s="334"/>
      <c r="H1355" s="602"/>
      <c r="I1355" s="334"/>
      <c r="J1355" s="334"/>
      <c r="K1355" s="334"/>
      <c r="L1355" s="334"/>
      <c r="M1355" s="334"/>
      <c r="N1355" s="334"/>
      <c r="O1355" s="334"/>
    </row>
    <row r="1356" spans="1:15" ht="12.75" hidden="1" customHeight="1" outlineLevel="1" x14ac:dyDescent="0.2">
      <c r="A1356" s="627" t="s">
        <v>2383</v>
      </c>
      <c r="B1356" s="628" t="s">
        <v>2353</v>
      </c>
      <c r="C1356" s="629" t="s">
        <v>100</v>
      </c>
      <c r="D1356" s="630">
        <v>2.1800000000000002</v>
      </c>
      <c r="E1356" s="622"/>
      <c r="F1356" s="334"/>
      <c r="G1356" s="334"/>
      <c r="H1356" s="602"/>
      <c r="I1356" s="334"/>
      <c r="J1356" s="334"/>
      <c r="K1356" s="334"/>
      <c r="L1356" s="334"/>
      <c r="M1356" s="334"/>
      <c r="N1356" s="334"/>
      <c r="O1356" s="334"/>
    </row>
    <row r="1357" spans="1:15" ht="12.75" hidden="1" customHeight="1" outlineLevel="1" x14ac:dyDescent="0.2">
      <c r="A1357" s="623" t="s">
        <v>2384</v>
      </c>
      <c r="B1357" s="624" t="s">
        <v>2355</v>
      </c>
      <c r="C1357" s="625" t="s">
        <v>100</v>
      </c>
      <c r="D1357" s="626">
        <v>0.12</v>
      </c>
      <c r="E1357" s="622"/>
      <c r="F1357" s="334"/>
      <c r="G1357" s="334"/>
      <c r="H1357" s="602"/>
      <c r="I1357" s="334"/>
      <c r="J1357" s="334"/>
      <c r="K1357" s="334"/>
      <c r="L1357" s="334"/>
      <c r="M1357" s="334"/>
      <c r="N1357" s="334"/>
      <c r="O1357" s="334"/>
    </row>
    <row r="1358" spans="1:15" ht="12.75" hidden="1" customHeight="1" outlineLevel="1" x14ac:dyDescent="0.2">
      <c r="A1358" s="618" t="s">
        <v>2385</v>
      </c>
      <c r="B1358" s="619" t="s">
        <v>1086</v>
      </c>
      <c r="C1358" s="620"/>
      <c r="D1358" s="621"/>
      <c r="E1358" s="622"/>
      <c r="F1358" s="334"/>
      <c r="G1358" s="334"/>
      <c r="H1358" s="602"/>
      <c r="I1358" s="334"/>
      <c r="J1358" s="334"/>
      <c r="K1358" s="334"/>
      <c r="L1358" s="334"/>
      <c r="M1358" s="334"/>
      <c r="N1358" s="334"/>
      <c r="O1358" s="334"/>
    </row>
    <row r="1359" spans="1:15" ht="12.75" hidden="1" customHeight="1" outlineLevel="1" x14ac:dyDescent="0.2">
      <c r="A1359" s="627" t="s">
        <v>2386</v>
      </c>
      <c r="B1359" s="628" t="s">
        <v>2351</v>
      </c>
      <c r="C1359" s="629" t="s">
        <v>100</v>
      </c>
      <c r="D1359" s="630">
        <v>0.27</v>
      </c>
      <c r="E1359" s="622"/>
      <c r="F1359" s="334"/>
      <c r="G1359" s="334"/>
      <c r="H1359" s="602"/>
      <c r="I1359" s="334"/>
      <c r="J1359" s="334"/>
      <c r="K1359" s="334"/>
      <c r="L1359" s="334"/>
      <c r="M1359" s="334"/>
      <c r="N1359" s="334"/>
      <c r="O1359" s="334"/>
    </row>
    <row r="1360" spans="1:15" ht="12.75" hidden="1" customHeight="1" outlineLevel="1" x14ac:dyDescent="0.2">
      <c r="A1360" s="623" t="s">
        <v>2387</v>
      </c>
      <c r="B1360" s="624" t="s">
        <v>2353</v>
      </c>
      <c r="C1360" s="625" t="s">
        <v>100</v>
      </c>
      <c r="D1360" s="626">
        <v>2.1800000000000002</v>
      </c>
      <c r="E1360" s="622"/>
      <c r="F1360" s="334"/>
      <c r="G1360" s="334"/>
      <c r="H1360" s="602"/>
      <c r="I1360" s="334"/>
      <c r="J1360" s="334"/>
      <c r="K1360" s="334"/>
      <c r="L1360" s="334"/>
      <c r="M1360" s="334"/>
      <c r="N1360" s="334"/>
      <c r="O1360" s="334"/>
    </row>
    <row r="1361" spans="1:15" ht="12.75" hidden="1" customHeight="1" outlineLevel="1" x14ac:dyDescent="0.2">
      <c r="A1361" s="627" t="s">
        <v>2388</v>
      </c>
      <c r="B1361" s="628" t="s">
        <v>2355</v>
      </c>
      <c r="C1361" s="629" t="s">
        <v>100</v>
      </c>
      <c r="D1361" s="630">
        <v>0.12</v>
      </c>
      <c r="E1361" s="622"/>
      <c r="F1361" s="334"/>
      <c r="G1361" s="334"/>
      <c r="H1361" s="602"/>
      <c r="I1361" s="334"/>
      <c r="J1361" s="334"/>
      <c r="K1361" s="334"/>
      <c r="L1361" s="334"/>
      <c r="M1361" s="334"/>
      <c r="N1361" s="334"/>
      <c r="O1361" s="334"/>
    </row>
    <row r="1362" spans="1:15" ht="12.75" hidden="1" customHeight="1" outlineLevel="1" x14ac:dyDescent="0.2">
      <c r="A1362" s="618" t="s">
        <v>2389</v>
      </c>
      <c r="B1362" s="619" t="s">
        <v>1094</v>
      </c>
      <c r="C1362" s="620"/>
      <c r="D1362" s="621"/>
      <c r="E1362" s="622"/>
      <c r="F1362" s="334"/>
      <c r="G1362" s="334"/>
      <c r="H1362" s="602"/>
      <c r="I1362" s="334"/>
      <c r="J1362" s="334"/>
      <c r="K1362" s="334"/>
      <c r="L1362" s="334"/>
      <c r="M1362" s="334"/>
      <c r="N1362" s="334"/>
      <c r="O1362" s="334"/>
    </row>
    <row r="1363" spans="1:15" ht="12.75" hidden="1" customHeight="1" outlineLevel="1" x14ac:dyDescent="0.2">
      <c r="A1363" s="623" t="s">
        <v>2390</v>
      </c>
      <c r="B1363" s="624" t="s">
        <v>2351</v>
      </c>
      <c r="C1363" s="625" t="s">
        <v>100</v>
      </c>
      <c r="D1363" s="626">
        <v>0.27</v>
      </c>
      <c r="E1363" s="622"/>
      <c r="F1363" s="334"/>
      <c r="G1363" s="334"/>
      <c r="H1363" s="602"/>
      <c r="I1363" s="334"/>
      <c r="J1363" s="334"/>
      <c r="K1363" s="334"/>
      <c r="L1363" s="334"/>
      <c r="M1363" s="334"/>
      <c r="N1363" s="334"/>
      <c r="O1363" s="334"/>
    </row>
    <row r="1364" spans="1:15" ht="12.75" hidden="1" customHeight="1" outlineLevel="1" x14ac:dyDescent="0.2">
      <c r="A1364" s="627" t="s">
        <v>2391</v>
      </c>
      <c r="B1364" s="628" t="s">
        <v>2353</v>
      </c>
      <c r="C1364" s="629" t="s">
        <v>100</v>
      </c>
      <c r="D1364" s="630">
        <v>2.1800000000000002</v>
      </c>
      <c r="E1364" s="622"/>
      <c r="F1364" s="334"/>
      <c r="G1364" s="334"/>
      <c r="H1364" s="602"/>
      <c r="I1364" s="334"/>
      <c r="J1364" s="334"/>
      <c r="K1364" s="334"/>
      <c r="L1364" s="334"/>
      <c r="M1364" s="334"/>
      <c r="N1364" s="334"/>
      <c r="O1364" s="334"/>
    </row>
    <row r="1365" spans="1:15" ht="12.75" hidden="1" customHeight="1" outlineLevel="1" x14ac:dyDescent="0.2">
      <c r="A1365" s="623" t="s">
        <v>2392</v>
      </c>
      <c r="B1365" s="624" t="s">
        <v>2355</v>
      </c>
      <c r="C1365" s="625" t="s">
        <v>100</v>
      </c>
      <c r="D1365" s="626">
        <v>0.12</v>
      </c>
      <c r="E1365" s="622"/>
      <c r="F1365" s="334"/>
      <c r="G1365" s="334"/>
      <c r="H1365" s="602"/>
      <c r="I1365" s="334"/>
      <c r="J1365" s="334"/>
      <c r="K1365" s="334"/>
      <c r="L1365" s="334"/>
      <c r="M1365" s="334"/>
      <c r="N1365" s="334"/>
      <c r="O1365" s="334"/>
    </row>
    <row r="1366" spans="1:15" ht="12.75" hidden="1" customHeight="1" outlineLevel="1" x14ac:dyDescent="0.2">
      <c r="A1366" s="618" t="s">
        <v>2393</v>
      </c>
      <c r="B1366" s="619" t="s">
        <v>1102</v>
      </c>
      <c r="C1366" s="620"/>
      <c r="D1366" s="621"/>
      <c r="E1366" s="622"/>
      <c r="F1366" s="334"/>
      <c r="G1366" s="334"/>
      <c r="H1366" s="602"/>
      <c r="I1366" s="334"/>
      <c r="J1366" s="334"/>
      <c r="K1366" s="334"/>
      <c r="L1366" s="334"/>
      <c r="M1366" s="334"/>
      <c r="N1366" s="334"/>
      <c r="O1366" s="334"/>
    </row>
    <row r="1367" spans="1:15" ht="12.75" hidden="1" customHeight="1" outlineLevel="1" x14ac:dyDescent="0.2">
      <c r="A1367" s="627" t="s">
        <v>2394</v>
      </c>
      <c r="B1367" s="628" t="s">
        <v>2351</v>
      </c>
      <c r="C1367" s="629" t="s">
        <v>100</v>
      </c>
      <c r="D1367" s="630">
        <v>0.27</v>
      </c>
      <c r="E1367" s="622"/>
      <c r="F1367" s="334"/>
      <c r="G1367" s="334"/>
      <c r="H1367" s="602"/>
      <c r="I1367" s="334"/>
      <c r="J1367" s="334"/>
      <c r="K1367" s="334"/>
      <c r="L1367" s="334"/>
      <c r="M1367" s="334"/>
      <c r="N1367" s="334"/>
      <c r="O1367" s="334"/>
    </row>
    <row r="1368" spans="1:15" ht="12.75" hidden="1" customHeight="1" outlineLevel="1" x14ac:dyDescent="0.2">
      <c r="A1368" s="623" t="s">
        <v>2395</v>
      </c>
      <c r="B1368" s="624" t="s">
        <v>2353</v>
      </c>
      <c r="C1368" s="625" t="s">
        <v>100</v>
      </c>
      <c r="D1368" s="626">
        <v>1.95</v>
      </c>
      <c r="E1368" s="622"/>
      <c r="F1368" s="334"/>
      <c r="G1368" s="334"/>
      <c r="H1368" s="602"/>
      <c r="I1368" s="334"/>
      <c r="J1368" s="334"/>
      <c r="K1368" s="334"/>
      <c r="L1368" s="334"/>
      <c r="M1368" s="334"/>
      <c r="N1368" s="334"/>
      <c r="O1368" s="334"/>
    </row>
    <row r="1369" spans="1:15" ht="12.75" hidden="1" customHeight="1" outlineLevel="1" x14ac:dyDescent="0.2">
      <c r="A1369" s="627" t="s">
        <v>2396</v>
      </c>
      <c r="B1369" s="628" t="s">
        <v>2355</v>
      </c>
      <c r="C1369" s="629" t="s">
        <v>100</v>
      </c>
      <c r="D1369" s="630">
        <v>0.12</v>
      </c>
      <c r="E1369" s="622"/>
      <c r="F1369" s="334"/>
      <c r="G1369" s="334"/>
      <c r="H1369" s="602"/>
      <c r="I1369" s="334"/>
      <c r="J1369" s="334"/>
      <c r="K1369" s="334"/>
      <c r="L1369" s="334"/>
      <c r="M1369" s="334"/>
      <c r="N1369" s="334"/>
      <c r="O1369" s="334"/>
    </row>
    <row r="1370" spans="1:15" ht="12.75" hidden="1" customHeight="1" outlineLevel="1" x14ac:dyDescent="0.2">
      <c r="A1370" s="618" t="s">
        <v>2397</v>
      </c>
      <c r="B1370" s="619" t="s">
        <v>1112</v>
      </c>
      <c r="C1370" s="620"/>
      <c r="D1370" s="621"/>
      <c r="E1370" s="622"/>
      <c r="F1370" s="334"/>
      <c r="G1370" s="334"/>
      <c r="H1370" s="602"/>
      <c r="I1370" s="334"/>
      <c r="J1370" s="334"/>
      <c r="K1370" s="334"/>
      <c r="L1370" s="334"/>
      <c r="M1370" s="334"/>
      <c r="N1370" s="334"/>
      <c r="O1370" s="334"/>
    </row>
    <row r="1371" spans="1:15" ht="12.75" hidden="1" customHeight="1" outlineLevel="1" x14ac:dyDescent="0.2">
      <c r="A1371" s="623" t="s">
        <v>2398</v>
      </c>
      <c r="B1371" s="624" t="s">
        <v>2353</v>
      </c>
      <c r="C1371" s="625" t="s">
        <v>100</v>
      </c>
      <c r="D1371" s="626">
        <v>1.47</v>
      </c>
      <c r="E1371" s="622"/>
      <c r="F1371" s="334"/>
      <c r="G1371" s="334"/>
      <c r="H1371" s="602"/>
      <c r="I1371" s="334"/>
      <c r="J1371" s="334"/>
      <c r="K1371" s="334"/>
      <c r="L1371" s="334"/>
      <c r="M1371" s="334"/>
      <c r="N1371" s="334"/>
      <c r="O1371" s="334"/>
    </row>
    <row r="1372" spans="1:15" ht="12.75" hidden="1" customHeight="1" outlineLevel="1" x14ac:dyDescent="0.2">
      <c r="A1372" s="618" t="s">
        <v>2399</v>
      </c>
      <c r="B1372" s="619" t="s">
        <v>1127</v>
      </c>
      <c r="C1372" s="620"/>
      <c r="D1372" s="621"/>
      <c r="E1372" s="622"/>
      <c r="F1372" s="334"/>
      <c r="G1372" s="334"/>
      <c r="H1372" s="602"/>
      <c r="I1372" s="334"/>
      <c r="J1372" s="334"/>
      <c r="K1372" s="334"/>
      <c r="L1372" s="334"/>
      <c r="M1372" s="334"/>
      <c r="N1372" s="334"/>
      <c r="O1372" s="334"/>
    </row>
    <row r="1373" spans="1:15" ht="12.75" hidden="1" customHeight="1" outlineLevel="1" x14ac:dyDescent="0.2">
      <c r="A1373" s="627" t="s">
        <v>2400</v>
      </c>
      <c r="B1373" s="628" t="s">
        <v>2351</v>
      </c>
      <c r="C1373" s="629" t="s">
        <v>100</v>
      </c>
      <c r="D1373" s="630">
        <v>0.27</v>
      </c>
      <c r="E1373" s="622"/>
      <c r="F1373" s="334"/>
      <c r="G1373" s="334"/>
      <c r="H1373" s="602"/>
      <c r="I1373" s="334"/>
      <c r="J1373" s="334"/>
      <c r="K1373" s="334"/>
      <c r="L1373" s="334"/>
      <c r="M1373" s="334"/>
      <c r="N1373" s="334"/>
      <c r="O1373" s="334"/>
    </row>
    <row r="1374" spans="1:15" ht="12.75" hidden="1" customHeight="1" outlineLevel="1" x14ac:dyDescent="0.2">
      <c r="A1374" s="623" t="s">
        <v>2401</v>
      </c>
      <c r="B1374" s="624" t="s">
        <v>2353</v>
      </c>
      <c r="C1374" s="625" t="s">
        <v>100</v>
      </c>
      <c r="D1374" s="626">
        <v>0.91</v>
      </c>
      <c r="E1374" s="622"/>
      <c r="F1374" s="334"/>
      <c r="G1374" s="334"/>
      <c r="H1374" s="602"/>
      <c r="I1374" s="334"/>
      <c r="J1374" s="334"/>
      <c r="K1374" s="334"/>
      <c r="L1374" s="334"/>
      <c r="M1374" s="334"/>
      <c r="N1374" s="334"/>
      <c r="O1374" s="334"/>
    </row>
    <row r="1375" spans="1:15" ht="12.75" hidden="1" customHeight="1" outlineLevel="1" x14ac:dyDescent="0.2">
      <c r="A1375" s="618" t="s">
        <v>2402</v>
      </c>
      <c r="B1375" s="619" t="s">
        <v>1137</v>
      </c>
      <c r="C1375" s="620"/>
      <c r="D1375" s="621"/>
      <c r="E1375" s="622"/>
      <c r="F1375" s="334"/>
      <c r="G1375" s="334"/>
      <c r="H1375" s="602"/>
      <c r="I1375" s="334"/>
      <c r="J1375" s="334"/>
      <c r="K1375" s="334"/>
      <c r="L1375" s="334"/>
      <c r="M1375" s="334"/>
      <c r="N1375" s="334"/>
      <c r="O1375" s="334"/>
    </row>
    <row r="1376" spans="1:15" ht="12.75" hidden="1" customHeight="1" outlineLevel="1" x14ac:dyDescent="0.2">
      <c r="A1376" s="627" t="s">
        <v>2403</v>
      </c>
      <c r="B1376" s="628" t="s">
        <v>2351</v>
      </c>
      <c r="C1376" s="629" t="s">
        <v>100</v>
      </c>
      <c r="D1376" s="630">
        <v>0.27</v>
      </c>
      <c r="E1376" s="622"/>
      <c r="F1376" s="334"/>
      <c r="G1376" s="334"/>
      <c r="H1376" s="602"/>
      <c r="I1376" s="334"/>
      <c r="J1376" s="334"/>
      <c r="K1376" s="334"/>
      <c r="L1376" s="334"/>
      <c r="M1376" s="334"/>
      <c r="N1376" s="334"/>
      <c r="O1376" s="334"/>
    </row>
    <row r="1377" spans="1:15" ht="12.75" hidden="1" customHeight="1" outlineLevel="1" x14ac:dyDescent="0.2">
      <c r="A1377" s="976" t="s">
        <v>2431</v>
      </c>
      <c r="B1377" s="977" t="s">
        <v>5166</v>
      </c>
      <c r="C1377" s="978"/>
      <c r="D1377" s="979"/>
      <c r="E1377" s="975"/>
      <c r="F1377" s="334"/>
      <c r="G1377" s="334"/>
      <c r="H1377" s="602"/>
      <c r="I1377" s="334"/>
      <c r="J1377" s="334"/>
      <c r="K1377" s="334"/>
      <c r="L1377" s="334"/>
      <c r="M1377" s="334"/>
      <c r="N1377" s="334"/>
      <c r="O1377" s="334"/>
    </row>
    <row r="1378" spans="1:15" ht="12.75" hidden="1" customHeight="1" outlineLevel="1" x14ac:dyDescent="0.2">
      <c r="A1378" s="980" t="s">
        <v>2433</v>
      </c>
      <c r="B1378" s="981" t="s">
        <v>1009</v>
      </c>
      <c r="C1378" s="982"/>
      <c r="D1378" s="983"/>
      <c r="E1378" s="975"/>
      <c r="F1378" s="334"/>
      <c r="G1378" s="334"/>
      <c r="H1378" s="1002" t="s">
        <v>5314</v>
      </c>
      <c r="I1378" s="632" t="s">
        <v>59</v>
      </c>
      <c r="J1378" s="334"/>
      <c r="K1378" s="334"/>
      <c r="L1378" s="334"/>
      <c r="M1378" s="334"/>
      <c r="N1378" s="334"/>
      <c r="O1378" s="334"/>
    </row>
    <row r="1379" spans="1:15" ht="12.75" hidden="1" customHeight="1" outlineLevel="1" x14ac:dyDescent="0.2">
      <c r="A1379" s="984" t="s">
        <v>2434</v>
      </c>
      <c r="B1379" s="985" t="s">
        <v>5167</v>
      </c>
      <c r="C1379" s="986" t="s">
        <v>79</v>
      </c>
      <c r="D1379" s="987">
        <v>8.34</v>
      </c>
      <c r="E1379" s="975"/>
      <c r="F1379" s="334"/>
      <c r="G1379" s="334"/>
      <c r="H1379" s="602" t="s">
        <v>5167</v>
      </c>
      <c r="I1379" s="634">
        <f t="shared" ref="I1379:I1407" si="6">SUMIF($B$14:$B$4106,H1379,$D$14:$D$4106)</f>
        <v>111.31999999999998</v>
      </c>
      <c r="J1379" s="334"/>
      <c r="K1379" s="334"/>
      <c r="L1379" s="334"/>
      <c r="M1379" s="334"/>
      <c r="N1379" s="334"/>
      <c r="O1379" s="334"/>
    </row>
    <row r="1380" spans="1:15" ht="12.75" hidden="1" customHeight="1" outlineLevel="1" x14ac:dyDescent="0.2">
      <c r="A1380" s="988" t="s">
        <v>2435</v>
      </c>
      <c r="B1380" s="989" t="s">
        <v>5168</v>
      </c>
      <c r="C1380" s="990" t="s">
        <v>79</v>
      </c>
      <c r="D1380" s="991">
        <v>26.16</v>
      </c>
      <c r="E1380" s="975"/>
      <c r="F1380" s="334"/>
      <c r="G1380" s="334"/>
      <c r="H1380" s="602" t="s">
        <v>5168</v>
      </c>
      <c r="I1380" s="634">
        <f t="shared" si="6"/>
        <v>247.84999999999997</v>
      </c>
      <c r="J1380" s="334"/>
      <c r="K1380" s="334"/>
      <c r="L1380" s="334"/>
      <c r="M1380" s="334"/>
      <c r="N1380" s="334"/>
      <c r="O1380" s="334"/>
    </row>
    <row r="1381" spans="1:15" ht="12.75" hidden="1" customHeight="1" outlineLevel="1" x14ac:dyDescent="0.2">
      <c r="A1381" s="984" t="s">
        <v>5169</v>
      </c>
      <c r="B1381" s="985" t="s">
        <v>5170</v>
      </c>
      <c r="C1381" s="986" t="s">
        <v>79</v>
      </c>
      <c r="D1381" s="987">
        <v>9.1300000000000008</v>
      </c>
      <c r="E1381" s="975"/>
      <c r="F1381" s="334"/>
      <c r="G1381" s="334"/>
      <c r="H1381" s="602" t="s">
        <v>5170</v>
      </c>
      <c r="I1381" s="634">
        <f t="shared" si="6"/>
        <v>9.1300000000000008</v>
      </c>
      <c r="J1381" s="334"/>
      <c r="K1381" s="334"/>
      <c r="L1381" s="334"/>
      <c r="M1381" s="334"/>
      <c r="N1381" s="334"/>
      <c r="O1381" s="334"/>
    </row>
    <row r="1382" spans="1:15" ht="12.75" hidden="1" customHeight="1" outlineLevel="1" x14ac:dyDescent="0.2">
      <c r="A1382" s="988" t="s">
        <v>5171</v>
      </c>
      <c r="B1382" s="989" t="s">
        <v>5172</v>
      </c>
      <c r="C1382" s="990" t="s">
        <v>79</v>
      </c>
      <c r="D1382" s="991">
        <v>125.82</v>
      </c>
      <c r="E1382" s="975"/>
      <c r="F1382" s="334"/>
      <c r="G1382" s="334"/>
      <c r="H1382" s="602" t="s">
        <v>5172</v>
      </c>
      <c r="I1382" s="634">
        <f t="shared" si="6"/>
        <v>309.41999999999996</v>
      </c>
      <c r="J1382" s="334"/>
      <c r="K1382" s="334"/>
      <c r="L1382" s="334"/>
      <c r="M1382" s="334"/>
      <c r="N1382" s="334"/>
      <c r="O1382" s="334"/>
    </row>
    <row r="1383" spans="1:15" ht="12.75" hidden="1" customHeight="1" outlineLevel="1" x14ac:dyDescent="0.2">
      <c r="A1383" s="984" t="s">
        <v>5173</v>
      </c>
      <c r="B1383" s="985" t="s">
        <v>5174</v>
      </c>
      <c r="C1383" s="986" t="s">
        <v>79</v>
      </c>
      <c r="D1383" s="987">
        <v>4.8600000000000003</v>
      </c>
      <c r="E1383" s="975"/>
      <c r="F1383" s="334"/>
      <c r="G1383" s="334"/>
      <c r="H1383" s="602" t="s">
        <v>5174</v>
      </c>
      <c r="I1383" s="634">
        <f t="shared" si="6"/>
        <v>4.8600000000000003</v>
      </c>
      <c r="J1383" s="334"/>
      <c r="K1383" s="334"/>
      <c r="L1383" s="334"/>
      <c r="M1383" s="334"/>
      <c r="N1383" s="334"/>
      <c r="O1383" s="334"/>
    </row>
    <row r="1384" spans="1:15" ht="12.75" hidden="1" customHeight="1" outlineLevel="1" x14ac:dyDescent="0.2">
      <c r="A1384" s="988" t="s">
        <v>5175</v>
      </c>
      <c r="B1384" s="989" t="s">
        <v>5176</v>
      </c>
      <c r="C1384" s="990" t="s">
        <v>79</v>
      </c>
      <c r="D1384" s="991">
        <v>31.12</v>
      </c>
      <c r="E1384" s="975"/>
      <c r="F1384" s="334"/>
      <c r="G1384" s="334"/>
      <c r="H1384" s="602" t="s">
        <v>5176</v>
      </c>
      <c r="I1384" s="634">
        <f t="shared" si="6"/>
        <v>31.12</v>
      </c>
      <c r="J1384" s="334"/>
      <c r="K1384" s="334"/>
      <c r="L1384" s="334"/>
      <c r="M1384" s="334"/>
      <c r="N1384" s="334"/>
      <c r="O1384" s="334"/>
    </row>
    <row r="1385" spans="1:15" ht="12.75" hidden="1" customHeight="1" outlineLevel="1" x14ac:dyDescent="0.2">
      <c r="A1385" s="984" t="s">
        <v>5177</v>
      </c>
      <c r="B1385" s="985" t="s">
        <v>5178</v>
      </c>
      <c r="C1385" s="986" t="s">
        <v>79</v>
      </c>
      <c r="D1385" s="987">
        <v>7.04</v>
      </c>
      <c r="E1385" s="975"/>
      <c r="F1385" s="334"/>
      <c r="G1385" s="334"/>
      <c r="H1385" s="602" t="s">
        <v>5178</v>
      </c>
      <c r="I1385" s="634">
        <f t="shared" si="6"/>
        <v>7.04</v>
      </c>
      <c r="J1385" s="334"/>
      <c r="K1385" s="334"/>
      <c r="L1385" s="334"/>
      <c r="M1385" s="334"/>
      <c r="N1385" s="334"/>
      <c r="O1385" s="334"/>
    </row>
    <row r="1386" spans="1:15" ht="12.75" hidden="1" customHeight="1" outlineLevel="1" x14ac:dyDescent="0.2">
      <c r="A1386" s="988" t="s">
        <v>5179</v>
      </c>
      <c r="B1386" s="989" t="s">
        <v>5180</v>
      </c>
      <c r="C1386" s="990" t="s">
        <v>79</v>
      </c>
      <c r="D1386" s="991">
        <v>7.15</v>
      </c>
      <c r="E1386" s="975"/>
      <c r="F1386" s="334"/>
      <c r="G1386" s="334"/>
      <c r="H1386" s="602" t="s">
        <v>5180</v>
      </c>
      <c r="I1386" s="634">
        <f t="shared" si="6"/>
        <v>7.15</v>
      </c>
      <c r="J1386" s="334"/>
      <c r="K1386" s="334"/>
      <c r="L1386" s="334"/>
      <c r="M1386" s="334"/>
      <c r="N1386" s="334"/>
      <c r="O1386" s="334"/>
    </row>
    <row r="1387" spans="1:15" ht="12.75" hidden="1" customHeight="1" outlineLevel="1" x14ac:dyDescent="0.2">
      <c r="A1387" s="984" t="s">
        <v>5181</v>
      </c>
      <c r="B1387" s="985" t="s">
        <v>5182</v>
      </c>
      <c r="C1387" s="986" t="s">
        <v>79</v>
      </c>
      <c r="D1387" s="987">
        <v>32.729999999999997</v>
      </c>
      <c r="E1387" s="975"/>
      <c r="F1387" s="334"/>
      <c r="G1387" s="334"/>
      <c r="H1387" s="602" t="s">
        <v>5182</v>
      </c>
      <c r="I1387" s="634">
        <f t="shared" si="6"/>
        <v>32.729999999999997</v>
      </c>
      <c r="J1387" s="334"/>
      <c r="K1387" s="334"/>
      <c r="L1387" s="334"/>
      <c r="M1387" s="334"/>
      <c r="N1387" s="334"/>
      <c r="O1387" s="334"/>
    </row>
    <row r="1388" spans="1:15" ht="12.75" hidden="1" customHeight="1" outlineLevel="1" x14ac:dyDescent="0.2">
      <c r="A1388" s="988" t="s">
        <v>5183</v>
      </c>
      <c r="B1388" s="989" t="s">
        <v>5184</v>
      </c>
      <c r="C1388" s="990" t="s">
        <v>79</v>
      </c>
      <c r="D1388" s="991">
        <v>38.19</v>
      </c>
      <c r="E1388" s="975"/>
      <c r="F1388" s="334"/>
      <c r="G1388" s="334"/>
      <c r="H1388" s="602" t="s">
        <v>5184</v>
      </c>
      <c r="I1388" s="634">
        <f t="shared" si="6"/>
        <v>38.19</v>
      </c>
      <c r="J1388" s="334"/>
      <c r="K1388" s="334"/>
      <c r="L1388" s="334"/>
      <c r="M1388" s="334"/>
      <c r="N1388" s="334"/>
      <c r="O1388" s="334"/>
    </row>
    <row r="1389" spans="1:15" ht="12.75" hidden="1" customHeight="1" outlineLevel="1" x14ac:dyDescent="0.2">
      <c r="A1389" s="984" t="s">
        <v>5185</v>
      </c>
      <c r="B1389" s="985" t="s">
        <v>5186</v>
      </c>
      <c r="C1389" s="986" t="s">
        <v>79</v>
      </c>
      <c r="D1389" s="987">
        <v>10.92</v>
      </c>
      <c r="E1389" s="975"/>
      <c r="F1389" s="334"/>
      <c r="G1389" s="334"/>
      <c r="H1389" s="602" t="s">
        <v>5186</v>
      </c>
      <c r="I1389" s="634">
        <f t="shared" si="6"/>
        <v>10.92</v>
      </c>
      <c r="J1389" s="334"/>
      <c r="K1389" s="334"/>
      <c r="L1389" s="334"/>
      <c r="M1389" s="334"/>
      <c r="N1389" s="334"/>
      <c r="O1389" s="334"/>
    </row>
    <row r="1390" spans="1:15" ht="12.75" hidden="1" customHeight="1" outlineLevel="1" x14ac:dyDescent="0.2">
      <c r="A1390" s="988" t="s">
        <v>5187</v>
      </c>
      <c r="B1390" s="989" t="s">
        <v>5188</v>
      </c>
      <c r="C1390" s="990" t="s">
        <v>79</v>
      </c>
      <c r="D1390" s="991">
        <v>7.69</v>
      </c>
      <c r="E1390" s="975"/>
      <c r="F1390" s="334"/>
      <c r="G1390" s="334"/>
      <c r="H1390" s="602" t="s">
        <v>5188</v>
      </c>
      <c r="I1390" s="634">
        <f t="shared" si="6"/>
        <v>7.69</v>
      </c>
      <c r="J1390" s="334"/>
      <c r="K1390" s="334"/>
      <c r="L1390" s="334"/>
      <c r="M1390" s="334"/>
      <c r="N1390" s="334"/>
      <c r="O1390" s="334"/>
    </row>
    <row r="1391" spans="1:15" ht="12.75" hidden="1" customHeight="1" outlineLevel="1" x14ac:dyDescent="0.2">
      <c r="A1391" s="980" t="s">
        <v>2436</v>
      </c>
      <c r="B1391" s="981" t="s">
        <v>1017</v>
      </c>
      <c r="C1391" s="982"/>
      <c r="D1391" s="983"/>
      <c r="E1391" s="975"/>
      <c r="F1391" s="334"/>
      <c r="G1391" s="334"/>
      <c r="H1391" s="602" t="s">
        <v>5194</v>
      </c>
      <c r="I1391" s="634">
        <f t="shared" si="6"/>
        <v>594.41000000000008</v>
      </c>
      <c r="J1391" s="334"/>
      <c r="K1391" s="334"/>
      <c r="L1391" s="334"/>
      <c r="M1391" s="334"/>
      <c r="N1391" s="334"/>
      <c r="O1391" s="334"/>
    </row>
    <row r="1392" spans="1:15" ht="12.75" hidden="1" customHeight="1" outlineLevel="1" x14ac:dyDescent="0.2">
      <c r="A1392" s="984" t="s">
        <v>2437</v>
      </c>
      <c r="B1392" s="985" t="s">
        <v>5167</v>
      </c>
      <c r="C1392" s="986" t="s">
        <v>79</v>
      </c>
      <c r="D1392" s="987">
        <v>16.52</v>
      </c>
      <c r="E1392" s="975"/>
      <c r="F1392" s="334"/>
      <c r="G1392" s="334"/>
      <c r="H1392" s="602" t="s">
        <v>5196</v>
      </c>
      <c r="I1392" s="634">
        <f t="shared" si="6"/>
        <v>1354.49</v>
      </c>
      <c r="J1392" s="334"/>
      <c r="K1392" s="334"/>
      <c r="L1392" s="334"/>
      <c r="M1392" s="334"/>
      <c r="N1392" s="334"/>
      <c r="O1392" s="334"/>
    </row>
    <row r="1393" spans="1:15" ht="12.75" hidden="1" customHeight="1" outlineLevel="1" x14ac:dyDescent="0.2">
      <c r="A1393" s="988" t="s">
        <v>5189</v>
      </c>
      <c r="B1393" s="989" t="s">
        <v>5168</v>
      </c>
      <c r="C1393" s="990" t="s">
        <v>79</v>
      </c>
      <c r="D1393" s="991">
        <v>9.7100000000000009</v>
      </c>
      <c r="E1393" s="975"/>
      <c r="F1393" s="334"/>
      <c r="G1393" s="334"/>
      <c r="H1393" s="602" t="s">
        <v>5198</v>
      </c>
      <c r="I1393" s="634">
        <f t="shared" si="6"/>
        <v>490.8599999999999</v>
      </c>
      <c r="J1393" s="334"/>
      <c r="K1393" s="334"/>
      <c r="L1393" s="334"/>
      <c r="M1393" s="334"/>
      <c r="N1393" s="334"/>
      <c r="O1393" s="334"/>
    </row>
    <row r="1394" spans="1:15" ht="12.75" hidden="1" customHeight="1" outlineLevel="1" x14ac:dyDescent="0.2">
      <c r="A1394" s="984" t="s">
        <v>5190</v>
      </c>
      <c r="B1394" s="985" t="s">
        <v>5172</v>
      </c>
      <c r="C1394" s="986" t="s">
        <v>79</v>
      </c>
      <c r="D1394" s="987">
        <v>183.6</v>
      </c>
      <c r="E1394" s="975"/>
      <c r="F1394" s="334"/>
      <c r="G1394" s="334"/>
      <c r="H1394" s="602" t="s">
        <v>5200</v>
      </c>
      <c r="I1394" s="634">
        <f t="shared" si="6"/>
        <v>354.29999999999995</v>
      </c>
      <c r="J1394" s="334"/>
      <c r="K1394" s="334"/>
      <c r="L1394" s="334"/>
      <c r="M1394" s="334"/>
      <c r="N1394" s="334"/>
      <c r="O1394" s="334"/>
    </row>
    <row r="1395" spans="1:15" ht="12.75" hidden="1" customHeight="1" outlineLevel="1" x14ac:dyDescent="0.2">
      <c r="A1395" s="980" t="s">
        <v>5191</v>
      </c>
      <c r="B1395" s="981" t="s">
        <v>1021</v>
      </c>
      <c r="C1395" s="982"/>
      <c r="D1395" s="983"/>
      <c r="E1395" s="975"/>
      <c r="F1395" s="334"/>
      <c r="G1395" s="334"/>
      <c r="H1395" s="602" t="s">
        <v>5203</v>
      </c>
      <c r="I1395" s="634">
        <f t="shared" si="6"/>
        <v>459.60999999999996</v>
      </c>
      <c r="J1395" s="334"/>
      <c r="K1395" s="334"/>
      <c r="L1395" s="334"/>
      <c r="M1395" s="334"/>
      <c r="N1395" s="334"/>
      <c r="O1395" s="334"/>
    </row>
    <row r="1396" spans="1:15" ht="12.75" hidden="1" customHeight="1" outlineLevel="1" x14ac:dyDescent="0.2">
      <c r="A1396" s="988" t="s">
        <v>5192</v>
      </c>
      <c r="B1396" s="989" t="s">
        <v>5167</v>
      </c>
      <c r="C1396" s="990" t="s">
        <v>79</v>
      </c>
      <c r="D1396" s="991">
        <v>7.18</v>
      </c>
      <c r="E1396" s="975"/>
      <c r="F1396" s="334"/>
      <c r="G1396" s="334"/>
      <c r="H1396" s="602" t="s">
        <v>5205</v>
      </c>
      <c r="I1396" s="634">
        <f t="shared" si="6"/>
        <v>102.31</v>
      </c>
      <c r="J1396" s="334"/>
      <c r="K1396" s="334"/>
      <c r="L1396" s="334"/>
      <c r="M1396" s="334"/>
      <c r="N1396" s="334"/>
      <c r="O1396" s="334"/>
    </row>
    <row r="1397" spans="1:15" ht="12.75" hidden="1" customHeight="1" outlineLevel="1" x14ac:dyDescent="0.2">
      <c r="A1397" s="984" t="s">
        <v>5193</v>
      </c>
      <c r="B1397" s="985" t="s">
        <v>5194</v>
      </c>
      <c r="C1397" s="986" t="s">
        <v>79</v>
      </c>
      <c r="D1397" s="987">
        <v>109.73</v>
      </c>
      <c r="E1397" s="975"/>
      <c r="F1397" s="334"/>
      <c r="G1397" s="334"/>
      <c r="H1397" s="602" t="s">
        <v>5219</v>
      </c>
      <c r="I1397" s="634">
        <f t="shared" si="6"/>
        <v>53.61</v>
      </c>
      <c r="J1397" s="334"/>
      <c r="K1397" s="334"/>
      <c r="L1397" s="334"/>
      <c r="M1397" s="334"/>
      <c r="N1397" s="334"/>
      <c r="O1397" s="334"/>
    </row>
    <row r="1398" spans="1:15" ht="12.75" hidden="1" customHeight="1" outlineLevel="1" x14ac:dyDescent="0.2">
      <c r="A1398" s="988" t="s">
        <v>5195</v>
      </c>
      <c r="B1398" s="989" t="s">
        <v>5196</v>
      </c>
      <c r="C1398" s="990" t="s">
        <v>79</v>
      </c>
      <c r="D1398" s="991">
        <v>78.44</v>
      </c>
      <c r="E1398" s="975"/>
      <c r="F1398" s="334"/>
      <c r="G1398" s="334"/>
      <c r="H1398" s="602" t="s">
        <v>5223</v>
      </c>
      <c r="I1398" s="634">
        <f t="shared" si="6"/>
        <v>36.590000000000003</v>
      </c>
      <c r="J1398" s="334"/>
      <c r="K1398" s="334"/>
      <c r="L1398" s="334"/>
      <c r="M1398" s="334"/>
      <c r="N1398" s="334"/>
      <c r="O1398" s="334"/>
    </row>
    <row r="1399" spans="1:15" ht="12.75" hidden="1" customHeight="1" outlineLevel="1" x14ac:dyDescent="0.2">
      <c r="A1399" s="984" t="s">
        <v>5197</v>
      </c>
      <c r="B1399" s="985" t="s">
        <v>5198</v>
      </c>
      <c r="C1399" s="986" t="s">
        <v>79</v>
      </c>
      <c r="D1399" s="987">
        <v>49.92</v>
      </c>
      <c r="E1399" s="975"/>
      <c r="F1399" s="334"/>
      <c r="G1399" s="334"/>
      <c r="H1399" s="602" t="s">
        <v>5226</v>
      </c>
      <c r="I1399" s="634">
        <f t="shared" si="6"/>
        <v>86.26</v>
      </c>
      <c r="J1399" s="334"/>
      <c r="K1399" s="334"/>
      <c r="L1399" s="334"/>
      <c r="M1399" s="334"/>
      <c r="N1399" s="334"/>
      <c r="O1399" s="334"/>
    </row>
    <row r="1400" spans="1:15" ht="12.75" hidden="1" customHeight="1" outlineLevel="1" x14ac:dyDescent="0.2">
      <c r="A1400" s="988" t="s">
        <v>5199</v>
      </c>
      <c r="B1400" s="989" t="s">
        <v>5200</v>
      </c>
      <c r="C1400" s="990" t="s">
        <v>79</v>
      </c>
      <c r="D1400" s="991">
        <v>63.55</v>
      </c>
      <c r="E1400" s="975"/>
      <c r="F1400" s="334"/>
      <c r="G1400" s="334"/>
      <c r="H1400" s="602" t="s">
        <v>5279</v>
      </c>
      <c r="I1400" s="634">
        <f t="shared" si="6"/>
        <v>51.48</v>
      </c>
      <c r="J1400" s="334"/>
      <c r="K1400" s="334"/>
      <c r="L1400" s="334"/>
      <c r="M1400" s="334"/>
      <c r="N1400" s="334"/>
      <c r="O1400" s="334"/>
    </row>
    <row r="1401" spans="1:15" ht="12.75" hidden="1" customHeight="1" outlineLevel="1" x14ac:dyDescent="0.2">
      <c r="A1401" s="984" t="s">
        <v>5201</v>
      </c>
      <c r="B1401" s="985" t="s">
        <v>5168</v>
      </c>
      <c r="C1401" s="986" t="s">
        <v>79</v>
      </c>
      <c r="D1401" s="987">
        <v>19.05</v>
      </c>
      <c r="E1401" s="975"/>
      <c r="F1401" s="334"/>
      <c r="G1401" s="334"/>
      <c r="H1401" s="602" t="s">
        <v>5292</v>
      </c>
      <c r="I1401" s="634">
        <f t="shared" si="6"/>
        <v>18.239999999999998</v>
      </c>
      <c r="J1401" s="334"/>
      <c r="K1401" s="334"/>
      <c r="L1401" s="334"/>
      <c r="M1401" s="334"/>
      <c r="N1401" s="334"/>
      <c r="O1401" s="334"/>
    </row>
    <row r="1402" spans="1:15" ht="12.75" hidden="1" customHeight="1" outlineLevel="1" x14ac:dyDescent="0.2">
      <c r="A1402" s="988" t="s">
        <v>5202</v>
      </c>
      <c r="B1402" s="989" t="s">
        <v>5203</v>
      </c>
      <c r="C1402" s="990" t="s">
        <v>79</v>
      </c>
      <c r="D1402" s="991">
        <v>51.34</v>
      </c>
      <c r="E1402" s="975"/>
      <c r="F1402" s="334"/>
      <c r="G1402" s="334"/>
      <c r="H1402" s="602" t="s">
        <v>5294</v>
      </c>
      <c r="I1402" s="634">
        <f t="shared" si="6"/>
        <v>4.38</v>
      </c>
      <c r="J1402" s="334"/>
      <c r="K1402" s="334"/>
      <c r="L1402" s="334"/>
      <c r="M1402" s="334"/>
      <c r="N1402" s="334"/>
      <c r="O1402" s="334"/>
    </row>
    <row r="1403" spans="1:15" ht="12.75" hidden="1" customHeight="1" outlineLevel="1" x14ac:dyDescent="0.2">
      <c r="A1403" s="984" t="s">
        <v>5204</v>
      </c>
      <c r="B1403" s="985" t="s">
        <v>5205</v>
      </c>
      <c r="C1403" s="986" t="s">
        <v>79</v>
      </c>
      <c r="D1403" s="987">
        <v>13.65</v>
      </c>
      <c r="E1403" s="975"/>
      <c r="F1403" s="334"/>
      <c r="G1403" s="334"/>
      <c r="H1403" s="602" t="s">
        <v>5301</v>
      </c>
      <c r="I1403" s="634">
        <f t="shared" si="6"/>
        <v>4.26</v>
      </c>
      <c r="J1403" s="334"/>
      <c r="K1403" s="334"/>
      <c r="L1403" s="334"/>
      <c r="M1403" s="334"/>
      <c r="N1403" s="334"/>
      <c r="O1403" s="334"/>
    </row>
    <row r="1404" spans="1:15" ht="12.75" hidden="1" customHeight="1" outlineLevel="1" x14ac:dyDescent="0.2">
      <c r="A1404" s="980" t="s">
        <v>5206</v>
      </c>
      <c r="B1404" s="981" t="s">
        <v>1030</v>
      </c>
      <c r="C1404" s="982"/>
      <c r="D1404" s="983"/>
      <c r="E1404" s="975"/>
      <c r="F1404" s="334"/>
      <c r="G1404" s="334"/>
      <c r="H1404" s="602" t="s">
        <v>5303</v>
      </c>
      <c r="I1404" s="634">
        <f t="shared" si="6"/>
        <v>5.42</v>
      </c>
      <c r="J1404" s="334"/>
      <c r="K1404" s="334"/>
      <c r="L1404" s="334"/>
      <c r="M1404" s="334"/>
      <c r="N1404" s="334"/>
      <c r="O1404" s="334"/>
    </row>
    <row r="1405" spans="1:15" ht="12.75" hidden="1" customHeight="1" outlineLevel="1" x14ac:dyDescent="0.2">
      <c r="A1405" s="988" t="s">
        <v>5207</v>
      </c>
      <c r="B1405" s="989" t="s">
        <v>5167</v>
      </c>
      <c r="C1405" s="990" t="s">
        <v>79</v>
      </c>
      <c r="D1405" s="991">
        <v>7.19</v>
      </c>
      <c r="E1405" s="975"/>
      <c r="F1405" s="334"/>
      <c r="G1405" s="334"/>
      <c r="H1405" s="602" t="s">
        <v>5307</v>
      </c>
      <c r="I1405" s="634">
        <f t="shared" si="6"/>
        <v>30.87</v>
      </c>
      <c r="J1405" s="334"/>
      <c r="K1405" s="334"/>
      <c r="L1405" s="334"/>
      <c r="M1405" s="334"/>
      <c r="N1405" s="334"/>
      <c r="O1405" s="334"/>
    </row>
    <row r="1406" spans="1:15" ht="12.75" hidden="1" customHeight="1" outlineLevel="1" x14ac:dyDescent="0.2">
      <c r="A1406" s="984" t="s">
        <v>5208</v>
      </c>
      <c r="B1406" s="985" t="s">
        <v>5194</v>
      </c>
      <c r="C1406" s="986" t="s">
        <v>79</v>
      </c>
      <c r="D1406" s="987">
        <v>39.229999999999997</v>
      </c>
      <c r="E1406" s="975"/>
      <c r="F1406" s="334"/>
      <c r="G1406" s="334"/>
      <c r="H1406" s="602" t="s">
        <v>5309</v>
      </c>
      <c r="I1406" s="634">
        <f t="shared" si="6"/>
        <v>5.41</v>
      </c>
      <c r="J1406" s="334"/>
      <c r="K1406" s="334"/>
      <c r="L1406" s="334"/>
      <c r="M1406" s="334"/>
      <c r="N1406" s="334"/>
      <c r="O1406" s="334"/>
    </row>
    <row r="1407" spans="1:15" ht="12.75" hidden="1" customHeight="1" outlineLevel="1" x14ac:dyDescent="0.2">
      <c r="A1407" s="988" t="s">
        <v>5209</v>
      </c>
      <c r="B1407" s="989" t="s">
        <v>5196</v>
      </c>
      <c r="C1407" s="990" t="s">
        <v>79</v>
      </c>
      <c r="D1407" s="991">
        <v>176.55</v>
      </c>
      <c r="E1407" s="975"/>
      <c r="F1407" s="334"/>
      <c r="G1407" s="334"/>
      <c r="H1407" s="602" t="s">
        <v>5311</v>
      </c>
      <c r="I1407" s="634">
        <f t="shared" si="6"/>
        <v>50.24</v>
      </c>
      <c r="J1407" s="334"/>
      <c r="K1407" s="334"/>
      <c r="L1407" s="334"/>
      <c r="M1407" s="334"/>
      <c r="N1407" s="334"/>
      <c r="O1407" s="334"/>
    </row>
    <row r="1408" spans="1:15" ht="12.75" hidden="1" customHeight="1" outlineLevel="1" x14ac:dyDescent="0.2">
      <c r="A1408" s="984" t="s">
        <v>5210</v>
      </c>
      <c r="B1408" s="985" t="s">
        <v>5198</v>
      </c>
      <c r="C1408" s="986" t="s">
        <v>79</v>
      </c>
      <c r="D1408" s="987">
        <v>54.9</v>
      </c>
      <c r="E1408" s="975"/>
      <c r="F1408" s="334"/>
      <c r="G1408" s="334"/>
      <c r="J1408" s="334"/>
      <c r="K1408" s="334"/>
      <c r="L1408" s="334"/>
      <c r="M1408" s="334"/>
      <c r="N1408" s="334"/>
      <c r="O1408" s="334"/>
    </row>
    <row r="1409" spans="1:15" ht="12.75" hidden="1" customHeight="1" outlineLevel="1" x14ac:dyDescent="0.2">
      <c r="A1409" s="988" t="s">
        <v>5211</v>
      </c>
      <c r="B1409" s="989" t="s">
        <v>5200</v>
      </c>
      <c r="C1409" s="990" t="s">
        <v>79</v>
      </c>
      <c r="D1409" s="991">
        <v>24.14</v>
      </c>
      <c r="E1409" s="975"/>
      <c r="F1409" s="334"/>
      <c r="G1409" s="334"/>
      <c r="H1409" s="602"/>
      <c r="I1409" s="334"/>
      <c r="J1409" s="334"/>
      <c r="K1409" s="334"/>
      <c r="L1409" s="334"/>
      <c r="M1409" s="334"/>
      <c r="N1409" s="334"/>
      <c r="O1409" s="334"/>
    </row>
    <row r="1410" spans="1:15" ht="12.75" hidden="1" customHeight="1" outlineLevel="1" x14ac:dyDescent="0.2">
      <c r="A1410" s="984" t="s">
        <v>5212</v>
      </c>
      <c r="B1410" s="985" t="s">
        <v>5168</v>
      </c>
      <c r="C1410" s="986" t="s">
        <v>79</v>
      </c>
      <c r="D1410" s="987">
        <v>18.2</v>
      </c>
      <c r="E1410" s="975"/>
      <c r="F1410" s="334"/>
      <c r="G1410" s="334"/>
      <c r="H1410" s="1003" t="s">
        <v>5315</v>
      </c>
      <c r="I1410" s="334">
        <f>I1379+I1380+I1381+I1382+I1383+I1389+I1390</f>
        <v>701.18999999999994</v>
      </c>
      <c r="J1410" s="334"/>
      <c r="K1410" s="334"/>
      <c r="L1410" s="334"/>
      <c r="M1410" s="334"/>
      <c r="N1410" s="334"/>
      <c r="O1410" s="334"/>
    </row>
    <row r="1411" spans="1:15" ht="12.75" hidden="1" customHeight="1" outlineLevel="1" x14ac:dyDescent="0.2">
      <c r="A1411" s="988" t="s">
        <v>5213</v>
      </c>
      <c r="B1411" s="989" t="s">
        <v>5203</v>
      </c>
      <c r="C1411" s="990" t="s">
        <v>79</v>
      </c>
      <c r="D1411" s="991">
        <v>51.4</v>
      </c>
      <c r="E1411" s="975"/>
      <c r="F1411" s="334"/>
      <c r="G1411" s="334"/>
      <c r="H1411" s="1003" t="s">
        <v>5316</v>
      </c>
      <c r="I1411" s="334">
        <f>I1384+I1393+I1397+I1401</f>
        <v>593.82999999999993</v>
      </c>
      <c r="J1411" s="334"/>
      <c r="K1411" s="334"/>
      <c r="L1411" s="334"/>
      <c r="M1411" s="334"/>
      <c r="N1411" s="334"/>
      <c r="O1411" s="334"/>
    </row>
    <row r="1412" spans="1:15" ht="12.75" hidden="1" customHeight="1" outlineLevel="1" x14ac:dyDescent="0.2">
      <c r="A1412" s="980" t="s">
        <v>5214</v>
      </c>
      <c r="B1412" s="981" t="s">
        <v>1039</v>
      </c>
      <c r="C1412" s="982"/>
      <c r="D1412" s="983"/>
      <c r="E1412" s="975"/>
      <c r="F1412" s="334"/>
      <c r="G1412" s="334"/>
      <c r="H1412" s="1003" t="s">
        <v>5317</v>
      </c>
      <c r="I1412" s="334">
        <f>I1385+I1386+I1387+I1388+I1391+I1392+I1394+I1395+I1396+I1398+I1399+I1400+I1402+I1403+I1404+I1405+I1406+I1407</f>
        <v>3225.1400000000008</v>
      </c>
      <c r="J1412" s="334"/>
      <c r="K1412" s="334"/>
      <c r="L1412" s="334"/>
      <c r="M1412" s="334"/>
      <c r="N1412" s="334"/>
      <c r="O1412" s="334"/>
    </row>
    <row r="1413" spans="1:15" ht="12.75" hidden="1" customHeight="1" outlineLevel="1" x14ac:dyDescent="0.2">
      <c r="A1413" s="984" t="s">
        <v>5215</v>
      </c>
      <c r="B1413" s="985" t="s">
        <v>5167</v>
      </c>
      <c r="C1413" s="986" t="s">
        <v>79</v>
      </c>
      <c r="D1413" s="987">
        <v>7.21</v>
      </c>
      <c r="E1413" s="975"/>
      <c r="F1413" s="334"/>
      <c r="G1413" s="334"/>
      <c r="H1413" s="602"/>
      <c r="I1413" s="334"/>
      <c r="J1413" s="334"/>
      <c r="K1413" s="334"/>
      <c r="L1413" s="334"/>
      <c r="M1413" s="334"/>
      <c r="N1413" s="334"/>
      <c r="O1413" s="334"/>
    </row>
    <row r="1414" spans="1:15" ht="12.75" hidden="1" customHeight="1" outlineLevel="1" x14ac:dyDescent="0.2">
      <c r="A1414" s="988" t="s">
        <v>5216</v>
      </c>
      <c r="B1414" s="989" t="s">
        <v>5194</v>
      </c>
      <c r="C1414" s="990" t="s">
        <v>79</v>
      </c>
      <c r="D1414" s="991">
        <v>119.78</v>
      </c>
      <c r="E1414" s="975"/>
      <c r="F1414" s="334"/>
      <c r="G1414" s="334"/>
      <c r="I1414" s="334"/>
      <c r="J1414" s="334"/>
      <c r="K1414" s="334"/>
      <c r="L1414" s="334"/>
      <c r="M1414" s="334"/>
      <c r="N1414" s="334"/>
      <c r="O1414" s="334"/>
    </row>
    <row r="1415" spans="1:15" ht="12.75" hidden="1" customHeight="1" outlineLevel="1" x14ac:dyDescent="0.2">
      <c r="A1415" s="984" t="s">
        <v>5217</v>
      </c>
      <c r="B1415" s="985" t="s">
        <v>5196</v>
      </c>
      <c r="C1415" s="986" t="s">
        <v>79</v>
      </c>
      <c r="D1415" s="987">
        <v>39.18</v>
      </c>
      <c r="E1415" s="975"/>
      <c r="F1415" s="334"/>
      <c r="G1415" s="334"/>
      <c r="I1415" s="334"/>
      <c r="J1415" s="334"/>
      <c r="K1415" s="334"/>
      <c r="L1415" s="334"/>
      <c r="M1415" s="334"/>
      <c r="N1415" s="334"/>
      <c r="O1415" s="334"/>
    </row>
    <row r="1416" spans="1:15" ht="12.75" hidden="1" customHeight="1" outlineLevel="1" x14ac:dyDescent="0.2">
      <c r="A1416" s="988" t="s">
        <v>5218</v>
      </c>
      <c r="B1416" s="989" t="s">
        <v>5219</v>
      </c>
      <c r="C1416" s="990" t="s">
        <v>79</v>
      </c>
      <c r="D1416" s="991">
        <v>31.72</v>
      </c>
      <c r="E1416" s="975"/>
      <c r="F1416" s="334"/>
      <c r="G1416" s="334"/>
      <c r="H1416" s="602"/>
      <c r="I1416" s="334"/>
      <c r="J1416" s="334"/>
      <c r="K1416" s="334"/>
      <c r="L1416" s="334"/>
      <c r="M1416" s="334"/>
      <c r="N1416" s="334"/>
      <c r="O1416" s="334"/>
    </row>
    <row r="1417" spans="1:15" ht="12.75" hidden="1" customHeight="1" outlineLevel="1" x14ac:dyDescent="0.2">
      <c r="A1417" s="984" t="s">
        <v>5220</v>
      </c>
      <c r="B1417" s="985" t="s">
        <v>5200</v>
      </c>
      <c r="C1417" s="986" t="s">
        <v>79</v>
      </c>
      <c r="D1417" s="987">
        <v>24.24</v>
      </c>
      <c r="E1417" s="975"/>
      <c r="F1417" s="334"/>
      <c r="G1417" s="334"/>
      <c r="H1417" s="602"/>
      <c r="I1417" s="334"/>
      <c r="J1417" s="334"/>
      <c r="K1417" s="334"/>
      <c r="L1417" s="334"/>
      <c r="M1417" s="334"/>
      <c r="N1417" s="334"/>
      <c r="O1417" s="334"/>
    </row>
    <row r="1418" spans="1:15" ht="12.75" hidden="1" customHeight="1" outlineLevel="1" x14ac:dyDescent="0.2">
      <c r="A1418" s="988" t="s">
        <v>5221</v>
      </c>
      <c r="B1418" s="989" t="s">
        <v>5168</v>
      </c>
      <c r="C1418" s="990" t="s">
        <v>79</v>
      </c>
      <c r="D1418" s="991">
        <v>19</v>
      </c>
      <c r="E1418" s="975"/>
      <c r="F1418" s="334"/>
      <c r="G1418" s="334"/>
      <c r="I1418" s="334"/>
      <c r="J1418" s="334"/>
      <c r="K1418" s="334"/>
      <c r="L1418" s="334"/>
      <c r="M1418" s="334"/>
      <c r="N1418" s="334"/>
      <c r="O1418" s="334"/>
    </row>
    <row r="1419" spans="1:15" ht="12.75" hidden="1" customHeight="1" outlineLevel="1" x14ac:dyDescent="0.2">
      <c r="A1419" s="984" t="s">
        <v>5222</v>
      </c>
      <c r="B1419" s="985" t="s">
        <v>5223</v>
      </c>
      <c r="C1419" s="986" t="s">
        <v>79</v>
      </c>
      <c r="D1419" s="987">
        <v>11.05</v>
      </c>
      <c r="E1419" s="975"/>
      <c r="F1419" s="334"/>
      <c r="G1419" s="334"/>
      <c r="I1419" s="334"/>
      <c r="J1419" s="334"/>
      <c r="K1419" s="334"/>
      <c r="L1419" s="334"/>
      <c r="M1419" s="334"/>
      <c r="N1419" s="334"/>
      <c r="O1419" s="334"/>
    </row>
    <row r="1420" spans="1:15" ht="12.75" hidden="1" customHeight="1" outlineLevel="1" x14ac:dyDescent="0.2">
      <c r="A1420" s="988" t="s">
        <v>5224</v>
      </c>
      <c r="B1420" s="989" t="s">
        <v>5203</v>
      </c>
      <c r="C1420" s="990" t="s">
        <v>79</v>
      </c>
      <c r="D1420" s="991">
        <v>48.47</v>
      </c>
      <c r="E1420" s="975"/>
      <c r="F1420" s="334"/>
      <c r="G1420" s="334"/>
      <c r="I1420" s="334"/>
      <c r="J1420" s="334"/>
      <c r="K1420" s="334"/>
      <c r="L1420" s="334"/>
      <c r="M1420" s="334"/>
      <c r="N1420" s="334"/>
      <c r="O1420" s="334"/>
    </row>
    <row r="1421" spans="1:15" ht="12.75" hidden="1" customHeight="1" outlineLevel="1" x14ac:dyDescent="0.2">
      <c r="A1421" s="984" t="s">
        <v>5225</v>
      </c>
      <c r="B1421" s="985" t="s">
        <v>5226</v>
      </c>
      <c r="C1421" s="986" t="s">
        <v>79</v>
      </c>
      <c r="D1421" s="987">
        <v>58.35</v>
      </c>
      <c r="E1421" s="975"/>
      <c r="F1421" s="334"/>
      <c r="G1421" s="334"/>
      <c r="I1421" s="334"/>
      <c r="J1421" s="334"/>
      <c r="K1421" s="334"/>
      <c r="L1421" s="334"/>
      <c r="M1421" s="334"/>
      <c r="N1421" s="334"/>
      <c r="O1421" s="334"/>
    </row>
    <row r="1422" spans="1:15" ht="12.75" hidden="1" customHeight="1" outlineLevel="1" x14ac:dyDescent="0.2">
      <c r="A1422" s="988" t="s">
        <v>5227</v>
      </c>
      <c r="B1422" s="989" t="s">
        <v>5205</v>
      </c>
      <c r="C1422" s="990" t="s">
        <v>79</v>
      </c>
      <c r="D1422" s="991">
        <v>27.66</v>
      </c>
      <c r="E1422" s="975"/>
      <c r="F1422" s="334"/>
      <c r="G1422" s="334"/>
      <c r="I1422" s="334"/>
      <c r="J1422" s="334"/>
      <c r="K1422" s="334"/>
      <c r="L1422" s="334"/>
      <c r="M1422" s="334"/>
      <c r="N1422" s="334"/>
      <c r="O1422" s="334"/>
    </row>
    <row r="1423" spans="1:15" ht="12.75" hidden="1" customHeight="1" outlineLevel="1" x14ac:dyDescent="0.2">
      <c r="A1423" s="980" t="s">
        <v>5228</v>
      </c>
      <c r="B1423" s="981" t="s">
        <v>1047</v>
      </c>
      <c r="C1423" s="982"/>
      <c r="D1423" s="983"/>
      <c r="E1423" s="975"/>
      <c r="F1423" s="334"/>
      <c r="G1423" s="334"/>
      <c r="H1423" s="602"/>
      <c r="I1423" s="334"/>
      <c r="J1423" s="334"/>
      <c r="K1423" s="334"/>
      <c r="L1423" s="334"/>
      <c r="M1423" s="334"/>
      <c r="N1423" s="334"/>
      <c r="O1423" s="334"/>
    </row>
    <row r="1424" spans="1:15" ht="12.75" hidden="1" customHeight="1" outlineLevel="1" x14ac:dyDescent="0.2">
      <c r="A1424" s="984" t="s">
        <v>5229</v>
      </c>
      <c r="B1424" s="985" t="s">
        <v>5167</v>
      </c>
      <c r="C1424" s="986" t="s">
        <v>79</v>
      </c>
      <c r="D1424" s="987">
        <v>7.19</v>
      </c>
      <c r="E1424" s="975"/>
      <c r="F1424" s="334"/>
      <c r="G1424" s="334"/>
      <c r="H1424" s="602"/>
      <c r="I1424" s="334"/>
      <c r="J1424" s="334"/>
      <c r="K1424" s="334"/>
      <c r="L1424" s="334"/>
      <c r="M1424" s="334"/>
      <c r="N1424" s="334"/>
      <c r="O1424" s="334"/>
    </row>
    <row r="1425" spans="1:15" ht="12.75" hidden="1" customHeight="1" outlineLevel="1" x14ac:dyDescent="0.2">
      <c r="A1425" s="988" t="s">
        <v>5230</v>
      </c>
      <c r="B1425" s="989" t="s">
        <v>5194</v>
      </c>
      <c r="C1425" s="990" t="s">
        <v>79</v>
      </c>
      <c r="D1425" s="991">
        <v>39.229999999999997</v>
      </c>
      <c r="E1425" s="975"/>
      <c r="F1425" s="334"/>
      <c r="G1425" s="334"/>
      <c r="H1425" s="602"/>
      <c r="I1425" s="334"/>
      <c r="J1425" s="334"/>
      <c r="K1425" s="334"/>
      <c r="L1425" s="334"/>
      <c r="M1425" s="334"/>
      <c r="N1425" s="334"/>
      <c r="O1425" s="334"/>
    </row>
    <row r="1426" spans="1:15" ht="12.75" hidden="1" customHeight="1" outlineLevel="1" x14ac:dyDescent="0.2">
      <c r="A1426" s="984" t="s">
        <v>5231</v>
      </c>
      <c r="B1426" s="985" t="s">
        <v>5196</v>
      </c>
      <c r="C1426" s="986" t="s">
        <v>79</v>
      </c>
      <c r="D1426" s="987">
        <v>176.72</v>
      </c>
      <c r="E1426" s="975"/>
      <c r="F1426" s="334"/>
      <c r="G1426" s="334"/>
      <c r="H1426" s="602"/>
      <c r="I1426" s="334"/>
      <c r="J1426" s="334"/>
      <c r="K1426" s="334"/>
      <c r="L1426" s="334"/>
      <c r="M1426" s="334"/>
      <c r="N1426" s="334"/>
      <c r="O1426" s="334"/>
    </row>
    <row r="1427" spans="1:15" ht="12.75" hidden="1" customHeight="1" outlineLevel="1" x14ac:dyDescent="0.2">
      <c r="A1427" s="988" t="s">
        <v>5232</v>
      </c>
      <c r="B1427" s="989" t="s">
        <v>5198</v>
      </c>
      <c r="C1427" s="990" t="s">
        <v>79</v>
      </c>
      <c r="D1427" s="991">
        <v>55.02</v>
      </c>
      <c r="E1427" s="975"/>
      <c r="F1427" s="334"/>
      <c r="G1427" s="334"/>
      <c r="H1427" s="602"/>
      <c r="I1427" s="334"/>
      <c r="J1427" s="334"/>
      <c r="K1427" s="334"/>
      <c r="L1427" s="334"/>
      <c r="M1427" s="334"/>
      <c r="N1427" s="334"/>
      <c r="O1427" s="334"/>
    </row>
    <row r="1428" spans="1:15" ht="12.75" hidden="1" customHeight="1" outlineLevel="1" x14ac:dyDescent="0.2">
      <c r="A1428" s="984" t="s">
        <v>5233</v>
      </c>
      <c r="B1428" s="985" t="s">
        <v>5200</v>
      </c>
      <c r="C1428" s="986" t="s">
        <v>79</v>
      </c>
      <c r="D1428" s="987">
        <v>24.14</v>
      </c>
      <c r="E1428" s="975"/>
      <c r="F1428" s="334"/>
      <c r="G1428" s="334"/>
      <c r="H1428" s="602"/>
      <c r="I1428" s="334"/>
      <c r="J1428" s="334"/>
      <c r="K1428" s="334"/>
      <c r="L1428" s="334"/>
      <c r="M1428" s="334"/>
      <c r="N1428" s="334"/>
      <c r="O1428" s="334"/>
    </row>
    <row r="1429" spans="1:15" ht="12.75" hidden="1" customHeight="1" outlineLevel="1" x14ac:dyDescent="0.2">
      <c r="A1429" s="988" t="s">
        <v>5234</v>
      </c>
      <c r="B1429" s="989" t="s">
        <v>5168</v>
      </c>
      <c r="C1429" s="990" t="s">
        <v>79</v>
      </c>
      <c r="D1429" s="991">
        <v>18.2</v>
      </c>
      <c r="E1429" s="975"/>
      <c r="F1429" s="334"/>
      <c r="G1429" s="334"/>
      <c r="H1429" s="602"/>
      <c r="I1429" s="334"/>
      <c r="J1429" s="334"/>
      <c r="K1429" s="334"/>
      <c r="L1429" s="334"/>
      <c r="M1429" s="334"/>
      <c r="N1429" s="334"/>
      <c r="O1429" s="334"/>
    </row>
    <row r="1430" spans="1:15" ht="12.75" hidden="1" customHeight="1" outlineLevel="1" x14ac:dyDescent="0.2">
      <c r="A1430" s="984" t="s">
        <v>5235</v>
      </c>
      <c r="B1430" s="985" t="s">
        <v>5203</v>
      </c>
      <c r="C1430" s="986" t="s">
        <v>79</v>
      </c>
      <c r="D1430" s="987">
        <v>51.4</v>
      </c>
      <c r="E1430" s="975"/>
      <c r="F1430" s="334"/>
      <c r="G1430" s="334"/>
      <c r="H1430" s="602"/>
      <c r="I1430" s="334"/>
      <c r="J1430" s="334"/>
      <c r="K1430" s="334"/>
      <c r="L1430" s="334"/>
      <c r="M1430" s="334"/>
      <c r="N1430" s="334"/>
      <c r="O1430" s="334"/>
    </row>
    <row r="1431" spans="1:15" ht="12.75" hidden="1" customHeight="1" outlineLevel="1" x14ac:dyDescent="0.2">
      <c r="A1431" s="980" t="s">
        <v>5236</v>
      </c>
      <c r="B1431" s="981" t="s">
        <v>1058</v>
      </c>
      <c r="C1431" s="982"/>
      <c r="D1431" s="983"/>
      <c r="E1431" s="975"/>
      <c r="F1431" s="334"/>
      <c r="G1431" s="334"/>
      <c r="H1431" s="602"/>
      <c r="I1431" s="334"/>
      <c r="J1431" s="334"/>
      <c r="K1431" s="334"/>
      <c r="L1431" s="334"/>
      <c r="M1431" s="334"/>
      <c r="N1431" s="334"/>
      <c r="O1431" s="334"/>
    </row>
    <row r="1432" spans="1:15" ht="12.75" hidden="1" customHeight="1" outlineLevel="1" x14ac:dyDescent="0.2">
      <c r="A1432" s="988" t="s">
        <v>5237</v>
      </c>
      <c r="B1432" s="989" t="s">
        <v>5167</v>
      </c>
      <c r="C1432" s="990" t="s">
        <v>79</v>
      </c>
      <c r="D1432" s="991">
        <v>7.19</v>
      </c>
      <c r="E1432" s="975"/>
      <c r="F1432" s="334"/>
      <c r="G1432" s="334"/>
      <c r="H1432" s="602"/>
      <c r="I1432" s="334"/>
      <c r="J1432" s="334"/>
      <c r="K1432" s="334"/>
      <c r="L1432" s="334"/>
      <c r="M1432" s="334"/>
      <c r="N1432" s="334"/>
      <c r="O1432" s="334"/>
    </row>
    <row r="1433" spans="1:15" ht="12.75" hidden="1" customHeight="1" outlineLevel="1" x14ac:dyDescent="0.2">
      <c r="A1433" s="984" t="s">
        <v>5238</v>
      </c>
      <c r="B1433" s="985" t="s">
        <v>5194</v>
      </c>
      <c r="C1433" s="986" t="s">
        <v>79</v>
      </c>
      <c r="D1433" s="987">
        <v>39.229999999999997</v>
      </c>
      <c r="E1433" s="975"/>
      <c r="F1433" s="334"/>
      <c r="G1433" s="334"/>
      <c r="H1433" s="602"/>
      <c r="I1433" s="334"/>
      <c r="J1433" s="334"/>
      <c r="K1433" s="334"/>
      <c r="L1433" s="334"/>
      <c r="M1433" s="334"/>
      <c r="N1433" s="334"/>
      <c r="O1433" s="334"/>
    </row>
    <row r="1434" spans="1:15" ht="12.75" hidden="1" customHeight="1" outlineLevel="1" x14ac:dyDescent="0.2">
      <c r="A1434" s="988" t="s">
        <v>5239</v>
      </c>
      <c r="B1434" s="989" t="s">
        <v>5196</v>
      </c>
      <c r="C1434" s="990" t="s">
        <v>79</v>
      </c>
      <c r="D1434" s="991">
        <v>176.72</v>
      </c>
      <c r="E1434" s="975"/>
      <c r="F1434" s="334"/>
      <c r="G1434" s="334"/>
      <c r="H1434" s="602"/>
      <c r="I1434" s="334"/>
      <c r="J1434" s="334"/>
      <c r="K1434" s="334"/>
      <c r="L1434" s="334"/>
      <c r="M1434" s="334"/>
      <c r="N1434" s="334"/>
      <c r="O1434" s="334"/>
    </row>
    <row r="1435" spans="1:15" ht="12.75" hidden="1" customHeight="1" outlineLevel="1" x14ac:dyDescent="0.2">
      <c r="A1435" s="984" t="s">
        <v>5240</v>
      </c>
      <c r="B1435" s="985" t="s">
        <v>5198</v>
      </c>
      <c r="C1435" s="986" t="s">
        <v>79</v>
      </c>
      <c r="D1435" s="987">
        <v>55.02</v>
      </c>
      <c r="E1435" s="975"/>
      <c r="F1435" s="334"/>
      <c r="G1435" s="334"/>
      <c r="H1435" s="602"/>
      <c r="I1435" s="334"/>
      <c r="J1435" s="334"/>
      <c r="K1435" s="334"/>
      <c r="L1435" s="334"/>
      <c r="M1435" s="334"/>
      <c r="N1435" s="334"/>
      <c r="O1435" s="334"/>
    </row>
    <row r="1436" spans="1:15" ht="12.75" hidden="1" customHeight="1" outlineLevel="1" x14ac:dyDescent="0.2">
      <c r="A1436" s="988" t="s">
        <v>5241</v>
      </c>
      <c r="B1436" s="989" t="s">
        <v>5200</v>
      </c>
      <c r="C1436" s="990" t="s">
        <v>79</v>
      </c>
      <c r="D1436" s="991">
        <v>24.14</v>
      </c>
      <c r="E1436" s="975"/>
      <c r="F1436" s="334"/>
      <c r="G1436" s="334"/>
      <c r="H1436" s="602"/>
      <c r="I1436" s="334"/>
      <c r="J1436" s="334"/>
      <c r="K1436" s="334"/>
      <c r="L1436" s="334"/>
      <c r="M1436" s="334"/>
      <c r="N1436" s="334"/>
      <c r="O1436" s="334"/>
    </row>
    <row r="1437" spans="1:15" ht="12.75" hidden="1" customHeight="1" outlineLevel="1" x14ac:dyDescent="0.2">
      <c r="A1437" s="984" t="s">
        <v>5242</v>
      </c>
      <c r="B1437" s="985" t="s">
        <v>5168</v>
      </c>
      <c r="C1437" s="986" t="s">
        <v>79</v>
      </c>
      <c r="D1437" s="987">
        <v>18.2</v>
      </c>
      <c r="E1437" s="975"/>
      <c r="F1437" s="334"/>
      <c r="G1437" s="334"/>
      <c r="H1437" s="602"/>
      <c r="I1437" s="334"/>
      <c r="J1437" s="334"/>
      <c r="K1437" s="334"/>
      <c r="L1437" s="334"/>
      <c r="M1437" s="334"/>
      <c r="N1437" s="334"/>
      <c r="O1437" s="334"/>
    </row>
    <row r="1438" spans="1:15" ht="12.75" hidden="1" customHeight="1" outlineLevel="1" x14ac:dyDescent="0.2">
      <c r="A1438" s="988" t="s">
        <v>5243</v>
      </c>
      <c r="B1438" s="989" t="s">
        <v>5203</v>
      </c>
      <c r="C1438" s="990" t="s">
        <v>79</v>
      </c>
      <c r="D1438" s="991">
        <v>51.4</v>
      </c>
      <c r="E1438" s="975"/>
      <c r="F1438" s="334"/>
      <c r="G1438" s="334"/>
      <c r="H1438" s="602"/>
      <c r="I1438" s="334"/>
      <c r="J1438" s="334"/>
      <c r="K1438" s="334"/>
      <c r="L1438" s="334"/>
      <c r="M1438" s="334"/>
      <c r="N1438" s="334"/>
      <c r="O1438" s="334"/>
    </row>
    <row r="1439" spans="1:15" ht="12.75" hidden="1" customHeight="1" outlineLevel="1" x14ac:dyDescent="0.2">
      <c r="A1439" s="980" t="s">
        <v>5244</v>
      </c>
      <c r="B1439" s="981" t="s">
        <v>1069</v>
      </c>
      <c r="C1439" s="982"/>
      <c r="D1439" s="983"/>
      <c r="E1439" s="975"/>
      <c r="F1439" s="334"/>
      <c r="G1439" s="334"/>
      <c r="H1439" s="602"/>
      <c r="I1439" s="334"/>
      <c r="J1439" s="334"/>
      <c r="K1439" s="334"/>
      <c r="L1439" s="334"/>
      <c r="M1439" s="334"/>
      <c r="N1439" s="334"/>
      <c r="O1439" s="334"/>
    </row>
    <row r="1440" spans="1:15" ht="12.75" hidden="1" customHeight="1" outlineLevel="1" x14ac:dyDescent="0.2">
      <c r="A1440" s="984" t="s">
        <v>5245</v>
      </c>
      <c r="B1440" s="985" t="s">
        <v>5167</v>
      </c>
      <c r="C1440" s="986" t="s">
        <v>79</v>
      </c>
      <c r="D1440" s="987">
        <v>7.19</v>
      </c>
      <c r="E1440" s="975"/>
      <c r="F1440" s="334"/>
      <c r="G1440" s="334"/>
      <c r="H1440" s="602"/>
      <c r="I1440" s="334"/>
      <c r="J1440" s="334"/>
      <c r="K1440" s="334"/>
      <c r="L1440" s="334"/>
      <c r="M1440" s="334"/>
      <c r="N1440" s="334"/>
      <c r="O1440" s="334"/>
    </row>
    <row r="1441" spans="1:15" ht="12.75" hidden="1" customHeight="1" outlineLevel="1" x14ac:dyDescent="0.2">
      <c r="A1441" s="988" t="s">
        <v>5246</v>
      </c>
      <c r="B1441" s="989" t="s">
        <v>5194</v>
      </c>
      <c r="C1441" s="990" t="s">
        <v>79</v>
      </c>
      <c r="D1441" s="991">
        <v>39.229999999999997</v>
      </c>
      <c r="E1441" s="975"/>
      <c r="F1441" s="334"/>
      <c r="G1441" s="334"/>
      <c r="H1441" s="602"/>
      <c r="I1441" s="334"/>
      <c r="J1441" s="334"/>
      <c r="K1441" s="334"/>
      <c r="L1441" s="334"/>
      <c r="M1441" s="334"/>
      <c r="N1441" s="334"/>
      <c r="O1441" s="334"/>
    </row>
    <row r="1442" spans="1:15" ht="12.75" hidden="1" customHeight="1" outlineLevel="1" x14ac:dyDescent="0.2">
      <c r="A1442" s="984" t="s">
        <v>5247</v>
      </c>
      <c r="B1442" s="985" t="s">
        <v>5196</v>
      </c>
      <c r="C1442" s="986" t="s">
        <v>79</v>
      </c>
      <c r="D1442" s="987">
        <v>176.72</v>
      </c>
      <c r="E1442" s="975"/>
      <c r="F1442" s="334"/>
      <c r="G1442" s="334"/>
      <c r="H1442" s="602"/>
      <c r="I1442" s="334"/>
      <c r="J1442" s="334"/>
      <c r="K1442" s="334"/>
      <c r="L1442" s="334"/>
      <c r="M1442" s="334"/>
      <c r="N1442" s="334"/>
      <c r="O1442" s="334"/>
    </row>
    <row r="1443" spans="1:15" ht="12.75" hidden="1" customHeight="1" outlineLevel="1" x14ac:dyDescent="0.2">
      <c r="A1443" s="988" t="s">
        <v>5248</v>
      </c>
      <c r="B1443" s="989" t="s">
        <v>5198</v>
      </c>
      <c r="C1443" s="990" t="s">
        <v>79</v>
      </c>
      <c r="D1443" s="991">
        <v>55.02</v>
      </c>
      <c r="E1443" s="975"/>
      <c r="F1443" s="334"/>
      <c r="G1443" s="334"/>
      <c r="H1443" s="602"/>
      <c r="I1443" s="334"/>
      <c r="J1443" s="334"/>
      <c r="K1443" s="334"/>
      <c r="L1443" s="334"/>
      <c r="M1443" s="334"/>
      <c r="N1443" s="334"/>
      <c r="O1443" s="334"/>
    </row>
    <row r="1444" spans="1:15" ht="12.75" hidden="1" customHeight="1" outlineLevel="1" x14ac:dyDescent="0.2">
      <c r="A1444" s="984" t="s">
        <v>5249</v>
      </c>
      <c r="B1444" s="985" t="s">
        <v>5200</v>
      </c>
      <c r="C1444" s="986" t="s">
        <v>79</v>
      </c>
      <c r="D1444" s="987">
        <v>24.14</v>
      </c>
      <c r="E1444" s="975"/>
      <c r="F1444" s="334"/>
      <c r="G1444" s="334"/>
      <c r="H1444" s="602"/>
      <c r="I1444" s="334"/>
      <c r="J1444" s="334"/>
      <c r="K1444" s="334"/>
      <c r="L1444" s="334"/>
      <c r="M1444" s="334"/>
      <c r="N1444" s="334"/>
      <c r="O1444" s="334"/>
    </row>
    <row r="1445" spans="1:15" ht="12.75" hidden="1" customHeight="1" outlineLevel="1" x14ac:dyDescent="0.2">
      <c r="A1445" s="988" t="s">
        <v>5250</v>
      </c>
      <c r="B1445" s="989" t="s">
        <v>5168</v>
      </c>
      <c r="C1445" s="990" t="s">
        <v>79</v>
      </c>
      <c r="D1445" s="991">
        <v>18.2</v>
      </c>
      <c r="E1445" s="975"/>
      <c r="F1445" s="334"/>
      <c r="G1445" s="334"/>
      <c r="H1445" s="602"/>
      <c r="I1445" s="334"/>
      <c r="J1445" s="334"/>
      <c r="K1445" s="334"/>
      <c r="L1445" s="334"/>
      <c r="M1445" s="334"/>
      <c r="N1445" s="334"/>
      <c r="O1445" s="334"/>
    </row>
    <row r="1446" spans="1:15" ht="12.75" hidden="1" customHeight="1" outlineLevel="1" x14ac:dyDescent="0.2">
      <c r="A1446" s="984" t="s">
        <v>5251</v>
      </c>
      <c r="B1446" s="985" t="s">
        <v>5203</v>
      </c>
      <c r="C1446" s="986" t="s">
        <v>79</v>
      </c>
      <c r="D1446" s="987">
        <v>51.4</v>
      </c>
      <c r="E1446" s="975"/>
      <c r="F1446" s="334"/>
      <c r="G1446" s="334"/>
      <c r="H1446" s="602"/>
      <c r="I1446" s="334"/>
      <c r="J1446" s="334"/>
      <c r="K1446" s="334"/>
      <c r="L1446" s="334"/>
      <c r="M1446" s="334"/>
      <c r="N1446" s="334"/>
      <c r="O1446" s="334"/>
    </row>
    <row r="1447" spans="1:15" ht="12.75" hidden="1" customHeight="1" outlineLevel="1" x14ac:dyDescent="0.2">
      <c r="A1447" s="980" t="s">
        <v>5252</v>
      </c>
      <c r="B1447" s="981" t="s">
        <v>1079</v>
      </c>
      <c r="C1447" s="982"/>
      <c r="D1447" s="983"/>
      <c r="E1447" s="975"/>
      <c r="F1447" s="334"/>
      <c r="G1447" s="334"/>
      <c r="H1447" s="602"/>
      <c r="I1447" s="334"/>
      <c r="J1447" s="334"/>
      <c r="K1447" s="334"/>
      <c r="L1447" s="334"/>
      <c r="M1447" s="334"/>
      <c r="N1447" s="334"/>
      <c r="O1447" s="334"/>
    </row>
    <row r="1448" spans="1:15" ht="12.75" hidden="1" customHeight="1" outlineLevel="1" x14ac:dyDescent="0.2">
      <c r="A1448" s="988" t="s">
        <v>5253</v>
      </c>
      <c r="B1448" s="989" t="s">
        <v>5167</v>
      </c>
      <c r="C1448" s="990" t="s">
        <v>79</v>
      </c>
      <c r="D1448" s="991">
        <v>7.19</v>
      </c>
      <c r="E1448" s="975"/>
      <c r="F1448" s="334"/>
      <c r="G1448" s="334"/>
      <c r="H1448" s="602"/>
      <c r="I1448" s="334"/>
      <c r="J1448" s="334"/>
      <c r="K1448" s="334"/>
      <c r="L1448" s="334"/>
      <c r="M1448" s="334"/>
      <c r="N1448" s="334"/>
      <c r="O1448" s="334"/>
    </row>
    <row r="1449" spans="1:15" ht="12.75" hidden="1" customHeight="1" outlineLevel="1" x14ac:dyDescent="0.2">
      <c r="A1449" s="984" t="s">
        <v>5254</v>
      </c>
      <c r="B1449" s="985" t="s">
        <v>5194</v>
      </c>
      <c r="C1449" s="986" t="s">
        <v>79</v>
      </c>
      <c r="D1449" s="987">
        <v>39.229999999999997</v>
      </c>
      <c r="E1449" s="975"/>
      <c r="F1449" s="334"/>
      <c r="G1449" s="334"/>
      <c r="H1449" s="602"/>
      <c r="I1449" s="334"/>
      <c r="J1449" s="334"/>
      <c r="K1449" s="334"/>
      <c r="L1449" s="334"/>
      <c r="M1449" s="334"/>
      <c r="N1449" s="334"/>
      <c r="O1449" s="334"/>
    </row>
    <row r="1450" spans="1:15" ht="12.75" hidden="1" customHeight="1" outlineLevel="1" x14ac:dyDescent="0.2">
      <c r="A1450" s="988" t="s">
        <v>5255</v>
      </c>
      <c r="B1450" s="989" t="s">
        <v>5196</v>
      </c>
      <c r="C1450" s="990" t="s">
        <v>79</v>
      </c>
      <c r="D1450" s="991">
        <v>176.72</v>
      </c>
      <c r="E1450" s="975"/>
      <c r="F1450" s="334"/>
      <c r="G1450" s="334"/>
      <c r="H1450" s="602"/>
      <c r="I1450" s="334"/>
      <c r="J1450" s="334"/>
      <c r="K1450" s="334"/>
      <c r="L1450" s="334"/>
      <c r="M1450" s="334"/>
      <c r="N1450" s="334"/>
      <c r="O1450" s="334"/>
    </row>
    <row r="1451" spans="1:15" ht="12.75" hidden="1" customHeight="1" outlineLevel="1" x14ac:dyDescent="0.2">
      <c r="A1451" s="984" t="s">
        <v>5256</v>
      </c>
      <c r="B1451" s="985" t="s">
        <v>5198</v>
      </c>
      <c r="C1451" s="986" t="s">
        <v>79</v>
      </c>
      <c r="D1451" s="987">
        <v>55.02</v>
      </c>
      <c r="E1451" s="975"/>
      <c r="F1451" s="334"/>
      <c r="G1451" s="334"/>
      <c r="H1451" s="602"/>
      <c r="I1451" s="334"/>
      <c r="J1451" s="334"/>
      <c r="K1451" s="334"/>
      <c r="L1451" s="334"/>
      <c r="M1451" s="334"/>
      <c r="N1451" s="334"/>
      <c r="O1451" s="334"/>
    </row>
    <row r="1452" spans="1:15" ht="12.75" hidden="1" customHeight="1" outlineLevel="1" x14ac:dyDescent="0.2">
      <c r="A1452" s="988" t="s">
        <v>5257</v>
      </c>
      <c r="B1452" s="989" t="s">
        <v>5200</v>
      </c>
      <c r="C1452" s="990" t="s">
        <v>79</v>
      </c>
      <c r="D1452" s="991">
        <v>24.14</v>
      </c>
      <c r="E1452" s="975"/>
      <c r="F1452" s="334"/>
      <c r="G1452" s="334"/>
      <c r="H1452" s="602"/>
      <c r="I1452" s="334"/>
      <c r="J1452" s="334"/>
      <c r="K1452" s="334"/>
      <c r="L1452" s="334"/>
      <c r="M1452" s="334"/>
      <c r="N1452" s="334"/>
      <c r="O1452" s="334"/>
    </row>
    <row r="1453" spans="1:15" ht="12.75" hidden="1" customHeight="1" outlineLevel="1" x14ac:dyDescent="0.2">
      <c r="A1453" s="984" t="s">
        <v>5258</v>
      </c>
      <c r="B1453" s="985" t="s">
        <v>5168</v>
      </c>
      <c r="C1453" s="986" t="s">
        <v>79</v>
      </c>
      <c r="D1453" s="987">
        <v>18.2</v>
      </c>
      <c r="E1453" s="975"/>
      <c r="F1453" s="334"/>
      <c r="G1453" s="334"/>
      <c r="H1453" s="602"/>
      <c r="I1453" s="334"/>
      <c r="J1453" s="334"/>
      <c r="K1453" s="334"/>
      <c r="L1453" s="334"/>
      <c r="M1453" s="334"/>
      <c r="N1453" s="334"/>
      <c r="O1453" s="334"/>
    </row>
    <row r="1454" spans="1:15" ht="12.75" hidden="1" customHeight="1" outlineLevel="1" x14ac:dyDescent="0.2">
      <c r="A1454" s="988" t="s">
        <v>5259</v>
      </c>
      <c r="B1454" s="989" t="s">
        <v>5203</v>
      </c>
      <c r="C1454" s="990" t="s">
        <v>79</v>
      </c>
      <c r="D1454" s="991">
        <v>51.4</v>
      </c>
      <c r="E1454" s="975"/>
      <c r="F1454" s="334"/>
      <c r="G1454" s="334"/>
      <c r="H1454" s="602"/>
      <c r="I1454" s="334"/>
      <c r="J1454" s="334"/>
      <c r="K1454" s="334"/>
      <c r="L1454" s="334"/>
      <c r="M1454" s="334"/>
      <c r="N1454" s="334"/>
      <c r="O1454" s="334"/>
    </row>
    <row r="1455" spans="1:15" ht="12.75" hidden="1" customHeight="1" outlineLevel="1" x14ac:dyDescent="0.2">
      <c r="A1455" s="980" t="s">
        <v>5260</v>
      </c>
      <c r="B1455" s="981" t="s">
        <v>1086</v>
      </c>
      <c r="C1455" s="982"/>
      <c r="D1455" s="983"/>
      <c r="E1455" s="975"/>
      <c r="F1455" s="334"/>
      <c r="G1455" s="334"/>
      <c r="H1455" s="602"/>
      <c r="I1455" s="334"/>
      <c r="J1455" s="334"/>
      <c r="K1455" s="334"/>
      <c r="L1455" s="334"/>
      <c r="M1455" s="334"/>
      <c r="N1455" s="334"/>
      <c r="O1455" s="334"/>
    </row>
    <row r="1456" spans="1:15" ht="12.75" hidden="1" customHeight="1" outlineLevel="1" x14ac:dyDescent="0.2">
      <c r="A1456" s="984" t="s">
        <v>5261</v>
      </c>
      <c r="B1456" s="985" t="s">
        <v>5167</v>
      </c>
      <c r="C1456" s="986" t="s">
        <v>79</v>
      </c>
      <c r="D1456" s="987">
        <v>7.19</v>
      </c>
      <c r="E1456" s="975"/>
      <c r="F1456" s="334"/>
      <c r="G1456" s="334"/>
      <c r="H1456" s="602"/>
      <c r="I1456" s="334"/>
      <c r="J1456" s="334"/>
      <c r="K1456" s="334"/>
      <c r="L1456" s="334"/>
      <c r="M1456" s="334"/>
      <c r="N1456" s="334"/>
      <c r="O1456" s="334"/>
    </row>
    <row r="1457" spans="1:15" ht="12.75" hidden="1" customHeight="1" outlineLevel="1" x14ac:dyDescent="0.2">
      <c r="A1457" s="988" t="s">
        <v>5262</v>
      </c>
      <c r="B1457" s="989" t="s">
        <v>5194</v>
      </c>
      <c r="C1457" s="990" t="s">
        <v>79</v>
      </c>
      <c r="D1457" s="991">
        <v>39.229999999999997</v>
      </c>
      <c r="E1457" s="975"/>
      <c r="F1457" s="334"/>
      <c r="G1457" s="334"/>
      <c r="H1457" s="602"/>
      <c r="I1457" s="334"/>
      <c r="J1457" s="334"/>
      <c r="K1457" s="334"/>
      <c r="L1457" s="334"/>
      <c r="M1457" s="334"/>
      <c r="N1457" s="334"/>
      <c r="O1457" s="334"/>
    </row>
    <row r="1458" spans="1:15" ht="12.75" hidden="1" customHeight="1" outlineLevel="1" x14ac:dyDescent="0.2">
      <c r="A1458" s="984" t="s">
        <v>5263</v>
      </c>
      <c r="B1458" s="985" t="s">
        <v>5196</v>
      </c>
      <c r="C1458" s="986" t="s">
        <v>79</v>
      </c>
      <c r="D1458" s="987">
        <v>176.72</v>
      </c>
      <c r="E1458" s="975"/>
      <c r="F1458" s="334"/>
      <c r="G1458" s="334"/>
      <c r="H1458" s="602"/>
      <c r="I1458" s="334"/>
      <c r="J1458" s="334"/>
      <c r="K1458" s="334"/>
      <c r="L1458" s="334"/>
      <c r="M1458" s="334"/>
      <c r="N1458" s="334"/>
      <c r="O1458" s="334"/>
    </row>
    <row r="1459" spans="1:15" ht="12.75" hidden="1" customHeight="1" outlineLevel="1" x14ac:dyDescent="0.2">
      <c r="A1459" s="988" t="s">
        <v>5264</v>
      </c>
      <c r="B1459" s="989" t="s">
        <v>5198</v>
      </c>
      <c r="C1459" s="990" t="s">
        <v>79</v>
      </c>
      <c r="D1459" s="991">
        <v>55.02</v>
      </c>
      <c r="E1459" s="975"/>
      <c r="F1459" s="334"/>
      <c r="G1459" s="334"/>
      <c r="H1459" s="602"/>
      <c r="I1459" s="334"/>
      <c r="J1459" s="334"/>
      <c r="K1459" s="334"/>
      <c r="L1459" s="334"/>
      <c r="M1459" s="334"/>
      <c r="N1459" s="334"/>
      <c r="O1459" s="334"/>
    </row>
    <row r="1460" spans="1:15" ht="12.75" hidden="1" customHeight="1" outlineLevel="1" x14ac:dyDescent="0.2">
      <c r="A1460" s="984" t="s">
        <v>5265</v>
      </c>
      <c r="B1460" s="985" t="s">
        <v>5200</v>
      </c>
      <c r="C1460" s="986" t="s">
        <v>79</v>
      </c>
      <c r="D1460" s="987">
        <v>24.14</v>
      </c>
      <c r="E1460" s="975"/>
      <c r="F1460" s="334"/>
      <c r="G1460" s="334"/>
      <c r="H1460" s="602"/>
      <c r="I1460" s="334"/>
      <c r="J1460" s="334"/>
      <c r="K1460" s="334"/>
      <c r="L1460" s="334"/>
      <c r="M1460" s="334"/>
      <c r="N1460" s="334"/>
      <c r="O1460" s="334"/>
    </row>
    <row r="1461" spans="1:15" ht="12.75" hidden="1" customHeight="1" outlineLevel="1" x14ac:dyDescent="0.2">
      <c r="A1461" s="988" t="s">
        <v>5266</v>
      </c>
      <c r="B1461" s="989" t="s">
        <v>5168</v>
      </c>
      <c r="C1461" s="990" t="s">
        <v>79</v>
      </c>
      <c r="D1461" s="991">
        <v>18.2</v>
      </c>
      <c r="E1461" s="975"/>
      <c r="F1461" s="334"/>
      <c r="G1461" s="334"/>
      <c r="H1461" s="602"/>
      <c r="I1461" s="334"/>
      <c r="J1461" s="334"/>
      <c r="K1461" s="334"/>
      <c r="L1461" s="334"/>
      <c r="M1461" s="334"/>
      <c r="N1461" s="334"/>
      <c r="O1461" s="334"/>
    </row>
    <row r="1462" spans="1:15" ht="12.75" hidden="1" customHeight="1" outlineLevel="1" x14ac:dyDescent="0.2">
      <c r="A1462" s="984" t="s">
        <v>5267</v>
      </c>
      <c r="B1462" s="985" t="s">
        <v>5203</v>
      </c>
      <c r="C1462" s="986" t="s">
        <v>79</v>
      </c>
      <c r="D1462" s="987">
        <v>51.4</v>
      </c>
      <c r="E1462" s="975"/>
      <c r="F1462" s="334"/>
      <c r="G1462" s="334"/>
      <c r="H1462" s="602"/>
      <c r="I1462" s="334"/>
      <c r="J1462" s="334"/>
      <c r="K1462" s="334"/>
      <c r="L1462" s="334"/>
      <c r="M1462" s="334"/>
      <c r="N1462" s="334"/>
      <c r="O1462" s="334"/>
    </row>
    <row r="1463" spans="1:15" ht="12.75" hidden="1" customHeight="1" outlineLevel="1" x14ac:dyDescent="0.2">
      <c r="A1463" s="980" t="s">
        <v>5268</v>
      </c>
      <c r="B1463" s="981" t="s">
        <v>1094</v>
      </c>
      <c r="C1463" s="982"/>
      <c r="D1463" s="983"/>
      <c r="E1463" s="975"/>
      <c r="F1463" s="334"/>
      <c r="G1463" s="334"/>
      <c r="H1463" s="602"/>
      <c r="I1463" s="334"/>
      <c r="J1463" s="334"/>
      <c r="K1463" s="334"/>
      <c r="L1463" s="334"/>
      <c r="M1463" s="334"/>
      <c r="N1463" s="334"/>
      <c r="O1463" s="334"/>
    </row>
    <row r="1464" spans="1:15" ht="12.75" hidden="1" customHeight="1" outlineLevel="1" x14ac:dyDescent="0.2">
      <c r="A1464" s="988" t="s">
        <v>5269</v>
      </c>
      <c r="B1464" s="989" t="s">
        <v>5167</v>
      </c>
      <c r="C1464" s="990" t="s">
        <v>79</v>
      </c>
      <c r="D1464" s="991">
        <v>7.19</v>
      </c>
      <c r="E1464" s="975"/>
      <c r="F1464" s="334"/>
      <c r="G1464" s="334"/>
      <c r="H1464" s="602"/>
      <c r="I1464" s="334"/>
      <c r="J1464" s="334"/>
      <c r="K1464" s="334"/>
      <c r="L1464" s="334"/>
      <c r="M1464" s="334"/>
      <c r="N1464" s="334"/>
      <c r="O1464" s="334"/>
    </row>
    <row r="1465" spans="1:15" ht="12.75" hidden="1" customHeight="1" outlineLevel="1" x14ac:dyDescent="0.2">
      <c r="A1465" s="984" t="s">
        <v>5270</v>
      </c>
      <c r="B1465" s="985" t="s">
        <v>5194</v>
      </c>
      <c r="C1465" s="986" t="s">
        <v>79</v>
      </c>
      <c r="D1465" s="987">
        <v>39.229999999999997</v>
      </c>
      <c r="E1465" s="975"/>
      <c r="F1465" s="334"/>
      <c r="G1465" s="334"/>
      <c r="H1465" s="602"/>
      <c r="I1465" s="334"/>
      <c r="J1465" s="334"/>
      <c r="K1465" s="334"/>
      <c r="L1465" s="334"/>
      <c r="M1465" s="334"/>
      <c r="N1465" s="334"/>
      <c r="O1465" s="334"/>
    </row>
    <row r="1466" spans="1:15" ht="12.75" hidden="1" customHeight="1" outlineLevel="1" x14ac:dyDescent="0.2">
      <c r="A1466" s="988" t="s">
        <v>5271</v>
      </c>
      <c r="B1466" s="989" t="s">
        <v>5196</v>
      </c>
      <c r="C1466" s="990" t="s">
        <v>79</v>
      </c>
      <c r="D1466" s="991">
        <v>176.72</v>
      </c>
      <c r="E1466" s="975"/>
      <c r="F1466" s="334"/>
      <c r="G1466" s="334"/>
      <c r="H1466" s="602"/>
      <c r="I1466" s="334"/>
      <c r="J1466" s="334"/>
      <c r="K1466" s="334"/>
      <c r="L1466" s="334"/>
      <c r="M1466" s="334"/>
      <c r="N1466" s="334"/>
      <c r="O1466" s="334"/>
    </row>
    <row r="1467" spans="1:15" ht="12.75" hidden="1" customHeight="1" outlineLevel="1" x14ac:dyDescent="0.2">
      <c r="A1467" s="984" t="s">
        <v>5272</v>
      </c>
      <c r="B1467" s="985" t="s">
        <v>5198</v>
      </c>
      <c r="C1467" s="986" t="s">
        <v>79</v>
      </c>
      <c r="D1467" s="987">
        <v>55.02</v>
      </c>
      <c r="E1467" s="975"/>
      <c r="F1467" s="334"/>
      <c r="G1467" s="334"/>
      <c r="H1467" s="602"/>
      <c r="I1467" s="334"/>
      <c r="J1467" s="334"/>
      <c r="K1467" s="334"/>
      <c r="L1467" s="334"/>
      <c r="M1467" s="334"/>
      <c r="N1467" s="334"/>
      <c r="O1467" s="334"/>
    </row>
    <row r="1468" spans="1:15" ht="12.75" hidden="1" customHeight="1" outlineLevel="1" x14ac:dyDescent="0.2">
      <c r="A1468" s="988" t="s">
        <v>5273</v>
      </c>
      <c r="B1468" s="989" t="s">
        <v>5200</v>
      </c>
      <c r="C1468" s="990" t="s">
        <v>79</v>
      </c>
      <c r="D1468" s="991">
        <v>24.14</v>
      </c>
      <c r="E1468" s="975"/>
      <c r="F1468" s="334"/>
      <c r="G1468" s="334"/>
      <c r="H1468" s="602"/>
      <c r="I1468" s="334"/>
      <c r="J1468" s="334"/>
      <c r="K1468" s="334"/>
      <c r="L1468" s="334"/>
      <c r="M1468" s="334"/>
      <c r="N1468" s="334"/>
      <c r="O1468" s="334"/>
    </row>
    <row r="1469" spans="1:15" ht="12.75" hidden="1" customHeight="1" outlineLevel="1" x14ac:dyDescent="0.2">
      <c r="A1469" s="984" t="s">
        <v>5274</v>
      </c>
      <c r="B1469" s="985" t="s">
        <v>5168</v>
      </c>
      <c r="C1469" s="986" t="s">
        <v>79</v>
      </c>
      <c r="D1469" s="987">
        <v>18.2</v>
      </c>
      <c r="E1469" s="975"/>
      <c r="F1469" s="334"/>
      <c r="G1469" s="334"/>
      <c r="H1469" s="602"/>
      <c r="I1469" s="334"/>
      <c r="J1469" s="334"/>
      <c r="K1469" s="334"/>
      <c r="L1469" s="334"/>
      <c r="M1469" s="334"/>
      <c r="N1469" s="334"/>
      <c r="O1469" s="334"/>
    </row>
    <row r="1470" spans="1:15" ht="12.75" hidden="1" customHeight="1" outlineLevel="1" x14ac:dyDescent="0.2">
      <c r="A1470" s="988" t="s">
        <v>5275</v>
      </c>
      <c r="B1470" s="989" t="s">
        <v>5203</v>
      </c>
      <c r="C1470" s="990" t="s">
        <v>79</v>
      </c>
      <c r="D1470" s="991">
        <v>51.4</v>
      </c>
      <c r="E1470" s="975"/>
      <c r="F1470" s="334"/>
      <c r="G1470" s="334"/>
      <c r="H1470" s="602"/>
      <c r="I1470" s="334"/>
      <c r="J1470" s="334"/>
      <c r="K1470" s="334"/>
      <c r="L1470" s="334"/>
      <c r="M1470" s="334"/>
      <c r="N1470" s="334"/>
      <c r="O1470" s="334"/>
    </row>
    <row r="1471" spans="1:15" ht="12.75" hidden="1" customHeight="1" outlineLevel="1" x14ac:dyDescent="0.2">
      <c r="A1471" s="980" t="s">
        <v>5276</v>
      </c>
      <c r="B1471" s="981" t="s">
        <v>1102</v>
      </c>
      <c r="C1471" s="982"/>
      <c r="D1471" s="983"/>
      <c r="E1471" s="975"/>
      <c r="F1471" s="334"/>
      <c r="G1471" s="334"/>
      <c r="H1471" s="602"/>
      <c r="I1471" s="334"/>
      <c r="J1471" s="334"/>
      <c r="K1471" s="334"/>
      <c r="L1471" s="334"/>
      <c r="M1471" s="334"/>
      <c r="N1471" s="334"/>
      <c r="O1471" s="334"/>
    </row>
    <row r="1472" spans="1:15" ht="12.75" hidden="1" customHeight="1" outlineLevel="1" x14ac:dyDescent="0.2">
      <c r="A1472" s="984" t="s">
        <v>5277</v>
      </c>
      <c r="B1472" s="985" t="s">
        <v>5167</v>
      </c>
      <c r="C1472" s="986" t="s">
        <v>79</v>
      </c>
      <c r="D1472" s="987">
        <v>7.3</v>
      </c>
      <c r="E1472" s="975"/>
      <c r="F1472" s="334"/>
      <c r="G1472" s="334"/>
      <c r="H1472" s="602"/>
      <c r="I1472" s="334"/>
      <c r="J1472" s="334"/>
      <c r="K1472" s="334"/>
      <c r="L1472" s="334"/>
      <c r="M1472" s="334"/>
      <c r="N1472" s="334"/>
      <c r="O1472" s="334"/>
    </row>
    <row r="1473" spans="1:15" ht="12.75" hidden="1" customHeight="1" outlineLevel="1" x14ac:dyDescent="0.2">
      <c r="A1473" s="988" t="s">
        <v>5278</v>
      </c>
      <c r="B1473" s="989" t="s">
        <v>5279</v>
      </c>
      <c r="C1473" s="990" t="s">
        <v>79</v>
      </c>
      <c r="D1473" s="991">
        <v>51.48</v>
      </c>
      <c r="E1473" s="975"/>
      <c r="F1473" s="334"/>
      <c r="G1473" s="334"/>
      <c r="H1473" s="602"/>
      <c r="I1473" s="334"/>
      <c r="J1473" s="334"/>
      <c r="K1473" s="334"/>
      <c r="L1473" s="334"/>
      <c r="M1473" s="334"/>
      <c r="N1473" s="334"/>
      <c r="O1473" s="334"/>
    </row>
    <row r="1474" spans="1:15" ht="12.75" hidden="1" customHeight="1" outlineLevel="1" x14ac:dyDescent="0.2">
      <c r="A1474" s="984" t="s">
        <v>5280</v>
      </c>
      <c r="B1474" s="985" t="s">
        <v>5194</v>
      </c>
      <c r="C1474" s="986" t="s">
        <v>79</v>
      </c>
      <c r="D1474" s="987">
        <v>90.07</v>
      </c>
      <c r="E1474" s="975"/>
      <c r="F1474" s="334"/>
      <c r="G1474" s="334"/>
      <c r="H1474" s="602"/>
      <c r="I1474" s="334"/>
      <c r="J1474" s="334"/>
      <c r="K1474" s="334"/>
      <c r="L1474" s="334"/>
      <c r="M1474" s="334"/>
      <c r="N1474" s="334"/>
      <c r="O1474" s="334"/>
    </row>
    <row r="1475" spans="1:15" ht="12.75" hidden="1" customHeight="1" outlineLevel="1" x14ac:dyDescent="0.2">
      <c r="A1475" s="988" t="s">
        <v>5281</v>
      </c>
      <c r="B1475" s="989" t="s">
        <v>5198</v>
      </c>
      <c r="C1475" s="990" t="s">
        <v>79</v>
      </c>
      <c r="D1475" s="991">
        <v>31.89</v>
      </c>
      <c r="E1475" s="975"/>
      <c r="F1475" s="334"/>
      <c r="G1475" s="334"/>
      <c r="H1475" s="602"/>
      <c r="I1475" s="334"/>
      <c r="J1475" s="334"/>
      <c r="K1475" s="334"/>
      <c r="L1475" s="334"/>
      <c r="M1475" s="334"/>
      <c r="N1475" s="334"/>
      <c r="O1475" s="334"/>
    </row>
    <row r="1476" spans="1:15" ht="12.75" hidden="1" customHeight="1" outlineLevel="1" x14ac:dyDescent="0.2">
      <c r="A1476" s="984" t="s">
        <v>5282</v>
      </c>
      <c r="B1476" s="985" t="s">
        <v>5168</v>
      </c>
      <c r="C1476" s="986" t="s">
        <v>79</v>
      </c>
      <c r="D1476" s="987">
        <v>18.920000000000002</v>
      </c>
      <c r="E1476" s="975"/>
      <c r="F1476" s="334"/>
      <c r="G1476" s="334"/>
      <c r="H1476" s="602"/>
      <c r="I1476" s="334"/>
      <c r="J1476" s="334"/>
      <c r="K1476" s="334"/>
      <c r="L1476" s="334"/>
      <c r="M1476" s="334"/>
      <c r="N1476" s="334"/>
      <c r="O1476" s="334"/>
    </row>
    <row r="1477" spans="1:15" ht="12.75" hidden="1" customHeight="1" outlineLevel="1" x14ac:dyDescent="0.2">
      <c r="A1477" s="988" t="s">
        <v>5283</v>
      </c>
      <c r="B1477" s="989" t="s">
        <v>5223</v>
      </c>
      <c r="C1477" s="990" t="s">
        <v>79</v>
      </c>
      <c r="D1477" s="991">
        <v>25.54</v>
      </c>
      <c r="E1477" s="975"/>
      <c r="F1477" s="334"/>
      <c r="G1477" s="334"/>
      <c r="H1477" s="602"/>
      <c r="I1477" s="334"/>
      <c r="J1477" s="334"/>
      <c r="K1477" s="334"/>
      <c r="L1477" s="334"/>
      <c r="M1477" s="334"/>
      <c r="N1477" s="334"/>
      <c r="O1477" s="334"/>
    </row>
    <row r="1478" spans="1:15" ht="12.75" hidden="1" customHeight="1" outlineLevel="1" x14ac:dyDescent="0.2">
      <c r="A1478" s="984" t="s">
        <v>5284</v>
      </c>
      <c r="B1478" s="985" t="s">
        <v>5226</v>
      </c>
      <c r="C1478" s="986" t="s">
        <v>79</v>
      </c>
      <c r="D1478" s="987">
        <v>13.94</v>
      </c>
      <c r="E1478" s="975"/>
      <c r="F1478" s="334"/>
      <c r="G1478" s="334"/>
      <c r="H1478" s="602"/>
      <c r="I1478" s="334"/>
      <c r="J1478" s="334"/>
      <c r="K1478" s="334"/>
      <c r="L1478" s="334"/>
      <c r="M1478" s="334"/>
      <c r="N1478" s="334"/>
      <c r="O1478" s="334"/>
    </row>
    <row r="1479" spans="1:15" ht="12.75" hidden="1" customHeight="1" outlineLevel="1" x14ac:dyDescent="0.2">
      <c r="A1479" s="988" t="s">
        <v>5285</v>
      </c>
      <c r="B1479" s="989" t="s">
        <v>5205</v>
      </c>
      <c r="C1479" s="990" t="s">
        <v>79</v>
      </c>
      <c r="D1479" s="991">
        <v>61</v>
      </c>
      <c r="E1479" s="975"/>
      <c r="F1479" s="334"/>
      <c r="G1479" s="334"/>
      <c r="H1479" s="602"/>
      <c r="I1479" s="334"/>
      <c r="J1479" s="334"/>
      <c r="K1479" s="334"/>
      <c r="L1479" s="334"/>
      <c r="M1479" s="334"/>
      <c r="N1479" s="334"/>
      <c r="O1479" s="334"/>
    </row>
    <row r="1480" spans="1:15" ht="12.75" hidden="1" customHeight="1" outlineLevel="1" x14ac:dyDescent="0.2">
      <c r="A1480" s="980" t="s">
        <v>5286</v>
      </c>
      <c r="B1480" s="981" t="s">
        <v>1112</v>
      </c>
      <c r="C1480" s="982"/>
      <c r="D1480" s="983"/>
      <c r="E1480" s="975"/>
      <c r="F1480" s="334"/>
      <c r="G1480" s="334"/>
      <c r="H1480" s="602"/>
      <c r="I1480" s="334"/>
      <c r="J1480" s="334"/>
      <c r="K1480" s="334"/>
      <c r="L1480" s="334"/>
      <c r="M1480" s="334"/>
      <c r="N1480" s="334"/>
      <c r="O1480" s="334"/>
    </row>
    <row r="1481" spans="1:15" ht="12.75" hidden="1" customHeight="1" outlineLevel="1" x14ac:dyDescent="0.2">
      <c r="A1481" s="984" t="s">
        <v>5287</v>
      </c>
      <c r="B1481" s="985" t="s">
        <v>5194</v>
      </c>
      <c r="C1481" s="986" t="s">
        <v>79</v>
      </c>
      <c r="D1481" s="987">
        <v>0.22</v>
      </c>
      <c r="E1481" s="975"/>
      <c r="F1481" s="334"/>
      <c r="G1481" s="334"/>
      <c r="H1481" s="602"/>
      <c r="I1481" s="334"/>
      <c r="J1481" s="334"/>
      <c r="K1481" s="334"/>
      <c r="L1481" s="334"/>
      <c r="M1481" s="334"/>
      <c r="N1481" s="334"/>
      <c r="O1481" s="334"/>
    </row>
    <row r="1482" spans="1:15" ht="12.75" hidden="1" customHeight="1" outlineLevel="1" x14ac:dyDescent="0.2">
      <c r="A1482" s="988" t="s">
        <v>5288</v>
      </c>
      <c r="B1482" s="989" t="s">
        <v>5198</v>
      </c>
      <c r="C1482" s="990" t="s">
        <v>79</v>
      </c>
      <c r="D1482" s="991">
        <v>24.03</v>
      </c>
      <c r="E1482" s="975"/>
      <c r="F1482" s="334"/>
      <c r="G1482" s="334"/>
      <c r="H1482" s="602"/>
      <c r="I1482" s="334"/>
      <c r="J1482" s="334"/>
      <c r="K1482" s="334"/>
      <c r="L1482" s="334"/>
      <c r="M1482" s="334"/>
      <c r="N1482" s="334"/>
      <c r="O1482" s="334"/>
    </row>
    <row r="1483" spans="1:15" ht="12.75" hidden="1" customHeight="1" outlineLevel="1" x14ac:dyDescent="0.2">
      <c r="A1483" s="984" t="s">
        <v>5289</v>
      </c>
      <c r="B1483" s="985" t="s">
        <v>5200</v>
      </c>
      <c r="C1483" s="986" t="s">
        <v>79</v>
      </c>
      <c r="D1483" s="987">
        <v>97.53</v>
      </c>
      <c r="E1483" s="975"/>
      <c r="F1483" s="334"/>
      <c r="G1483" s="334"/>
      <c r="H1483" s="602"/>
      <c r="I1483" s="334"/>
      <c r="J1483" s="334"/>
      <c r="K1483" s="334"/>
      <c r="L1483" s="334"/>
      <c r="M1483" s="334"/>
      <c r="N1483" s="334"/>
      <c r="O1483" s="334"/>
    </row>
    <row r="1484" spans="1:15" ht="12.75" hidden="1" customHeight="1" outlineLevel="1" x14ac:dyDescent="0.2">
      <c r="A1484" s="988" t="s">
        <v>5290</v>
      </c>
      <c r="B1484" s="989" t="s">
        <v>5168</v>
      </c>
      <c r="C1484" s="990" t="s">
        <v>79</v>
      </c>
      <c r="D1484" s="991">
        <v>17.989999999999998</v>
      </c>
      <c r="E1484" s="975"/>
      <c r="F1484" s="334"/>
      <c r="G1484" s="334"/>
      <c r="H1484" s="602"/>
      <c r="I1484" s="334"/>
      <c r="J1484" s="334"/>
      <c r="K1484" s="334"/>
      <c r="L1484" s="334"/>
      <c r="M1484" s="334"/>
      <c r="N1484" s="334"/>
      <c r="O1484" s="334"/>
    </row>
    <row r="1485" spans="1:15" ht="12.75" hidden="1" customHeight="1" outlineLevel="1" x14ac:dyDescent="0.2">
      <c r="A1485" s="984" t="s">
        <v>5291</v>
      </c>
      <c r="B1485" s="985" t="s">
        <v>5292</v>
      </c>
      <c r="C1485" s="986" t="s">
        <v>79</v>
      </c>
      <c r="D1485" s="987">
        <v>18.239999999999998</v>
      </c>
      <c r="E1485" s="975"/>
      <c r="F1485" s="334"/>
      <c r="G1485" s="334"/>
      <c r="H1485" s="602"/>
      <c r="I1485" s="334"/>
      <c r="J1485" s="334"/>
      <c r="K1485" s="334"/>
      <c r="L1485" s="334"/>
      <c r="M1485" s="334"/>
      <c r="N1485" s="334"/>
      <c r="O1485" s="334"/>
    </row>
    <row r="1486" spans="1:15" ht="12.75" hidden="1" customHeight="1" outlineLevel="1" x14ac:dyDescent="0.2">
      <c r="A1486" s="988" t="s">
        <v>5293</v>
      </c>
      <c r="B1486" s="989" t="s">
        <v>5294</v>
      </c>
      <c r="C1486" s="990" t="s">
        <v>79</v>
      </c>
      <c r="D1486" s="991">
        <v>4.38</v>
      </c>
      <c r="E1486" s="975"/>
      <c r="F1486" s="334"/>
      <c r="G1486" s="334"/>
      <c r="H1486" s="602"/>
      <c r="I1486" s="334"/>
      <c r="J1486" s="334"/>
      <c r="K1486" s="334"/>
      <c r="L1486" s="334"/>
      <c r="M1486" s="334"/>
      <c r="N1486" s="334"/>
      <c r="O1486" s="334"/>
    </row>
    <row r="1487" spans="1:15" ht="12.75" hidden="1" customHeight="1" outlineLevel="1" x14ac:dyDescent="0.2">
      <c r="A1487" s="984" t="s">
        <v>5295</v>
      </c>
      <c r="B1487" s="985" t="s">
        <v>5226</v>
      </c>
      <c r="C1487" s="986" t="s">
        <v>79</v>
      </c>
      <c r="D1487" s="987">
        <v>13.97</v>
      </c>
      <c r="E1487" s="975"/>
      <c r="F1487" s="334"/>
      <c r="G1487" s="334"/>
      <c r="H1487" s="602"/>
      <c r="I1487" s="334"/>
      <c r="J1487" s="334"/>
      <c r="K1487" s="334"/>
      <c r="L1487" s="334"/>
      <c r="M1487" s="334"/>
      <c r="N1487" s="334"/>
      <c r="O1487" s="334"/>
    </row>
    <row r="1488" spans="1:15" ht="12.75" hidden="1" customHeight="1" outlineLevel="1" x14ac:dyDescent="0.2">
      <c r="A1488" s="980" t="s">
        <v>5296</v>
      </c>
      <c r="B1488" s="981" t="s">
        <v>1120</v>
      </c>
      <c r="C1488" s="982"/>
      <c r="D1488" s="983"/>
      <c r="E1488" s="975"/>
      <c r="F1488" s="334"/>
      <c r="G1488" s="334"/>
      <c r="H1488" s="602"/>
      <c r="I1488" s="334"/>
      <c r="J1488" s="334"/>
      <c r="K1488" s="334"/>
      <c r="L1488" s="334"/>
      <c r="M1488" s="334"/>
      <c r="N1488" s="334"/>
      <c r="O1488" s="334"/>
    </row>
    <row r="1489" spans="1:15" ht="12.75" hidden="1" customHeight="1" outlineLevel="1" x14ac:dyDescent="0.2">
      <c r="A1489" s="988" t="s">
        <v>5297</v>
      </c>
      <c r="B1489" s="989" t="s">
        <v>5168</v>
      </c>
      <c r="C1489" s="990" t="s">
        <v>79</v>
      </c>
      <c r="D1489" s="991">
        <v>0.1</v>
      </c>
      <c r="E1489" s="975"/>
      <c r="F1489" s="334"/>
      <c r="G1489" s="334"/>
      <c r="H1489" s="602"/>
      <c r="I1489" s="334"/>
      <c r="J1489" s="334"/>
      <c r="K1489" s="334"/>
      <c r="L1489" s="334"/>
      <c r="M1489" s="334"/>
      <c r="N1489" s="334"/>
      <c r="O1489" s="334"/>
    </row>
    <row r="1490" spans="1:15" ht="12.75" hidden="1" customHeight="1" outlineLevel="1" x14ac:dyDescent="0.2">
      <c r="A1490" s="980" t="s">
        <v>5298</v>
      </c>
      <c r="B1490" s="981" t="s">
        <v>1127</v>
      </c>
      <c r="C1490" s="982"/>
      <c r="D1490" s="983"/>
      <c r="E1490" s="975"/>
      <c r="F1490" s="334"/>
      <c r="G1490" s="334"/>
      <c r="H1490" s="602"/>
      <c r="I1490" s="334"/>
      <c r="J1490" s="334"/>
      <c r="K1490" s="334"/>
      <c r="L1490" s="334"/>
      <c r="M1490" s="334"/>
      <c r="N1490" s="334"/>
      <c r="O1490" s="334"/>
    </row>
    <row r="1491" spans="1:15" ht="12.75" hidden="1" customHeight="1" outlineLevel="1" x14ac:dyDescent="0.2">
      <c r="A1491" s="984" t="s">
        <v>5299</v>
      </c>
      <c r="B1491" s="985" t="s">
        <v>5167</v>
      </c>
      <c r="C1491" s="986" t="s">
        <v>79</v>
      </c>
      <c r="D1491" s="987">
        <v>7.19</v>
      </c>
      <c r="E1491" s="975"/>
      <c r="F1491" s="334"/>
      <c r="G1491" s="334"/>
      <c r="H1491" s="602"/>
      <c r="I1491" s="334"/>
      <c r="J1491" s="334"/>
      <c r="K1491" s="334"/>
      <c r="L1491" s="334"/>
      <c r="M1491" s="334"/>
      <c r="N1491" s="334"/>
      <c r="O1491" s="334"/>
    </row>
    <row r="1492" spans="1:15" ht="12.75" hidden="1" customHeight="1" outlineLevel="1" x14ac:dyDescent="0.2">
      <c r="A1492" s="988" t="s">
        <v>5300</v>
      </c>
      <c r="B1492" s="989" t="s">
        <v>5301</v>
      </c>
      <c r="C1492" s="990" t="s">
        <v>79</v>
      </c>
      <c r="D1492" s="991">
        <v>4.26</v>
      </c>
      <c r="E1492" s="975"/>
      <c r="F1492" s="334"/>
      <c r="G1492" s="334"/>
      <c r="H1492" s="602"/>
      <c r="I1492" s="334"/>
      <c r="J1492" s="334"/>
      <c r="K1492" s="334"/>
      <c r="L1492" s="334"/>
      <c r="M1492" s="334"/>
      <c r="N1492" s="334"/>
      <c r="O1492" s="334"/>
    </row>
    <row r="1493" spans="1:15" ht="12.75" hidden="1" customHeight="1" outlineLevel="1" x14ac:dyDescent="0.2">
      <c r="A1493" s="984" t="s">
        <v>5302</v>
      </c>
      <c r="B1493" s="985" t="s">
        <v>5303</v>
      </c>
      <c r="C1493" s="986" t="s">
        <v>79</v>
      </c>
      <c r="D1493" s="987">
        <v>5.42</v>
      </c>
      <c r="E1493" s="975"/>
      <c r="F1493" s="334"/>
      <c r="G1493" s="334"/>
      <c r="H1493" s="602"/>
      <c r="I1493" s="334"/>
      <c r="J1493" s="334"/>
      <c r="K1493" s="334"/>
      <c r="L1493" s="334"/>
      <c r="M1493" s="334"/>
      <c r="N1493" s="334"/>
      <c r="O1493" s="334"/>
    </row>
    <row r="1494" spans="1:15" ht="12.75" hidden="1" customHeight="1" outlineLevel="1" x14ac:dyDescent="0.2">
      <c r="A1494" s="988" t="s">
        <v>5304</v>
      </c>
      <c r="B1494" s="989" t="s">
        <v>5219</v>
      </c>
      <c r="C1494" s="990" t="s">
        <v>79</v>
      </c>
      <c r="D1494" s="991">
        <v>21.89</v>
      </c>
      <c r="E1494" s="975"/>
      <c r="F1494" s="334"/>
      <c r="G1494" s="334"/>
      <c r="H1494" s="602"/>
      <c r="I1494" s="334"/>
      <c r="J1494" s="334"/>
      <c r="K1494" s="334"/>
      <c r="L1494" s="334"/>
      <c r="M1494" s="334"/>
      <c r="N1494" s="334"/>
      <c r="O1494" s="334"/>
    </row>
    <row r="1495" spans="1:15" ht="12.75" hidden="1" customHeight="1" outlineLevel="1" x14ac:dyDescent="0.2">
      <c r="A1495" s="984" t="s">
        <v>5305</v>
      </c>
      <c r="B1495" s="985" t="s">
        <v>5168</v>
      </c>
      <c r="C1495" s="986" t="s">
        <v>79</v>
      </c>
      <c r="D1495" s="987">
        <v>9.52</v>
      </c>
      <c r="E1495" s="975"/>
      <c r="F1495" s="334"/>
      <c r="G1495" s="334"/>
      <c r="H1495" s="602"/>
      <c r="I1495" s="334"/>
      <c r="J1495" s="334"/>
      <c r="K1495" s="334"/>
      <c r="L1495" s="334"/>
      <c r="M1495" s="334"/>
      <c r="N1495" s="334"/>
      <c r="O1495" s="334"/>
    </row>
    <row r="1496" spans="1:15" ht="12.75" hidden="1" customHeight="1" outlineLevel="1" x14ac:dyDescent="0.2">
      <c r="A1496" s="988" t="s">
        <v>5306</v>
      </c>
      <c r="B1496" s="989" t="s">
        <v>5307</v>
      </c>
      <c r="C1496" s="990" t="s">
        <v>79</v>
      </c>
      <c r="D1496" s="991">
        <v>30.87</v>
      </c>
      <c r="E1496" s="975"/>
      <c r="F1496" s="334"/>
      <c r="G1496" s="334"/>
      <c r="H1496" s="602"/>
      <c r="I1496" s="334"/>
      <c r="J1496" s="334"/>
      <c r="K1496" s="334"/>
      <c r="L1496" s="334"/>
      <c r="M1496" s="334"/>
      <c r="N1496" s="334"/>
      <c r="O1496" s="334"/>
    </row>
    <row r="1497" spans="1:15" ht="12.75" hidden="1" customHeight="1" outlineLevel="1" x14ac:dyDescent="0.2">
      <c r="A1497" s="984" t="s">
        <v>5308</v>
      </c>
      <c r="B1497" s="985" t="s">
        <v>5309</v>
      </c>
      <c r="C1497" s="986" t="s">
        <v>79</v>
      </c>
      <c r="D1497" s="987">
        <v>5.41</v>
      </c>
      <c r="E1497" s="975"/>
      <c r="F1497" s="334"/>
      <c r="G1497" s="334"/>
      <c r="H1497" s="602"/>
      <c r="I1497" s="334"/>
      <c r="J1497" s="334"/>
      <c r="K1497" s="334"/>
      <c r="L1497" s="334"/>
      <c r="M1497" s="334"/>
      <c r="N1497" s="334"/>
      <c r="O1497" s="334"/>
    </row>
    <row r="1498" spans="1:15" ht="12.75" hidden="1" customHeight="1" outlineLevel="1" x14ac:dyDescent="0.2">
      <c r="A1498" s="988" t="s">
        <v>5310</v>
      </c>
      <c r="B1498" s="989" t="s">
        <v>5311</v>
      </c>
      <c r="C1498" s="990" t="s">
        <v>79</v>
      </c>
      <c r="D1498" s="991">
        <v>50.24</v>
      </c>
      <c r="E1498" s="975"/>
      <c r="F1498" s="334"/>
      <c r="G1498" s="334"/>
      <c r="H1498" s="602"/>
      <c r="I1498" s="334"/>
      <c r="J1498" s="334"/>
      <c r="K1498" s="334"/>
      <c r="L1498" s="334"/>
      <c r="M1498" s="334"/>
      <c r="N1498" s="334"/>
      <c r="O1498" s="334"/>
    </row>
    <row r="1499" spans="1:15" ht="12.75" hidden="1" customHeight="1" outlineLevel="1" x14ac:dyDescent="0.2">
      <c r="A1499" s="980" t="s">
        <v>5312</v>
      </c>
      <c r="B1499" s="981" t="s">
        <v>1137</v>
      </c>
      <c r="C1499" s="982"/>
      <c r="D1499" s="983"/>
      <c r="E1499" s="975"/>
      <c r="F1499" s="334"/>
      <c r="G1499" s="334"/>
      <c r="H1499" s="602"/>
      <c r="I1499" s="334"/>
      <c r="J1499" s="334"/>
      <c r="K1499" s="334"/>
      <c r="L1499" s="334"/>
      <c r="M1499" s="334"/>
      <c r="N1499" s="334"/>
      <c r="O1499" s="334"/>
    </row>
    <row r="1500" spans="1:15" ht="12.75" hidden="1" customHeight="1" outlineLevel="1" x14ac:dyDescent="0.2">
      <c r="A1500" s="984" t="s">
        <v>5313</v>
      </c>
      <c r="B1500" s="985" t="s">
        <v>5167</v>
      </c>
      <c r="C1500" s="986" t="s">
        <v>79</v>
      </c>
      <c r="D1500" s="987">
        <v>7.25</v>
      </c>
      <c r="E1500" s="975"/>
      <c r="F1500" s="334"/>
      <c r="G1500" s="334"/>
      <c r="H1500" s="602"/>
      <c r="I1500" s="334"/>
      <c r="J1500" s="334"/>
      <c r="K1500" s="334"/>
      <c r="L1500" s="334"/>
      <c r="M1500" s="334"/>
      <c r="N1500" s="334"/>
      <c r="O1500" s="334"/>
    </row>
    <row r="1501" spans="1:15" ht="12.75" customHeight="1" collapsed="1" x14ac:dyDescent="0.2">
      <c r="A1501" s="614" t="s">
        <v>2404</v>
      </c>
      <c r="B1501" s="615" t="s">
        <v>1284</v>
      </c>
      <c r="C1501" s="616"/>
      <c r="D1501" s="617"/>
      <c r="E1501" s="622"/>
      <c r="F1501" s="334"/>
      <c r="G1501" s="334"/>
      <c r="H1501" s="631" t="s">
        <v>703</v>
      </c>
      <c r="I1501" s="632" t="s">
        <v>59</v>
      </c>
      <c r="J1501" s="334"/>
      <c r="K1501" s="334"/>
      <c r="L1501" s="334"/>
      <c r="M1501" s="334"/>
      <c r="N1501" s="334"/>
      <c r="O1501" s="334"/>
    </row>
    <row r="1502" spans="1:15" ht="12.75" hidden="1" customHeight="1" outlineLevel="1" x14ac:dyDescent="0.2">
      <c r="A1502" s="618" t="s">
        <v>2405</v>
      </c>
      <c r="B1502" s="619" t="s">
        <v>1009</v>
      </c>
      <c r="C1502" s="620"/>
      <c r="D1502" s="621"/>
      <c r="E1502" s="622"/>
      <c r="F1502" s="334"/>
      <c r="G1502" s="334"/>
      <c r="H1502" s="633" t="s">
        <v>1176</v>
      </c>
      <c r="I1502" s="634">
        <f t="shared" ref="I1502:I1533" si="7">SUMIF($B$14:$B$4106,H1502,$D$14:$D$4106)</f>
        <v>7.5</v>
      </c>
      <c r="J1502" s="334"/>
      <c r="K1502" s="334"/>
      <c r="L1502" s="334"/>
      <c r="M1502" s="334"/>
      <c r="N1502" s="334"/>
      <c r="O1502" s="334"/>
    </row>
    <row r="1503" spans="1:15" ht="12.75" hidden="1" customHeight="1" outlineLevel="1" x14ac:dyDescent="0.2">
      <c r="A1503" s="623" t="s">
        <v>2406</v>
      </c>
      <c r="B1503" s="624" t="s">
        <v>1284</v>
      </c>
      <c r="C1503" s="625" t="s">
        <v>79</v>
      </c>
      <c r="D1503" s="626">
        <v>113.88</v>
      </c>
      <c r="E1503" s="622"/>
      <c r="F1503" s="334"/>
      <c r="G1503" s="334"/>
      <c r="H1503" s="633" t="s">
        <v>1178</v>
      </c>
      <c r="I1503" s="634">
        <f t="shared" si="7"/>
        <v>8.74</v>
      </c>
      <c r="J1503" s="334"/>
      <c r="K1503" s="334"/>
      <c r="L1503" s="334"/>
      <c r="M1503" s="334"/>
      <c r="N1503" s="334"/>
      <c r="O1503" s="334"/>
    </row>
    <row r="1504" spans="1:15" ht="12.75" hidden="1" customHeight="1" outlineLevel="1" x14ac:dyDescent="0.2">
      <c r="A1504" s="618" t="s">
        <v>2407</v>
      </c>
      <c r="B1504" s="619" t="s">
        <v>1021</v>
      </c>
      <c r="C1504" s="620"/>
      <c r="D1504" s="621"/>
      <c r="E1504" s="622"/>
      <c r="F1504" s="334"/>
      <c r="G1504" s="1140" t="s">
        <v>1180</v>
      </c>
      <c r="H1504" s="633" t="s">
        <v>1181</v>
      </c>
      <c r="I1504" s="634">
        <f t="shared" si="7"/>
        <v>3.33</v>
      </c>
      <c r="J1504" s="334"/>
      <c r="K1504" s="334"/>
      <c r="L1504" s="334"/>
      <c r="M1504" s="334"/>
      <c r="N1504" s="334"/>
      <c r="O1504" s="334"/>
    </row>
    <row r="1505" spans="1:15" ht="12.75" hidden="1" customHeight="1" outlineLevel="1" x14ac:dyDescent="0.2">
      <c r="A1505" s="627" t="s">
        <v>2408</v>
      </c>
      <c r="B1505" s="628" t="s">
        <v>1284</v>
      </c>
      <c r="C1505" s="629" t="s">
        <v>79</v>
      </c>
      <c r="D1505" s="630">
        <v>4.9000000000000004</v>
      </c>
      <c r="E1505" s="622"/>
      <c r="F1505" s="334"/>
      <c r="G1505" s="1140"/>
      <c r="H1505" s="633" t="s">
        <v>1183</v>
      </c>
      <c r="I1505" s="634">
        <f t="shared" si="7"/>
        <v>6.52</v>
      </c>
      <c r="J1505" s="334"/>
      <c r="K1505" s="334"/>
      <c r="L1505" s="334"/>
      <c r="M1505" s="334"/>
      <c r="N1505" s="334"/>
      <c r="O1505" s="334"/>
    </row>
    <row r="1506" spans="1:15" ht="12.75" hidden="1" customHeight="1" outlineLevel="1" x14ac:dyDescent="0.2">
      <c r="A1506" s="618" t="s">
        <v>2409</v>
      </c>
      <c r="B1506" s="619" t="s">
        <v>1030</v>
      </c>
      <c r="C1506" s="620"/>
      <c r="D1506" s="621"/>
      <c r="E1506" s="622"/>
      <c r="F1506" s="334"/>
      <c r="G1506" s="1140"/>
      <c r="H1506" s="633" t="s">
        <v>1185</v>
      </c>
      <c r="I1506" s="634">
        <f t="shared" si="7"/>
        <v>7.2</v>
      </c>
      <c r="J1506" s="334"/>
      <c r="K1506" s="334"/>
      <c r="L1506" s="334"/>
      <c r="M1506" s="334"/>
      <c r="N1506" s="334"/>
      <c r="O1506" s="334"/>
    </row>
    <row r="1507" spans="1:15" ht="12.75" hidden="1" customHeight="1" outlineLevel="1" x14ac:dyDescent="0.2">
      <c r="A1507" s="623" t="s">
        <v>2410</v>
      </c>
      <c r="B1507" s="624" t="s">
        <v>1284</v>
      </c>
      <c r="C1507" s="625" t="s">
        <v>79</v>
      </c>
      <c r="D1507" s="626">
        <v>4.9000000000000004</v>
      </c>
      <c r="E1507" s="622"/>
      <c r="F1507" s="334"/>
      <c r="G1507" s="1140"/>
      <c r="H1507" s="633" t="s">
        <v>1187</v>
      </c>
      <c r="I1507" s="634">
        <f t="shared" si="7"/>
        <v>12.63</v>
      </c>
      <c r="J1507" s="334"/>
      <c r="K1507" s="334"/>
      <c r="L1507" s="334"/>
      <c r="M1507" s="334"/>
      <c r="N1507" s="334"/>
      <c r="O1507" s="334"/>
    </row>
    <row r="1508" spans="1:15" ht="12.75" hidden="1" customHeight="1" outlineLevel="1" x14ac:dyDescent="0.2">
      <c r="A1508" s="618" t="s">
        <v>2411</v>
      </c>
      <c r="B1508" s="619" t="s">
        <v>1039</v>
      </c>
      <c r="C1508" s="620"/>
      <c r="D1508" s="621"/>
      <c r="E1508" s="622"/>
      <c r="F1508" s="334"/>
      <c r="G1508" s="1140"/>
      <c r="H1508" s="633" t="s">
        <v>1189</v>
      </c>
      <c r="I1508" s="634">
        <f t="shared" si="7"/>
        <v>6.34</v>
      </c>
      <c r="J1508" s="334"/>
      <c r="K1508" s="334"/>
      <c r="L1508" s="334"/>
      <c r="M1508" s="334"/>
      <c r="N1508" s="334"/>
      <c r="O1508" s="334"/>
    </row>
    <row r="1509" spans="1:15" ht="12.75" hidden="1" customHeight="1" outlineLevel="1" x14ac:dyDescent="0.2">
      <c r="A1509" s="627" t="s">
        <v>2412</v>
      </c>
      <c r="B1509" s="628" t="s">
        <v>1284</v>
      </c>
      <c r="C1509" s="629" t="s">
        <v>79</v>
      </c>
      <c r="D1509" s="630">
        <v>4.9000000000000004</v>
      </c>
      <c r="E1509" s="622"/>
      <c r="F1509" s="334"/>
      <c r="G1509" s="1140"/>
      <c r="H1509" s="633" t="s">
        <v>1191</v>
      </c>
      <c r="I1509" s="634">
        <f t="shared" si="7"/>
        <v>12.84</v>
      </c>
      <c r="J1509" s="334"/>
      <c r="K1509" s="334"/>
      <c r="L1509" s="334"/>
      <c r="M1509" s="334"/>
      <c r="N1509" s="334"/>
      <c r="O1509" s="334"/>
    </row>
    <row r="1510" spans="1:15" ht="12.75" hidden="1" customHeight="1" outlineLevel="1" x14ac:dyDescent="0.2">
      <c r="A1510" s="618" t="s">
        <v>2413</v>
      </c>
      <c r="B1510" s="619" t="s">
        <v>1047</v>
      </c>
      <c r="C1510" s="620"/>
      <c r="D1510" s="621"/>
      <c r="E1510" s="622"/>
      <c r="F1510" s="334"/>
      <c r="G1510" s="1140"/>
      <c r="H1510" s="633" t="s">
        <v>1193</v>
      </c>
      <c r="I1510" s="634">
        <f t="shared" si="7"/>
        <v>3.33</v>
      </c>
      <c r="J1510" s="334"/>
      <c r="K1510" s="334"/>
      <c r="L1510" s="334"/>
      <c r="M1510" s="334"/>
      <c r="N1510" s="334"/>
      <c r="O1510" s="334"/>
    </row>
    <row r="1511" spans="1:15" ht="12.75" hidden="1" customHeight="1" outlineLevel="1" x14ac:dyDescent="0.2">
      <c r="A1511" s="623" t="s">
        <v>2414</v>
      </c>
      <c r="B1511" s="624" t="s">
        <v>1284</v>
      </c>
      <c r="C1511" s="625" t="s">
        <v>79</v>
      </c>
      <c r="D1511" s="626">
        <v>4.9000000000000004</v>
      </c>
      <c r="E1511" s="622"/>
      <c r="F1511" s="334"/>
      <c r="G1511" s="1140"/>
      <c r="H1511" s="633" t="s">
        <v>1195</v>
      </c>
      <c r="I1511" s="634">
        <f t="shared" si="7"/>
        <v>6.52</v>
      </c>
      <c r="J1511" s="334"/>
      <c r="K1511" s="334"/>
      <c r="L1511" s="334"/>
      <c r="M1511" s="334"/>
      <c r="N1511" s="334"/>
      <c r="O1511" s="334"/>
    </row>
    <row r="1512" spans="1:15" ht="12.75" hidden="1" customHeight="1" outlineLevel="1" x14ac:dyDescent="0.2">
      <c r="A1512" s="618" t="s">
        <v>2415</v>
      </c>
      <c r="B1512" s="619" t="s">
        <v>1058</v>
      </c>
      <c r="C1512" s="620"/>
      <c r="D1512" s="621"/>
      <c r="E1512" s="622"/>
      <c r="F1512" s="334"/>
      <c r="G1512" s="1140"/>
      <c r="H1512" s="633" t="s">
        <v>1197</v>
      </c>
      <c r="I1512" s="634">
        <f t="shared" si="7"/>
        <v>7.2</v>
      </c>
      <c r="J1512" s="334"/>
      <c r="K1512" s="334"/>
      <c r="L1512" s="334"/>
      <c r="M1512" s="334"/>
      <c r="N1512" s="334"/>
      <c r="O1512" s="334"/>
    </row>
    <row r="1513" spans="1:15" ht="12.75" hidden="1" customHeight="1" outlineLevel="1" x14ac:dyDescent="0.2">
      <c r="A1513" s="627" t="s">
        <v>2416</v>
      </c>
      <c r="B1513" s="628" t="s">
        <v>1284</v>
      </c>
      <c r="C1513" s="629" t="s">
        <v>79</v>
      </c>
      <c r="D1513" s="630">
        <v>4.9000000000000004</v>
      </c>
      <c r="E1513" s="622"/>
      <c r="F1513" s="334"/>
      <c r="G1513" s="1140"/>
      <c r="H1513" s="633" t="s">
        <v>1199</v>
      </c>
      <c r="I1513" s="634">
        <f t="shared" si="7"/>
        <v>27</v>
      </c>
      <c r="J1513" s="334"/>
      <c r="K1513" s="334"/>
      <c r="L1513" s="334"/>
      <c r="M1513" s="334"/>
      <c r="N1513" s="334"/>
      <c r="O1513" s="334"/>
    </row>
    <row r="1514" spans="1:15" ht="12.75" hidden="1" customHeight="1" outlineLevel="1" x14ac:dyDescent="0.2">
      <c r="A1514" s="618" t="s">
        <v>2417</v>
      </c>
      <c r="B1514" s="619" t="s">
        <v>1069</v>
      </c>
      <c r="C1514" s="620"/>
      <c r="D1514" s="621"/>
      <c r="E1514" s="622"/>
      <c r="F1514" s="334"/>
      <c r="G1514" s="1140"/>
      <c r="H1514" s="334" t="s">
        <v>1201</v>
      </c>
      <c r="I1514" s="634">
        <f t="shared" si="7"/>
        <v>140.55999999999997</v>
      </c>
      <c r="J1514" s="334"/>
      <c r="K1514" s="334"/>
      <c r="L1514" s="334"/>
      <c r="M1514" s="334"/>
      <c r="N1514" s="334"/>
      <c r="O1514" s="334"/>
    </row>
    <row r="1515" spans="1:15" ht="12.75" hidden="1" customHeight="1" outlineLevel="1" x14ac:dyDescent="0.2">
      <c r="A1515" s="623" t="s">
        <v>2418</v>
      </c>
      <c r="B1515" s="624" t="s">
        <v>1284</v>
      </c>
      <c r="C1515" s="625" t="s">
        <v>79</v>
      </c>
      <c r="D1515" s="626">
        <v>4.9000000000000004</v>
      </c>
      <c r="E1515" s="622"/>
      <c r="F1515" s="334"/>
      <c r="G1515" s="1140"/>
      <c r="H1515" s="633" t="s">
        <v>1203</v>
      </c>
      <c r="I1515" s="634">
        <f t="shared" si="7"/>
        <v>157</v>
      </c>
      <c r="J1515" s="334"/>
      <c r="K1515" s="334"/>
      <c r="L1515" s="334"/>
      <c r="M1515" s="334"/>
      <c r="N1515" s="334"/>
      <c r="O1515" s="334"/>
    </row>
    <row r="1516" spans="1:15" ht="12.75" hidden="1" customHeight="1" outlineLevel="1" x14ac:dyDescent="0.2">
      <c r="A1516" s="618" t="s">
        <v>2419</v>
      </c>
      <c r="B1516" s="619" t="s">
        <v>1079</v>
      </c>
      <c r="C1516" s="620"/>
      <c r="D1516" s="621"/>
      <c r="E1516" s="622"/>
      <c r="F1516" s="334"/>
      <c r="G1516" s="1140"/>
      <c r="H1516" s="633" t="s">
        <v>1205</v>
      </c>
      <c r="I1516" s="634">
        <f t="shared" si="7"/>
        <v>3.29</v>
      </c>
      <c r="J1516" s="334"/>
      <c r="K1516" s="334"/>
      <c r="L1516" s="334"/>
      <c r="M1516" s="334"/>
      <c r="N1516" s="334"/>
      <c r="O1516" s="334"/>
    </row>
    <row r="1517" spans="1:15" ht="12.75" hidden="1" customHeight="1" outlineLevel="1" x14ac:dyDescent="0.2">
      <c r="A1517" s="627" t="s">
        <v>2420</v>
      </c>
      <c r="B1517" s="628" t="s">
        <v>1284</v>
      </c>
      <c r="C1517" s="629" t="s">
        <v>79</v>
      </c>
      <c r="D1517" s="630">
        <v>4.9000000000000004</v>
      </c>
      <c r="E1517" s="622"/>
      <c r="F1517" s="334"/>
      <c r="G1517" s="1140"/>
      <c r="H1517" s="334" t="s">
        <v>1207</v>
      </c>
      <c r="I1517" s="634">
        <f t="shared" si="7"/>
        <v>16.93</v>
      </c>
      <c r="J1517" s="334"/>
      <c r="K1517" s="334"/>
      <c r="L1517" s="334"/>
      <c r="M1517" s="334"/>
      <c r="N1517" s="334"/>
      <c r="O1517" s="334"/>
    </row>
    <row r="1518" spans="1:15" ht="12.75" hidden="1" customHeight="1" outlineLevel="1" x14ac:dyDescent="0.2">
      <c r="A1518" s="618" t="s">
        <v>2421</v>
      </c>
      <c r="B1518" s="619" t="s">
        <v>1086</v>
      </c>
      <c r="C1518" s="620"/>
      <c r="D1518" s="621"/>
      <c r="E1518" s="622"/>
      <c r="F1518" s="334"/>
      <c r="G1518" s="1140"/>
      <c r="H1518" s="633" t="s">
        <v>1209</v>
      </c>
      <c r="I1518" s="634">
        <f t="shared" si="7"/>
        <v>4.55</v>
      </c>
      <c r="J1518" s="334"/>
      <c r="K1518" s="334"/>
      <c r="L1518" s="334"/>
      <c r="M1518" s="334"/>
      <c r="N1518" s="334"/>
      <c r="O1518" s="334"/>
    </row>
    <row r="1519" spans="1:15" ht="12.75" hidden="1" customHeight="1" outlineLevel="1" x14ac:dyDescent="0.2">
      <c r="A1519" s="623" t="s">
        <v>2422</v>
      </c>
      <c r="B1519" s="624" t="s">
        <v>1284</v>
      </c>
      <c r="C1519" s="625" t="s">
        <v>79</v>
      </c>
      <c r="D1519" s="626">
        <v>4.9000000000000004</v>
      </c>
      <c r="E1519" s="622"/>
      <c r="F1519" s="334"/>
      <c r="G1519" s="1140"/>
      <c r="H1519" s="633" t="s">
        <v>1211</v>
      </c>
      <c r="I1519" s="634">
        <f t="shared" si="7"/>
        <v>16.309999999999999</v>
      </c>
      <c r="J1519" s="334"/>
      <c r="K1519" s="334"/>
      <c r="L1519" s="334"/>
      <c r="M1519" s="334"/>
      <c r="N1519" s="334"/>
      <c r="O1519" s="334"/>
    </row>
    <row r="1520" spans="1:15" ht="12.75" hidden="1" customHeight="1" outlineLevel="1" x14ac:dyDescent="0.2">
      <c r="A1520" s="618" t="s">
        <v>2423</v>
      </c>
      <c r="B1520" s="619" t="s">
        <v>1094</v>
      </c>
      <c r="C1520" s="620"/>
      <c r="D1520" s="621"/>
      <c r="E1520" s="622"/>
      <c r="F1520" s="334"/>
      <c r="G1520" s="1140"/>
      <c r="H1520" s="633" t="s">
        <v>1213</v>
      </c>
      <c r="I1520" s="634">
        <f t="shared" si="7"/>
        <v>44.46</v>
      </c>
      <c r="J1520" s="334"/>
      <c r="K1520" s="334"/>
      <c r="L1520" s="334"/>
      <c r="M1520" s="334"/>
      <c r="N1520" s="334"/>
      <c r="O1520" s="334"/>
    </row>
    <row r="1521" spans="1:15" ht="12.75" hidden="1" customHeight="1" outlineLevel="1" x14ac:dyDescent="0.2">
      <c r="A1521" s="627" t="s">
        <v>2424</v>
      </c>
      <c r="B1521" s="628" t="s">
        <v>1284</v>
      </c>
      <c r="C1521" s="629" t="s">
        <v>79</v>
      </c>
      <c r="D1521" s="630">
        <v>4.9000000000000004</v>
      </c>
      <c r="E1521" s="622"/>
      <c r="F1521" s="334"/>
      <c r="G1521" s="1140"/>
      <c r="H1521" s="633" t="s">
        <v>1215</v>
      </c>
      <c r="I1521" s="634">
        <f t="shared" si="7"/>
        <v>1.47</v>
      </c>
      <c r="J1521" s="334"/>
      <c r="K1521" s="334"/>
      <c r="L1521" s="334"/>
      <c r="M1521" s="334"/>
      <c r="N1521" s="334"/>
      <c r="O1521" s="334"/>
    </row>
    <row r="1522" spans="1:15" ht="12.75" hidden="1" customHeight="1" outlineLevel="1" x14ac:dyDescent="0.2">
      <c r="A1522" s="618" t="s">
        <v>2425</v>
      </c>
      <c r="B1522" s="619" t="s">
        <v>1102</v>
      </c>
      <c r="C1522" s="620"/>
      <c r="D1522" s="621"/>
      <c r="E1522" s="622"/>
      <c r="F1522" s="334"/>
      <c r="G1522" s="1140"/>
      <c r="H1522" s="633" t="s">
        <v>1217</v>
      </c>
      <c r="I1522" s="634">
        <f t="shared" si="7"/>
        <v>10.16</v>
      </c>
      <c r="J1522" s="334"/>
      <c r="K1522" s="334"/>
      <c r="L1522" s="334"/>
      <c r="M1522" s="334"/>
      <c r="N1522" s="334"/>
      <c r="O1522" s="334"/>
    </row>
    <row r="1523" spans="1:15" ht="12.75" hidden="1" customHeight="1" outlineLevel="1" x14ac:dyDescent="0.2">
      <c r="A1523" s="623" t="s">
        <v>2426</v>
      </c>
      <c r="B1523" s="624" t="s">
        <v>1284</v>
      </c>
      <c r="C1523" s="625" t="s">
        <v>79</v>
      </c>
      <c r="D1523" s="626">
        <v>4.9000000000000004</v>
      </c>
      <c r="E1523" s="622"/>
      <c r="F1523" s="334"/>
      <c r="G1523" s="1140"/>
      <c r="H1523" s="633" t="s">
        <v>1219</v>
      </c>
      <c r="I1523" s="634">
        <f t="shared" si="7"/>
        <v>4.2300000000000004</v>
      </c>
      <c r="J1523" s="334"/>
      <c r="K1523" s="334"/>
      <c r="L1523" s="334"/>
      <c r="M1523" s="334"/>
      <c r="N1523" s="334"/>
      <c r="O1523" s="334"/>
    </row>
    <row r="1524" spans="1:15" ht="12.75" hidden="1" customHeight="1" outlineLevel="1" x14ac:dyDescent="0.2">
      <c r="A1524" s="618" t="s">
        <v>2427</v>
      </c>
      <c r="B1524" s="619" t="s">
        <v>1127</v>
      </c>
      <c r="C1524" s="620"/>
      <c r="D1524" s="621"/>
      <c r="E1524" s="622"/>
      <c r="F1524" s="334"/>
      <c r="G1524" s="1140"/>
      <c r="H1524" s="633" t="s">
        <v>1221</v>
      </c>
      <c r="I1524" s="634">
        <f t="shared" si="7"/>
        <v>2.36</v>
      </c>
      <c r="J1524" s="334"/>
      <c r="K1524" s="334"/>
      <c r="L1524" s="334"/>
      <c r="M1524" s="334"/>
      <c r="N1524" s="334"/>
      <c r="O1524" s="334"/>
    </row>
    <row r="1525" spans="1:15" ht="12.75" hidden="1" customHeight="1" outlineLevel="1" x14ac:dyDescent="0.2">
      <c r="A1525" s="627" t="s">
        <v>2428</v>
      </c>
      <c r="B1525" s="628" t="s">
        <v>1284</v>
      </c>
      <c r="C1525" s="629" t="s">
        <v>79</v>
      </c>
      <c r="D1525" s="630">
        <v>15.96</v>
      </c>
      <c r="E1525" s="622"/>
      <c r="F1525" s="334"/>
      <c r="G1525" s="1140"/>
      <c r="H1525" s="633" t="s">
        <v>1223</v>
      </c>
      <c r="I1525" s="634">
        <f t="shared" si="7"/>
        <v>2</v>
      </c>
      <c r="J1525" s="334"/>
      <c r="K1525" s="334"/>
      <c r="L1525" s="334"/>
      <c r="M1525" s="334"/>
      <c r="N1525" s="334"/>
      <c r="O1525" s="334"/>
    </row>
    <row r="1526" spans="1:15" ht="12.75" hidden="1" customHeight="1" outlineLevel="1" x14ac:dyDescent="0.2">
      <c r="A1526" s="618" t="s">
        <v>2429</v>
      </c>
      <c r="B1526" s="619" t="s">
        <v>1137</v>
      </c>
      <c r="C1526" s="620"/>
      <c r="D1526" s="621"/>
      <c r="E1526" s="622"/>
      <c r="F1526" s="334"/>
      <c r="G1526" s="1140"/>
      <c r="H1526" s="633" t="s">
        <v>1225</v>
      </c>
      <c r="I1526" s="634">
        <f t="shared" si="7"/>
        <v>6.52</v>
      </c>
      <c r="J1526" s="334"/>
      <c r="K1526" s="334"/>
      <c r="L1526" s="334"/>
      <c r="M1526" s="334"/>
      <c r="N1526" s="334"/>
      <c r="O1526" s="334"/>
    </row>
    <row r="1527" spans="1:15" ht="12.75" hidden="1" customHeight="1" outlineLevel="1" x14ac:dyDescent="0.2">
      <c r="A1527" s="623" t="s">
        <v>2430</v>
      </c>
      <c r="B1527" s="624" t="s">
        <v>1284</v>
      </c>
      <c r="C1527" s="625" t="s">
        <v>79</v>
      </c>
      <c r="D1527" s="626">
        <v>5</v>
      </c>
      <c r="E1527" s="622"/>
      <c r="F1527" s="334"/>
      <c r="G1527" s="1140"/>
      <c r="H1527" s="633" t="s">
        <v>1227</v>
      </c>
      <c r="I1527" s="634">
        <f t="shared" si="7"/>
        <v>5.12</v>
      </c>
      <c r="J1527" s="334"/>
      <c r="K1527" s="334"/>
      <c r="L1527" s="334"/>
      <c r="M1527" s="334"/>
      <c r="N1527" s="334"/>
      <c r="O1527" s="334"/>
    </row>
    <row r="1528" spans="1:15" ht="12.75" customHeight="1" collapsed="1" x14ac:dyDescent="0.2">
      <c r="A1528" s="614" t="s">
        <v>2431</v>
      </c>
      <c r="B1528" s="615" t="s">
        <v>2432</v>
      </c>
      <c r="C1528" s="616"/>
      <c r="D1528" s="617"/>
      <c r="E1528" s="622"/>
      <c r="F1528" s="334"/>
      <c r="G1528" s="1140"/>
      <c r="H1528" s="633" t="s">
        <v>1229</v>
      </c>
      <c r="I1528" s="634">
        <f t="shared" si="7"/>
        <v>20.58</v>
      </c>
      <c r="J1528" s="334"/>
      <c r="K1528" s="334"/>
      <c r="L1528" s="334"/>
      <c r="M1528" s="334"/>
      <c r="N1528" s="334"/>
      <c r="O1528" s="334"/>
    </row>
    <row r="1529" spans="1:15" ht="12.75" hidden="1" customHeight="1" outlineLevel="1" x14ac:dyDescent="0.2">
      <c r="A1529" s="618" t="s">
        <v>2433</v>
      </c>
      <c r="B1529" s="619" t="s">
        <v>1009</v>
      </c>
      <c r="C1529" s="620"/>
      <c r="D1529" s="621"/>
      <c r="E1529" s="622"/>
      <c r="F1529" s="334"/>
      <c r="G1529" s="1140"/>
      <c r="H1529" s="633" t="s">
        <v>1231</v>
      </c>
      <c r="I1529" s="634">
        <f t="shared" si="7"/>
        <v>1.58</v>
      </c>
      <c r="J1529" s="334"/>
      <c r="K1529" s="334"/>
      <c r="L1529" s="334"/>
      <c r="M1529" s="334"/>
      <c r="N1529" s="334"/>
      <c r="O1529" s="334"/>
    </row>
    <row r="1530" spans="1:15" ht="12.75" hidden="1" customHeight="1" outlineLevel="1" x14ac:dyDescent="0.2">
      <c r="A1530" s="627" t="s">
        <v>2434</v>
      </c>
      <c r="B1530" s="628" t="s">
        <v>1176</v>
      </c>
      <c r="C1530" s="629" t="s">
        <v>100</v>
      </c>
      <c r="D1530" s="630">
        <v>7.5</v>
      </c>
      <c r="E1530" s="622"/>
      <c r="F1530" s="334"/>
      <c r="G1530" s="1140"/>
      <c r="H1530" s="633" t="s">
        <v>1233</v>
      </c>
      <c r="I1530" s="634">
        <f t="shared" si="7"/>
        <v>425.88</v>
      </c>
      <c r="J1530" s="334"/>
      <c r="K1530" s="334"/>
      <c r="L1530" s="334"/>
      <c r="M1530" s="334"/>
      <c r="N1530" s="334"/>
      <c r="O1530" s="334"/>
    </row>
    <row r="1531" spans="1:15" ht="12.75" hidden="1" customHeight="1" outlineLevel="1" x14ac:dyDescent="0.2">
      <c r="A1531" s="623" t="s">
        <v>2435</v>
      </c>
      <c r="B1531" s="624" t="s">
        <v>1178</v>
      </c>
      <c r="C1531" s="625" t="s">
        <v>100</v>
      </c>
      <c r="D1531" s="626">
        <v>8.74</v>
      </c>
      <c r="E1531" s="622"/>
      <c r="F1531" s="334"/>
      <c r="G1531" s="1140"/>
      <c r="H1531" s="633" t="s">
        <v>1235</v>
      </c>
      <c r="I1531" s="634">
        <f t="shared" si="7"/>
        <v>231.29999999999998</v>
      </c>
      <c r="J1531" s="334"/>
      <c r="K1531" s="334"/>
      <c r="L1531" s="334"/>
      <c r="M1531" s="334"/>
      <c r="N1531" s="334"/>
      <c r="O1531" s="334"/>
    </row>
    <row r="1532" spans="1:15" ht="12.75" hidden="1" customHeight="1" outlineLevel="1" x14ac:dyDescent="0.2">
      <c r="A1532" s="618" t="s">
        <v>2436</v>
      </c>
      <c r="B1532" s="619" t="s">
        <v>1127</v>
      </c>
      <c r="C1532" s="620"/>
      <c r="D1532" s="621"/>
      <c r="E1532" s="622"/>
      <c r="F1532" s="334"/>
      <c r="G1532" s="1140"/>
      <c r="H1532" s="633" t="s">
        <v>1237</v>
      </c>
      <c r="I1532" s="634">
        <f t="shared" si="7"/>
        <v>25.72</v>
      </c>
      <c r="J1532" s="334"/>
      <c r="K1532" s="334"/>
      <c r="L1532" s="334"/>
      <c r="M1532" s="334"/>
      <c r="N1532" s="334"/>
      <c r="O1532" s="334"/>
    </row>
    <row r="1533" spans="1:15" ht="12.75" hidden="1" customHeight="1" outlineLevel="1" x14ac:dyDescent="0.2">
      <c r="A1533" s="627" t="s">
        <v>2437</v>
      </c>
      <c r="B1533" s="628" t="s">
        <v>1307</v>
      </c>
      <c r="C1533" s="629" t="s">
        <v>100</v>
      </c>
      <c r="D1533" s="630">
        <v>2.0699999999999998</v>
      </c>
      <c r="E1533" s="622"/>
      <c r="F1533" s="334"/>
      <c r="G1533" s="1140"/>
      <c r="H1533" s="633" t="s">
        <v>1239</v>
      </c>
      <c r="I1533" s="634">
        <f t="shared" si="7"/>
        <v>9.25</v>
      </c>
      <c r="J1533" s="334"/>
      <c r="K1533" s="334"/>
      <c r="L1533" s="334"/>
      <c r="M1533" s="334"/>
      <c r="N1533" s="334"/>
      <c r="O1533" s="334"/>
    </row>
    <row r="1534" spans="1:15" ht="12.75" customHeight="1" collapsed="1" x14ac:dyDescent="0.2">
      <c r="A1534" s="614" t="s">
        <v>2438</v>
      </c>
      <c r="B1534" s="615" t="s">
        <v>522</v>
      </c>
      <c r="C1534" s="616"/>
      <c r="D1534" s="617"/>
      <c r="E1534" s="622"/>
      <c r="F1534" s="334"/>
      <c r="G1534" s="1140"/>
      <c r="H1534" s="633" t="s">
        <v>1242</v>
      </c>
      <c r="I1534" s="634">
        <f t="shared" ref="I1534:I1565" si="8">SUMIF($B$14:$B$4106,H1534,$D$14:$D$4106)</f>
        <v>36.299999999999997</v>
      </c>
      <c r="J1534" s="334"/>
      <c r="K1534" s="334"/>
      <c r="L1534" s="334"/>
      <c r="M1534" s="334"/>
      <c r="N1534" s="334"/>
      <c r="O1534" s="334"/>
    </row>
    <row r="1535" spans="1:15" ht="12.75" hidden="1" customHeight="1" outlineLevel="1" x14ac:dyDescent="0.2">
      <c r="A1535" s="618" t="s">
        <v>2439</v>
      </c>
      <c r="B1535" s="619" t="s">
        <v>1009</v>
      </c>
      <c r="C1535" s="620"/>
      <c r="D1535" s="621"/>
      <c r="E1535" s="622"/>
      <c r="F1535" s="334"/>
      <c r="G1535" s="1140"/>
      <c r="H1535" s="334" t="s">
        <v>1244</v>
      </c>
      <c r="I1535" s="634">
        <f t="shared" si="8"/>
        <v>8.7100000000000009</v>
      </c>
      <c r="J1535" s="334"/>
      <c r="K1535" s="334"/>
      <c r="L1535" s="334"/>
      <c r="M1535" s="334"/>
      <c r="N1535" s="334"/>
      <c r="O1535" s="334"/>
    </row>
    <row r="1536" spans="1:15" ht="12.75" hidden="1" customHeight="1" outlineLevel="1" x14ac:dyDescent="0.2">
      <c r="A1536" s="623" t="s">
        <v>2440</v>
      </c>
      <c r="B1536" s="624" t="s">
        <v>1284</v>
      </c>
      <c r="C1536" s="625" t="s">
        <v>79</v>
      </c>
      <c r="D1536" s="626">
        <v>51.91</v>
      </c>
      <c r="E1536" s="622"/>
      <c r="F1536" s="334"/>
      <c r="G1536" s="1140"/>
      <c r="H1536" s="633" t="s">
        <v>1246</v>
      </c>
      <c r="I1536" s="634">
        <f t="shared" si="8"/>
        <v>22.25</v>
      </c>
      <c r="J1536" s="334"/>
      <c r="K1536" s="334"/>
      <c r="L1536" s="334"/>
      <c r="M1536" s="334"/>
      <c r="N1536" s="334"/>
      <c r="O1536" s="334"/>
    </row>
    <row r="1537" spans="1:15" ht="12.75" hidden="1" customHeight="1" outlineLevel="1" x14ac:dyDescent="0.2">
      <c r="A1537" s="627" t="s">
        <v>2441</v>
      </c>
      <c r="B1537" s="628" t="s">
        <v>1286</v>
      </c>
      <c r="C1537" s="629" t="s">
        <v>100</v>
      </c>
      <c r="D1537" s="630">
        <v>2.2000000000000002</v>
      </c>
      <c r="E1537" s="622"/>
      <c r="F1537" s="334"/>
      <c r="G1537" s="1140"/>
      <c r="H1537" s="633" t="s">
        <v>1248</v>
      </c>
      <c r="I1537" s="634">
        <f t="shared" si="8"/>
        <v>10.16</v>
      </c>
      <c r="J1537" s="334"/>
      <c r="K1537" s="334"/>
      <c r="L1537" s="334"/>
      <c r="M1537" s="334"/>
      <c r="N1537" s="334"/>
      <c r="O1537" s="334"/>
    </row>
    <row r="1538" spans="1:15" ht="12.75" hidden="1" customHeight="1" outlineLevel="1" x14ac:dyDescent="0.2">
      <c r="A1538" s="623" t="s">
        <v>2442</v>
      </c>
      <c r="B1538" s="624" t="s">
        <v>1288</v>
      </c>
      <c r="C1538" s="625" t="s">
        <v>100</v>
      </c>
      <c r="D1538" s="626">
        <v>0.87</v>
      </c>
      <c r="E1538" s="622"/>
      <c r="F1538" s="334"/>
      <c r="G1538" s="1140"/>
      <c r="H1538" s="334" t="s">
        <v>1250</v>
      </c>
      <c r="I1538" s="634">
        <f t="shared" si="8"/>
        <v>13.22</v>
      </c>
      <c r="J1538" s="334"/>
      <c r="K1538" s="334"/>
      <c r="L1538" s="334"/>
      <c r="M1538" s="334"/>
      <c r="N1538" s="334"/>
      <c r="O1538" s="334"/>
    </row>
    <row r="1539" spans="1:15" ht="12.75" hidden="1" customHeight="1" outlineLevel="1" x14ac:dyDescent="0.2">
      <c r="A1539" s="627" t="s">
        <v>2443</v>
      </c>
      <c r="B1539" s="628" t="s">
        <v>1290</v>
      </c>
      <c r="C1539" s="629" t="s">
        <v>100</v>
      </c>
      <c r="D1539" s="630">
        <v>4.04</v>
      </c>
      <c r="E1539" s="622"/>
      <c r="F1539" s="334"/>
      <c r="G1539" s="1140"/>
      <c r="H1539" s="633" t="s">
        <v>1252</v>
      </c>
      <c r="I1539" s="634">
        <f t="shared" si="8"/>
        <v>21.84</v>
      </c>
      <c r="J1539" s="334"/>
      <c r="K1539" s="334"/>
      <c r="L1539" s="334"/>
      <c r="M1539" s="334"/>
      <c r="N1539" s="334"/>
      <c r="O1539" s="334"/>
    </row>
    <row r="1540" spans="1:15" ht="12.75" hidden="1" customHeight="1" outlineLevel="1" x14ac:dyDescent="0.2">
      <c r="A1540" s="623" t="s">
        <v>2444</v>
      </c>
      <c r="B1540" s="624" t="s">
        <v>1231</v>
      </c>
      <c r="C1540" s="625" t="s">
        <v>100</v>
      </c>
      <c r="D1540" s="626">
        <v>1.58</v>
      </c>
      <c r="E1540" s="622"/>
      <c r="F1540" s="334"/>
      <c r="G1540" s="1140"/>
      <c r="H1540" s="633" t="s">
        <v>1254</v>
      </c>
      <c r="I1540" s="634">
        <f t="shared" si="8"/>
        <v>19.52</v>
      </c>
      <c r="J1540" s="334"/>
      <c r="K1540" s="334"/>
      <c r="L1540" s="334"/>
      <c r="M1540" s="334"/>
      <c r="N1540" s="334"/>
      <c r="O1540" s="334"/>
    </row>
    <row r="1541" spans="1:15" ht="12.75" hidden="1" customHeight="1" outlineLevel="1" x14ac:dyDescent="0.2">
      <c r="A1541" s="627" t="s">
        <v>2445</v>
      </c>
      <c r="B1541" s="628" t="s">
        <v>1292</v>
      </c>
      <c r="C1541" s="629" t="s">
        <v>100</v>
      </c>
      <c r="D1541" s="630">
        <v>2.87</v>
      </c>
      <c r="E1541" s="622"/>
      <c r="F1541" s="334"/>
      <c r="G1541" s="1140"/>
      <c r="H1541" s="633" t="s">
        <v>1256</v>
      </c>
      <c r="I1541" s="634">
        <f t="shared" si="8"/>
        <v>2.4900000000000002</v>
      </c>
      <c r="J1541" s="334"/>
      <c r="K1541" s="334"/>
      <c r="L1541" s="334"/>
      <c r="M1541" s="334"/>
      <c r="N1541" s="334"/>
      <c r="O1541" s="334"/>
    </row>
    <row r="1542" spans="1:15" ht="12.75" hidden="1" customHeight="1" outlineLevel="1" x14ac:dyDescent="0.2">
      <c r="A1542" s="623" t="s">
        <v>2446</v>
      </c>
      <c r="B1542" s="624" t="s">
        <v>1298</v>
      </c>
      <c r="C1542" s="625" t="s">
        <v>100</v>
      </c>
      <c r="D1542" s="626">
        <v>3.35</v>
      </c>
      <c r="E1542" s="622"/>
      <c r="F1542" s="334"/>
      <c r="G1542" s="1140"/>
      <c r="H1542" s="633" t="s">
        <v>1258</v>
      </c>
      <c r="I1542" s="634">
        <f t="shared" si="8"/>
        <v>2.29</v>
      </c>
      <c r="J1542" s="334"/>
      <c r="K1542" s="334"/>
      <c r="L1542" s="334"/>
      <c r="M1542" s="334"/>
      <c r="N1542" s="334"/>
      <c r="O1542" s="334"/>
    </row>
    <row r="1543" spans="1:15" ht="12.75" hidden="1" customHeight="1" outlineLevel="1" x14ac:dyDescent="0.2">
      <c r="A1543" s="627" t="s">
        <v>2447</v>
      </c>
      <c r="B1543" s="628" t="s">
        <v>1301</v>
      </c>
      <c r="C1543" s="629" t="s">
        <v>100</v>
      </c>
      <c r="D1543" s="630">
        <v>8.2100000000000009</v>
      </c>
      <c r="E1543" s="622"/>
      <c r="F1543" s="334"/>
      <c r="G1543" s="1140"/>
      <c r="H1543" s="633" t="s">
        <v>1260</v>
      </c>
      <c r="I1543" s="634">
        <f t="shared" si="8"/>
        <v>0.46</v>
      </c>
      <c r="J1543" s="334"/>
      <c r="K1543" s="334"/>
      <c r="L1543" s="334"/>
      <c r="M1543" s="334"/>
      <c r="N1543" s="334"/>
      <c r="O1543" s="334"/>
    </row>
    <row r="1544" spans="1:15" ht="12.75" hidden="1" customHeight="1" outlineLevel="1" x14ac:dyDescent="0.2">
      <c r="A1544" s="623" t="s">
        <v>2448</v>
      </c>
      <c r="B1544" s="624" t="s">
        <v>1303</v>
      </c>
      <c r="C1544" s="625" t="s">
        <v>100</v>
      </c>
      <c r="D1544" s="626">
        <v>1.68</v>
      </c>
      <c r="E1544" s="622"/>
      <c r="F1544" s="334"/>
      <c r="G1544" s="1140"/>
      <c r="H1544" s="633" t="s">
        <v>1262</v>
      </c>
      <c r="I1544" s="634">
        <f t="shared" si="8"/>
        <v>2.0699999999999998</v>
      </c>
      <c r="J1544" s="334"/>
      <c r="K1544" s="334"/>
      <c r="L1544" s="334"/>
      <c r="M1544" s="334"/>
      <c r="N1544" s="334"/>
      <c r="O1544" s="334"/>
    </row>
    <row r="1545" spans="1:15" ht="12.75" hidden="1" customHeight="1" outlineLevel="1" x14ac:dyDescent="0.2">
      <c r="A1545" s="627" t="s">
        <v>2449</v>
      </c>
      <c r="B1545" s="628" t="s">
        <v>1305</v>
      </c>
      <c r="C1545" s="629" t="s">
        <v>100</v>
      </c>
      <c r="D1545" s="630">
        <v>2.1</v>
      </c>
      <c r="E1545" s="622"/>
      <c r="F1545" s="334"/>
      <c r="G1545" s="1140"/>
      <c r="H1545" s="633" t="s">
        <v>1264</v>
      </c>
      <c r="I1545" s="634">
        <f t="shared" si="8"/>
        <v>2.23</v>
      </c>
      <c r="J1545" s="334"/>
      <c r="K1545" s="334"/>
      <c r="L1545" s="334"/>
      <c r="M1545" s="334"/>
      <c r="N1545" s="334"/>
      <c r="O1545" s="334"/>
    </row>
    <row r="1546" spans="1:15" ht="12.75" hidden="1" customHeight="1" outlineLevel="1" x14ac:dyDescent="0.2">
      <c r="A1546" s="623" t="s">
        <v>2450</v>
      </c>
      <c r="B1546" s="624" t="s">
        <v>1264</v>
      </c>
      <c r="C1546" s="625" t="s">
        <v>100</v>
      </c>
      <c r="D1546" s="626">
        <v>2.23</v>
      </c>
      <c r="E1546" s="622"/>
      <c r="F1546" s="334"/>
      <c r="G1546" s="1140"/>
      <c r="H1546" s="633" t="s">
        <v>1266</v>
      </c>
      <c r="I1546" s="634">
        <f t="shared" si="8"/>
        <v>1.98</v>
      </c>
      <c r="J1546" s="334"/>
      <c r="K1546" s="334"/>
      <c r="L1546" s="334"/>
      <c r="M1546" s="334"/>
      <c r="N1546" s="334"/>
      <c r="O1546" s="334"/>
    </row>
    <row r="1547" spans="1:15" ht="12.75" hidden="1" customHeight="1" outlineLevel="1" x14ac:dyDescent="0.2">
      <c r="A1547" s="627" t="s">
        <v>2451</v>
      </c>
      <c r="B1547" s="628" t="s">
        <v>2452</v>
      </c>
      <c r="C1547" s="629" t="s">
        <v>100</v>
      </c>
      <c r="D1547" s="630">
        <v>3.45</v>
      </c>
      <c r="E1547" s="622"/>
      <c r="F1547" s="334"/>
      <c r="G1547" s="1140"/>
      <c r="H1547" s="633" t="s">
        <v>1268</v>
      </c>
      <c r="I1547" s="634">
        <f t="shared" si="8"/>
        <v>57.97</v>
      </c>
      <c r="J1547" s="334"/>
      <c r="K1547" s="334"/>
      <c r="L1547" s="334"/>
      <c r="M1547" s="334"/>
      <c r="N1547" s="334"/>
      <c r="O1547" s="334"/>
    </row>
    <row r="1548" spans="1:15" ht="12.75" hidden="1" customHeight="1" outlineLevel="1" x14ac:dyDescent="0.2">
      <c r="A1548" s="623" t="s">
        <v>2453</v>
      </c>
      <c r="B1548" s="624" t="s">
        <v>1266</v>
      </c>
      <c r="C1548" s="625" t="s">
        <v>100</v>
      </c>
      <c r="D1548" s="626">
        <v>1.98</v>
      </c>
      <c r="E1548" s="622"/>
      <c r="F1548" s="334"/>
      <c r="G1548" s="1140"/>
      <c r="H1548" s="633" t="s">
        <v>1270</v>
      </c>
      <c r="I1548" s="634">
        <f t="shared" si="8"/>
        <v>9.02</v>
      </c>
      <c r="J1548" s="334"/>
      <c r="K1548" s="334"/>
      <c r="L1548" s="334"/>
      <c r="M1548" s="334"/>
      <c r="N1548" s="334"/>
      <c r="O1548" s="334"/>
    </row>
    <row r="1549" spans="1:15" ht="12.75" hidden="1" customHeight="1" outlineLevel="1" x14ac:dyDescent="0.2">
      <c r="A1549" s="627" t="s">
        <v>2454</v>
      </c>
      <c r="B1549" s="628" t="s">
        <v>1181</v>
      </c>
      <c r="C1549" s="629" t="s">
        <v>100</v>
      </c>
      <c r="D1549" s="630">
        <v>3.33</v>
      </c>
      <c r="E1549" s="622"/>
      <c r="F1549" s="334"/>
      <c r="G1549" s="1139" t="s">
        <v>1272</v>
      </c>
      <c r="H1549" s="633" t="s">
        <v>1273</v>
      </c>
      <c r="I1549" s="634">
        <f t="shared" si="8"/>
        <v>71</v>
      </c>
      <c r="J1549" s="334"/>
      <c r="K1549" s="334"/>
      <c r="L1549" s="334"/>
      <c r="M1549" s="334"/>
      <c r="N1549" s="334"/>
      <c r="O1549" s="334"/>
    </row>
    <row r="1550" spans="1:15" ht="12.75" hidden="1" customHeight="1" outlineLevel="1" x14ac:dyDescent="0.2">
      <c r="A1550" s="623" t="s">
        <v>2455</v>
      </c>
      <c r="B1550" s="624" t="s">
        <v>1183</v>
      </c>
      <c r="C1550" s="625" t="s">
        <v>100</v>
      </c>
      <c r="D1550" s="626">
        <v>6.52</v>
      </c>
      <c r="E1550" s="622"/>
      <c r="F1550" s="334"/>
      <c r="G1550" s="1139"/>
      <c r="H1550" s="633" t="s">
        <v>1275</v>
      </c>
      <c r="I1550" s="634">
        <f t="shared" si="8"/>
        <v>42</v>
      </c>
      <c r="J1550" s="334"/>
      <c r="K1550" s="334"/>
      <c r="L1550" s="334"/>
      <c r="M1550" s="334"/>
      <c r="N1550" s="334"/>
      <c r="O1550" s="334"/>
    </row>
    <row r="1551" spans="1:15" ht="12.75" hidden="1" customHeight="1" outlineLevel="1" x14ac:dyDescent="0.2">
      <c r="A1551" s="627" t="s">
        <v>2456</v>
      </c>
      <c r="B1551" s="628" t="s">
        <v>1185</v>
      </c>
      <c r="C1551" s="629" t="s">
        <v>100</v>
      </c>
      <c r="D1551" s="630">
        <v>7.2</v>
      </c>
      <c r="E1551" s="622"/>
      <c r="F1551" s="334"/>
      <c r="G1551" s="1139"/>
      <c r="H1551" s="633" t="s">
        <v>1277</v>
      </c>
      <c r="I1551" s="634">
        <f t="shared" si="8"/>
        <v>35</v>
      </c>
      <c r="J1551" s="334"/>
      <c r="K1551" s="334"/>
      <c r="L1551" s="334"/>
      <c r="M1551" s="334"/>
      <c r="N1551" s="334"/>
      <c r="O1551" s="334"/>
    </row>
    <row r="1552" spans="1:15" ht="12.75" hidden="1" customHeight="1" outlineLevel="1" x14ac:dyDescent="0.2">
      <c r="A1552" s="623" t="s">
        <v>2457</v>
      </c>
      <c r="B1552" s="624" t="s">
        <v>1187</v>
      </c>
      <c r="C1552" s="625" t="s">
        <v>100</v>
      </c>
      <c r="D1552" s="626">
        <v>12.63</v>
      </c>
      <c r="E1552" s="622"/>
      <c r="F1552" s="334"/>
      <c r="G1552" s="1139"/>
      <c r="H1552" s="633" t="s">
        <v>1279</v>
      </c>
      <c r="I1552" s="634">
        <f t="shared" si="8"/>
        <v>89</v>
      </c>
      <c r="J1552" s="334"/>
      <c r="K1552" s="334"/>
      <c r="L1552" s="334"/>
      <c r="M1552" s="334"/>
      <c r="N1552" s="334"/>
      <c r="O1552" s="334"/>
    </row>
    <row r="1553" spans="1:15" ht="12.75" hidden="1" customHeight="1" outlineLevel="1" x14ac:dyDescent="0.2">
      <c r="A1553" s="627" t="s">
        <v>2458</v>
      </c>
      <c r="B1553" s="628" t="s">
        <v>1189</v>
      </c>
      <c r="C1553" s="629" t="s">
        <v>100</v>
      </c>
      <c r="D1553" s="630">
        <v>6.34</v>
      </c>
      <c r="E1553" s="622"/>
      <c r="F1553" s="334"/>
      <c r="G1553" s="1139"/>
      <c r="H1553" s="633" t="s">
        <v>1281</v>
      </c>
      <c r="I1553" s="634">
        <f t="shared" si="8"/>
        <v>204.65999999999997</v>
      </c>
      <c r="J1553" s="334"/>
      <c r="K1553" s="334"/>
      <c r="L1553" s="334"/>
      <c r="M1553" s="334"/>
      <c r="N1553" s="334"/>
      <c r="O1553" s="334"/>
    </row>
    <row r="1554" spans="1:15" ht="12.75" hidden="1" customHeight="1" outlineLevel="1" x14ac:dyDescent="0.2">
      <c r="A1554" s="623" t="s">
        <v>2459</v>
      </c>
      <c r="B1554" s="624" t="s">
        <v>1191</v>
      </c>
      <c r="C1554" s="625" t="s">
        <v>100</v>
      </c>
      <c r="D1554" s="626">
        <v>12.84</v>
      </c>
      <c r="E1554" s="622"/>
      <c r="F1554" s="334"/>
      <c r="G1554" s="1138" t="s">
        <v>1283</v>
      </c>
      <c r="H1554" s="633" t="s">
        <v>1284</v>
      </c>
      <c r="I1554" s="634">
        <f t="shared" si="8"/>
        <v>2335.17</v>
      </c>
      <c r="J1554" s="334"/>
      <c r="K1554" s="334"/>
      <c r="L1554" s="334"/>
      <c r="M1554" s="334"/>
      <c r="N1554" s="334"/>
      <c r="O1554" s="334"/>
    </row>
    <row r="1555" spans="1:15" ht="12.75" hidden="1" customHeight="1" outlineLevel="1" x14ac:dyDescent="0.2">
      <c r="A1555" s="627" t="s">
        <v>2460</v>
      </c>
      <c r="B1555" s="628" t="s">
        <v>1193</v>
      </c>
      <c r="C1555" s="629" t="s">
        <v>100</v>
      </c>
      <c r="D1555" s="630">
        <v>3.33</v>
      </c>
      <c r="E1555" s="622"/>
      <c r="F1555" s="334"/>
      <c r="G1555" s="1138"/>
      <c r="H1555" s="633" t="s">
        <v>1286</v>
      </c>
      <c r="I1555" s="634">
        <f t="shared" si="8"/>
        <v>30.799999999999994</v>
      </c>
      <c r="J1555" s="334"/>
      <c r="K1555" s="334"/>
      <c r="L1555" s="334"/>
      <c r="M1555" s="334"/>
      <c r="N1555" s="334"/>
      <c r="O1555" s="334"/>
    </row>
    <row r="1556" spans="1:15" ht="12.75" hidden="1" customHeight="1" outlineLevel="1" x14ac:dyDescent="0.2">
      <c r="A1556" s="623" t="s">
        <v>2461</v>
      </c>
      <c r="B1556" s="624" t="s">
        <v>1195</v>
      </c>
      <c r="C1556" s="625" t="s">
        <v>100</v>
      </c>
      <c r="D1556" s="626">
        <v>6.52</v>
      </c>
      <c r="E1556" s="622"/>
      <c r="F1556" s="334"/>
      <c r="G1556" s="1138"/>
      <c r="H1556" s="633" t="s">
        <v>1288</v>
      </c>
      <c r="I1556" s="634">
        <f t="shared" si="8"/>
        <v>0.87</v>
      </c>
      <c r="J1556" s="334"/>
      <c r="K1556" s="334"/>
      <c r="L1556" s="334"/>
      <c r="M1556" s="334"/>
      <c r="N1556" s="334"/>
      <c r="O1556" s="334"/>
    </row>
    <row r="1557" spans="1:15" ht="12.75" hidden="1" customHeight="1" outlineLevel="1" x14ac:dyDescent="0.2">
      <c r="A1557" s="627" t="s">
        <v>2462</v>
      </c>
      <c r="B1557" s="628" t="s">
        <v>1197</v>
      </c>
      <c r="C1557" s="629" t="s">
        <v>100</v>
      </c>
      <c r="D1557" s="630">
        <v>7.2</v>
      </c>
      <c r="E1557" s="622"/>
      <c r="F1557" s="334"/>
      <c r="G1557" s="1138"/>
      <c r="H1557" s="633" t="s">
        <v>1290</v>
      </c>
      <c r="I1557" s="634">
        <f t="shared" si="8"/>
        <v>4.04</v>
      </c>
      <c r="J1557" s="334"/>
      <c r="K1557" s="334"/>
      <c r="L1557" s="334"/>
      <c r="M1557" s="334"/>
      <c r="N1557" s="334"/>
      <c r="O1557" s="334"/>
    </row>
    <row r="1558" spans="1:15" ht="12.75" hidden="1" customHeight="1" outlineLevel="1" x14ac:dyDescent="0.2">
      <c r="A1558" s="618" t="s">
        <v>2463</v>
      </c>
      <c r="B1558" s="619" t="s">
        <v>1017</v>
      </c>
      <c r="C1558" s="620"/>
      <c r="D1558" s="621"/>
      <c r="E1558" s="622"/>
      <c r="F1558" s="334"/>
      <c r="G1558" s="1138"/>
      <c r="H1558" s="633" t="s">
        <v>1292</v>
      </c>
      <c r="I1558" s="634">
        <f t="shared" si="8"/>
        <v>2.87</v>
      </c>
      <c r="J1558" s="334"/>
      <c r="K1558" s="334"/>
      <c r="L1558" s="334"/>
      <c r="M1558" s="334"/>
      <c r="N1558" s="334"/>
      <c r="O1558" s="334"/>
    </row>
    <row r="1559" spans="1:15" ht="12.75" hidden="1" customHeight="1" outlineLevel="1" x14ac:dyDescent="0.2">
      <c r="A1559" s="623" t="s">
        <v>2464</v>
      </c>
      <c r="B1559" s="624" t="s">
        <v>1284</v>
      </c>
      <c r="C1559" s="625" t="s">
        <v>79</v>
      </c>
      <c r="D1559" s="626">
        <v>8.48</v>
      </c>
      <c r="E1559" s="622"/>
      <c r="F1559" s="334"/>
      <c r="G1559" s="1138"/>
      <c r="H1559" s="633" t="s">
        <v>1294</v>
      </c>
      <c r="I1559" s="634">
        <f t="shared" si="8"/>
        <v>1.26</v>
      </c>
      <c r="J1559" s="334"/>
      <c r="K1559" s="334"/>
      <c r="L1559" s="334"/>
      <c r="M1559" s="334"/>
      <c r="N1559" s="334"/>
      <c r="O1559" s="334"/>
    </row>
    <row r="1560" spans="1:15" ht="12.75" hidden="1" customHeight="1" outlineLevel="1" x14ac:dyDescent="0.2">
      <c r="A1560" s="627" t="s">
        <v>2465</v>
      </c>
      <c r="B1560" s="628" t="s">
        <v>2466</v>
      </c>
      <c r="C1560" s="629" t="s">
        <v>100</v>
      </c>
      <c r="D1560" s="630">
        <v>38.299999999999997</v>
      </c>
      <c r="E1560" s="622"/>
      <c r="F1560" s="334"/>
      <c r="G1560" s="1138"/>
      <c r="H1560" s="633" t="s">
        <v>1296</v>
      </c>
      <c r="I1560" s="634">
        <f t="shared" si="8"/>
        <v>14.700000000000003</v>
      </c>
      <c r="J1560" s="334"/>
      <c r="K1560" s="334"/>
      <c r="L1560" s="334"/>
      <c r="M1560" s="334"/>
      <c r="N1560" s="334"/>
      <c r="O1560" s="334"/>
    </row>
    <row r="1561" spans="1:15" ht="12.75" hidden="1" customHeight="1" outlineLevel="1" x14ac:dyDescent="0.2">
      <c r="A1561" s="623" t="s">
        <v>2467</v>
      </c>
      <c r="B1561" s="624" t="s">
        <v>1286</v>
      </c>
      <c r="C1561" s="625" t="s">
        <v>100</v>
      </c>
      <c r="D1561" s="626">
        <v>2.2000000000000002</v>
      </c>
      <c r="E1561" s="622"/>
      <c r="F1561" s="334"/>
      <c r="G1561" s="1138"/>
      <c r="H1561" s="633" t="s">
        <v>1298</v>
      </c>
      <c r="I1561" s="634">
        <f t="shared" si="8"/>
        <v>5.03</v>
      </c>
      <c r="J1561" s="334"/>
      <c r="K1561" s="334"/>
      <c r="L1561" s="334"/>
      <c r="M1561" s="334"/>
      <c r="N1561" s="334"/>
      <c r="O1561" s="334"/>
    </row>
    <row r="1562" spans="1:15" ht="12.75" hidden="1" customHeight="1" outlineLevel="1" x14ac:dyDescent="0.2">
      <c r="A1562" s="618" t="s">
        <v>2468</v>
      </c>
      <c r="B1562" s="619" t="s">
        <v>1021</v>
      </c>
      <c r="C1562" s="620"/>
      <c r="D1562" s="621"/>
      <c r="E1562" s="622"/>
      <c r="F1562" s="334"/>
      <c r="G1562" s="1138"/>
      <c r="H1562" s="633" t="s">
        <v>1298</v>
      </c>
      <c r="I1562" s="634">
        <f t="shared" si="8"/>
        <v>5.03</v>
      </c>
      <c r="J1562" s="334"/>
      <c r="K1562" s="334"/>
      <c r="L1562" s="334"/>
      <c r="M1562" s="334"/>
      <c r="N1562" s="334"/>
      <c r="O1562" s="334"/>
    </row>
    <row r="1563" spans="1:15" ht="12.75" hidden="1" customHeight="1" outlineLevel="1" x14ac:dyDescent="0.2">
      <c r="A1563" s="627" t="s">
        <v>2469</v>
      </c>
      <c r="B1563" s="628" t="s">
        <v>1284</v>
      </c>
      <c r="C1563" s="629" t="s">
        <v>79</v>
      </c>
      <c r="D1563" s="630">
        <v>224.1</v>
      </c>
      <c r="E1563" s="622"/>
      <c r="F1563" s="334"/>
      <c r="G1563" s="1138"/>
      <c r="H1563" s="633" t="s">
        <v>1301</v>
      </c>
      <c r="I1563" s="634">
        <f t="shared" si="8"/>
        <v>8.2100000000000009</v>
      </c>
      <c r="J1563" s="334"/>
      <c r="K1563" s="334"/>
      <c r="L1563" s="334"/>
      <c r="M1563" s="334"/>
      <c r="N1563" s="334"/>
      <c r="O1563" s="334"/>
    </row>
    <row r="1564" spans="1:15" ht="12.75" hidden="1" customHeight="1" outlineLevel="1" x14ac:dyDescent="0.2">
      <c r="A1564" s="623" t="s">
        <v>2470</v>
      </c>
      <c r="B1564" s="624" t="s">
        <v>1203</v>
      </c>
      <c r="C1564" s="625" t="s">
        <v>100</v>
      </c>
      <c r="D1564" s="626">
        <v>6.28</v>
      </c>
      <c r="E1564" s="622"/>
      <c r="F1564" s="334"/>
      <c r="G1564" s="1138"/>
      <c r="H1564" s="633" t="s">
        <v>1303</v>
      </c>
      <c r="I1564" s="634">
        <f t="shared" si="8"/>
        <v>1.68</v>
      </c>
      <c r="J1564" s="334"/>
      <c r="K1564" s="334"/>
      <c r="L1564" s="334"/>
      <c r="M1564" s="334"/>
      <c r="N1564" s="334"/>
      <c r="O1564" s="334"/>
    </row>
    <row r="1565" spans="1:15" ht="12.75" hidden="1" customHeight="1" outlineLevel="1" x14ac:dyDescent="0.2">
      <c r="A1565" s="627" t="s">
        <v>2471</v>
      </c>
      <c r="B1565" s="628" t="s">
        <v>1205</v>
      </c>
      <c r="C1565" s="629" t="s">
        <v>100</v>
      </c>
      <c r="D1565" s="630">
        <v>3.29</v>
      </c>
      <c r="E1565" s="622"/>
      <c r="F1565" s="334"/>
      <c r="G1565" s="1138"/>
      <c r="H1565" s="636" t="s">
        <v>1305</v>
      </c>
      <c r="I1565" s="634">
        <f t="shared" si="8"/>
        <v>2.1</v>
      </c>
      <c r="J1565" s="334"/>
      <c r="K1565" s="334"/>
      <c r="L1565" s="334"/>
      <c r="M1565" s="334"/>
      <c r="N1565" s="334"/>
      <c r="O1565" s="334"/>
    </row>
    <row r="1566" spans="1:15" ht="12.75" hidden="1" customHeight="1" outlineLevel="1" x14ac:dyDescent="0.2">
      <c r="A1566" s="623" t="s">
        <v>2472</v>
      </c>
      <c r="B1566" s="624" t="s">
        <v>1213</v>
      </c>
      <c r="C1566" s="625" t="s">
        <v>100</v>
      </c>
      <c r="D1566" s="626">
        <v>3.42</v>
      </c>
      <c r="E1566" s="622"/>
      <c r="F1566" s="334"/>
      <c r="G1566" s="1138"/>
      <c r="H1566" s="636" t="s">
        <v>1307</v>
      </c>
      <c r="I1566" s="634">
        <f t="shared" ref="I1566:I1597" si="9">SUMIF($B$14:$B$4106,H1566,$D$14:$D$4106)</f>
        <v>2.0699999999999998</v>
      </c>
      <c r="J1566" s="334"/>
      <c r="K1566" s="334"/>
      <c r="L1566" s="334"/>
      <c r="M1566" s="334"/>
      <c r="N1566" s="334"/>
      <c r="O1566" s="334"/>
    </row>
    <row r="1567" spans="1:15" ht="12.75" hidden="1" customHeight="1" outlineLevel="1" x14ac:dyDescent="0.2">
      <c r="A1567" s="627" t="s">
        <v>2473</v>
      </c>
      <c r="B1567" s="628" t="s">
        <v>1286</v>
      </c>
      <c r="C1567" s="629" t="s">
        <v>100</v>
      </c>
      <c r="D1567" s="630">
        <v>2.2000000000000002</v>
      </c>
      <c r="E1567" s="622"/>
      <c r="F1567" s="334"/>
      <c r="G1567" s="1137" t="s">
        <v>1309</v>
      </c>
      <c r="H1567" s="633" t="s">
        <v>1310</v>
      </c>
      <c r="I1567" s="634">
        <f t="shared" si="9"/>
        <v>137.70000000000002</v>
      </c>
      <c r="J1567" s="334" t="s">
        <v>79</v>
      </c>
      <c r="K1567" s="334"/>
      <c r="L1567" s="334"/>
      <c r="M1567" s="334"/>
      <c r="N1567" s="334"/>
      <c r="O1567" s="334"/>
    </row>
    <row r="1568" spans="1:15" ht="12.75" hidden="1" customHeight="1" outlineLevel="1" x14ac:dyDescent="0.2">
      <c r="A1568" s="623" t="s">
        <v>2474</v>
      </c>
      <c r="B1568" s="624" t="s">
        <v>1296</v>
      </c>
      <c r="C1568" s="625" t="s">
        <v>100</v>
      </c>
      <c r="D1568" s="626">
        <v>1.47</v>
      </c>
      <c r="E1568" s="622"/>
      <c r="F1568" s="334"/>
      <c r="G1568" s="1137"/>
      <c r="H1568" s="633" t="s">
        <v>1312</v>
      </c>
      <c r="I1568" s="634">
        <f t="shared" si="9"/>
        <v>296.43</v>
      </c>
      <c r="J1568" s="334" t="s">
        <v>92</v>
      </c>
      <c r="K1568" s="334"/>
      <c r="L1568" s="334"/>
      <c r="M1568" s="334"/>
      <c r="N1568" s="334"/>
      <c r="O1568" s="334"/>
    </row>
    <row r="1569" spans="1:15" ht="12.75" hidden="1" customHeight="1" outlineLevel="1" x14ac:dyDescent="0.2">
      <c r="A1569" s="627" t="s">
        <v>2475</v>
      </c>
      <c r="B1569" s="628" t="s">
        <v>1233</v>
      </c>
      <c r="C1569" s="629" t="s">
        <v>100</v>
      </c>
      <c r="D1569" s="630">
        <v>47.32</v>
      </c>
      <c r="E1569" s="622"/>
      <c r="F1569" s="334"/>
      <c r="G1569" s="1137"/>
      <c r="H1569" s="633" t="s">
        <v>1314</v>
      </c>
      <c r="I1569" s="634">
        <f t="shared" si="9"/>
        <v>1</v>
      </c>
      <c r="J1569" s="334" t="s">
        <v>5334</v>
      </c>
      <c r="K1569" s="334"/>
      <c r="L1569" s="334"/>
      <c r="M1569" s="334"/>
      <c r="N1569" s="334"/>
      <c r="O1569" s="334"/>
    </row>
    <row r="1570" spans="1:15" ht="12.75" hidden="1" customHeight="1" outlineLevel="1" x14ac:dyDescent="0.2">
      <c r="A1570" s="623" t="s">
        <v>2476</v>
      </c>
      <c r="B1570" s="624" t="s">
        <v>1235</v>
      </c>
      <c r="C1570" s="625" t="s">
        <v>100</v>
      </c>
      <c r="D1570" s="626">
        <v>23.13</v>
      </c>
      <c r="E1570" s="622"/>
      <c r="F1570" s="334"/>
      <c r="G1570" s="1137"/>
      <c r="H1570" s="628" t="s">
        <v>1199</v>
      </c>
      <c r="I1570" s="634">
        <f t="shared" si="9"/>
        <v>27</v>
      </c>
      <c r="J1570" s="334" t="s">
        <v>5334</v>
      </c>
      <c r="K1570" s="334"/>
      <c r="L1570" s="334"/>
      <c r="M1570" s="334"/>
      <c r="N1570" s="334"/>
      <c r="O1570" s="334"/>
    </row>
    <row r="1571" spans="1:15" ht="12.75" hidden="1" customHeight="1" outlineLevel="1" x14ac:dyDescent="0.2">
      <c r="A1571" s="627" t="s">
        <v>2477</v>
      </c>
      <c r="B1571" s="628" t="s">
        <v>1237</v>
      </c>
      <c r="C1571" s="629" t="s">
        <v>100</v>
      </c>
      <c r="D1571" s="630">
        <v>25.72</v>
      </c>
      <c r="E1571" s="622"/>
      <c r="F1571" s="334"/>
      <c r="G1571" s="334"/>
      <c r="J1571" s="334"/>
      <c r="K1571" s="334"/>
      <c r="L1571" s="334"/>
      <c r="M1571" s="334"/>
      <c r="N1571" s="334"/>
      <c r="O1571" s="334"/>
    </row>
    <row r="1572" spans="1:15" ht="12.75" hidden="1" customHeight="1" outlineLevel="1" x14ac:dyDescent="0.2">
      <c r="A1572" s="623" t="s">
        <v>2478</v>
      </c>
      <c r="B1572" s="624" t="s">
        <v>1239</v>
      </c>
      <c r="C1572" s="625" t="s">
        <v>100</v>
      </c>
      <c r="D1572" s="626">
        <v>9.25</v>
      </c>
      <c r="E1572" s="622"/>
      <c r="F1572" s="334"/>
      <c r="G1572" s="334"/>
      <c r="J1572" s="334"/>
      <c r="K1572" s="334"/>
      <c r="L1572" s="334"/>
      <c r="M1572" s="334"/>
      <c r="N1572" s="334"/>
      <c r="O1572" s="334"/>
    </row>
    <row r="1573" spans="1:15" ht="12.75" hidden="1" customHeight="1" outlineLevel="1" x14ac:dyDescent="0.2">
      <c r="A1573" s="627" t="s">
        <v>2479</v>
      </c>
      <c r="B1573" s="628" t="s">
        <v>1252</v>
      </c>
      <c r="C1573" s="629" t="s">
        <v>100</v>
      </c>
      <c r="D1573" s="630">
        <v>21.84</v>
      </c>
      <c r="E1573" s="622"/>
      <c r="F1573" s="334"/>
      <c r="G1573" s="334"/>
      <c r="J1573" s="334"/>
      <c r="K1573" s="334"/>
      <c r="L1573" s="334"/>
      <c r="M1573" s="334"/>
      <c r="N1573" s="334"/>
      <c r="O1573" s="334"/>
    </row>
    <row r="1574" spans="1:15" ht="12.75" hidden="1" customHeight="1" outlineLevel="1" x14ac:dyDescent="0.2">
      <c r="A1574" s="618" t="s">
        <v>2480</v>
      </c>
      <c r="B1574" s="619" t="s">
        <v>1030</v>
      </c>
      <c r="C1574" s="620"/>
      <c r="D1574" s="621"/>
      <c r="E1574" s="622"/>
      <c r="F1574" s="334"/>
      <c r="G1574" s="334"/>
      <c r="J1574" s="334"/>
      <c r="K1574" s="334"/>
      <c r="L1574" s="334"/>
      <c r="M1574" s="334"/>
      <c r="N1574" s="334"/>
      <c r="O1574" s="334"/>
    </row>
    <row r="1575" spans="1:15" ht="12.75" hidden="1" customHeight="1" outlineLevel="1" x14ac:dyDescent="0.2">
      <c r="A1575" s="623" t="s">
        <v>2481</v>
      </c>
      <c r="B1575" s="624" t="s">
        <v>1284</v>
      </c>
      <c r="C1575" s="625" t="s">
        <v>79</v>
      </c>
      <c r="D1575" s="626">
        <v>184.68</v>
      </c>
      <c r="E1575" s="622"/>
      <c r="F1575" s="334"/>
      <c r="G1575" s="334"/>
      <c r="J1575" s="334"/>
      <c r="K1575" s="334"/>
      <c r="L1575" s="334"/>
      <c r="M1575" s="334"/>
      <c r="N1575" s="334"/>
      <c r="O1575" s="334"/>
    </row>
    <row r="1576" spans="1:15" ht="12.75" hidden="1" customHeight="1" outlineLevel="1" x14ac:dyDescent="0.2">
      <c r="A1576" s="627" t="s">
        <v>2482</v>
      </c>
      <c r="B1576" s="628" t="s">
        <v>1201</v>
      </c>
      <c r="C1576" s="629" t="s">
        <v>100</v>
      </c>
      <c r="D1576" s="630">
        <v>17.57</v>
      </c>
      <c r="E1576" s="622"/>
      <c r="F1576" s="334"/>
      <c r="G1576" s="334"/>
      <c r="J1576" s="334"/>
      <c r="K1576" s="334"/>
      <c r="L1576" s="334"/>
      <c r="M1576" s="334"/>
      <c r="N1576" s="334"/>
      <c r="O1576" s="334"/>
    </row>
    <row r="1577" spans="1:15" ht="12.75" hidden="1" customHeight="1" outlineLevel="1" x14ac:dyDescent="0.2">
      <c r="A1577" s="623" t="s">
        <v>2483</v>
      </c>
      <c r="B1577" s="624" t="s">
        <v>1203</v>
      </c>
      <c r="C1577" s="625" t="s">
        <v>100</v>
      </c>
      <c r="D1577" s="626">
        <v>18.84</v>
      </c>
      <c r="E1577" s="622"/>
      <c r="F1577" s="334"/>
      <c r="G1577" s="334"/>
      <c r="J1577" s="334"/>
      <c r="K1577" s="334"/>
      <c r="L1577" s="334"/>
      <c r="M1577" s="334"/>
      <c r="N1577" s="334"/>
      <c r="O1577" s="334"/>
    </row>
    <row r="1578" spans="1:15" ht="12.75" hidden="1" customHeight="1" outlineLevel="1" x14ac:dyDescent="0.2">
      <c r="A1578" s="627" t="s">
        <v>2484</v>
      </c>
      <c r="B1578" s="628" t="s">
        <v>1213</v>
      </c>
      <c r="C1578" s="629" t="s">
        <v>100</v>
      </c>
      <c r="D1578" s="630">
        <v>5.13</v>
      </c>
      <c r="E1578" s="622"/>
      <c r="F1578" s="334"/>
      <c r="G1578" s="334"/>
      <c r="J1578" s="334"/>
      <c r="K1578" s="334"/>
      <c r="L1578" s="334"/>
      <c r="M1578" s="334"/>
      <c r="N1578" s="334"/>
      <c r="O1578" s="334"/>
    </row>
    <row r="1579" spans="1:15" ht="12.75" hidden="1" customHeight="1" outlineLevel="1" x14ac:dyDescent="0.2">
      <c r="A1579" s="623" t="s">
        <v>2485</v>
      </c>
      <c r="B1579" s="624" t="s">
        <v>1286</v>
      </c>
      <c r="C1579" s="625" t="s">
        <v>100</v>
      </c>
      <c r="D1579" s="626">
        <v>2.2000000000000002</v>
      </c>
      <c r="E1579" s="622"/>
      <c r="F1579" s="334"/>
      <c r="G1579" s="334"/>
      <c r="J1579" s="334"/>
      <c r="K1579" s="334"/>
      <c r="L1579" s="334"/>
      <c r="M1579" s="334"/>
      <c r="N1579" s="334"/>
      <c r="O1579" s="334"/>
    </row>
    <row r="1580" spans="1:15" ht="12.75" hidden="1" customHeight="1" outlineLevel="1" x14ac:dyDescent="0.2">
      <c r="A1580" s="627" t="s">
        <v>2486</v>
      </c>
      <c r="B1580" s="628" t="s">
        <v>1296</v>
      </c>
      <c r="C1580" s="629" t="s">
        <v>100</v>
      </c>
      <c r="D1580" s="630">
        <v>1.47</v>
      </c>
      <c r="E1580" s="622"/>
      <c r="F1580" s="334"/>
      <c r="G1580" s="334"/>
      <c r="J1580" s="334"/>
      <c r="K1580" s="334"/>
      <c r="L1580" s="334"/>
      <c r="M1580" s="334"/>
      <c r="N1580" s="334"/>
      <c r="O1580" s="334"/>
    </row>
    <row r="1581" spans="1:15" ht="12.75" hidden="1" customHeight="1" outlineLevel="1" x14ac:dyDescent="0.2">
      <c r="A1581" s="623" t="s">
        <v>2487</v>
      </c>
      <c r="B1581" s="624" t="s">
        <v>1233</v>
      </c>
      <c r="C1581" s="625" t="s">
        <v>100</v>
      </c>
      <c r="D1581" s="626">
        <v>47.32</v>
      </c>
      <c r="E1581" s="622"/>
      <c r="F1581" s="334"/>
      <c r="G1581" s="334"/>
      <c r="J1581" s="334"/>
      <c r="K1581" s="334"/>
      <c r="L1581" s="334"/>
      <c r="M1581" s="334"/>
      <c r="N1581" s="334"/>
      <c r="O1581" s="334"/>
    </row>
    <row r="1582" spans="1:15" ht="12.75" hidden="1" customHeight="1" outlineLevel="1" x14ac:dyDescent="0.2">
      <c r="A1582" s="627" t="s">
        <v>2488</v>
      </c>
      <c r="B1582" s="628" t="s">
        <v>1235</v>
      </c>
      <c r="C1582" s="629" t="s">
        <v>100</v>
      </c>
      <c r="D1582" s="630">
        <v>23.13</v>
      </c>
      <c r="E1582" s="622"/>
      <c r="F1582" s="334"/>
      <c r="G1582" s="334"/>
      <c r="J1582" s="334"/>
      <c r="K1582" s="334"/>
      <c r="L1582" s="334"/>
      <c r="M1582" s="334"/>
      <c r="N1582" s="334"/>
      <c r="O1582" s="334"/>
    </row>
    <row r="1583" spans="1:15" ht="12.75" hidden="1" customHeight="1" outlineLevel="1" x14ac:dyDescent="0.2">
      <c r="A1583" s="618" t="s">
        <v>2489</v>
      </c>
      <c r="B1583" s="619" t="s">
        <v>1039</v>
      </c>
      <c r="C1583" s="620"/>
      <c r="D1583" s="621"/>
      <c r="E1583" s="622"/>
      <c r="F1583" s="334"/>
      <c r="G1583" s="334"/>
      <c r="J1583" s="334"/>
      <c r="K1583" s="334"/>
      <c r="L1583" s="334"/>
      <c r="M1583" s="334"/>
      <c r="N1583" s="334"/>
      <c r="O1583" s="334"/>
    </row>
    <row r="1584" spans="1:15" ht="12.75" hidden="1" customHeight="1" outlineLevel="1" x14ac:dyDescent="0.2">
      <c r="A1584" s="623" t="s">
        <v>2490</v>
      </c>
      <c r="B1584" s="624" t="s">
        <v>1284</v>
      </c>
      <c r="C1584" s="625" t="s">
        <v>79</v>
      </c>
      <c r="D1584" s="626">
        <v>184.68</v>
      </c>
      <c r="E1584" s="622"/>
      <c r="F1584" s="334"/>
      <c r="G1584" s="334"/>
      <c r="J1584" s="334"/>
      <c r="K1584" s="334"/>
      <c r="L1584" s="334"/>
      <c r="M1584" s="334"/>
      <c r="N1584" s="334"/>
      <c r="O1584" s="334"/>
    </row>
    <row r="1585" spans="1:15" ht="12.75" hidden="1" customHeight="1" outlineLevel="1" x14ac:dyDescent="0.2">
      <c r="A1585" s="627" t="s">
        <v>2491</v>
      </c>
      <c r="B1585" s="628" t="s">
        <v>1201</v>
      </c>
      <c r="C1585" s="629" t="s">
        <v>100</v>
      </c>
      <c r="D1585" s="630">
        <v>17.57</v>
      </c>
      <c r="E1585" s="622"/>
      <c r="F1585" s="334"/>
      <c r="G1585" s="334"/>
      <c r="J1585" s="334"/>
      <c r="K1585" s="334"/>
      <c r="L1585" s="334"/>
      <c r="M1585" s="334"/>
      <c r="N1585" s="334"/>
      <c r="O1585" s="334"/>
    </row>
    <row r="1586" spans="1:15" ht="12.75" hidden="1" customHeight="1" outlineLevel="1" x14ac:dyDescent="0.2">
      <c r="A1586" s="623" t="s">
        <v>2492</v>
      </c>
      <c r="B1586" s="624" t="s">
        <v>1203</v>
      </c>
      <c r="C1586" s="625" t="s">
        <v>100</v>
      </c>
      <c r="D1586" s="626">
        <v>18.84</v>
      </c>
      <c r="E1586" s="622"/>
      <c r="F1586" s="334"/>
      <c r="G1586" s="334"/>
      <c r="J1586" s="334"/>
      <c r="K1586" s="334"/>
      <c r="L1586" s="334"/>
      <c r="M1586" s="334"/>
      <c r="N1586" s="334"/>
      <c r="O1586" s="334"/>
    </row>
    <row r="1587" spans="1:15" ht="12.75" hidden="1" customHeight="1" outlineLevel="1" x14ac:dyDescent="0.2">
      <c r="A1587" s="627" t="s">
        <v>2493</v>
      </c>
      <c r="B1587" s="628" t="s">
        <v>1213</v>
      </c>
      <c r="C1587" s="629" t="s">
        <v>100</v>
      </c>
      <c r="D1587" s="630">
        <v>5.13</v>
      </c>
      <c r="E1587" s="622"/>
      <c r="F1587" s="334"/>
      <c r="G1587" s="334"/>
      <c r="J1587" s="334"/>
      <c r="K1587" s="334"/>
      <c r="L1587" s="334"/>
      <c r="M1587" s="334"/>
      <c r="N1587" s="334"/>
      <c r="O1587" s="334"/>
    </row>
    <row r="1588" spans="1:15" ht="12.75" hidden="1" customHeight="1" outlineLevel="1" x14ac:dyDescent="0.2">
      <c r="A1588" s="623" t="s">
        <v>2494</v>
      </c>
      <c r="B1588" s="624" t="s">
        <v>1286</v>
      </c>
      <c r="C1588" s="625" t="s">
        <v>100</v>
      </c>
      <c r="D1588" s="626">
        <v>2.2000000000000002</v>
      </c>
      <c r="E1588" s="622"/>
      <c r="F1588" s="334"/>
      <c r="G1588" s="334"/>
      <c r="J1588" s="334"/>
      <c r="K1588" s="334"/>
      <c r="L1588" s="334"/>
      <c r="M1588" s="334"/>
      <c r="N1588" s="334"/>
      <c r="O1588" s="334"/>
    </row>
    <row r="1589" spans="1:15" ht="12.75" hidden="1" customHeight="1" outlineLevel="1" x14ac:dyDescent="0.2">
      <c r="A1589" s="627" t="s">
        <v>2495</v>
      </c>
      <c r="B1589" s="628" t="s">
        <v>1296</v>
      </c>
      <c r="C1589" s="629" t="s">
        <v>100</v>
      </c>
      <c r="D1589" s="630">
        <v>1.47</v>
      </c>
      <c r="E1589" s="622"/>
      <c r="F1589" s="334"/>
      <c r="G1589" s="334"/>
      <c r="J1589" s="334"/>
      <c r="K1589" s="334"/>
      <c r="L1589" s="334"/>
      <c r="M1589" s="334"/>
      <c r="N1589" s="334"/>
      <c r="O1589" s="334"/>
    </row>
    <row r="1590" spans="1:15" ht="12.75" hidden="1" customHeight="1" outlineLevel="1" x14ac:dyDescent="0.2">
      <c r="A1590" s="623" t="s">
        <v>2496</v>
      </c>
      <c r="B1590" s="624" t="s">
        <v>1233</v>
      </c>
      <c r="C1590" s="625" t="s">
        <v>100</v>
      </c>
      <c r="D1590" s="626">
        <v>47.32</v>
      </c>
      <c r="E1590" s="622"/>
      <c r="F1590" s="334"/>
      <c r="G1590" s="334"/>
      <c r="J1590" s="334"/>
      <c r="K1590" s="334"/>
      <c r="L1590" s="334"/>
      <c r="M1590" s="334"/>
      <c r="N1590" s="334"/>
      <c r="O1590" s="334"/>
    </row>
    <row r="1591" spans="1:15" ht="12.75" hidden="1" customHeight="1" outlineLevel="1" x14ac:dyDescent="0.2">
      <c r="A1591" s="627" t="s">
        <v>2497</v>
      </c>
      <c r="B1591" s="628" t="s">
        <v>1235</v>
      </c>
      <c r="C1591" s="629" t="s">
        <v>100</v>
      </c>
      <c r="D1591" s="630">
        <v>23.13</v>
      </c>
      <c r="E1591" s="622"/>
      <c r="F1591" s="334"/>
      <c r="G1591" s="334"/>
      <c r="J1591" s="334"/>
      <c r="K1591" s="334"/>
      <c r="L1591" s="334"/>
      <c r="M1591" s="334"/>
      <c r="N1591" s="334"/>
      <c r="O1591" s="334"/>
    </row>
    <row r="1592" spans="1:15" ht="12.75" hidden="1" customHeight="1" outlineLevel="1" x14ac:dyDescent="0.2">
      <c r="A1592" s="618" t="s">
        <v>2498</v>
      </c>
      <c r="B1592" s="619" t="s">
        <v>1047</v>
      </c>
      <c r="C1592" s="620"/>
      <c r="D1592" s="621"/>
      <c r="E1592" s="622"/>
      <c r="F1592" s="334"/>
      <c r="G1592" s="334"/>
      <c r="J1592" s="334"/>
      <c r="K1592" s="334"/>
      <c r="L1592" s="334"/>
      <c r="M1592" s="334"/>
      <c r="N1592" s="334"/>
      <c r="O1592" s="334"/>
    </row>
    <row r="1593" spans="1:15" ht="12.75" hidden="1" customHeight="1" outlineLevel="1" x14ac:dyDescent="0.2">
      <c r="A1593" s="623" t="s">
        <v>2499</v>
      </c>
      <c r="B1593" s="624" t="s">
        <v>1284</v>
      </c>
      <c r="C1593" s="625" t="s">
        <v>79</v>
      </c>
      <c r="D1593" s="626">
        <v>184.68</v>
      </c>
      <c r="E1593" s="622"/>
      <c r="F1593" s="334"/>
      <c r="G1593" s="334"/>
      <c r="J1593" s="334"/>
      <c r="K1593" s="334"/>
      <c r="L1593" s="334"/>
      <c r="M1593" s="334"/>
      <c r="N1593" s="334"/>
      <c r="O1593" s="334"/>
    </row>
    <row r="1594" spans="1:15" ht="12.75" hidden="1" customHeight="1" outlineLevel="1" x14ac:dyDescent="0.2">
      <c r="A1594" s="627" t="s">
        <v>2500</v>
      </c>
      <c r="B1594" s="628" t="s">
        <v>1201</v>
      </c>
      <c r="C1594" s="629" t="s">
        <v>100</v>
      </c>
      <c r="D1594" s="630">
        <v>17.57</v>
      </c>
      <c r="E1594" s="622"/>
      <c r="F1594" s="334"/>
      <c r="G1594" s="334"/>
      <c r="J1594" s="334"/>
      <c r="K1594" s="334"/>
      <c r="L1594" s="334"/>
      <c r="M1594" s="334"/>
      <c r="N1594" s="334"/>
      <c r="O1594" s="334"/>
    </row>
    <row r="1595" spans="1:15" ht="12.75" hidden="1" customHeight="1" outlineLevel="1" x14ac:dyDescent="0.2">
      <c r="A1595" s="623" t="s">
        <v>2501</v>
      </c>
      <c r="B1595" s="624" t="s">
        <v>1203</v>
      </c>
      <c r="C1595" s="625" t="s">
        <v>100</v>
      </c>
      <c r="D1595" s="626">
        <v>18.84</v>
      </c>
      <c r="E1595" s="622"/>
      <c r="F1595" s="334"/>
      <c r="G1595" s="334"/>
      <c r="J1595" s="334"/>
      <c r="K1595" s="334"/>
      <c r="L1595" s="334"/>
      <c r="M1595" s="334"/>
      <c r="N1595" s="334"/>
      <c r="O1595" s="334"/>
    </row>
    <row r="1596" spans="1:15" ht="12.75" hidden="1" customHeight="1" outlineLevel="1" x14ac:dyDescent="0.2">
      <c r="A1596" s="627" t="s">
        <v>2502</v>
      </c>
      <c r="B1596" s="628" t="s">
        <v>1213</v>
      </c>
      <c r="C1596" s="629" t="s">
        <v>100</v>
      </c>
      <c r="D1596" s="630">
        <v>5.13</v>
      </c>
      <c r="E1596" s="622"/>
      <c r="F1596" s="334"/>
      <c r="G1596" s="334"/>
      <c r="J1596" s="334"/>
      <c r="K1596" s="334"/>
      <c r="L1596" s="334"/>
      <c r="M1596" s="334"/>
      <c r="N1596" s="334"/>
      <c r="O1596" s="334"/>
    </row>
    <row r="1597" spans="1:15" ht="12.75" hidden="1" customHeight="1" outlineLevel="1" x14ac:dyDescent="0.2">
      <c r="A1597" s="623" t="s">
        <v>2503</v>
      </c>
      <c r="B1597" s="624" t="s">
        <v>1286</v>
      </c>
      <c r="C1597" s="625" t="s">
        <v>100</v>
      </c>
      <c r="D1597" s="626">
        <v>2.2000000000000002</v>
      </c>
      <c r="E1597" s="622"/>
      <c r="F1597" s="334"/>
      <c r="G1597" s="334"/>
      <c r="J1597" s="334"/>
      <c r="K1597" s="334"/>
      <c r="L1597" s="334"/>
      <c r="M1597" s="334"/>
      <c r="N1597" s="334"/>
      <c r="O1597" s="334"/>
    </row>
    <row r="1598" spans="1:15" ht="12.75" hidden="1" customHeight="1" outlineLevel="1" x14ac:dyDescent="0.2">
      <c r="A1598" s="627" t="s">
        <v>2504</v>
      </c>
      <c r="B1598" s="628" t="s">
        <v>1296</v>
      </c>
      <c r="C1598" s="629" t="s">
        <v>100</v>
      </c>
      <c r="D1598" s="630">
        <v>1.47</v>
      </c>
      <c r="E1598" s="622"/>
      <c r="F1598" s="334"/>
      <c r="G1598" s="334"/>
      <c r="J1598" s="334"/>
      <c r="K1598" s="334"/>
      <c r="L1598" s="334"/>
      <c r="M1598" s="334"/>
      <c r="N1598" s="334"/>
      <c r="O1598" s="334"/>
    </row>
    <row r="1599" spans="1:15" ht="12.75" hidden="1" customHeight="1" outlineLevel="1" x14ac:dyDescent="0.2">
      <c r="A1599" s="623" t="s">
        <v>2505</v>
      </c>
      <c r="B1599" s="624" t="s">
        <v>1233</v>
      </c>
      <c r="C1599" s="625" t="s">
        <v>100</v>
      </c>
      <c r="D1599" s="626">
        <v>47.32</v>
      </c>
      <c r="E1599" s="622"/>
      <c r="F1599" s="334"/>
      <c r="G1599" s="334"/>
      <c r="J1599" s="334"/>
      <c r="K1599" s="334"/>
      <c r="L1599" s="334"/>
      <c r="M1599" s="334"/>
      <c r="N1599" s="334"/>
      <c r="O1599" s="334"/>
    </row>
    <row r="1600" spans="1:15" ht="12.75" hidden="1" customHeight="1" outlineLevel="1" x14ac:dyDescent="0.2">
      <c r="A1600" s="627" t="s">
        <v>2506</v>
      </c>
      <c r="B1600" s="628" t="s">
        <v>1235</v>
      </c>
      <c r="C1600" s="629" t="s">
        <v>100</v>
      </c>
      <c r="D1600" s="630">
        <v>23.13</v>
      </c>
      <c r="E1600" s="622"/>
      <c r="F1600" s="334"/>
      <c r="G1600" s="334"/>
      <c r="J1600" s="334"/>
      <c r="K1600" s="334"/>
      <c r="L1600" s="334"/>
      <c r="M1600" s="334"/>
      <c r="N1600" s="334"/>
      <c r="O1600" s="334"/>
    </row>
    <row r="1601" spans="1:15" ht="12.75" hidden="1" customHeight="1" outlineLevel="1" x14ac:dyDescent="0.2">
      <c r="A1601" s="618" t="s">
        <v>2507</v>
      </c>
      <c r="B1601" s="619" t="s">
        <v>1058</v>
      </c>
      <c r="C1601" s="620"/>
      <c r="D1601" s="621"/>
      <c r="E1601" s="622"/>
      <c r="F1601" s="334"/>
      <c r="G1601" s="334"/>
      <c r="J1601" s="334"/>
      <c r="K1601" s="334"/>
      <c r="L1601" s="334"/>
      <c r="M1601" s="334"/>
      <c r="N1601" s="334"/>
      <c r="O1601" s="334"/>
    </row>
    <row r="1602" spans="1:15" ht="12.75" hidden="1" customHeight="1" outlineLevel="1" x14ac:dyDescent="0.2">
      <c r="A1602" s="623" t="s">
        <v>2508</v>
      </c>
      <c r="B1602" s="624" t="s">
        <v>1284</v>
      </c>
      <c r="C1602" s="625" t="s">
        <v>79</v>
      </c>
      <c r="D1602" s="626">
        <v>184.68</v>
      </c>
      <c r="E1602" s="622"/>
      <c r="F1602" s="334"/>
      <c r="G1602" s="334"/>
      <c r="J1602" s="334"/>
      <c r="K1602" s="334"/>
      <c r="L1602" s="334"/>
      <c r="M1602" s="334"/>
      <c r="N1602" s="334"/>
      <c r="O1602" s="334"/>
    </row>
    <row r="1603" spans="1:15" ht="12.75" hidden="1" customHeight="1" outlineLevel="1" x14ac:dyDescent="0.2">
      <c r="A1603" s="627" t="s">
        <v>2509</v>
      </c>
      <c r="B1603" s="628" t="s">
        <v>1201</v>
      </c>
      <c r="C1603" s="629" t="s">
        <v>100</v>
      </c>
      <c r="D1603" s="630">
        <v>17.57</v>
      </c>
      <c r="E1603" s="622"/>
      <c r="F1603" s="334"/>
      <c r="G1603" s="334"/>
      <c r="H1603" s="602"/>
      <c r="I1603" s="334"/>
      <c r="J1603" s="334"/>
      <c r="K1603" s="334"/>
      <c r="L1603" s="334"/>
      <c r="M1603" s="334"/>
      <c r="N1603" s="334"/>
      <c r="O1603" s="334"/>
    </row>
    <row r="1604" spans="1:15" ht="12.75" hidden="1" customHeight="1" outlineLevel="1" x14ac:dyDescent="0.2">
      <c r="A1604" s="623" t="s">
        <v>2510</v>
      </c>
      <c r="B1604" s="624" t="s">
        <v>1203</v>
      </c>
      <c r="C1604" s="625" t="s">
        <v>100</v>
      </c>
      <c r="D1604" s="626">
        <v>18.84</v>
      </c>
      <c r="E1604" s="622"/>
      <c r="F1604" s="334"/>
      <c r="G1604" s="334"/>
      <c r="H1604" s="602"/>
      <c r="I1604" s="334"/>
      <c r="J1604" s="334"/>
      <c r="K1604" s="334"/>
      <c r="L1604" s="334"/>
      <c r="M1604" s="334"/>
      <c r="N1604" s="334"/>
      <c r="O1604" s="334"/>
    </row>
    <row r="1605" spans="1:15" ht="12.75" hidden="1" customHeight="1" outlineLevel="1" x14ac:dyDescent="0.2">
      <c r="A1605" s="627" t="s">
        <v>2511</v>
      </c>
      <c r="B1605" s="628" t="s">
        <v>1213</v>
      </c>
      <c r="C1605" s="629" t="s">
        <v>100</v>
      </c>
      <c r="D1605" s="630">
        <v>5.13</v>
      </c>
      <c r="E1605" s="622"/>
      <c r="F1605" s="334"/>
      <c r="G1605" s="334"/>
      <c r="H1605" s="602"/>
      <c r="I1605" s="334"/>
      <c r="J1605" s="334"/>
      <c r="K1605" s="334"/>
      <c r="L1605" s="334"/>
      <c r="M1605" s="334"/>
      <c r="N1605" s="334"/>
      <c r="O1605" s="334"/>
    </row>
    <row r="1606" spans="1:15" ht="12.75" hidden="1" customHeight="1" outlineLevel="1" x14ac:dyDescent="0.2">
      <c r="A1606" s="623" t="s">
        <v>2512</v>
      </c>
      <c r="B1606" s="624" t="s">
        <v>1286</v>
      </c>
      <c r="C1606" s="625" t="s">
        <v>100</v>
      </c>
      <c r="D1606" s="626">
        <v>2.2000000000000002</v>
      </c>
      <c r="E1606" s="622"/>
      <c r="F1606" s="334"/>
      <c r="G1606" s="334"/>
      <c r="H1606" s="602"/>
      <c r="I1606" s="334"/>
      <c r="J1606" s="334"/>
      <c r="K1606" s="334"/>
      <c r="L1606" s="334"/>
      <c r="M1606" s="334"/>
      <c r="N1606" s="334"/>
      <c r="O1606" s="334"/>
    </row>
    <row r="1607" spans="1:15" ht="12.75" hidden="1" customHeight="1" outlineLevel="1" x14ac:dyDescent="0.2">
      <c r="A1607" s="627" t="s">
        <v>2513</v>
      </c>
      <c r="B1607" s="628" t="s">
        <v>1296</v>
      </c>
      <c r="C1607" s="629" t="s">
        <v>100</v>
      </c>
      <c r="D1607" s="630">
        <v>1.47</v>
      </c>
      <c r="E1607" s="622"/>
      <c r="F1607" s="334"/>
      <c r="G1607" s="334"/>
      <c r="H1607" s="602"/>
      <c r="I1607" s="334"/>
      <c r="J1607" s="334"/>
      <c r="K1607" s="334"/>
      <c r="L1607" s="334"/>
      <c r="M1607" s="334"/>
      <c r="N1607" s="334"/>
      <c r="O1607" s="334"/>
    </row>
    <row r="1608" spans="1:15" ht="12.75" hidden="1" customHeight="1" outlineLevel="1" x14ac:dyDescent="0.2">
      <c r="A1608" s="623" t="s">
        <v>2514</v>
      </c>
      <c r="B1608" s="624" t="s">
        <v>1233</v>
      </c>
      <c r="C1608" s="625" t="s">
        <v>100</v>
      </c>
      <c r="D1608" s="626">
        <v>47.32</v>
      </c>
      <c r="E1608" s="622"/>
      <c r="F1608" s="334"/>
      <c r="G1608" s="334"/>
      <c r="H1608" s="602"/>
      <c r="I1608" s="334"/>
      <c r="J1608" s="334"/>
      <c r="K1608" s="334"/>
      <c r="L1608" s="334"/>
      <c r="M1608" s="334"/>
      <c r="N1608" s="334"/>
      <c r="O1608" s="334"/>
    </row>
    <row r="1609" spans="1:15" ht="12.75" hidden="1" customHeight="1" outlineLevel="1" x14ac:dyDescent="0.2">
      <c r="A1609" s="627" t="s">
        <v>2515</v>
      </c>
      <c r="B1609" s="628" t="s">
        <v>1235</v>
      </c>
      <c r="C1609" s="629" t="s">
        <v>100</v>
      </c>
      <c r="D1609" s="630">
        <v>23.13</v>
      </c>
      <c r="E1609" s="622"/>
      <c r="F1609" s="334"/>
      <c r="G1609" s="334"/>
      <c r="H1609" s="602"/>
      <c r="I1609" s="334"/>
      <c r="J1609" s="334"/>
      <c r="K1609" s="334"/>
      <c r="L1609" s="334"/>
      <c r="M1609" s="334"/>
      <c r="N1609" s="334"/>
      <c r="O1609" s="334"/>
    </row>
    <row r="1610" spans="1:15" ht="12.75" hidden="1" customHeight="1" outlineLevel="1" x14ac:dyDescent="0.2">
      <c r="A1610" s="618" t="s">
        <v>2516</v>
      </c>
      <c r="B1610" s="619" t="s">
        <v>1069</v>
      </c>
      <c r="C1610" s="620"/>
      <c r="D1610" s="621"/>
      <c r="E1610" s="622"/>
      <c r="F1610" s="334"/>
      <c r="G1610" s="334"/>
      <c r="H1610" s="602"/>
      <c r="I1610" s="334"/>
      <c r="J1610" s="334"/>
      <c r="K1610" s="334"/>
      <c r="L1610" s="334"/>
      <c r="M1610" s="334"/>
      <c r="N1610" s="334"/>
      <c r="O1610" s="334"/>
    </row>
    <row r="1611" spans="1:15" ht="12.75" hidden="1" customHeight="1" outlineLevel="1" x14ac:dyDescent="0.2">
      <c r="A1611" s="623" t="s">
        <v>2517</v>
      </c>
      <c r="B1611" s="624" t="s">
        <v>1284</v>
      </c>
      <c r="C1611" s="625" t="s">
        <v>79</v>
      </c>
      <c r="D1611" s="626">
        <v>184.68</v>
      </c>
      <c r="E1611" s="622"/>
      <c r="F1611" s="334"/>
      <c r="G1611" s="334"/>
      <c r="H1611" s="602"/>
      <c r="I1611" s="334"/>
      <c r="J1611" s="334"/>
      <c r="K1611" s="334"/>
      <c r="L1611" s="334"/>
      <c r="M1611" s="334"/>
      <c r="N1611" s="334"/>
      <c r="O1611" s="334"/>
    </row>
    <row r="1612" spans="1:15" ht="12.75" hidden="1" customHeight="1" outlineLevel="1" x14ac:dyDescent="0.2">
      <c r="A1612" s="627" t="s">
        <v>2518</v>
      </c>
      <c r="B1612" s="628" t="s">
        <v>1201</v>
      </c>
      <c r="C1612" s="629" t="s">
        <v>100</v>
      </c>
      <c r="D1612" s="630">
        <v>17.57</v>
      </c>
      <c r="E1612" s="622"/>
      <c r="F1612" s="334"/>
      <c r="G1612" s="334"/>
      <c r="H1612" s="602"/>
      <c r="I1612" s="334"/>
      <c r="J1612" s="334"/>
      <c r="K1612" s="334"/>
      <c r="L1612" s="334"/>
      <c r="M1612" s="334"/>
      <c r="N1612" s="334"/>
      <c r="O1612" s="334"/>
    </row>
    <row r="1613" spans="1:15" ht="12.75" hidden="1" customHeight="1" outlineLevel="1" x14ac:dyDescent="0.2">
      <c r="A1613" s="623" t="s">
        <v>2519</v>
      </c>
      <c r="B1613" s="624" t="s">
        <v>1203</v>
      </c>
      <c r="C1613" s="625" t="s">
        <v>100</v>
      </c>
      <c r="D1613" s="626">
        <v>18.84</v>
      </c>
      <c r="E1613" s="622"/>
      <c r="F1613" s="334"/>
      <c r="G1613" s="334"/>
      <c r="H1613" s="602"/>
      <c r="I1613" s="334"/>
      <c r="J1613" s="334"/>
      <c r="K1613" s="334"/>
      <c r="L1613" s="334"/>
      <c r="M1613" s="334"/>
      <c r="N1613" s="334"/>
      <c r="O1613" s="334"/>
    </row>
    <row r="1614" spans="1:15" ht="12.75" hidden="1" customHeight="1" outlineLevel="1" x14ac:dyDescent="0.2">
      <c r="A1614" s="627" t="s">
        <v>2520</v>
      </c>
      <c r="B1614" s="628" t="s">
        <v>1213</v>
      </c>
      <c r="C1614" s="629" t="s">
        <v>100</v>
      </c>
      <c r="D1614" s="630">
        <v>5.13</v>
      </c>
      <c r="E1614" s="622"/>
      <c r="F1614" s="334"/>
      <c r="G1614" s="334"/>
      <c r="H1614" s="602"/>
      <c r="I1614" s="334"/>
      <c r="J1614" s="334"/>
      <c r="K1614" s="334"/>
      <c r="L1614" s="334"/>
      <c r="M1614" s="334"/>
      <c r="N1614" s="334"/>
      <c r="O1614" s="334"/>
    </row>
    <row r="1615" spans="1:15" ht="12.75" hidden="1" customHeight="1" outlineLevel="1" x14ac:dyDescent="0.2">
      <c r="A1615" s="623" t="s">
        <v>2521</v>
      </c>
      <c r="B1615" s="624" t="s">
        <v>1286</v>
      </c>
      <c r="C1615" s="625" t="s">
        <v>100</v>
      </c>
      <c r="D1615" s="626">
        <v>2.2000000000000002</v>
      </c>
      <c r="E1615" s="622"/>
      <c r="F1615" s="334"/>
      <c r="G1615" s="334"/>
      <c r="H1615" s="602"/>
      <c r="I1615" s="334"/>
      <c r="J1615" s="334"/>
      <c r="K1615" s="334"/>
      <c r="L1615" s="334"/>
      <c r="M1615" s="334"/>
      <c r="N1615" s="334"/>
      <c r="O1615" s="334"/>
    </row>
    <row r="1616" spans="1:15" ht="12.75" hidden="1" customHeight="1" outlineLevel="1" x14ac:dyDescent="0.2">
      <c r="A1616" s="627" t="s">
        <v>2522</v>
      </c>
      <c r="B1616" s="628" t="s">
        <v>1296</v>
      </c>
      <c r="C1616" s="629" t="s">
        <v>100</v>
      </c>
      <c r="D1616" s="630">
        <v>1.47</v>
      </c>
      <c r="E1616" s="622"/>
      <c r="F1616" s="334"/>
      <c r="G1616" s="334"/>
      <c r="H1616" s="602"/>
      <c r="I1616" s="334"/>
      <c r="J1616" s="334"/>
      <c r="K1616" s="334"/>
      <c r="L1616" s="334"/>
      <c r="M1616" s="334"/>
      <c r="N1616" s="334"/>
      <c r="O1616" s="334"/>
    </row>
    <row r="1617" spans="1:15" ht="12.75" hidden="1" customHeight="1" outlineLevel="1" x14ac:dyDescent="0.2">
      <c r="A1617" s="623" t="s">
        <v>2523</v>
      </c>
      <c r="B1617" s="624" t="s">
        <v>1233</v>
      </c>
      <c r="C1617" s="625" t="s">
        <v>100</v>
      </c>
      <c r="D1617" s="626">
        <v>47.32</v>
      </c>
      <c r="E1617" s="622"/>
      <c r="F1617" s="334"/>
      <c r="G1617" s="334"/>
      <c r="H1617" s="602"/>
      <c r="I1617" s="334"/>
      <c r="J1617" s="334"/>
      <c r="K1617" s="334"/>
      <c r="L1617" s="334"/>
      <c r="M1617" s="334"/>
      <c r="N1617" s="334"/>
      <c r="O1617" s="334"/>
    </row>
    <row r="1618" spans="1:15" ht="12.75" hidden="1" customHeight="1" outlineLevel="1" x14ac:dyDescent="0.2">
      <c r="A1618" s="627" t="s">
        <v>2524</v>
      </c>
      <c r="B1618" s="628" t="s">
        <v>1235</v>
      </c>
      <c r="C1618" s="629" t="s">
        <v>100</v>
      </c>
      <c r="D1618" s="630">
        <v>23.13</v>
      </c>
      <c r="E1618" s="622"/>
      <c r="F1618" s="334"/>
      <c r="G1618" s="334"/>
      <c r="H1618" s="602"/>
      <c r="I1618" s="334"/>
      <c r="J1618" s="334"/>
      <c r="K1618" s="334"/>
      <c r="L1618" s="334"/>
      <c r="M1618" s="334"/>
      <c r="N1618" s="334"/>
      <c r="O1618" s="334"/>
    </row>
    <row r="1619" spans="1:15" ht="12.75" hidden="1" customHeight="1" outlineLevel="1" x14ac:dyDescent="0.2">
      <c r="A1619" s="618" t="s">
        <v>2525</v>
      </c>
      <c r="B1619" s="619" t="s">
        <v>1079</v>
      </c>
      <c r="C1619" s="620"/>
      <c r="D1619" s="621"/>
      <c r="E1619" s="622"/>
      <c r="F1619" s="334"/>
      <c r="G1619" s="334"/>
      <c r="H1619" s="602"/>
      <c r="I1619" s="334"/>
      <c r="J1619" s="334"/>
      <c r="K1619" s="334"/>
      <c r="L1619" s="334"/>
      <c r="M1619" s="334"/>
      <c r="N1619" s="334"/>
      <c r="O1619" s="334"/>
    </row>
    <row r="1620" spans="1:15" ht="12.75" hidden="1" customHeight="1" outlineLevel="1" x14ac:dyDescent="0.2">
      <c r="A1620" s="623" t="s">
        <v>2526</v>
      </c>
      <c r="B1620" s="624" t="s">
        <v>1284</v>
      </c>
      <c r="C1620" s="625" t="s">
        <v>79</v>
      </c>
      <c r="D1620" s="626">
        <v>184.68</v>
      </c>
      <c r="E1620" s="622"/>
      <c r="F1620" s="334"/>
      <c r="G1620" s="334"/>
      <c r="H1620" s="602"/>
      <c r="I1620" s="334"/>
      <c r="J1620" s="334"/>
      <c r="K1620" s="334"/>
      <c r="L1620" s="334"/>
      <c r="M1620" s="334"/>
      <c r="N1620" s="334"/>
      <c r="O1620" s="334"/>
    </row>
    <row r="1621" spans="1:15" ht="12.75" hidden="1" customHeight="1" outlineLevel="1" x14ac:dyDescent="0.2">
      <c r="A1621" s="627" t="s">
        <v>2527</v>
      </c>
      <c r="B1621" s="628" t="s">
        <v>1201</v>
      </c>
      <c r="C1621" s="629" t="s">
        <v>100</v>
      </c>
      <c r="D1621" s="630">
        <v>17.57</v>
      </c>
      <c r="E1621" s="622"/>
      <c r="F1621" s="334"/>
      <c r="G1621" s="334"/>
      <c r="H1621" s="602"/>
      <c r="I1621" s="334"/>
      <c r="J1621" s="334"/>
      <c r="K1621" s="334"/>
      <c r="L1621" s="334"/>
      <c r="M1621" s="334"/>
      <c r="N1621" s="334"/>
      <c r="O1621" s="334"/>
    </row>
    <row r="1622" spans="1:15" ht="12.75" hidden="1" customHeight="1" outlineLevel="1" x14ac:dyDescent="0.2">
      <c r="A1622" s="623" t="s">
        <v>2528</v>
      </c>
      <c r="B1622" s="624" t="s">
        <v>1203</v>
      </c>
      <c r="C1622" s="625" t="s">
        <v>100</v>
      </c>
      <c r="D1622" s="626">
        <v>18.84</v>
      </c>
      <c r="E1622" s="622"/>
      <c r="F1622" s="334"/>
      <c r="G1622" s="334"/>
      <c r="H1622" s="602"/>
      <c r="I1622" s="334"/>
      <c r="J1622" s="334"/>
      <c r="K1622" s="334"/>
      <c r="L1622" s="334"/>
      <c r="M1622" s="334"/>
      <c r="N1622" s="334"/>
      <c r="O1622" s="334"/>
    </row>
    <row r="1623" spans="1:15" ht="12.75" hidden="1" customHeight="1" outlineLevel="1" x14ac:dyDescent="0.2">
      <c r="A1623" s="627" t="s">
        <v>2529</v>
      </c>
      <c r="B1623" s="628" t="s">
        <v>1213</v>
      </c>
      <c r="C1623" s="629" t="s">
        <v>100</v>
      </c>
      <c r="D1623" s="630">
        <v>5.13</v>
      </c>
      <c r="E1623" s="622"/>
      <c r="F1623" s="334"/>
      <c r="G1623" s="334"/>
      <c r="H1623" s="602"/>
      <c r="I1623" s="334"/>
      <c r="J1623" s="334"/>
      <c r="K1623" s="334"/>
      <c r="L1623" s="334"/>
      <c r="M1623" s="334"/>
      <c r="N1623" s="334"/>
      <c r="O1623" s="334"/>
    </row>
    <row r="1624" spans="1:15" ht="12.75" hidden="1" customHeight="1" outlineLevel="1" x14ac:dyDescent="0.2">
      <c r="A1624" s="623" t="s">
        <v>2530</v>
      </c>
      <c r="B1624" s="624" t="s">
        <v>1286</v>
      </c>
      <c r="C1624" s="625" t="s">
        <v>100</v>
      </c>
      <c r="D1624" s="626">
        <v>2.2000000000000002</v>
      </c>
      <c r="E1624" s="622"/>
      <c r="F1624" s="334"/>
      <c r="G1624" s="334"/>
      <c r="H1624" s="602"/>
      <c r="I1624" s="334"/>
      <c r="J1624" s="334"/>
      <c r="K1624" s="334"/>
      <c r="L1624" s="334"/>
      <c r="M1624" s="334"/>
      <c r="N1624" s="334"/>
      <c r="O1624" s="334"/>
    </row>
    <row r="1625" spans="1:15" ht="12.75" hidden="1" customHeight="1" outlineLevel="1" x14ac:dyDescent="0.2">
      <c r="A1625" s="627" t="s">
        <v>2531</v>
      </c>
      <c r="B1625" s="628" t="s">
        <v>1296</v>
      </c>
      <c r="C1625" s="629" t="s">
        <v>100</v>
      </c>
      <c r="D1625" s="630">
        <v>1.47</v>
      </c>
      <c r="E1625" s="622"/>
      <c r="F1625" s="334"/>
      <c r="G1625" s="334"/>
      <c r="H1625" s="602"/>
      <c r="I1625" s="334"/>
      <c r="J1625" s="334"/>
      <c r="K1625" s="334"/>
      <c r="L1625" s="334"/>
      <c r="M1625" s="334"/>
      <c r="N1625" s="334"/>
      <c r="O1625" s="334"/>
    </row>
    <row r="1626" spans="1:15" ht="12.75" hidden="1" customHeight="1" outlineLevel="1" x14ac:dyDescent="0.2">
      <c r="A1626" s="623" t="s">
        <v>2532</v>
      </c>
      <c r="B1626" s="624" t="s">
        <v>1233</v>
      </c>
      <c r="C1626" s="625" t="s">
        <v>100</v>
      </c>
      <c r="D1626" s="626">
        <v>47.32</v>
      </c>
      <c r="E1626" s="622"/>
      <c r="F1626" s="334"/>
      <c r="G1626" s="334"/>
      <c r="H1626" s="602"/>
      <c r="I1626" s="334"/>
      <c r="J1626" s="334"/>
      <c r="K1626" s="334"/>
      <c r="L1626" s="334"/>
      <c r="M1626" s="334"/>
      <c r="N1626" s="334"/>
      <c r="O1626" s="334"/>
    </row>
    <row r="1627" spans="1:15" ht="12.75" hidden="1" customHeight="1" outlineLevel="1" x14ac:dyDescent="0.2">
      <c r="A1627" s="627" t="s">
        <v>2533</v>
      </c>
      <c r="B1627" s="628" t="s">
        <v>1235</v>
      </c>
      <c r="C1627" s="629" t="s">
        <v>100</v>
      </c>
      <c r="D1627" s="630">
        <v>23.13</v>
      </c>
      <c r="E1627" s="622"/>
      <c r="F1627" s="334"/>
      <c r="G1627" s="334"/>
      <c r="H1627" s="602"/>
      <c r="I1627" s="334"/>
      <c r="J1627" s="334"/>
      <c r="K1627" s="334"/>
      <c r="L1627" s="334"/>
      <c r="M1627" s="334"/>
      <c r="N1627" s="334"/>
      <c r="O1627" s="334"/>
    </row>
    <row r="1628" spans="1:15" ht="12.75" hidden="1" customHeight="1" outlineLevel="1" x14ac:dyDescent="0.2">
      <c r="A1628" s="618" t="s">
        <v>2534</v>
      </c>
      <c r="B1628" s="619" t="s">
        <v>1086</v>
      </c>
      <c r="C1628" s="620"/>
      <c r="D1628" s="621"/>
      <c r="E1628" s="622"/>
      <c r="F1628" s="334"/>
      <c r="G1628" s="334"/>
      <c r="H1628" s="602"/>
      <c r="I1628" s="334"/>
      <c r="J1628" s="334"/>
      <c r="K1628" s="334"/>
      <c r="L1628" s="334"/>
      <c r="M1628" s="334"/>
      <c r="N1628" s="334"/>
      <c r="O1628" s="334"/>
    </row>
    <row r="1629" spans="1:15" ht="12.75" hidden="1" customHeight="1" outlineLevel="1" x14ac:dyDescent="0.2">
      <c r="A1629" s="623" t="s">
        <v>2535</v>
      </c>
      <c r="B1629" s="624" t="s">
        <v>1284</v>
      </c>
      <c r="C1629" s="625" t="s">
        <v>79</v>
      </c>
      <c r="D1629" s="626">
        <v>184.68</v>
      </c>
      <c r="E1629" s="622"/>
      <c r="F1629" s="334"/>
      <c r="G1629" s="334"/>
      <c r="H1629" s="602"/>
      <c r="I1629" s="334"/>
      <c r="J1629" s="334"/>
      <c r="K1629" s="334"/>
      <c r="L1629" s="334"/>
      <c r="M1629" s="334"/>
      <c r="N1629" s="334"/>
      <c r="O1629" s="334"/>
    </row>
    <row r="1630" spans="1:15" ht="12.75" hidden="1" customHeight="1" outlineLevel="1" x14ac:dyDescent="0.2">
      <c r="A1630" s="627" t="s">
        <v>2536</v>
      </c>
      <c r="B1630" s="628" t="s">
        <v>1201</v>
      </c>
      <c r="C1630" s="629" t="s">
        <v>100</v>
      </c>
      <c r="D1630" s="630">
        <v>17.57</v>
      </c>
      <c r="E1630" s="622"/>
      <c r="F1630" s="334"/>
      <c r="G1630" s="334"/>
      <c r="H1630" s="602"/>
      <c r="I1630" s="334"/>
      <c r="J1630" s="334"/>
      <c r="K1630" s="334"/>
      <c r="L1630" s="334"/>
      <c r="M1630" s="334"/>
      <c r="N1630" s="334"/>
      <c r="O1630" s="334"/>
    </row>
    <row r="1631" spans="1:15" ht="12.75" hidden="1" customHeight="1" outlineLevel="1" x14ac:dyDescent="0.2">
      <c r="A1631" s="623" t="s">
        <v>2537</v>
      </c>
      <c r="B1631" s="624" t="s">
        <v>1203</v>
      </c>
      <c r="C1631" s="625" t="s">
        <v>100</v>
      </c>
      <c r="D1631" s="626">
        <v>18.84</v>
      </c>
      <c r="E1631" s="622"/>
      <c r="F1631" s="334"/>
      <c r="G1631" s="334"/>
      <c r="H1631" s="602"/>
      <c r="I1631" s="334"/>
      <c r="J1631" s="334"/>
      <c r="K1631" s="334"/>
      <c r="L1631" s="334"/>
      <c r="M1631" s="334"/>
      <c r="N1631" s="334"/>
      <c r="O1631" s="334"/>
    </row>
    <row r="1632" spans="1:15" ht="12.75" hidden="1" customHeight="1" outlineLevel="1" x14ac:dyDescent="0.2">
      <c r="A1632" s="627" t="s">
        <v>2538</v>
      </c>
      <c r="B1632" s="628" t="s">
        <v>1213</v>
      </c>
      <c r="C1632" s="629" t="s">
        <v>100</v>
      </c>
      <c r="D1632" s="630">
        <v>5.13</v>
      </c>
      <c r="E1632" s="622"/>
      <c r="F1632" s="334"/>
      <c r="G1632" s="334"/>
      <c r="H1632" s="602"/>
      <c r="I1632" s="334"/>
      <c r="J1632" s="334"/>
      <c r="K1632" s="334"/>
      <c r="L1632" s="334"/>
      <c r="M1632" s="334"/>
      <c r="N1632" s="334"/>
      <c r="O1632" s="334"/>
    </row>
    <row r="1633" spans="1:15" ht="12.75" hidden="1" customHeight="1" outlineLevel="1" x14ac:dyDescent="0.2">
      <c r="A1633" s="623" t="s">
        <v>2539</v>
      </c>
      <c r="B1633" s="624" t="s">
        <v>1286</v>
      </c>
      <c r="C1633" s="625" t="s">
        <v>100</v>
      </c>
      <c r="D1633" s="626">
        <v>2.2000000000000002</v>
      </c>
      <c r="E1633" s="622"/>
      <c r="F1633" s="334"/>
      <c r="G1633" s="334"/>
      <c r="H1633" s="602"/>
      <c r="I1633" s="334"/>
      <c r="J1633" s="334"/>
      <c r="K1633" s="334"/>
      <c r="L1633" s="334"/>
      <c r="M1633" s="334"/>
      <c r="N1633" s="334"/>
      <c r="O1633" s="334"/>
    </row>
    <row r="1634" spans="1:15" ht="12.75" hidden="1" customHeight="1" outlineLevel="1" x14ac:dyDescent="0.2">
      <c r="A1634" s="627" t="s">
        <v>2540</v>
      </c>
      <c r="B1634" s="628" t="s">
        <v>1296</v>
      </c>
      <c r="C1634" s="629" t="s">
        <v>100</v>
      </c>
      <c r="D1634" s="630">
        <v>1.47</v>
      </c>
      <c r="E1634" s="622"/>
      <c r="F1634" s="334"/>
      <c r="G1634" s="334"/>
      <c r="H1634" s="602"/>
      <c r="I1634" s="334"/>
      <c r="J1634" s="334"/>
      <c r="K1634" s="334"/>
      <c r="L1634" s="334"/>
      <c r="M1634" s="334"/>
      <c r="N1634" s="334"/>
      <c r="O1634" s="334"/>
    </row>
    <row r="1635" spans="1:15" ht="12.75" hidden="1" customHeight="1" outlineLevel="1" x14ac:dyDescent="0.2">
      <c r="A1635" s="623" t="s">
        <v>2541</v>
      </c>
      <c r="B1635" s="624" t="s">
        <v>1233</v>
      </c>
      <c r="C1635" s="625" t="s">
        <v>100</v>
      </c>
      <c r="D1635" s="626">
        <v>47.32</v>
      </c>
      <c r="E1635" s="622"/>
      <c r="F1635" s="334"/>
      <c r="G1635" s="334"/>
      <c r="H1635" s="602"/>
      <c r="I1635" s="334"/>
      <c r="J1635" s="334"/>
      <c r="K1635" s="334"/>
      <c r="L1635" s="334"/>
      <c r="M1635" s="334"/>
      <c r="N1635" s="334"/>
      <c r="O1635" s="334"/>
    </row>
    <row r="1636" spans="1:15" ht="12.75" hidden="1" customHeight="1" outlineLevel="1" x14ac:dyDescent="0.2">
      <c r="A1636" s="627" t="s">
        <v>2542</v>
      </c>
      <c r="B1636" s="628" t="s">
        <v>1235</v>
      </c>
      <c r="C1636" s="629" t="s">
        <v>100</v>
      </c>
      <c r="D1636" s="630">
        <v>23.13</v>
      </c>
      <c r="E1636" s="622"/>
      <c r="F1636" s="334"/>
      <c r="G1636" s="334"/>
      <c r="H1636" s="602"/>
      <c r="I1636" s="334"/>
      <c r="J1636" s="334"/>
      <c r="K1636" s="334"/>
      <c r="L1636" s="334"/>
      <c r="M1636" s="334"/>
      <c r="N1636" s="334"/>
      <c r="O1636" s="334"/>
    </row>
    <row r="1637" spans="1:15" ht="12.75" hidden="1" customHeight="1" outlineLevel="1" x14ac:dyDescent="0.2">
      <c r="A1637" s="618" t="s">
        <v>2543</v>
      </c>
      <c r="B1637" s="619" t="s">
        <v>1094</v>
      </c>
      <c r="C1637" s="620"/>
      <c r="D1637" s="621"/>
      <c r="E1637" s="622"/>
      <c r="F1637" s="334"/>
      <c r="G1637" s="334"/>
      <c r="H1637" s="602"/>
      <c r="I1637" s="334"/>
      <c r="J1637" s="334"/>
      <c r="K1637" s="334"/>
      <c r="L1637" s="334"/>
      <c r="M1637" s="334"/>
      <c r="N1637" s="334"/>
      <c r="O1637" s="334"/>
    </row>
    <row r="1638" spans="1:15" ht="12.75" hidden="1" customHeight="1" outlineLevel="1" x14ac:dyDescent="0.2">
      <c r="A1638" s="623" t="s">
        <v>2544</v>
      </c>
      <c r="B1638" s="624" t="s">
        <v>1284</v>
      </c>
      <c r="C1638" s="625" t="s">
        <v>79</v>
      </c>
      <c r="D1638" s="626">
        <v>184.68</v>
      </c>
      <c r="E1638" s="622"/>
      <c r="F1638" s="334"/>
      <c r="G1638" s="334"/>
      <c r="H1638" s="602"/>
      <c r="I1638" s="334"/>
      <c r="J1638" s="334"/>
      <c r="K1638" s="334"/>
      <c r="L1638" s="334"/>
      <c r="M1638" s="334"/>
      <c r="N1638" s="334"/>
      <c r="O1638" s="334"/>
    </row>
    <row r="1639" spans="1:15" ht="12.75" hidden="1" customHeight="1" outlineLevel="1" x14ac:dyDescent="0.2">
      <c r="A1639" s="627" t="s">
        <v>2545</v>
      </c>
      <c r="B1639" s="628" t="s">
        <v>1201</v>
      </c>
      <c r="C1639" s="629" t="s">
        <v>100</v>
      </c>
      <c r="D1639" s="630">
        <v>17.57</v>
      </c>
      <c r="E1639" s="622"/>
      <c r="F1639" s="334"/>
      <c r="G1639" s="334"/>
      <c r="H1639" s="602"/>
      <c r="I1639" s="334"/>
      <c r="J1639" s="334"/>
      <c r="K1639" s="334"/>
      <c r="L1639" s="334"/>
      <c r="M1639" s="334"/>
      <c r="N1639" s="334"/>
      <c r="O1639" s="334"/>
    </row>
    <row r="1640" spans="1:15" ht="12.75" hidden="1" customHeight="1" outlineLevel="1" x14ac:dyDescent="0.2">
      <c r="A1640" s="623" t="s">
        <v>2546</v>
      </c>
      <c r="B1640" s="624" t="s">
        <v>1203</v>
      </c>
      <c r="C1640" s="625" t="s">
        <v>100</v>
      </c>
      <c r="D1640" s="626">
        <v>18.84</v>
      </c>
      <c r="E1640" s="622"/>
      <c r="F1640" s="334"/>
      <c r="G1640" s="334"/>
      <c r="H1640" s="602"/>
      <c r="I1640" s="334"/>
      <c r="J1640" s="334"/>
      <c r="K1640" s="334"/>
      <c r="L1640" s="334"/>
      <c r="M1640" s="334"/>
      <c r="N1640" s="334"/>
      <c r="O1640" s="334"/>
    </row>
    <row r="1641" spans="1:15" ht="12.75" hidden="1" customHeight="1" outlineLevel="1" x14ac:dyDescent="0.2">
      <c r="A1641" s="627" t="s">
        <v>2547</v>
      </c>
      <c r="B1641" s="628" t="s">
        <v>1213</v>
      </c>
      <c r="C1641" s="629" t="s">
        <v>100</v>
      </c>
      <c r="D1641" s="630">
        <v>5.13</v>
      </c>
      <c r="E1641" s="622"/>
      <c r="F1641" s="334"/>
      <c r="G1641" s="334"/>
      <c r="H1641" s="602"/>
      <c r="I1641" s="334"/>
      <c r="J1641" s="334"/>
      <c r="K1641" s="334"/>
      <c r="L1641" s="334"/>
      <c r="M1641" s="334"/>
      <c r="N1641" s="334"/>
      <c r="O1641" s="334"/>
    </row>
    <row r="1642" spans="1:15" ht="12.75" hidden="1" customHeight="1" outlineLevel="1" x14ac:dyDescent="0.2">
      <c r="A1642" s="623" t="s">
        <v>2548</v>
      </c>
      <c r="B1642" s="624" t="s">
        <v>1286</v>
      </c>
      <c r="C1642" s="625" t="s">
        <v>100</v>
      </c>
      <c r="D1642" s="626">
        <v>2.2000000000000002</v>
      </c>
      <c r="E1642" s="622"/>
      <c r="F1642" s="334"/>
      <c r="G1642" s="334"/>
      <c r="H1642" s="602"/>
      <c r="I1642" s="334"/>
      <c r="J1642" s="334"/>
      <c r="K1642" s="334"/>
      <c r="L1642" s="334"/>
      <c r="M1642" s="334"/>
      <c r="N1642" s="334"/>
      <c r="O1642" s="334"/>
    </row>
    <row r="1643" spans="1:15" ht="12.75" hidden="1" customHeight="1" outlineLevel="1" x14ac:dyDescent="0.2">
      <c r="A1643" s="627" t="s">
        <v>2549</v>
      </c>
      <c r="B1643" s="628" t="s">
        <v>1296</v>
      </c>
      <c r="C1643" s="629" t="s">
        <v>100</v>
      </c>
      <c r="D1643" s="630">
        <v>1.47</v>
      </c>
      <c r="E1643" s="622"/>
      <c r="F1643" s="334"/>
      <c r="G1643" s="334"/>
      <c r="H1643" s="602"/>
      <c r="I1643" s="334"/>
      <c r="J1643" s="334"/>
      <c r="K1643" s="334"/>
      <c r="L1643" s="334"/>
      <c r="M1643" s="334"/>
      <c r="N1643" s="334"/>
      <c r="O1643" s="334"/>
    </row>
    <row r="1644" spans="1:15" ht="12.75" hidden="1" customHeight="1" outlineLevel="1" x14ac:dyDescent="0.2">
      <c r="A1644" s="623" t="s">
        <v>2550</v>
      </c>
      <c r="B1644" s="624" t="s">
        <v>1233</v>
      </c>
      <c r="C1644" s="625" t="s">
        <v>100</v>
      </c>
      <c r="D1644" s="626">
        <v>47.32</v>
      </c>
      <c r="E1644" s="622"/>
      <c r="F1644" s="334"/>
      <c r="G1644" s="334"/>
      <c r="H1644" s="602"/>
      <c r="I1644" s="334"/>
      <c r="J1644" s="334"/>
      <c r="K1644" s="334"/>
      <c r="L1644" s="334"/>
      <c r="M1644" s="334"/>
      <c r="N1644" s="334"/>
      <c r="O1644" s="334"/>
    </row>
    <row r="1645" spans="1:15" ht="12.75" hidden="1" customHeight="1" outlineLevel="1" x14ac:dyDescent="0.2">
      <c r="A1645" s="627" t="s">
        <v>2551</v>
      </c>
      <c r="B1645" s="628" t="s">
        <v>1235</v>
      </c>
      <c r="C1645" s="629" t="s">
        <v>100</v>
      </c>
      <c r="D1645" s="630">
        <v>23.13</v>
      </c>
      <c r="E1645" s="622"/>
      <c r="F1645" s="334"/>
      <c r="G1645" s="334"/>
      <c r="H1645" s="602"/>
      <c r="I1645" s="334"/>
      <c r="J1645" s="334"/>
      <c r="K1645" s="334"/>
      <c r="L1645" s="334"/>
      <c r="M1645" s="334"/>
      <c r="N1645" s="334"/>
      <c r="O1645" s="334"/>
    </row>
    <row r="1646" spans="1:15" ht="12.75" hidden="1" customHeight="1" outlineLevel="1" x14ac:dyDescent="0.2">
      <c r="A1646" s="618" t="s">
        <v>2552</v>
      </c>
      <c r="B1646" s="619" t="s">
        <v>1102</v>
      </c>
      <c r="C1646" s="620"/>
      <c r="D1646" s="621"/>
      <c r="E1646" s="622"/>
      <c r="F1646" s="334"/>
      <c r="G1646" s="334"/>
      <c r="H1646" s="602"/>
      <c r="I1646" s="334"/>
      <c r="J1646" s="334"/>
      <c r="K1646" s="334"/>
      <c r="L1646" s="334"/>
      <c r="M1646" s="334"/>
      <c r="N1646" s="334"/>
      <c r="O1646" s="334"/>
    </row>
    <row r="1647" spans="1:15" ht="12.75" hidden="1" customHeight="1" outlineLevel="1" x14ac:dyDescent="0.2">
      <c r="A1647" s="623" t="s">
        <v>2553</v>
      </c>
      <c r="B1647" s="624" t="s">
        <v>1284</v>
      </c>
      <c r="C1647" s="625" t="s">
        <v>79</v>
      </c>
      <c r="D1647" s="626">
        <v>152.72</v>
      </c>
      <c r="E1647" s="622"/>
      <c r="F1647" s="334"/>
      <c r="G1647" s="334"/>
      <c r="H1647" s="602"/>
      <c r="I1647" s="334"/>
      <c r="J1647" s="334"/>
      <c r="K1647" s="334"/>
      <c r="L1647" s="334"/>
      <c r="M1647" s="334"/>
      <c r="N1647" s="334"/>
      <c r="O1647" s="334"/>
    </row>
    <row r="1648" spans="1:15" ht="12.75" hidden="1" customHeight="1" outlineLevel="1" x14ac:dyDescent="0.2">
      <c r="A1648" s="627" t="s">
        <v>2554</v>
      </c>
      <c r="B1648" s="628" t="s">
        <v>1268</v>
      </c>
      <c r="C1648" s="629" t="s">
        <v>100</v>
      </c>
      <c r="D1648" s="630">
        <v>39.72</v>
      </c>
      <c r="E1648" s="622"/>
      <c r="F1648" s="334"/>
      <c r="G1648" s="334"/>
      <c r="H1648" s="602"/>
      <c r="I1648" s="334"/>
      <c r="J1648" s="334"/>
      <c r="K1648" s="334"/>
      <c r="L1648" s="334"/>
      <c r="M1648" s="334"/>
      <c r="N1648" s="334"/>
      <c r="O1648" s="334"/>
    </row>
    <row r="1649" spans="1:15" ht="12.75" hidden="1" customHeight="1" outlineLevel="1" x14ac:dyDescent="0.2">
      <c r="A1649" s="623" t="s">
        <v>2555</v>
      </c>
      <c r="B1649" s="624" t="s">
        <v>1211</v>
      </c>
      <c r="C1649" s="625" t="s">
        <v>100</v>
      </c>
      <c r="D1649" s="626">
        <v>16.309999999999999</v>
      </c>
      <c r="E1649" s="622"/>
      <c r="F1649" s="334"/>
      <c r="G1649" s="334"/>
      <c r="H1649" s="602"/>
      <c r="I1649" s="334"/>
      <c r="J1649" s="334"/>
      <c r="K1649" s="334"/>
      <c r="L1649" s="334"/>
      <c r="M1649" s="334"/>
      <c r="N1649" s="334"/>
      <c r="O1649" s="334"/>
    </row>
    <row r="1650" spans="1:15" ht="12.75" hidden="1" customHeight="1" outlineLevel="1" x14ac:dyDescent="0.2">
      <c r="A1650" s="627" t="s">
        <v>2556</v>
      </c>
      <c r="B1650" s="628" t="s">
        <v>1215</v>
      </c>
      <c r="C1650" s="629" t="s">
        <v>100</v>
      </c>
      <c r="D1650" s="630">
        <v>1.47</v>
      </c>
      <c r="E1650" s="622"/>
      <c r="F1650" s="334"/>
      <c r="G1650" s="334"/>
      <c r="H1650" s="602"/>
      <c r="I1650" s="334"/>
      <c r="J1650" s="334"/>
      <c r="K1650" s="334"/>
      <c r="L1650" s="334"/>
      <c r="M1650" s="334"/>
      <c r="N1650" s="334"/>
      <c r="O1650" s="334"/>
    </row>
    <row r="1651" spans="1:15" ht="12.75" hidden="1" customHeight="1" outlineLevel="1" x14ac:dyDescent="0.2">
      <c r="A1651" s="623" t="s">
        <v>2557</v>
      </c>
      <c r="B1651" s="624" t="s">
        <v>1219</v>
      </c>
      <c r="C1651" s="625" t="s">
        <v>100</v>
      </c>
      <c r="D1651" s="626">
        <v>4.2300000000000004</v>
      </c>
      <c r="E1651" s="622"/>
      <c r="F1651" s="334"/>
      <c r="G1651" s="334"/>
      <c r="H1651" s="602"/>
      <c r="I1651" s="334"/>
      <c r="J1651" s="334"/>
      <c r="K1651" s="334"/>
      <c r="L1651" s="334"/>
      <c r="M1651" s="334"/>
      <c r="N1651" s="334"/>
      <c r="O1651" s="334"/>
    </row>
    <row r="1652" spans="1:15" ht="12.75" hidden="1" customHeight="1" outlineLevel="1" x14ac:dyDescent="0.2">
      <c r="A1652" s="627" t="s">
        <v>2558</v>
      </c>
      <c r="B1652" s="628" t="s">
        <v>1221</v>
      </c>
      <c r="C1652" s="629" t="s">
        <v>100</v>
      </c>
      <c r="D1652" s="630">
        <v>2.36</v>
      </c>
      <c r="E1652" s="622"/>
      <c r="F1652" s="334"/>
      <c r="G1652" s="334"/>
      <c r="H1652" s="602"/>
      <c r="I1652" s="334"/>
      <c r="J1652" s="334"/>
      <c r="K1652" s="334"/>
      <c r="L1652" s="334"/>
      <c r="M1652" s="334"/>
      <c r="N1652" s="334"/>
      <c r="O1652" s="334"/>
    </row>
    <row r="1653" spans="1:15" ht="12.75" hidden="1" customHeight="1" outlineLevel="1" x14ac:dyDescent="0.2">
      <c r="A1653" s="623" t="s">
        <v>2559</v>
      </c>
      <c r="B1653" s="624" t="s">
        <v>1223</v>
      </c>
      <c r="C1653" s="625" t="s">
        <v>100</v>
      </c>
      <c r="D1653" s="626">
        <v>2</v>
      </c>
      <c r="E1653" s="622"/>
      <c r="F1653" s="334"/>
      <c r="G1653" s="334"/>
      <c r="H1653" s="602"/>
      <c r="I1653" s="334"/>
      <c r="J1653" s="334"/>
      <c r="K1653" s="334"/>
      <c r="L1653" s="334"/>
      <c r="M1653" s="334"/>
      <c r="N1653" s="334"/>
      <c r="O1653" s="334"/>
    </row>
    <row r="1654" spans="1:15" ht="12.75" hidden="1" customHeight="1" outlineLevel="1" x14ac:dyDescent="0.2">
      <c r="A1654" s="627" t="s">
        <v>2560</v>
      </c>
      <c r="B1654" s="628" t="s">
        <v>1286</v>
      </c>
      <c r="C1654" s="629" t="s">
        <v>100</v>
      </c>
      <c r="D1654" s="630">
        <v>2.2000000000000002</v>
      </c>
      <c r="E1654" s="622"/>
      <c r="F1654" s="334"/>
      <c r="G1654" s="334"/>
      <c r="H1654" s="602"/>
      <c r="I1654" s="334"/>
      <c r="J1654" s="334"/>
      <c r="K1654" s="334"/>
      <c r="L1654" s="334"/>
      <c r="M1654" s="334"/>
      <c r="N1654" s="334"/>
      <c r="O1654" s="334"/>
    </row>
    <row r="1655" spans="1:15" ht="12.75" hidden="1" customHeight="1" outlineLevel="1" x14ac:dyDescent="0.2">
      <c r="A1655" s="623" t="s">
        <v>2561</v>
      </c>
      <c r="B1655" s="624" t="s">
        <v>1296</v>
      </c>
      <c r="C1655" s="625" t="s">
        <v>100</v>
      </c>
      <c r="D1655" s="626">
        <v>1.47</v>
      </c>
      <c r="E1655" s="622"/>
      <c r="F1655" s="334"/>
      <c r="G1655" s="334"/>
      <c r="H1655" s="602"/>
      <c r="I1655" s="334"/>
      <c r="J1655" s="334"/>
      <c r="K1655" s="334"/>
      <c r="L1655" s="334"/>
      <c r="M1655" s="334"/>
      <c r="N1655" s="334"/>
      <c r="O1655" s="334"/>
    </row>
    <row r="1656" spans="1:15" ht="12.75" hidden="1" customHeight="1" outlineLevel="1" x14ac:dyDescent="0.2">
      <c r="A1656" s="627" t="s">
        <v>2562</v>
      </c>
      <c r="B1656" s="628" t="s">
        <v>1242</v>
      </c>
      <c r="C1656" s="629" t="s">
        <v>100</v>
      </c>
      <c r="D1656" s="630">
        <v>18.149999999999999</v>
      </c>
      <c r="E1656" s="622"/>
      <c r="F1656" s="334"/>
      <c r="G1656" s="334"/>
      <c r="H1656" s="602"/>
      <c r="I1656" s="334"/>
      <c r="J1656" s="334"/>
      <c r="K1656" s="334"/>
      <c r="L1656" s="334"/>
      <c r="M1656" s="334"/>
      <c r="N1656" s="334"/>
      <c r="O1656" s="334"/>
    </row>
    <row r="1657" spans="1:15" ht="12.75" hidden="1" customHeight="1" outlineLevel="1" x14ac:dyDescent="0.2">
      <c r="A1657" s="623" t="s">
        <v>2563</v>
      </c>
      <c r="B1657" s="624" t="s">
        <v>1244</v>
      </c>
      <c r="C1657" s="625" t="s">
        <v>100</v>
      </c>
      <c r="D1657" s="626">
        <v>8.7100000000000009</v>
      </c>
      <c r="E1657" s="622"/>
      <c r="F1657" s="334"/>
      <c r="G1657" s="334"/>
      <c r="H1657" s="602"/>
      <c r="I1657" s="334"/>
      <c r="J1657" s="334"/>
      <c r="K1657" s="334"/>
      <c r="L1657" s="334"/>
      <c r="M1657" s="334"/>
      <c r="N1657" s="334"/>
      <c r="O1657" s="334"/>
    </row>
    <row r="1658" spans="1:15" ht="12.75" hidden="1" customHeight="1" outlineLevel="1" x14ac:dyDescent="0.2">
      <c r="A1658" s="627" t="s">
        <v>2564</v>
      </c>
      <c r="B1658" s="628" t="s">
        <v>1246</v>
      </c>
      <c r="C1658" s="629" t="s">
        <v>100</v>
      </c>
      <c r="D1658" s="630">
        <v>22.25</v>
      </c>
      <c r="E1658" s="622"/>
      <c r="F1658" s="334"/>
      <c r="G1658" s="334"/>
      <c r="H1658" s="602"/>
      <c r="I1658" s="334"/>
      <c r="J1658" s="334"/>
      <c r="K1658" s="334"/>
      <c r="L1658" s="334"/>
      <c r="M1658" s="334"/>
      <c r="N1658" s="334"/>
      <c r="O1658" s="334"/>
    </row>
    <row r="1659" spans="1:15" ht="12.75" hidden="1" customHeight="1" outlineLevel="1" x14ac:dyDescent="0.2">
      <c r="A1659" s="623" t="s">
        <v>2565</v>
      </c>
      <c r="B1659" s="624" t="s">
        <v>1248</v>
      </c>
      <c r="C1659" s="625" t="s">
        <v>100</v>
      </c>
      <c r="D1659" s="626">
        <v>10.16</v>
      </c>
      <c r="E1659" s="622"/>
      <c r="F1659" s="334"/>
      <c r="G1659" s="334"/>
      <c r="H1659" s="602"/>
      <c r="I1659" s="334"/>
      <c r="J1659" s="334"/>
      <c r="K1659" s="334"/>
      <c r="L1659" s="334"/>
      <c r="M1659" s="334"/>
      <c r="N1659" s="334"/>
      <c r="O1659" s="334"/>
    </row>
    <row r="1660" spans="1:15" ht="12.75" hidden="1" customHeight="1" outlineLevel="1" x14ac:dyDescent="0.2">
      <c r="A1660" s="618" t="s">
        <v>2566</v>
      </c>
      <c r="B1660" s="619" t="s">
        <v>1112</v>
      </c>
      <c r="C1660" s="620"/>
      <c r="D1660" s="621"/>
      <c r="E1660" s="622"/>
      <c r="F1660" s="334"/>
      <c r="G1660" s="334"/>
      <c r="H1660" s="602"/>
      <c r="I1660" s="334"/>
      <c r="J1660" s="334"/>
      <c r="K1660" s="334"/>
      <c r="L1660" s="334"/>
      <c r="M1660" s="334"/>
      <c r="N1660" s="334"/>
      <c r="O1660" s="334"/>
    </row>
    <row r="1661" spans="1:15" ht="12.75" hidden="1" customHeight="1" outlineLevel="1" x14ac:dyDescent="0.2">
      <c r="A1661" s="627" t="s">
        <v>2567</v>
      </c>
      <c r="B1661" s="628" t="s">
        <v>1284</v>
      </c>
      <c r="C1661" s="629" t="s">
        <v>79</v>
      </c>
      <c r="D1661" s="630">
        <v>138.63999999999999</v>
      </c>
      <c r="E1661" s="622"/>
      <c r="F1661" s="334"/>
      <c r="G1661" s="334"/>
      <c r="H1661" s="602"/>
      <c r="I1661" s="334"/>
      <c r="J1661" s="334"/>
      <c r="K1661" s="334"/>
      <c r="L1661" s="334"/>
      <c r="M1661" s="334"/>
      <c r="N1661" s="334"/>
      <c r="O1661" s="334"/>
    </row>
    <row r="1662" spans="1:15" ht="12.75" hidden="1" customHeight="1" outlineLevel="1" x14ac:dyDescent="0.2">
      <c r="A1662" s="623" t="s">
        <v>2568</v>
      </c>
      <c r="B1662" s="624" t="s">
        <v>1268</v>
      </c>
      <c r="C1662" s="625" t="s">
        <v>100</v>
      </c>
      <c r="D1662" s="626">
        <v>18.25</v>
      </c>
      <c r="E1662" s="622"/>
      <c r="F1662" s="334"/>
      <c r="G1662" s="334"/>
      <c r="H1662" s="602"/>
      <c r="I1662" s="334"/>
      <c r="J1662" s="334"/>
      <c r="K1662" s="334"/>
      <c r="L1662" s="334"/>
      <c r="M1662" s="334"/>
      <c r="N1662" s="334"/>
      <c r="O1662" s="334"/>
    </row>
    <row r="1663" spans="1:15" ht="12.75" hidden="1" customHeight="1" outlineLevel="1" x14ac:dyDescent="0.2">
      <c r="A1663" s="627" t="s">
        <v>2569</v>
      </c>
      <c r="B1663" s="628" t="s">
        <v>1207</v>
      </c>
      <c r="C1663" s="629" t="s">
        <v>100</v>
      </c>
      <c r="D1663" s="630">
        <v>16.93</v>
      </c>
      <c r="E1663" s="622"/>
      <c r="F1663" s="334"/>
      <c r="G1663" s="334"/>
      <c r="H1663" s="602"/>
      <c r="I1663" s="334"/>
      <c r="J1663" s="334"/>
      <c r="K1663" s="334"/>
      <c r="L1663" s="334"/>
      <c r="M1663" s="334"/>
      <c r="N1663" s="334"/>
      <c r="O1663" s="334"/>
    </row>
    <row r="1664" spans="1:15" ht="12.75" hidden="1" customHeight="1" outlineLevel="1" x14ac:dyDescent="0.2">
      <c r="A1664" s="623" t="s">
        <v>2570</v>
      </c>
      <c r="B1664" s="624" t="s">
        <v>1209</v>
      </c>
      <c r="C1664" s="625" t="s">
        <v>100</v>
      </c>
      <c r="D1664" s="626">
        <v>4.55</v>
      </c>
      <c r="E1664" s="622"/>
      <c r="F1664" s="334"/>
      <c r="G1664" s="334"/>
      <c r="H1664" s="602"/>
      <c r="I1664" s="334"/>
      <c r="J1664" s="334"/>
      <c r="K1664" s="334"/>
      <c r="L1664" s="334"/>
      <c r="M1664" s="334"/>
      <c r="N1664" s="334"/>
      <c r="O1664" s="334"/>
    </row>
    <row r="1665" spans="1:15" ht="12.75" hidden="1" customHeight="1" outlineLevel="1" x14ac:dyDescent="0.2">
      <c r="A1665" s="627" t="s">
        <v>2571</v>
      </c>
      <c r="B1665" s="628" t="s">
        <v>1217</v>
      </c>
      <c r="C1665" s="629" t="s">
        <v>100</v>
      </c>
      <c r="D1665" s="630">
        <v>10.16</v>
      </c>
      <c r="E1665" s="622"/>
      <c r="F1665" s="334"/>
      <c r="G1665" s="334"/>
      <c r="H1665" s="602"/>
      <c r="I1665" s="334"/>
      <c r="J1665" s="334"/>
      <c r="K1665" s="334"/>
      <c r="L1665" s="334"/>
      <c r="M1665" s="334"/>
      <c r="N1665" s="334"/>
      <c r="O1665" s="334"/>
    </row>
    <row r="1666" spans="1:15" ht="12.75" hidden="1" customHeight="1" outlineLevel="1" x14ac:dyDescent="0.2">
      <c r="A1666" s="623" t="s">
        <v>2572</v>
      </c>
      <c r="B1666" s="624" t="s">
        <v>1225</v>
      </c>
      <c r="C1666" s="625" t="s">
        <v>100</v>
      </c>
      <c r="D1666" s="626">
        <v>6.52</v>
      </c>
      <c r="E1666" s="622"/>
      <c r="F1666" s="334"/>
      <c r="G1666" s="334"/>
      <c r="H1666" s="602"/>
      <c r="I1666" s="334"/>
      <c r="J1666" s="334"/>
      <c r="K1666" s="334"/>
      <c r="L1666" s="334"/>
      <c r="M1666" s="334"/>
      <c r="N1666" s="334"/>
      <c r="O1666" s="334"/>
    </row>
    <row r="1667" spans="1:15" ht="12.75" hidden="1" customHeight="1" outlineLevel="1" x14ac:dyDescent="0.2">
      <c r="A1667" s="627" t="s">
        <v>2573</v>
      </c>
      <c r="B1667" s="628" t="s">
        <v>1227</v>
      </c>
      <c r="C1667" s="629" t="s">
        <v>100</v>
      </c>
      <c r="D1667" s="630">
        <v>5.12</v>
      </c>
      <c r="E1667" s="622"/>
      <c r="F1667" s="334"/>
      <c r="G1667" s="334"/>
      <c r="H1667" s="602"/>
      <c r="I1667" s="334"/>
      <c r="J1667" s="334"/>
      <c r="K1667" s="334"/>
      <c r="L1667" s="334"/>
      <c r="M1667" s="334"/>
      <c r="N1667" s="334"/>
      <c r="O1667" s="334"/>
    </row>
    <row r="1668" spans="1:15" ht="12.75" hidden="1" customHeight="1" outlineLevel="1" x14ac:dyDescent="0.2">
      <c r="A1668" s="623" t="s">
        <v>2574</v>
      </c>
      <c r="B1668" s="624" t="s">
        <v>1229</v>
      </c>
      <c r="C1668" s="625" t="s">
        <v>100</v>
      </c>
      <c r="D1668" s="626">
        <v>20.58</v>
      </c>
      <c r="E1668" s="622"/>
      <c r="F1668" s="334"/>
      <c r="G1668" s="334"/>
      <c r="H1668" s="602"/>
      <c r="I1668" s="334"/>
      <c r="J1668" s="334"/>
      <c r="K1668" s="334"/>
      <c r="L1668" s="334"/>
      <c r="M1668" s="334"/>
      <c r="N1668" s="334"/>
      <c r="O1668" s="334"/>
    </row>
    <row r="1669" spans="1:15" ht="12.75" hidden="1" customHeight="1" outlineLevel="1" x14ac:dyDescent="0.2">
      <c r="A1669" s="627" t="s">
        <v>2575</v>
      </c>
      <c r="B1669" s="628" t="s">
        <v>1242</v>
      </c>
      <c r="C1669" s="629" t="s">
        <v>100</v>
      </c>
      <c r="D1669" s="630">
        <v>18.149999999999999</v>
      </c>
      <c r="E1669" s="622"/>
      <c r="F1669" s="334"/>
      <c r="G1669" s="334"/>
      <c r="H1669" s="602"/>
      <c r="I1669" s="334"/>
      <c r="J1669" s="334"/>
      <c r="K1669" s="334"/>
      <c r="L1669" s="334"/>
      <c r="M1669" s="334"/>
      <c r="N1669" s="334"/>
      <c r="O1669" s="334"/>
    </row>
    <row r="1670" spans="1:15" ht="12.75" hidden="1" customHeight="1" outlineLevel="1" x14ac:dyDescent="0.2">
      <c r="A1670" s="618" t="s">
        <v>2576</v>
      </c>
      <c r="B1670" s="619" t="s">
        <v>1127</v>
      </c>
      <c r="C1670" s="620"/>
      <c r="D1670" s="621"/>
      <c r="E1670" s="622"/>
      <c r="F1670" s="334"/>
      <c r="G1670" s="334"/>
      <c r="H1670" s="602"/>
      <c r="I1670" s="334"/>
      <c r="J1670" s="334"/>
      <c r="K1670" s="334"/>
      <c r="L1670" s="334"/>
      <c r="M1670" s="334"/>
      <c r="N1670" s="334"/>
      <c r="O1670" s="334"/>
    </row>
    <row r="1671" spans="1:15" ht="12.75" hidden="1" customHeight="1" outlineLevel="1" x14ac:dyDescent="0.2">
      <c r="A1671" s="623" t="s">
        <v>2577</v>
      </c>
      <c r="B1671" s="624" t="s">
        <v>1284</v>
      </c>
      <c r="C1671" s="625" t="s">
        <v>79</v>
      </c>
      <c r="D1671" s="626">
        <v>89.56</v>
      </c>
      <c r="E1671" s="622"/>
      <c r="F1671" s="334"/>
      <c r="G1671" s="334"/>
      <c r="H1671" s="602"/>
      <c r="I1671" s="334"/>
      <c r="J1671" s="334"/>
      <c r="K1671" s="334"/>
      <c r="L1671" s="334"/>
      <c r="M1671" s="334"/>
      <c r="N1671" s="334"/>
      <c r="O1671" s="334"/>
    </row>
    <row r="1672" spans="1:15" ht="12.75" hidden="1" customHeight="1" outlineLevel="1" x14ac:dyDescent="0.2">
      <c r="A1672" s="627" t="s">
        <v>2578</v>
      </c>
      <c r="B1672" s="628" t="s">
        <v>1286</v>
      </c>
      <c r="C1672" s="629" t="s">
        <v>100</v>
      </c>
      <c r="D1672" s="630">
        <v>2.2000000000000002</v>
      </c>
      <c r="E1672" s="622"/>
      <c r="F1672" s="334"/>
      <c r="G1672" s="334"/>
      <c r="H1672" s="602"/>
      <c r="I1672" s="334"/>
      <c r="J1672" s="334"/>
      <c r="K1672" s="334"/>
      <c r="L1672" s="334"/>
      <c r="M1672" s="334"/>
      <c r="N1672" s="334"/>
      <c r="O1672" s="334"/>
    </row>
    <row r="1673" spans="1:15" ht="12.75" hidden="1" customHeight="1" outlineLevel="1" x14ac:dyDescent="0.2">
      <c r="A1673" s="623" t="s">
        <v>2579</v>
      </c>
      <c r="B1673" s="624" t="s">
        <v>1294</v>
      </c>
      <c r="C1673" s="625" t="s">
        <v>100</v>
      </c>
      <c r="D1673" s="626">
        <v>1.26</v>
      </c>
      <c r="E1673" s="622"/>
      <c r="F1673" s="334"/>
      <c r="G1673" s="334"/>
      <c r="H1673" s="602"/>
      <c r="I1673" s="334"/>
      <c r="J1673" s="334"/>
      <c r="K1673" s="334"/>
      <c r="L1673" s="334"/>
      <c r="M1673" s="334"/>
      <c r="N1673" s="334"/>
      <c r="O1673" s="334"/>
    </row>
    <row r="1674" spans="1:15" ht="12.75" hidden="1" customHeight="1" outlineLevel="1" x14ac:dyDescent="0.2">
      <c r="A1674" s="627" t="s">
        <v>2580</v>
      </c>
      <c r="B1674" s="628" t="s">
        <v>1256</v>
      </c>
      <c r="C1674" s="629" t="s">
        <v>100</v>
      </c>
      <c r="D1674" s="630">
        <v>2.4900000000000002</v>
      </c>
      <c r="E1674" s="622"/>
      <c r="F1674" s="334"/>
      <c r="G1674" s="334"/>
      <c r="H1674" s="602"/>
      <c r="I1674" s="334"/>
      <c r="J1674" s="334"/>
      <c r="K1674" s="334"/>
      <c r="L1674" s="334"/>
      <c r="M1674" s="334"/>
      <c r="N1674" s="334"/>
      <c r="O1674" s="334"/>
    </row>
    <row r="1675" spans="1:15" ht="12.75" hidden="1" customHeight="1" outlineLevel="1" x14ac:dyDescent="0.2">
      <c r="A1675" s="623" t="s">
        <v>2581</v>
      </c>
      <c r="B1675" s="624" t="s">
        <v>1258</v>
      </c>
      <c r="C1675" s="625" t="s">
        <v>100</v>
      </c>
      <c r="D1675" s="626">
        <v>2.29</v>
      </c>
      <c r="E1675" s="622"/>
      <c r="F1675" s="334"/>
      <c r="G1675" s="334"/>
      <c r="H1675" s="602"/>
      <c r="I1675" s="334"/>
      <c r="J1675" s="334"/>
      <c r="K1675" s="334"/>
      <c r="L1675" s="334"/>
      <c r="M1675" s="334"/>
      <c r="N1675" s="334"/>
      <c r="O1675" s="334"/>
    </row>
    <row r="1676" spans="1:15" ht="12.75" hidden="1" customHeight="1" outlineLevel="1" x14ac:dyDescent="0.2">
      <c r="A1676" s="627" t="s">
        <v>2582</v>
      </c>
      <c r="B1676" s="628" t="s">
        <v>1260</v>
      </c>
      <c r="C1676" s="629" t="s">
        <v>100</v>
      </c>
      <c r="D1676" s="630">
        <v>0.46</v>
      </c>
      <c r="E1676" s="622"/>
      <c r="F1676" s="334"/>
      <c r="G1676" s="334"/>
      <c r="H1676" s="602"/>
      <c r="I1676" s="334"/>
      <c r="J1676" s="334"/>
      <c r="K1676" s="334"/>
      <c r="L1676" s="334"/>
      <c r="M1676" s="334"/>
      <c r="N1676" s="334"/>
      <c r="O1676" s="334"/>
    </row>
    <row r="1677" spans="1:15" ht="12.75" hidden="1" customHeight="1" outlineLevel="1" x14ac:dyDescent="0.2">
      <c r="A1677" s="623" t="s">
        <v>2583</v>
      </c>
      <c r="B1677" s="624" t="s">
        <v>1262</v>
      </c>
      <c r="C1677" s="625" t="s">
        <v>100</v>
      </c>
      <c r="D1677" s="626">
        <v>2.0699999999999998</v>
      </c>
      <c r="E1677" s="622"/>
      <c r="F1677" s="334"/>
      <c r="G1677" s="334"/>
      <c r="H1677" s="602"/>
      <c r="I1677" s="334"/>
      <c r="J1677" s="334"/>
      <c r="K1677" s="334"/>
      <c r="L1677" s="334"/>
      <c r="M1677" s="334"/>
      <c r="N1677" s="334"/>
      <c r="O1677" s="334"/>
    </row>
    <row r="1678" spans="1:15" ht="12.75" hidden="1" customHeight="1" outlineLevel="1" x14ac:dyDescent="0.2">
      <c r="A1678" s="627" t="s">
        <v>2584</v>
      </c>
      <c r="B1678" s="628" t="s">
        <v>1235</v>
      </c>
      <c r="C1678" s="629" t="s">
        <v>100</v>
      </c>
      <c r="D1678" s="630">
        <v>23.13</v>
      </c>
      <c r="E1678" s="622"/>
      <c r="F1678" s="334"/>
      <c r="G1678" s="334"/>
      <c r="H1678" s="602"/>
      <c r="I1678" s="334"/>
      <c r="J1678" s="334"/>
      <c r="K1678" s="334"/>
      <c r="L1678" s="334"/>
      <c r="M1678" s="334"/>
      <c r="N1678" s="334"/>
      <c r="O1678" s="334"/>
    </row>
    <row r="1679" spans="1:15" ht="12.75" hidden="1" customHeight="1" outlineLevel="1" x14ac:dyDescent="0.2">
      <c r="A1679" s="623" t="s">
        <v>2585</v>
      </c>
      <c r="B1679" s="624" t="s">
        <v>1250</v>
      </c>
      <c r="C1679" s="625" t="s">
        <v>100</v>
      </c>
      <c r="D1679" s="626">
        <v>13.22</v>
      </c>
      <c r="E1679" s="622"/>
      <c r="F1679" s="334"/>
      <c r="G1679" s="334"/>
      <c r="H1679" s="602"/>
      <c r="I1679" s="334"/>
      <c r="J1679" s="334"/>
      <c r="K1679" s="334"/>
      <c r="L1679" s="334"/>
      <c r="M1679" s="334"/>
      <c r="N1679" s="334"/>
      <c r="O1679" s="334"/>
    </row>
    <row r="1680" spans="1:15" ht="12.75" hidden="1" customHeight="1" outlineLevel="1" x14ac:dyDescent="0.2">
      <c r="A1680" s="627" t="s">
        <v>2586</v>
      </c>
      <c r="B1680" s="628" t="s">
        <v>1254</v>
      </c>
      <c r="C1680" s="629" t="s">
        <v>100</v>
      </c>
      <c r="D1680" s="630">
        <v>19.52</v>
      </c>
      <c r="E1680" s="622"/>
      <c r="F1680" s="334"/>
      <c r="G1680" s="334"/>
      <c r="H1680" s="602"/>
      <c r="I1680" s="334"/>
      <c r="J1680" s="334"/>
      <c r="K1680" s="334"/>
      <c r="L1680" s="334"/>
      <c r="M1680" s="334"/>
      <c r="N1680" s="334"/>
      <c r="O1680" s="334"/>
    </row>
    <row r="1681" spans="1:15" ht="12.75" hidden="1" customHeight="1" outlineLevel="1" x14ac:dyDescent="0.2">
      <c r="A1681" s="618" t="s">
        <v>2587</v>
      </c>
      <c r="B1681" s="619" t="s">
        <v>1137</v>
      </c>
      <c r="C1681" s="620"/>
      <c r="D1681" s="621"/>
      <c r="E1681" s="622"/>
      <c r="F1681" s="334"/>
      <c r="G1681" s="334"/>
      <c r="H1681" s="602"/>
      <c r="I1681" s="334"/>
      <c r="J1681" s="334"/>
      <c r="K1681" s="334"/>
      <c r="L1681" s="334"/>
      <c r="M1681" s="334"/>
      <c r="N1681" s="334"/>
      <c r="O1681" s="334"/>
    </row>
    <row r="1682" spans="1:15" ht="12.75" hidden="1" customHeight="1" outlineLevel="1" x14ac:dyDescent="0.2">
      <c r="A1682" s="623" t="s">
        <v>2588</v>
      </c>
      <c r="B1682" s="624" t="s">
        <v>1284</v>
      </c>
      <c r="C1682" s="625" t="s">
        <v>79</v>
      </c>
      <c r="D1682" s="626">
        <v>8.48</v>
      </c>
      <c r="E1682" s="622"/>
      <c r="F1682" s="334"/>
      <c r="G1682" s="334"/>
      <c r="H1682" s="602"/>
      <c r="I1682" s="334"/>
      <c r="J1682" s="334"/>
      <c r="K1682" s="334"/>
      <c r="L1682" s="334"/>
      <c r="M1682" s="334"/>
      <c r="N1682" s="334"/>
      <c r="O1682" s="334"/>
    </row>
    <row r="1683" spans="1:15" ht="12.75" hidden="1" customHeight="1" outlineLevel="1" x14ac:dyDescent="0.2">
      <c r="A1683" s="627" t="s">
        <v>2589</v>
      </c>
      <c r="B1683" s="628" t="s">
        <v>1286</v>
      </c>
      <c r="C1683" s="629" t="s">
        <v>100</v>
      </c>
      <c r="D1683" s="630">
        <v>2.2000000000000002</v>
      </c>
      <c r="E1683" s="622"/>
      <c r="F1683" s="334"/>
      <c r="G1683" s="334"/>
      <c r="H1683" s="602"/>
      <c r="I1683" s="334"/>
      <c r="J1683" s="334"/>
      <c r="K1683" s="334"/>
      <c r="L1683" s="334"/>
      <c r="M1683" s="334"/>
      <c r="N1683" s="334"/>
      <c r="O1683" s="334"/>
    </row>
    <row r="1684" spans="1:15" ht="12.75" hidden="1" customHeight="1" outlineLevel="1" x14ac:dyDescent="0.2">
      <c r="A1684" s="623" t="s">
        <v>2590</v>
      </c>
      <c r="B1684" s="624" t="s">
        <v>1298</v>
      </c>
      <c r="C1684" s="625" t="s">
        <v>100</v>
      </c>
      <c r="D1684" s="626">
        <v>1.68</v>
      </c>
      <c r="E1684" s="622"/>
      <c r="F1684" s="334"/>
      <c r="G1684" s="334"/>
      <c r="H1684" s="602"/>
      <c r="I1684" s="334"/>
      <c r="J1684" s="334"/>
      <c r="K1684" s="334"/>
      <c r="L1684" s="334"/>
      <c r="M1684" s="334"/>
      <c r="N1684" s="334"/>
      <c r="O1684" s="334"/>
    </row>
    <row r="1685" spans="1:15" ht="12.75" customHeight="1" x14ac:dyDescent="0.2">
      <c r="A1685" s="614" t="s">
        <v>2591</v>
      </c>
      <c r="B1685" s="615" t="s">
        <v>526</v>
      </c>
      <c r="C1685" s="616"/>
      <c r="D1685" s="617"/>
      <c r="E1685" s="622"/>
      <c r="F1685" s="334"/>
      <c r="G1685" s="334"/>
      <c r="H1685" s="602"/>
      <c r="I1685" s="334"/>
      <c r="J1685" s="334"/>
      <c r="K1685" s="334"/>
      <c r="L1685" s="334"/>
      <c r="M1685" s="334"/>
      <c r="N1685" s="334"/>
      <c r="O1685" s="334"/>
    </row>
    <row r="1686" spans="1:15" ht="12.75" customHeight="1" x14ac:dyDescent="0.2">
      <c r="A1686" s="618" t="s">
        <v>2592</v>
      </c>
      <c r="B1686" s="619" t="s">
        <v>1102</v>
      </c>
      <c r="C1686" s="620"/>
      <c r="D1686" s="621"/>
      <c r="E1686" s="622"/>
      <c r="F1686" s="334"/>
      <c r="G1686" s="334"/>
      <c r="H1686" s="602"/>
      <c r="I1686" s="334"/>
      <c r="J1686" s="334"/>
      <c r="K1686" s="334"/>
      <c r="L1686" s="334"/>
      <c r="M1686" s="334"/>
      <c r="N1686" s="334"/>
      <c r="O1686" s="334"/>
    </row>
    <row r="1687" spans="1:15" ht="12.75" customHeight="1" x14ac:dyDescent="0.2">
      <c r="A1687" s="627" t="s">
        <v>2593</v>
      </c>
      <c r="B1687" s="628" t="s">
        <v>1270</v>
      </c>
      <c r="C1687" s="629" t="s">
        <v>100</v>
      </c>
      <c r="D1687" s="630">
        <v>9.02</v>
      </c>
      <c r="E1687" s="622"/>
      <c r="F1687" s="334"/>
      <c r="G1687" s="334"/>
      <c r="H1687" s="602"/>
      <c r="I1687" s="334"/>
      <c r="J1687" s="334"/>
      <c r="K1687" s="334"/>
      <c r="L1687" s="334"/>
      <c r="M1687" s="334"/>
      <c r="N1687" s="334"/>
      <c r="O1687" s="334"/>
    </row>
    <row r="1688" spans="1:15" ht="12.75" customHeight="1" collapsed="1" x14ac:dyDescent="0.2">
      <c r="A1688" s="614" t="s">
        <v>2594</v>
      </c>
      <c r="B1688" s="615" t="s">
        <v>530</v>
      </c>
      <c r="C1688" s="616"/>
      <c r="D1688" s="617"/>
      <c r="E1688" s="622"/>
      <c r="F1688" s="334"/>
      <c r="G1688" s="334"/>
      <c r="H1688" s="602"/>
      <c r="I1688" s="334"/>
      <c r="J1688" s="334"/>
      <c r="K1688" s="334"/>
      <c r="L1688" s="334"/>
      <c r="M1688" s="334"/>
      <c r="N1688" s="334"/>
      <c r="O1688" s="334"/>
    </row>
    <row r="1689" spans="1:15" ht="12.75" hidden="1" customHeight="1" outlineLevel="1" x14ac:dyDescent="0.2">
      <c r="A1689" s="618" t="s">
        <v>2595</v>
      </c>
      <c r="B1689" s="619" t="s">
        <v>1009</v>
      </c>
      <c r="C1689" s="620"/>
      <c r="D1689" s="621"/>
      <c r="E1689" s="622"/>
      <c r="F1689" s="334"/>
      <c r="G1689" s="334"/>
      <c r="H1689" s="602"/>
      <c r="I1689" s="334"/>
      <c r="J1689" s="334"/>
      <c r="K1689" s="334"/>
      <c r="L1689" s="334"/>
      <c r="M1689" s="334"/>
      <c r="N1689" s="334"/>
      <c r="O1689" s="334"/>
    </row>
    <row r="1690" spans="1:15" ht="12.75" hidden="1" customHeight="1" outlineLevel="1" x14ac:dyDescent="0.2">
      <c r="A1690" s="623" t="s">
        <v>2596</v>
      </c>
      <c r="B1690" s="624" t="s">
        <v>1281</v>
      </c>
      <c r="C1690" s="625" t="s">
        <v>79</v>
      </c>
      <c r="D1690" s="626">
        <v>15.67</v>
      </c>
      <c r="E1690" s="622"/>
      <c r="F1690" s="334"/>
      <c r="G1690" s="334"/>
      <c r="H1690" s="602"/>
      <c r="I1690" s="334"/>
      <c r="J1690" s="334"/>
      <c r="K1690" s="334"/>
      <c r="L1690" s="334"/>
      <c r="M1690" s="334"/>
      <c r="N1690" s="334"/>
      <c r="O1690" s="334"/>
    </row>
    <row r="1691" spans="1:15" ht="12.75" hidden="1" customHeight="1" outlineLevel="1" x14ac:dyDescent="0.2">
      <c r="A1691" s="627" t="s">
        <v>2597</v>
      </c>
      <c r="B1691" s="628" t="s">
        <v>1275</v>
      </c>
      <c r="C1691" s="629" t="s">
        <v>88</v>
      </c>
      <c r="D1691" s="630">
        <v>2</v>
      </c>
      <c r="E1691" s="622"/>
      <c r="F1691" s="334"/>
      <c r="G1691" s="334"/>
      <c r="H1691" s="602"/>
      <c r="I1691" s="334"/>
      <c r="J1691" s="334"/>
      <c r="K1691" s="334"/>
      <c r="L1691" s="334"/>
      <c r="M1691" s="334"/>
      <c r="N1691" s="334"/>
      <c r="O1691" s="334"/>
    </row>
    <row r="1692" spans="1:15" ht="12.75" hidden="1" customHeight="1" outlineLevel="1" x14ac:dyDescent="0.2">
      <c r="A1692" s="623" t="s">
        <v>2598</v>
      </c>
      <c r="B1692" s="624" t="s">
        <v>1277</v>
      </c>
      <c r="C1692" s="625" t="s">
        <v>88</v>
      </c>
      <c r="D1692" s="626">
        <v>2</v>
      </c>
      <c r="E1692" s="622"/>
      <c r="F1692" s="334"/>
      <c r="G1692" s="334"/>
      <c r="H1692" s="602"/>
      <c r="I1692" s="334"/>
      <c r="J1692" s="334"/>
      <c r="K1692" s="334"/>
      <c r="L1692" s="334"/>
      <c r="M1692" s="334"/>
      <c r="N1692" s="334"/>
      <c r="O1692" s="334"/>
    </row>
    <row r="1693" spans="1:15" ht="12.75" hidden="1" customHeight="1" outlineLevel="1" x14ac:dyDescent="0.2">
      <c r="A1693" s="618" t="s">
        <v>2599</v>
      </c>
      <c r="B1693" s="619" t="s">
        <v>1017</v>
      </c>
      <c r="C1693" s="620"/>
      <c r="D1693" s="621"/>
      <c r="E1693" s="622"/>
      <c r="F1693" s="334"/>
      <c r="G1693" s="334"/>
      <c r="H1693" s="602"/>
      <c r="I1693" s="334"/>
      <c r="J1693" s="334"/>
      <c r="K1693" s="334"/>
      <c r="L1693" s="334"/>
      <c r="M1693" s="334"/>
      <c r="N1693" s="334"/>
      <c r="O1693" s="334"/>
    </row>
    <row r="1694" spans="1:15" ht="12.75" hidden="1" customHeight="1" outlineLevel="1" x14ac:dyDescent="0.2">
      <c r="A1694" s="627" t="s">
        <v>2600</v>
      </c>
      <c r="B1694" s="628" t="s">
        <v>1281</v>
      </c>
      <c r="C1694" s="629" t="s">
        <v>79</v>
      </c>
      <c r="D1694" s="630">
        <v>16.41</v>
      </c>
      <c r="E1694" s="622"/>
      <c r="F1694" s="334"/>
      <c r="G1694" s="334"/>
      <c r="H1694" s="602"/>
      <c r="I1694" s="334"/>
      <c r="J1694" s="334"/>
      <c r="K1694" s="334"/>
      <c r="L1694" s="334"/>
      <c r="M1694" s="334"/>
      <c r="N1694" s="334"/>
      <c r="O1694" s="334"/>
    </row>
    <row r="1695" spans="1:15" ht="12.75" hidden="1" customHeight="1" outlineLevel="1" x14ac:dyDescent="0.2">
      <c r="A1695" s="618" t="s">
        <v>2601</v>
      </c>
      <c r="B1695" s="619" t="s">
        <v>1021</v>
      </c>
      <c r="C1695" s="620"/>
      <c r="D1695" s="621"/>
      <c r="E1695" s="622"/>
      <c r="F1695" s="334"/>
      <c r="G1695" s="334"/>
      <c r="H1695" s="602"/>
      <c r="I1695" s="334"/>
      <c r="J1695" s="334"/>
      <c r="K1695" s="334"/>
      <c r="L1695" s="334"/>
      <c r="M1695" s="334"/>
      <c r="N1695" s="334"/>
      <c r="O1695" s="334"/>
    </row>
    <row r="1696" spans="1:15" ht="12.75" hidden="1" customHeight="1" outlineLevel="1" x14ac:dyDescent="0.2">
      <c r="A1696" s="623" t="s">
        <v>2602</v>
      </c>
      <c r="B1696" s="624" t="s">
        <v>1281</v>
      </c>
      <c r="C1696" s="625" t="s">
        <v>79</v>
      </c>
      <c r="D1696" s="626">
        <v>15.46</v>
      </c>
      <c r="E1696" s="622"/>
      <c r="F1696" s="334"/>
      <c r="G1696" s="334"/>
      <c r="H1696" s="602"/>
      <c r="I1696" s="334"/>
      <c r="J1696" s="334"/>
      <c r="K1696" s="334"/>
      <c r="L1696" s="334"/>
      <c r="M1696" s="334"/>
      <c r="N1696" s="334"/>
      <c r="O1696" s="334"/>
    </row>
    <row r="1697" spans="1:15" ht="12.75" hidden="1" customHeight="1" outlineLevel="1" x14ac:dyDescent="0.2">
      <c r="A1697" s="627" t="s">
        <v>2603</v>
      </c>
      <c r="B1697" s="628" t="s">
        <v>1273</v>
      </c>
      <c r="C1697" s="629" t="s">
        <v>88</v>
      </c>
      <c r="D1697" s="630">
        <v>8</v>
      </c>
      <c r="E1697" s="622"/>
      <c r="F1697" s="334"/>
      <c r="G1697" s="334"/>
      <c r="H1697" s="602"/>
      <c r="I1697" s="334"/>
      <c r="J1697" s="334"/>
      <c r="K1697" s="334"/>
      <c r="L1697" s="334"/>
      <c r="M1697" s="334"/>
      <c r="N1697" s="334"/>
      <c r="O1697" s="334"/>
    </row>
    <row r="1698" spans="1:15" ht="12.75" hidden="1" customHeight="1" outlineLevel="1" x14ac:dyDescent="0.2">
      <c r="A1698" s="623" t="s">
        <v>2604</v>
      </c>
      <c r="B1698" s="624" t="s">
        <v>1275</v>
      </c>
      <c r="C1698" s="625" t="s">
        <v>88</v>
      </c>
      <c r="D1698" s="626">
        <v>2</v>
      </c>
      <c r="E1698" s="622"/>
      <c r="F1698" s="334"/>
      <c r="G1698" s="334"/>
      <c r="H1698" s="602"/>
      <c r="I1698" s="334"/>
      <c r="J1698" s="334"/>
      <c r="K1698" s="334"/>
      <c r="L1698" s="334"/>
      <c r="M1698" s="334"/>
      <c r="N1698" s="334"/>
      <c r="O1698" s="334"/>
    </row>
    <row r="1699" spans="1:15" ht="12.75" hidden="1" customHeight="1" outlineLevel="1" x14ac:dyDescent="0.2">
      <c r="A1699" s="627" t="s">
        <v>2605</v>
      </c>
      <c r="B1699" s="628" t="s">
        <v>1277</v>
      </c>
      <c r="C1699" s="629" t="s">
        <v>88</v>
      </c>
      <c r="D1699" s="630">
        <v>6</v>
      </c>
      <c r="E1699" s="622"/>
      <c r="F1699" s="334"/>
      <c r="G1699" s="334"/>
      <c r="H1699" s="602"/>
      <c r="I1699" s="334"/>
      <c r="J1699" s="334"/>
      <c r="K1699" s="334"/>
      <c r="L1699" s="334"/>
      <c r="M1699" s="334"/>
      <c r="N1699" s="334"/>
      <c r="O1699" s="334"/>
    </row>
    <row r="1700" spans="1:15" ht="12.75" hidden="1" customHeight="1" outlineLevel="1" x14ac:dyDescent="0.2">
      <c r="A1700" s="623" t="s">
        <v>2606</v>
      </c>
      <c r="B1700" s="624" t="s">
        <v>1279</v>
      </c>
      <c r="C1700" s="625" t="s">
        <v>88</v>
      </c>
      <c r="D1700" s="626">
        <v>8</v>
      </c>
      <c r="E1700" s="622"/>
      <c r="F1700" s="334"/>
      <c r="G1700" s="334"/>
      <c r="H1700" s="602"/>
      <c r="I1700" s="334"/>
      <c r="J1700" s="334"/>
      <c r="K1700" s="334"/>
      <c r="L1700" s="334"/>
      <c r="M1700" s="334"/>
      <c r="N1700" s="334"/>
      <c r="O1700" s="334"/>
    </row>
    <row r="1701" spans="1:15" ht="12.75" hidden="1" customHeight="1" outlineLevel="1" x14ac:dyDescent="0.2">
      <c r="A1701" s="618" t="s">
        <v>2607</v>
      </c>
      <c r="B1701" s="619" t="s">
        <v>1030</v>
      </c>
      <c r="C1701" s="620"/>
      <c r="D1701" s="621"/>
      <c r="E1701" s="622"/>
      <c r="F1701" s="334"/>
      <c r="G1701" s="334"/>
      <c r="H1701" s="602"/>
      <c r="I1701" s="334"/>
      <c r="J1701" s="334"/>
      <c r="K1701" s="334"/>
      <c r="L1701" s="334"/>
      <c r="M1701" s="334"/>
      <c r="N1701" s="334"/>
      <c r="O1701" s="334"/>
    </row>
    <row r="1702" spans="1:15" ht="12.75" hidden="1" customHeight="1" outlineLevel="1" x14ac:dyDescent="0.2">
      <c r="A1702" s="627" t="s">
        <v>2608</v>
      </c>
      <c r="B1702" s="628" t="s">
        <v>1281</v>
      </c>
      <c r="C1702" s="629" t="s">
        <v>79</v>
      </c>
      <c r="D1702" s="630">
        <v>15.67</v>
      </c>
      <c r="E1702" s="622"/>
      <c r="F1702" s="334"/>
      <c r="G1702" s="334"/>
      <c r="H1702" s="602"/>
      <c r="I1702" s="334"/>
      <c r="J1702" s="334"/>
      <c r="K1702" s="334"/>
      <c r="L1702" s="334"/>
      <c r="M1702" s="334"/>
      <c r="N1702" s="334"/>
      <c r="O1702" s="334"/>
    </row>
    <row r="1703" spans="1:15" ht="12.75" hidden="1" customHeight="1" outlineLevel="1" x14ac:dyDescent="0.2">
      <c r="A1703" s="623" t="s">
        <v>2609</v>
      </c>
      <c r="B1703" s="624" t="s">
        <v>1273</v>
      </c>
      <c r="C1703" s="625" t="s">
        <v>88</v>
      </c>
      <c r="D1703" s="626">
        <v>6</v>
      </c>
      <c r="E1703" s="622"/>
      <c r="F1703" s="334"/>
      <c r="G1703" s="334"/>
      <c r="H1703" s="602"/>
      <c r="I1703" s="334"/>
      <c r="J1703" s="334"/>
      <c r="K1703" s="334"/>
      <c r="L1703" s="334"/>
      <c r="M1703" s="334"/>
      <c r="N1703" s="334"/>
      <c r="O1703" s="334"/>
    </row>
    <row r="1704" spans="1:15" ht="12.75" hidden="1" customHeight="1" outlineLevel="1" x14ac:dyDescent="0.2">
      <c r="A1704" s="627" t="s">
        <v>2610</v>
      </c>
      <c r="B1704" s="628" t="s">
        <v>1275</v>
      </c>
      <c r="C1704" s="629" t="s">
        <v>88</v>
      </c>
      <c r="D1704" s="630">
        <v>4</v>
      </c>
      <c r="E1704" s="622"/>
      <c r="F1704" s="334"/>
      <c r="G1704" s="334"/>
      <c r="H1704" s="602"/>
      <c r="I1704" s="334"/>
      <c r="J1704" s="334"/>
      <c r="K1704" s="334"/>
      <c r="L1704" s="334"/>
      <c r="M1704" s="334"/>
      <c r="N1704" s="334"/>
      <c r="O1704" s="334"/>
    </row>
    <row r="1705" spans="1:15" ht="12.75" hidden="1" customHeight="1" outlineLevel="1" x14ac:dyDescent="0.2">
      <c r="A1705" s="623" t="s">
        <v>2611</v>
      </c>
      <c r="B1705" s="624" t="s">
        <v>1277</v>
      </c>
      <c r="C1705" s="625" t="s">
        <v>88</v>
      </c>
      <c r="D1705" s="626">
        <v>1</v>
      </c>
      <c r="E1705" s="622"/>
      <c r="F1705" s="334"/>
      <c r="G1705" s="334"/>
      <c r="H1705" s="602"/>
      <c r="I1705" s="334"/>
      <c r="J1705" s="334"/>
      <c r="K1705" s="334"/>
      <c r="L1705" s="334"/>
      <c r="M1705" s="334"/>
      <c r="N1705" s="334"/>
      <c r="O1705" s="334"/>
    </row>
    <row r="1706" spans="1:15" ht="12.75" hidden="1" customHeight="1" outlineLevel="1" x14ac:dyDescent="0.2">
      <c r="A1706" s="627" t="s">
        <v>2612</v>
      </c>
      <c r="B1706" s="628" t="s">
        <v>1279</v>
      </c>
      <c r="C1706" s="629" t="s">
        <v>88</v>
      </c>
      <c r="D1706" s="630">
        <v>10</v>
      </c>
      <c r="E1706" s="622"/>
      <c r="F1706" s="334"/>
      <c r="G1706" s="334"/>
      <c r="H1706" s="602"/>
      <c r="I1706" s="334"/>
      <c r="J1706" s="334"/>
      <c r="K1706" s="334"/>
      <c r="L1706" s="334"/>
      <c r="M1706" s="334"/>
      <c r="N1706" s="334"/>
      <c r="O1706" s="334"/>
    </row>
    <row r="1707" spans="1:15" ht="12.75" hidden="1" customHeight="1" outlineLevel="1" x14ac:dyDescent="0.2">
      <c r="A1707" s="618" t="s">
        <v>2613</v>
      </c>
      <c r="B1707" s="619" t="s">
        <v>1039</v>
      </c>
      <c r="C1707" s="620"/>
      <c r="D1707" s="621"/>
      <c r="E1707" s="622"/>
      <c r="F1707" s="334"/>
      <c r="G1707" s="334"/>
      <c r="H1707" s="602"/>
      <c r="I1707" s="334"/>
      <c r="J1707" s="334"/>
      <c r="K1707" s="334"/>
      <c r="L1707" s="334"/>
      <c r="M1707" s="334"/>
      <c r="N1707" s="334"/>
      <c r="O1707" s="334"/>
    </row>
    <row r="1708" spans="1:15" ht="12.75" hidden="1" customHeight="1" outlineLevel="1" x14ac:dyDescent="0.2">
      <c r="A1708" s="623" t="s">
        <v>2614</v>
      </c>
      <c r="B1708" s="624" t="s">
        <v>1281</v>
      </c>
      <c r="C1708" s="625" t="s">
        <v>79</v>
      </c>
      <c r="D1708" s="626">
        <v>15.67</v>
      </c>
      <c r="E1708" s="622"/>
      <c r="F1708" s="334"/>
      <c r="G1708" s="334"/>
      <c r="H1708" s="602"/>
      <c r="I1708" s="334"/>
      <c r="J1708" s="334"/>
      <c r="K1708" s="334"/>
      <c r="L1708" s="334"/>
      <c r="M1708" s="334"/>
      <c r="N1708" s="334"/>
      <c r="O1708" s="334"/>
    </row>
    <row r="1709" spans="1:15" ht="12.75" hidden="1" customHeight="1" outlineLevel="1" x14ac:dyDescent="0.2">
      <c r="A1709" s="627" t="s">
        <v>2615</v>
      </c>
      <c r="B1709" s="628" t="s">
        <v>1273</v>
      </c>
      <c r="C1709" s="629" t="s">
        <v>88</v>
      </c>
      <c r="D1709" s="630">
        <v>8</v>
      </c>
      <c r="E1709" s="622"/>
      <c r="F1709" s="334"/>
      <c r="G1709" s="334"/>
      <c r="H1709" s="602"/>
      <c r="I1709" s="334"/>
      <c r="J1709" s="334"/>
      <c r="K1709" s="334"/>
      <c r="L1709" s="334"/>
      <c r="M1709" s="334"/>
      <c r="N1709" s="334"/>
      <c r="O1709" s="334"/>
    </row>
    <row r="1710" spans="1:15" ht="12.75" hidden="1" customHeight="1" outlineLevel="1" x14ac:dyDescent="0.2">
      <c r="A1710" s="623" t="s">
        <v>2616</v>
      </c>
      <c r="B1710" s="624" t="s">
        <v>1275</v>
      </c>
      <c r="C1710" s="625" t="s">
        <v>88</v>
      </c>
      <c r="D1710" s="626">
        <v>4</v>
      </c>
      <c r="E1710" s="622"/>
      <c r="F1710" s="334"/>
      <c r="G1710" s="334"/>
      <c r="H1710" s="602"/>
      <c r="I1710" s="334"/>
      <c r="J1710" s="334"/>
      <c r="K1710" s="334"/>
      <c r="L1710" s="334"/>
      <c r="M1710" s="334"/>
      <c r="N1710" s="334"/>
      <c r="O1710" s="334"/>
    </row>
    <row r="1711" spans="1:15" ht="12.75" hidden="1" customHeight="1" outlineLevel="1" x14ac:dyDescent="0.2">
      <c r="A1711" s="627" t="s">
        <v>2617</v>
      </c>
      <c r="B1711" s="628" t="s">
        <v>1277</v>
      </c>
      <c r="C1711" s="629" t="s">
        <v>88</v>
      </c>
      <c r="D1711" s="630">
        <v>8</v>
      </c>
      <c r="E1711" s="622"/>
      <c r="F1711" s="334"/>
      <c r="G1711" s="334"/>
      <c r="H1711" s="602"/>
      <c r="I1711" s="334"/>
      <c r="J1711" s="334"/>
      <c r="K1711" s="334"/>
      <c r="L1711" s="334"/>
      <c r="M1711" s="334"/>
      <c r="N1711" s="334"/>
      <c r="O1711" s="334"/>
    </row>
    <row r="1712" spans="1:15" ht="12.75" hidden="1" customHeight="1" outlineLevel="1" x14ac:dyDescent="0.2">
      <c r="A1712" s="623" t="s">
        <v>2618</v>
      </c>
      <c r="B1712" s="624" t="s">
        <v>1279</v>
      </c>
      <c r="C1712" s="625" t="s">
        <v>88</v>
      </c>
      <c r="D1712" s="626">
        <v>6</v>
      </c>
      <c r="E1712" s="622"/>
      <c r="F1712" s="334"/>
      <c r="G1712" s="334"/>
      <c r="H1712" s="602"/>
      <c r="I1712" s="334"/>
      <c r="J1712" s="334"/>
      <c r="K1712" s="334"/>
      <c r="L1712" s="334"/>
      <c r="M1712" s="334"/>
      <c r="N1712" s="334"/>
      <c r="O1712" s="334"/>
    </row>
    <row r="1713" spans="1:15" ht="12.75" hidden="1" customHeight="1" outlineLevel="1" x14ac:dyDescent="0.2">
      <c r="A1713" s="618" t="s">
        <v>2619</v>
      </c>
      <c r="B1713" s="619" t="s">
        <v>1047</v>
      </c>
      <c r="C1713" s="620"/>
      <c r="D1713" s="621"/>
      <c r="E1713" s="622"/>
      <c r="F1713" s="334"/>
      <c r="G1713" s="334"/>
      <c r="H1713" s="602"/>
      <c r="I1713" s="334"/>
      <c r="J1713" s="334"/>
      <c r="K1713" s="334"/>
      <c r="L1713" s="334"/>
      <c r="M1713" s="334"/>
      <c r="N1713" s="334"/>
      <c r="O1713" s="334"/>
    </row>
    <row r="1714" spans="1:15" ht="12.75" hidden="1" customHeight="1" outlineLevel="1" x14ac:dyDescent="0.2">
      <c r="A1714" s="627" t="s">
        <v>2620</v>
      </c>
      <c r="B1714" s="628" t="s">
        <v>1281</v>
      </c>
      <c r="C1714" s="629" t="s">
        <v>79</v>
      </c>
      <c r="D1714" s="630">
        <v>15.67</v>
      </c>
      <c r="E1714" s="622"/>
      <c r="F1714" s="334"/>
      <c r="G1714" s="334"/>
      <c r="H1714" s="602"/>
      <c r="I1714" s="334"/>
      <c r="J1714" s="334"/>
      <c r="K1714" s="334"/>
      <c r="L1714" s="334"/>
      <c r="M1714" s="334"/>
      <c r="N1714" s="334"/>
      <c r="O1714" s="334"/>
    </row>
    <row r="1715" spans="1:15" ht="12.75" hidden="1" customHeight="1" outlineLevel="1" x14ac:dyDescent="0.2">
      <c r="A1715" s="623" t="s">
        <v>2621</v>
      </c>
      <c r="B1715" s="624" t="s">
        <v>1273</v>
      </c>
      <c r="C1715" s="625" t="s">
        <v>88</v>
      </c>
      <c r="D1715" s="626">
        <v>6</v>
      </c>
      <c r="E1715" s="622"/>
      <c r="F1715" s="334"/>
      <c r="G1715" s="334"/>
      <c r="H1715" s="602"/>
      <c r="I1715" s="334"/>
      <c r="J1715" s="334"/>
      <c r="K1715" s="334"/>
      <c r="L1715" s="334"/>
      <c r="M1715" s="334"/>
      <c r="N1715" s="334"/>
      <c r="O1715" s="334"/>
    </row>
    <row r="1716" spans="1:15" ht="12.75" hidden="1" customHeight="1" outlineLevel="1" x14ac:dyDescent="0.2">
      <c r="A1716" s="627" t="s">
        <v>2622</v>
      </c>
      <c r="B1716" s="628" t="s">
        <v>1275</v>
      </c>
      <c r="C1716" s="629" t="s">
        <v>88</v>
      </c>
      <c r="D1716" s="630">
        <v>4</v>
      </c>
      <c r="E1716" s="622"/>
      <c r="F1716" s="334"/>
      <c r="G1716" s="334"/>
      <c r="H1716" s="602"/>
      <c r="I1716" s="334"/>
      <c r="J1716" s="334"/>
      <c r="K1716" s="334"/>
      <c r="L1716" s="334"/>
      <c r="M1716" s="334"/>
      <c r="N1716" s="334"/>
      <c r="O1716" s="334"/>
    </row>
    <row r="1717" spans="1:15" ht="12.75" hidden="1" customHeight="1" outlineLevel="1" x14ac:dyDescent="0.2">
      <c r="A1717" s="623" t="s">
        <v>2623</v>
      </c>
      <c r="B1717" s="624" t="s">
        <v>1277</v>
      </c>
      <c r="C1717" s="625" t="s">
        <v>88</v>
      </c>
      <c r="D1717" s="626">
        <v>1</v>
      </c>
      <c r="E1717" s="622"/>
      <c r="F1717" s="334"/>
      <c r="G1717" s="334"/>
      <c r="H1717" s="602"/>
      <c r="I1717" s="334"/>
      <c r="J1717" s="334"/>
      <c r="K1717" s="334"/>
      <c r="L1717" s="334"/>
      <c r="M1717" s="334"/>
      <c r="N1717" s="334"/>
      <c r="O1717" s="334"/>
    </row>
    <row r="1718" spans="1:15" ht="12.75" hidden="1" customHeight="1" outlineLevel="1" x14ac:dyDescent="0.2">
      <c r="A1718" s="627" t="s">
        <v>2624</v>
      </c>
      <c r="B1718" s="628" t="s">
        <v>1279</v>
      </c>
      <c r="C1718" s="629" t="s">
        <v>88</v>
      </c>
      <c r="D1718" s="630">
        <v>10</v>
      </c>
      <c r="E1718" s="622"/>
      <c r="F1718" s="334"/>
      <c r="G1718" s="334"/>
      <c r="H1718" s="602"/>
      <c r="I1718" s="334"/>
      <c r="J1718" s="334"/>
      <c r="K1718" s="334"/>
      <c r="L1718" s="334"/>
      <c r="M1718" s="334"/>
      <c r="N1718" s="334"/>
      <c r="O1718" s="334"/>
    </row>
    <row r="1719" spans="1:15" ht="12.75" hidden="1" customHeight="1" outlineLevel="1" x14ac:dyDescent="0.2">
      <c r="A1719" s="618" t="s">
        <v>2625</v>
      </c>
      <c r="B1719" s="619" t="s">
        <v>1058</v>
      </c>
      <c r="C1719" s="620"/>
      <c r="D1719" s="621"/>
      <c r="E1719" s="622"/>
      <c r="F1719" s="334"/>
      <c r="G1719" s="334"/>
      <c r="H1719" s="602"/>
      <c r="I1719" s="334"/>
      <c r="J1719" s="334"/>
      <c r="K1719" s="334"/>
      <c r="L1719" s="334"/>
      <c r="M1719" s="334"/>
      <c r="N1719" s="334"/>
      <c r="O1719" s="334"/>
    </row>
    <row r="1720" spans="1:15" ht="12.75" hidden="1" customHeight="1" outlineLevel="1" x14ac:dyDescent="0.2">
      <c r="A1720" s="623" t="s">
        <v>2626</v>
      </c>
      <c r="B1720" s="624" t="s">
        <v>1281</v>
      </c>
      <c r="C1720" s="625" t="s">
        <v>79</v>
      </c>
      <c r="D1720" s="626">
        <v>15.67</v>
      </c>
      <c r="E1720" s="622"/>
      <c r="F1720" s="334"/>
      <c r="G1720" s="334"/>
      <c r="H1720" s="602"/>
      <c r="I1720" s="334"/>
      <c r="J1720" s="334"/>
      <c r="K1720" s="334"/>
      <c r="L1720" s="334"/>
      <c r="M1720" s="334"/>
      <c r="N1720" s="334"/>
      <c r="O1720" s="334"/>
    </row>
    <row r="1721" spans="1:15" ht="12.75" hidden="1" customHeight="1" outlineLevel="1" x14ac:dyDescent="0.2">
      <c r="A1721" s="627" t="s">
        <v>2627</v>
      </c>
      <c r="B1721" s="628" t="s">
        <v>1273</v>
      </c>
      <c r="C1721" s="629" t="s">
        <v>88</v>
      </c>
      <c r="D1721" s="630">
        <v>6</v>
      </c>
      <c r="E1721" s="622"/>
      <c r="F1721" s="334"/>
      <c r="G1721" s="334"/>
      <c r="H1721" s="602"/>
      <c r="I1721" s="334"/>
      <c r="J1721" s="334"/>
      <c r="K1721" s="334"/>
      <c r="L1721" s="334"/>
      <c r="M1721" s="334"/>
      <c r="N1721" s="334"/>
      <c r="O1721" s="334"/>
    </row>
    <row r="1722" spans="1:15" ht="12.75" hidden="1" customHeight="1" outlineLevel="1" x14ac:dyDescent="0.2">
      <c r="A1722" s="623" t="s">
        <v>2628</v>
      </c>
      <c r="B1722" s="624" t="s">
        <v>1275</v>
      </c>
      <c r="C1722" s="625" t="s">
        <v>88</v>
      </c>
      <c r="D1722" s="626">
        <v>4</v>
      </c>
      <c r="E1722" s="622"/>
      <c r="F1722" s="334"/>
      <c r="G1722" s="334"/>
      <c r="H1722" s="602"/>
      <c r="I1722" s="334"/>
      <c r="J1722" s="334"/>
      <c r="K1722" s="334"/>
      <c r="L1722" s="334"/>
      <c r="M1722" s="334"/>
      <c r="N1722" s="334"/>
      <c r="O1722" s="334"/>
    </row>
    <row r="1723" spans="1:15" ht="12.75" hidden="1" customHeight="1" outlineLevel="1" x14ac:dyDescent="0.2">
      <c r="A1723" s="627" t="s">
        <v>2629</v>
      </c>
      <c r="B1723" s="628" t="s">
        <v>1277</v>
      </c>
      <c r="C1723" s="629" t="s">
        <v>88</v>
      </c>
      <c r="D1723" s="630">
        <v>1</v>
      </c>
      <c r="E1723" s="622"/>
      <c r="F1723" s="334"/>
      <c r="G1723" s="334"/>
      <c r="H1723" s="602"/>
      <c r="I1723" s="334"/>
      <c r="J1723" s="334"/>
      <c r="K1723" s="334"/>
      <c r="L1723" s="334"/>
      <c r="M1723" s="334"/>
      <c r="N1723" s="334"/>
      <c r="O1723" s="334"/>
    </row>
    <row r="1724" spans="1:15" ht="12.75" hidden="1" customHeight="1" outlineLevel="1" x14ac:dyDescent="0.2">
      <c r="A1724" s="623" t="s">
        <v>2630</v>
      </c>
      <c r="B1724" s="624" t="s">
        <v>1279</v>
      </c>
      <c r="C1724" s="625" t="s">
        <v>88</v>
      </c>
      <c r="D1724" s="626">
        <v>10</v>
      </c>
      <c r="E1724" s="622"/>
      <c r="F1724" s="334"/>
      <c r="G1724" s="334"/>
      <c r="H1724" s="602"/>
      <c r="I1724" s="334"/>
      <c r="J1724" s="334"/>
      <c r="K1724" s="334"/>
      <c r="L1724" s="334"/>
      <c r="M1724" s="334"/>
      <c r="N1724" s="334"/>
      <c r="O1724" s="334"/>
    </row>
    <row r="1725" spans="1:15" ht="12.75" hidden="1" customHeight="1" outlineLevel="1" x14ac:dyDescent="0.2">
      <c r="A1725" s="618" t="s">
        <v>2631</v>
      </c>
      <c r="B1725" s="619" t="s">
        <v>1069</v>
      </c>
      <c r="C1725" s="620"/>
      <c r="D1725" s="621"/>
      <c r="E1725" s="622"/>
      <c r="F1725" s="334"/>
      <c r="G1725" s="334"/>
      <c r="H1725" s="602"/>
      <c r="I1725" s="334"/>
      <c r="J1725" s="334"/>
      <c r="K1725" s="334"/>
      <c r="L1725" s="334"/>
      <c r="M1725" s="334"/>
      <c r="N1725" s="334"/>
      <c r="O1725" s="334"/>
    </row>
    <row r="1726" spans="1:15" ht="12.75" hidden="1" customHeight="1" outlineLevel="1" x14ac:dyDescent="0.2">
      <c r="A1726" s="627" t="s">
        <v>2632</v>
      </c>
      <c r="B1726" s="628" t="s">
        <v>1281</v>
      </c>
      <c r="C1726" s="629" t="s">
        <v>79</v>
      </c>
      <c r="D1726" s="630">
        <v>15.67</v>
      </c>
      <c r="E1726" s="622"/>
      <c r="F1726" s="334"/>
      <c r="G1726" s="334"/>
      <c r="H1726" s="602"/>
      <c r="I1726" s="334"/>
      <c r="J1726" s="334"/>
      <c r="K1726" s="334"/>
      <c r="L1726" s="334"/>
      <c r="M1726" s="334"/>
      <c r="N1726" s="334"/>
      <c r="O1726" s="334"/>
    </row>
    <row r="1727" spans="1:15" ht="12.75" hidden="1" customHeight="1" outlineLevel="1" x14ac:dyDescent="0.2">
      <c r="A1727" s="623" t="s">
        <v>2633</v>
      </c>
      <c r="B1727" s="624" t="s">
        <v>1273</v>
      </c>
      <c r="C1727" s="625" t="s">
        <v>88</v>
      </c>
      <c r="D1727" s="626">
        <v>6</v>
      </c>
      <c r="E1727" s="622"/>
      <c r="F1727" s="334"/>
      <c r="G1727" s="334"/>
      <c r="H1727" s="602"/>
      <c r="I1727" s="334"/>
      <c r="J1727" s="334"/>
      <c r="K1727" s="334"/>
      <c r="L1727" s="334"/>
      <c r="M1727" s="334"/>
      <c r="N1727" s="334"/>
      <c r="O1727" s="334"/>
    </row>
    <row r="1728" spans="1:15" ht="12.75" hidden="1" customHeight="1" outlineLevel="1" x14ac:dyDescent="0.2">
      <c r="A1728" s="627" t="s">
        <v>2634</v>
      </c>
      <c r="B1728" s="628" t="s">
        <v>1275</v>
      </c>
      <c r="C1728" s="629" t="s">
        <v>88</v>
      </c>
      <c r="D1728" s="630">
        <v>4</v>
      </c>
      <c r="E1728" s="622"/>
      <c r="F1728" s="334"/>
      <c r="G1728" s="334"/>
      <c r="H1728" s="602"/>
      <c r="I1728" s="334"/>
      <c r="J1728" s="334"/>
      <c r="K1728" s="334"/>
      <c r="L1728" s="334"/>
      <c r="M1728" s="334"/>
      <c r="N1728" s="334"/>
      <c r="O1728" s="334"/>
    </row>
    <row r="1729" spans="1:15" ht="12.75" hidden="1" customHeight="1" outlineLevel="1" x14ac:dyDescent="0.2">
      <c r="A1729" s="623" t="s">
        <v>2635</v>
      </c>
      <c r="B1729" s="624" t="s">
        <v>1277</v>
      </c>
      <c r="C1729" s="625" t="s">
        <v>88</v>
      </c>
      <c r="D1729" s="626">
        <v>1</v>
      </c>
      <c r="E1729" s="622"/>
      <c r="F1729" s="334"/>
      <c r="G1729" s="334"/>
      <c r="H1729" s="602"/>
      <c r="I1729" s="334"/>
      <c r="J1729" s="334"/>
      <c r="K1729" s="334"/>
      <c r="L1729" s="334"/>
      <c r="M1729" s="334"/>
      <c r="N1729" s="334"/>
      <c r="O1729" s="334"/>
    </row>
    <row r="1730" spans="1:15" ht="12.75" hidden="1" customHeight="1" outlineLevel="1" x14ac:dyDescent="0.2">
      <c r="A1730" s="627" t="s">
        <v>2636</v>
      </c>
      <c r="B1730" s="628" t="s">
        <v>1279</v>
      </c>
      <c r="C1730" s="629" t="s">
        <v>88</v>
      </c>
      <c r="D1730" s="630">
        <v>10</v>
      </c>
      <c r="E1730" s="622"/>
      <c r="F1730" s="334"/>
      <c r="G1730" s="334"/>
      <c r="H1730" s="602"/>
      <c r="I1730" s="334"/>
      <c r="J1730" s="334"/>
      <c r="K1730" s="334"/>
      <c r="L1730" s="334"/>
      <c r="M1730" s="334"/>
      <c r="N1730" s="334"/>
      <c r="O1730" s="334"/>
    </row>
    <row r="1731" spans="1:15" ht="12.75" hidden="1" customHeight="1" outlineLevel="1" x14ac:dyDescent="0.2">
      <c r="A1731" s="618" t="s">
        <v>2637</v>
      </c>
      <c r="B1731" s="619" t="s">
        <v>1079</v>
      </c>
      <c r="C1731" s="620"/>
      <c r="D1731" s="621"/>
      <c r="E1731" s="622"/>
      <c r="F1731" s="334"/>
      <c r="G1731" s="334"/>
      <c r="H1731" s="602"/>
      <c r="I1731" s="334"/>
      <c r="J1731" s="334"/>
      <c r="K1731" s="334"/>
      <c r="L1731" s="334"/>
      <c r="M1731" s="334"/>
      <c r="N1731" s="334"/>
      <c r="O1731" s="334"/>
    </row>
    <row r="1732" spans="1:15" ht="12.75" hidden="1" customHeight="1" outlineLevel="1" x14ac:dyDescent="0.2">
      <c r="A1732" s="623" t="s">
        <v>2638</v>
      </c>
      <c r="B1732" s="624" t="s">
        <v>1281</v>
      </c>
      <c r="C1732" s="625" t="s">
        <v>79</v>
      </c>
      <c r="D1732" s="626">
        <v>15.67</v>
      </c>
      <c r="E1732" s="622"/>
      <c r="F1732" s="334"/>
      <c r="G1732" s="334"/>
      <c r="H1732" s="602"/>
      <c r="I1732" s="334"/>
      <c r="J1732" s="334"/>
      <c r="K1732" s="334"/>
      <c r="L1732" s="334"/>
      <c r="M1732" s="334"/>
      <c r="N1732" s="334"/>
      <c r="O1732" s="334"/>
    </row>
    <row r="1733" spans="1:15" ht="12.75" hidden="1" customHeight="1" outlineLevel="1" x14ac:dyDescent="0.2">
      <c r="A1733" s="627" t="s">
        <v>2639</v>
      </c>
      <c r="B1733" s="628" t="s">
        <v>1273</v>
      </c>
      <c r="C1733" s="629" t="s">
        <v>88</v>
      </c>
      <c r="D1733" s="630">
        <v>6</v>
      </c>
      <c r="E1733" s="622"/>
      <c r="F1733" s="334"/>
      <c r="G1733" s="334"/>
      <c r="H1733" s="602"/>
      <c r="I1733" s="334"/>
      <c r="J1733" s="334"/>
      <c r="K1733" s="334"/>
      <c r="L1733" s="334"/>
      <c r="M1733" s="334"/>
      <c r="N1733" s="334"/>
      <c r="O1733" s="334"/>
    </row>
    <row r="1734" spans="1:15" ht="12.75" hidden="1" customHeight="1" outlineLevel="1" x14ac:dyDescent="0.2">
      <c r="A1734" s="623" t="s">
        <v>2640</v>
      </c>
      <c r="B1734" s="624" t="s">
        <v>1275</v>
      </c>
      <c r="C1734" s="625" t="s">
        <v>88</v>
      </c>
      <c r="D1734" s="626">
        <v>4</v>
      </c>
      <c r="E1734" s="622"/>
      <c r="F1734" s="334"/>
      <c r="G1734" s="334"/>
      <c r="H1734" s="602"/>
      <c r="I1734" s="334"/>
      <c r="J1734" s="334"/>
      <c r="K1734" s="334"/>
      <c r="L1734" s="334"/>
      <c r="M1734" s="334"/>
      <c r="N1734" s="334"/>
      <c r="O1734" s="334"/>
    </row>
    <row r="1735" spans="1:15" ht="12.75" hidden="1" customHeight="1" outlineLevel="1" x14ac:dyDescent="0.2">
      <c r="A1735" s="627" t="s">
        <v>2641</v>
      </c>
      <c r="B1735" s="628" t="s">
        <v>1277</v>
      </c>
      <c r="C1735" s="629" t="s">
        <v>88</v>
      </c>
      <c r="D1735" s="630">
        <v>1</v>
      </c>
      <c r="E1735" s="622"/>
      <c r="F1735" s="334"/>
      <c r="G1735" s="334"/>
      <c r="H1735" s="602"/>
      <c r="I1735" s="334"/>
      <c r="J1735" s="334"/>
      <c r="K1735" s="334"/>
      <c r="L1735" s="334"/>
      <c r="M1735" s="334"/>
      <c r="N1735" s="334"/>
      <c r="O1735" s="334"/>
    </row>
    <row r="1736" spans="1:15" ht="12.75" hidden="1" customHeight="1" outlineLevel="1" x14ac:dyDescent="0.2">
      <c r="A1736" s="623" t="s">
        <v>2642</v>
      </c>
      <c r="B1736" s="624" t="s">
        <v>1279</v>
      </c>
      <c r="C1736" s="625" t="s">
        <v>88</v>
      </c>
      <c r="D1736" s="626">
        <v>10</v>
      </c>
      <c r="E1736" s="622"/>
      <c r="F1736" s="334"/>
      <c r="G1736" s="334"/>
      <c r="H1736" s="602"/>
      <c r="I1736" s="334"/>
      <c r="J1736" s="334"/>
      <c r="K1736" s="334"/>
      <c r="L1736" s="334"/>
      <c r="M1736" s="334"/>
      <c r="N1736" s="334"/>
      <c r="O1736" s="334"/>
    </row>
    <row r="1737" spans="1:15" ht="12.75" hidden="1" customHeight="1" outlineLevel="1" x14ac:dyDescent="0.2">
      <c r="A1737" s="618" t="s">
        <v>2643</v>
      </c>
      <c r="B1737" s="619" t="s">
        <v>1086</v>
      </c>
      <c r="C1737" s="620"/>
      <c r="D1737" s="621"/>
      <c r="E1737" s="622"/>
      <c r="F1737" s="334"/>
      <c r="G1737" s="334"/>
      <c r="H1737" s="602"/>
      <c r="I1737" s="334"/>
      <c r="J1737" s="334"/>
      <c r="K1737" s="334"/>
      <c r="L1737" s="334"/>
      <c r="M1737" s="334"/>
      <c r="N1737" s="334"/>
      <c r="O1737" s="334"/>
    </row>
    <row r="1738" spans="1:15" ht="12.75" hidden="1" customHeight="1" outlineLevel="1" x14ac:dyDescent="0.2">
      <c r="A1738" s="627" t="s">
        <v>2644</v>
      </c>
      <c r="B1738" s="628" t="s">
        <v>1281</v>
      </c>
      <c r="C1738" s="629" t="s">
        <v>79</v>
      </c>
      <c r="D1738" s="630">
        <v>15.67</v>
      </c>
      <c r="E1738" s="622"/>
      <c r="F1738" s="334"/>
      <c r="G1738" s="334"/>
      <c r="H1738" s="602"/>
      <c r="I1738" s="334"/>
      <c r="J1738" s="334"/>
      <c r="K1738" s="334"/>
      <c r="L1738" s="334"/>
      <c r="M1738" s="334"/>
      <c r="N1738" s="334"/>
      <c r="O1738" s="334"/>
    </row>
    <row r="1739" spans="1:15" ht="12.75" hidden="1" customHeight="1" outlineLevel="1" x14ac:dyDescent="0.2">
      <c r="A1739" s="623" t="s">
        <v>2645</v>
      </c>
      <c r="B1739" s="624" t="s">
        <v>1273</v>
      </c>
      <c r="C1739" s="625" t="s">
        <v>88</v>
      </c>
      <c r="D1739" s="626">
        <v>6</v>
      </c>
      <c r="E1739" s="622"/>
      <c r="F1739" s="334"/>
      <c r="G1739" s="334"/>
      <c r="H1739" s="602"/>
      <c r="I1739" s="334"/>
      <c r="J1739" s="334"/>
      <c r="K1739" s="334"/>
      <c r="L1739" s="334"/>
      <c r="M1739" s="334"/>
      <c r="N1739" s="334"/>
      <c r="O1739" s="334"/>
    </row>
    <row r="1740" spans="1:15" ht="12.75" hidden="1" customHeight="1" outlineLevel="1" x14ac:dyDescent="0.2">
      <c r="A1740" s="627" t="s">
        <v>2646</v>
      </c>
      <c r="B1740" s="628" t="s">
        <v>1275</v>
      </c>
      <c r="C1740" s="629" t="s">
        <v>88</v>
      </c>
      <c r="D1740" s="630">
        <v>4</v>
      </c>
      <c r="E1740" s="622"/>
      <c r="F1740" s="334"/>
      <c r="G1740" s="334"/>
      <c r="H1740" s="602"/>
      <c r="I1740" s="334"/>
      <c r="J1740" s="334"/>
      <c r="K1740" s="334"/>
      <c r="L1740" s="334"/>
      <c r="M1740" s="334"/>
      <c r="N1740" s="334"/>
      <c r="O1740" s="334"/>
    </row>
    <row r="1741" spans="1:15" ht="12.75" hidden="1" customHeight="1" outlineLevel="1" x14ac:dyDescent="0.2">
      <c r="A1741" s="623" t="s">
        <v>2647</v>
      </c>
      <c r="B1741" s="624" t="s">
        <v>1277</v>
      </c>
      <c r="C1741" s="625" t="s">
        <v>88</v>
      </c>
      <c r="D1741" s="626">
        <v>1</v>
      </c>
      <c r="E1741" s="622"/>
      <c r="F1741" s="334"/>
      <c r="G1741" s="334"/>
      <c r="H1741" s="602"/>
      <c r="I1741" s="334"/>
      <c r="J1741" s="334"/>
      <c r="K1741" s="334"/>
      <c r="L1741" s="334"/>
      <c r="M1741" s="334"/>
      <c r="N1741" s="334"/>
      <c r="O1741" s="334"/>
    </row>
    <row r="1742" spans="1:15" ht="12.75" hidden="1" customHeight="1" outlineLevel="1" x14ac:dyDescent="0.2">
      <c r="A1742" s="627" t="s">
        <v>2648</v>
      </c>
      <c r="B1742" s="628" t="s">
        <v>1279</v>
      </c>
      <c r="C1742" s="629" t="s">
        <v>88</v>
      </c>
      <c r="D1742" s="630">
        <v>10</v>
      </c>
      <c r="E1742" s="622"/>
      <c r="F1742" s="334"/>
      <c r="G1742" s="334"/>
      <c r="H1742" s="602"/>
      <c r="I1742" s="334"/>
      <c r="J1742" s="334"/>
      <c r="K1742" s="334"/>
      <c r="L1742" s="334"/>
      <c r="M1742" s="334"/>
      <c r="N1742" s="334"/>
      <c r="O1742" s="334"/>
    </row>
    <row r="1743" spans="1:15" ht="12.75" hidden="1" customHeight="1" outlineLevel="1" x14ac:dyDescent="0.2">
      <c r="A1743" s="618" t="s">
        <v>2649</v>
      </c>
      <c r="B1743" s="619" t="s">
        <v>1094</v>
      </c>
      <c r="C1743" s="620"/>
      <c r="D1743" s="621"/>
      <c r="E1743" s="622"/>
      <c r="F1743" s="334"/>
      <c r="G1743" s="334"/>
      <c r="H1743" s="602"/>
      <c r="I1743" s="334"/>
      <c r="J1743" s="334"/>
      <c r="K1743" s="334"/>
      <c r="L1743" s="334"/>
      <c r="M1743" s="334"/>
      <c r="N1743" s="334"/>
      <c r="O1743" s="334"/>
    </row>
    <row r="1744" spans="1:15" ht="12.75" hidden="1" customHeight="1" outlineLevel="1" x14ac:dyDescent="0.2">
      <c r="A1744" s="623" t="s">
        <v>2650</v>
      </c>
      <c r="B1744" s="624" t="s">
        <v>1281</v>
      </c>
      <c r="C1744" s="625" t="s">
        <v>79</v>
      </c>
      <c r="D1744" s="626">
        <v>15.67</v>
      </c>
      <c r="E1744" s="622"/>
      <c r="F1744" s="334"/>
      <c r="G1744" s="334"/>
      <c r="H1744" s="602"/>
      <c r="I1744" s="334"/>
      <c r="J1744" s="334"/>
      <c r="K1744" s="334"/>
      <c r="L1744" s="334"/>
      <c r="M1744" s="334"/>
      <c r="N1744" s="334"/>
      <c r="O1744" s="334"/>
    </row>
    <row r="1745" spans="1:15" ht="12.75" hidden="1" customHeight="1" outlineLevel="1" x14ac:dyDescent="0.2">
      <c r="A1745" s="627" t="s">
        <v>2651</v>
      </c>
      <c r="B1745" s="628" t="s">
        <v>1273</v>
      </c>
      <c r="C1745" s="629" t="s">
        <v>88</v>
      </c>
      <c r="D1745" s="630">
        <v>6</v>
      </c>
      <c r="E1745" s="622"/>
      <c r="F1745" s="334"/>
      <c r="G1745" s="334"/>
      <c r="H1745" s="602"/>
      <c r="I1745" s="334"/>
      <c r="J1745" s="334"/>
      <c r="K1745" s="334"/>
      <c r="L1745" s="334"/>
      <c r="M1745" s="334"/>
      <c r="N1745" s="334"/>
      <c r="O1745" s="334"/>
    </row>
    <row r="1746" spans="1:15" ht="12.75" hidden="1" customHeight="1" outlineLevel="1" x14ac:dyDescent="0.2">
      <c r="A1746" s="623" t="s">
        <v>2652</v>
      </c>
      <c r="B1746" s="624" t="s">
        <v>1275</v>
      </c>
      <c r="C1746" s="625" t="s">
        <v>88</v>
      </c>
      <c r="D1746" s="626">
        <v>4</v>
      </c>
      <c r="E1746" s="622"/>
      <c r="F1746" s="334"/>
      <c r="G1746" s="334"/>
      <c r="H1746" s="602"/>
      <c r="I1746" s="334"/>
      <c r="J1746" s="334"/>
      <c r="K1746" s="334"/>
      <c r="L1746" s="334"/>
      <c r="M1746" s="334"/>
      <c r="N1746" s="334"/>
      <c r="O1746" s="334"/>
    </row>
    <row r="1747" spans="1:15" ht="12.75" hidden="1" customHeight="1" outlineLevel="1" x14ac:dyDescent="0.2">
      <c r="A1747" s="627" t="s">
        <v>2653</v>
      </c>
      <c r="B1747" s="628" t="s">
        <v>1277</v>
      </c>
      <c r="C1747" s="629" t="s">
        <v>88</v>
      </c>
      <c r="D1747" s="630">
        <v>1</v>
      </c>
      <c r="E1747" s="622"/>
      <c r="F1747" s="334"/>
      <c r="G1747" s="334"/>
      <c r="H1747" s="602"/>
      <c r="I1747" s="334"/>
      <c r="J1747" s="334"/>
      <c r="K1747" s="334"/>
      <c r="L1747" s="334"/>
      <c r="M1747" s="334"/>
      <c r="N1747" s="334"/>
      <c r="O1747" s="334"/>
    </row>
    <row r="1748" spans="1:15" ht="12.75" hidden="1" customHeight="1" outlineLevel="1" x14ac:dyDescent="0.2">
      <c r="A1748" s="623" t="s">
        <v>2654</v>
      </c>
      <c r="B1748" s="624" t="s">
        <v>1279</v>
      </c>
      <c r="C1748" s="625" t="s">
        <v>88</v>
      </c>
      <c r="D1748" s="626">
        <v>10</v>
      </c>
      <c r="E1748" s="622"/>
      <c r="F1748" s="334"/>
      <c r="G1748" s="334"/>
      <c r="H1748" s="602"/>
      <c r="I1748" s="334"/>
      <c r="J1748" s="334"/>
      <c r="K1748" s="334"/>
      <c r="L1748" s="334"/>
      <c r="M1748" s="334"/>
      <c r="N1748" s="334"/>
      <c r="O1748" s="334"/>
    </row>
    <row r="1749" spans="1:15" ht="12.75" hidden="1" customHeight="1" outlineLevel="1" x14ac:dyDescent="0.2">
      <c r="A1749" s="618" t="s">
        <v>2655</v>
      </c>
      <c r="B1749" s="619" t="s">
        <v>1102</v>
      </c>
      <c r="C1749" s="620"/>
      <c r="D1749" s="621"/>
      <c r="E1749" s="622"/>
      <c r="F1749" s="334"/>
      <c r="G1749" s="334"/>
      <c r="H1749" s="602"/>
      <c r="I1749" s="334"/>
      <c r="J1749" s="334"/>
      <c r="K1749" s="334"/>
      <c r="L1749" s="334"/>
      <c r="M1749" s="334"/>
      <c r="N1749" s="334"/>
      <c r="O1749" s="334"/>
    </row>
    <row r="1750" spans="1:15" ht="12.75" hidden="1" customHeight="1" outlineLevel="1" x14ac:dyDescent="0.2">
      <c r="A1750" s="627" t="s">
        <v>2656</v>
      </c>
      <c r="B1750" s="628" t="s">
        <v>1281</v>
      </c>
      <c r="C1750" s="629" t="s">
        <v>79</v>
      </c>
      <c r="D1750" s="630">
        <v>15.26</v>
      </c>
      <c r="E1750" s="622"/>
      <c r="F1750" s="334"/>
      <c r="G1750" s="334"/>
      <c r="H1750" s="602"/>
      <c r="I1750" s="334"/>
      <c r="J1750" s="334"/>
      <c r="K1750" s="334"/>
      <c r="L1750" s="334"/>
      <c r="M1750" s="334"/>
      <c r="N1750" s="334"/>
      <c r="O1750" s="334"/>
    </row>
    <row r="1751" spans="1:15" ht="12.75" hidden="1" customHeight="1" outlineLevel="1" x14ac:dyDescent="0.2">
      <c r="A1751" s="623" t="s">
        <v>2657</v>
      </c>
      <c r="B1751" s="624" t="s">
        <v>1273</v>
      </c>
      <c r="C1751" s="625" t="s">
        <v>88</v>
      </c>
      <c r="D1751" s="626">
        <v>5</v>
      </c>
      <c r="E1751" s="622"/>
      <c r="F1751" s="334"/>
      <c r="G1751" s="334"/>
      <c r="H1751" s="602"/>
      <c r="I1751" s="334"/>
      <c r="J1751" s="334"/>
      <c r="K1751" s="334"/>
      <c r="L1751" s="334"/>
      <c r="M1751" s="334"/>
      <c r="N1751" s="334"/>
      <c r="O1751" s="334"/>
    </row>
    <row r="1752" spans="1:15" ht="12.75" hidden="1" customHeight="1" outlineLevel="1" x14ac:dyDescent="0.2">
      <c r="A1752" s="627" t="s">
        <v>2658</v>
      </c>
      <c r="B1752" s="628" t="s">
        <v>1275</v>
      </c>
      <c r="C1752" s="629" t="s">
        <v>88</v>
      </c>
      <c r="D1752" s="630">
        <v>5</v>
      </c>
      <c r="E1752" s="622"/>
      <c r="F1752" s="334"/>
      <c r="G1752" s="334"/>
      <c r="H1752" s="602"/>
      <c r="I1752" s="334"/>
      <c r="J1752" s="334"/>
      <c r="K1752" s="334"/>
      <c r="L1752" s="334"/>
      <c r="M1752" s="334"/>
      <c r="N1752" s="334"/>
      <c r="O1752" s="334"/>
    </row>
    <row r="1753" spans="1:15" ht="12.75" hidden="1" customHeight="1" outlineLevel="1" x14ac:dyDescent="0.2">
      <c r="A1753" s="623" t="s">
        <v>2659</v>
      </c>
      <c r="B1753" s="624" t="s">
        <v>1277</v>
      </c>
      <c r="C1753" s="625" t="s">
        <v>88</v>
      </c>
      <c r="D1753" s="626">
        <v>4</v>
      </c>
      <c r="E1753" s="622"/>
      <c r="F1753" s="334"/>
      <c r="G1753" s="334"/>
      <c r="H1753" s="602"/>
      <c r="I1753" s="334"/>
      <c r="J1753" s="334"/>
      <c r="K1753" s="334"/>
      <c r="L1753" s="334"/>
      <c r="M1753" s="334"/>
      <c r="N1753" s="334"/>
      <c r="O1753" s="334"/>
    </row>
    <row r="1754" spans="1:15" ht="12.75" hidden="1" customHeight="1" outlineLevel="1" x14ac:dyDescent="0.2">
      <c r="A1754" s="627" t="s">
        <v>2660</v>
      </c>
      <c r="B1754" s="628" t="s">
        <v>1279</v>
      </c>
      <c r="C1754" s="629" t="s">
        <v>88</v>
      </c>
      <c r="D1754" s="630">
        <v>5</v>
      </c>
      <c r="E1754" s="622"/>
      <c r="F1754" s="334"/>
      <c r="G1754" s="334"/>
      <c r="H1754" s="602"/>
      <c r="I1754" s="334"/>
      <c r="J1754" s="334"/>
      <c r="K1754" s="334"/>
      <c r="L1754" s="334"/>
      <c r="M1754" s="334"/>
      <c r="N1754" s="334"/>
      <c r="O1754" s="334"/>
    </row>
    <row r="1755" spans="1:15" ht="12.75" hidden="1" customHeight="1" outlineLevel="1" x14ac:dyDescent="0.2">
      <c r="A1755" s="618" t="s">
        <v>2661</v>
      </c>
      <c r="B1755" s="619" t="s">
        <v>1112</v>
      </c>
      <c r="C1755" s="620"/>
      <c r="D1755" s="621"/>
      <c r="E1755" s="622"/>
      <c r="F1755" s="334"/>
      <c r="G1755" s="334"/>
      <c r="H1755" s="602"/>
      <c r="I1755" s="334"/>
      <c r="J1755" s="334"/>
      <c r="K1755" s="334"/>
      <c r="L1755" s="334"/>
      <c r="M1755" s="334"/>
      <c r="N1755" s="334"/>
      <c r="O1755" s="334"/>
    </row>
    <row r="1756" spans="1:15" ht="12.75" hidden="1" customHeight="1" outlineLevel="1" x14ac:dyDescent="0.2">
      <c r="A1756" s="623" t="s">
        <v>2662</v>
      </c>
      <c r="B1756" s="624" t="s">
        <v>1281</v>
      </c>
      <c r="C1756" s="625" t="s">
        <v>79</v>
      </c>
      <c r="D1756" s="626">
        <v>16.5</v>
      </c>
      <c r="E1756" s="622"/>
      <c r="F1756" s="334"/>
      <c r="G1756" s="334"/>
      <c r="H1756" s="602"/>
      <c r="I1756" s="334"/>
      <c r="J1756" s="334"/>
      <c r="K1756" s="334"/>
      <c r="L1756" s="334"/>
      <c r="M1756" s="334"/>
      <c r="N1756" s="334"/>
      <c r="O1756" s="334"/>
    </row>
    <row r="1757" spans="1:15" ht="12.75" hidden="1" customHeight="1" outlineLevel="1" x14ac:dyDescent="0.2">
      <c r="A1757" s="627" t="s">
        <v>2663</v>
      </c>
      <c r="B1757" s="628" t="s">
        <v>1273</v>
      </c>
      <c r="C1757" s="629" t="s">
        <v>88</v>
      </c>
      <c r="D1757" s="630">
        <v>7</v>
      </c>
      <c r="E1757" s="622"/>
      <c r="F1757" s="334"/>
      <c r="G1757" s="334"/>
      <c r="H1757" s="602"/>
      <c r="I1757" s="334"/>
      <c r="J1757" s="334"/>
      <c r="K1757" s="334"/>
      <c r="L1757" s="334"/>
      <c r="M1757" s="334"/>
      <c r="N1757" s="334"/>
      <c r="O1757" s="334"/>
    </row>
    <row r="1758" spans="1:15" ht="12.75" hidden="1" customHeight="1" outlineLevel="1" x14ac:dyDescent="0.2">
      <c r="A1758" s="623" t="s">
        <v>2664</v>
      </c>
      <c r="B1758" s="624" t="s">
        <v>1275</v>
      </c>
      <c r="C1758" s="625" t="s">
        <v>88</v>
      </c>
      <c r="D1758" s="626">
        <v>1</v>
      </c>
      <c r="E1758" s="622"/>
      <c r="F1758" s="334"/>
      <c r="G1758" s="334"/>
      <c r="H1758" s="602"/>
      <c r="I1758" s="334"/>
      <c r="J1758" s="334"/>
      <c r="K1758" s="334"/>
      <c r="L1758" s="334"/>
      <c r="M1758" s="334"/>
      <c r="N1758" s="334"/>
      <c r="O1758" s="334"/>
    </row>
    <row r="1759" spans="1:15" ht="12.75" hidden="1" customHeight="1" outlineLevel="1" x14ac:dyDescent="0.2">
      <c r="A1759" s="627" t="s">
        <v>2665</v>
      </c>
      <c r="B1759" s="628" t="s">
        <v>1277</v>
      </c>
      <c r="C1759" s="629" t="s">
        <v>88</v>
      </c>
      <c r="D1759" s="630">
        <v>7</v>
      </c>
      <c r="E1759" s="622"/>
      <c r="F1759" s="334"/>
      <c r="G1759" s="334"/>
      <c r="H1759" s="602"/>
      <c r="I1759" s="334"/>
      <c r="J1759" s="334"/>
      <c r="K1759" s="334"/>
      <c r="L1759" s="334"/>
      <c r="M1759" s="334"/>
      <c r="N1759" s="334"/>
      <c r="O1759" s="334"/>
    </row>
    <row r="1760" spans="1:15" ht="12.75" hidden="1" customHeight="1" outlineLevel="1" x14ac:dyDescent="0.2">
      <c r="A1760" s="618" t="s">
        <v>2666</v>
      </c>
      <c r="B1760" s="619" t="s">
        <v>1127</v>
      </c>
      <c r="C1760" s="620"/>
      <c r="D1760" s="621"/>
      <c r="E1760" s="622"/>
      <c r="F1760" s="334"/>
      <c r="G1760" s="334"/>
      <c r="H1760" s="602"/>
      <c r="I1760" s="334"/>
      <c r="J1760" s="334"/>
      <c r="K1760" s="334"/>
      <c r="L1760" s="334"/>
      <c r="M1760" s="334"/>
      <c r="N1760" s="334"/>
      <c r="O1760" s="334"/>
    </row>
    <row r="1761" spans="1:15" ht="12.75" hidden="1" customHeight="1" outlineLevel="1" x14ac:dyDescent="0.2">
      <c r="A1761" s="623" t="s">
        <v>2667</v>
      </c>
      <c r="B1761" s="624" t="s">
        <v>1273</v>
      </c>
      <c r="C1761" s="625" t="s">
        <v>88</v>
      </c>
      <c r="D1761" s="626">
        <v>1</v>
      </c>
      <c r="E1761" s="622"/>
      <c r="F1761" s="334"/>
      <c r="G1761" s="334"/>
      <c r="H1761" s="602"/>
      <c r="I1761" s="334"/>
      <c r="J1761" s="334"/>
      <c r="K1761" s="334"/>
      <c r="L1761" s="334"/>
      <c r="M1761" s="334"/>
      <c r="N1761" s="334"/>
      <c r="O1761" s="334"/>
    </row>
    <row r="1762" spans="1:15" ht="12.75" hidden="1" customHeight="1" outlineLevel="1" x14ac:dyDescent="0.2">
      <c r="A1762" s="627" t="s">
        <v>2668</v>
      </c>
      <c r="B1762" s="628" t="s">
        <v>1277</v>
      </c>
      <c r="C1762" s="629" t="s">
        <v>88</v>
      </c>
      <c r="D1762" s="630">
        <v>1</v>
      </c>
      <c r="E1762" s="622"/>
      <c r="F1762" s="334"/>
      <c r="G1762" s="334"/>
      <c r="H1762" s="602"/>
      <c r="I1762" s="334"/>
      <c r="J1762" s="334"/>
      <c r="K1762" s="334"/>
      <c r="L1762" s="334"/>
      <c r="M1762" s="334"/>
      <c r="N1762" s="334"/>
      <c r="O1762" s="334"/>
    </row>
    <row r="1763" spans="1:15" ht="12.75" hidden="1" customHeight="1" outlineLevel="1" x14ac:dyDescent="0.2">
      <c r="A1763" s="623" t="s">
        <v>2669</v>
      </c>
      <c r="B1763" s="624" t="s">
        <v>2670</v>
      </c>
      <c r="C1763" s="625" t="s">
        <v>88</v>
      </c>
      <c r="D1763" s="626">
        <v>1</v>
      </c>
      <c r="E1763" s="622"/>
      <c r="F1763" s="334"/>
      <c r="G1763" s="334"/>
      <c r="H1763" s="602"/>
      <c r="I1763" s="334"/>
      <c r="J1763" s="334"/>
      <c r="K1763" s="334"/>
      <c r="L1763" s="334"/>
      <c r="M1763" s="334"/>
      <c r="N1763" s="334"/>
      <c r="O1763" s="334"/>
    </row>
    <row r="1764" spans="1:15" ht="12.75" customHeight="1" collapsed="1" x14ac:dyDescent="0.2">
      <c r="A1764" s="614" t="s">
        <v>2671</v>
      </c>
      <c r="B1764" s="615" t="s">
        <v>1310</v>
      </c>
      <c r="C1764" s="616"/>
      <c r="D1764" s="617"/>
      <c r="E1764" s="622"/>
      <c r="F1764" s="334"/>
      <c r="G1764" s="334"/>
      <c r="H1764" s="602"/>
      <c r="I1764" s="334"/>
      <c r="J1764" s="334"/>
      <c r="K1764" s="334"/>
      <c r="L1764" s="334"/>
      <c r="M1764" s="334"/>
      <c r="N1764" s="334"/>
      <c r="O1764" s="334"/>
    </row>
    <row r="1765" spans="1:15" ht="12.75" hidden="1" customHeight="1" outlineLevel="1" x14ac:dyDescent="0.2">
      <c r="A1765" s="618" t="s">
        <v>2672</v>
      </c>
      <c r="B1765" s="619" t="s">
        <v>1009</v>
      </c>
      <c r="C1765" s="620"/>
      <c r="D1765" s="621"/>
      <c r="E1765" s="622"/>
      <c r="F1765" s="334"/>
      <c r="G1765" s="334"/>
      <c r="H1765" s="602"/>
      <c r="I1765" s="334"/>
      <c r="J1765" s="334"/>
      <c r="K1765" s="334"/>
      <c r="L1765" s="334"/>
      <c r="M1765" s="334"/>
      <c r="N1765" s="334"/>
      <c r="O1765" s="334"/>
    </row>
    <row r="1766" spans="1:15" ht="12.75" hidden="1" customHeight="1" outlineLevel="1" x14ac:dyDescent="0.2">
      <c r="A1766" s="627" t="s">
        <v>2673</v>
      </c>
      <c r="B1766" s="628" t="s">
        <v>1310</v>
      </c>
      <c r="C1766" s="629" t="s">
        <v>79</v>
      </c>
      <c r="D1766" s="630">
        <v>10.199999999999999</v>
      </c>
      <c r="E1766" s="622"/>
      <c r="F1766" s="334"/>
      <c r="G1766" s="334"/>
      <c r="H1766" s="602"/>
      <c r="I1766" s="334"/>
      <c r="J1766" s="334"/>
      <c r="K1766" s="334"/>
      <c r="L1766" s="334"/>
      <c r="M1766" s="334"/>
      <c r="N1766" s="334"/>
      <c r="O1766" s="334"/>
    </row>
    <row r="1767" spans="1:15" ht="12.75" hidden="1" customHeight="1" outlineLevel="1" x14ac:dyDescent="0.2">
      <c r="A1767" s="618" t="s">
        <v>2674</v>
      </c>
      <c r="B1767" s="619" t="s">
        <v>1017</v>
      </c>
      <c r="C1767" s="620"/>
      <c r="D1767" s="621"/>
      <c r="E1767" s="622"/>
      <c r="F1767" s="334"/>
      <c r="G1767" s="334"/>
      <c r="H1767" s="602"/>
      <c r="I1767" s="334"/>
      <c r="J1767" s="334"/>
      <c r="K1767" s="334"/>
      <c r="L1767" s="334"/>
      <c r="M1767" s="334"/>
      <c r="N1767" s="334"/>
      <c r="O1767" s="334"/>
    </row>
    <row r="1768" spans="1:15" ht="12.75" hidden="1" customHeight="1" outlineLevel="1" x14ac:dyDescent="0.2">
      <c r="A1768" s="623" t="s">
        <v>2675</v>
      </c>
      <c r="B1768" s="624" t="s">
        <v>1310</v>
      </c>
      <c r="C1768" s="625" t="s">
        <v>79</v>
      </c>
      <c r="D1768" s="626">
        <v>10.199999999999999</v>
      </c>
      <c r="E1768" s="622"/>
      <c r="F1768" s="334"/>
      <c r="G1768" s="334"/>
      <c r="H1768" s="602"/>
      <c r="I1768" s="334"/>
      <c r="J1768" s="334"/>
      <c r="K1768" s="334"/>
      <c r="L1768" s="334"/>
      <c r="M1768" s="334"/>
      <c r="N1768" s="334"/>
      <c r="O1768" s="334"/>
    </row>
    <row r="1769" spans="1:15" ht="12.75" hidden="1" customHeight="1" outlineLevel="1" x14ac:dyDescent="0.2">
      <c r="A1769" s="618" t="s">
        <v>2676</v>
      </c>
      <c r="B1769" s="619" t="s">
        <v>1021</v>
      </c>
      <c r="C1769" s="620"/>
      <c r="D1769" s="621"/>
      <c r="E1769" s="622"/>
      <c r="F1769" s="334"/>
      <c r="G1769" s="334"/>
      <c r="H1769" s="602"/>
      <c r="I1769" s="334"/>
      <c r="J1769" s="334"/>
      <c r="K1769" s="334"/>
      <c r="L1769" s="334"/>
      <c r="M1769" s="334"/>
      <c r="N1769" s="334"/>
      <c r="O1769" s="334"/>
    </row>
    <row r="1770" spans="1:15" ht="12.75" hidden="1" customHeight="1" outlineLevel="1" x14ac:dyDescent="0.2">
      <c r="A1770" s="627" t="s">
        <v>2677</v>
      </c>
      <c r="B1770" s="628" t="s">
        <v>1310</v>
      </c>
      <c r="C1770" s="629" t="s">
        <v>79</v>
      </c>
      <c r="D1770" s="630">
        <v>10.199999999999999</v>
      </c>
      <c r="E1770" s="622"/>
      <c r="F1770" s="334"/>
      <c r="G1770" s="334"/>
      <c r="H1770" s="602"/>
      <c r="I1770" s="334"/>
      <c r="J1770" s="334"/>
      <c r="K1770" s="334"/>
      <c r="L1770" s="334"/>
      <c r="M1770" s="334"/>
      <c r="N1770" s="334"/>
      <c r="O1770" s="334"/>
    </row>
    <row r="1771" spans="1:15" ht="12.75" hidden="1" customHeight="1" outlineLevel="1" x14ac:dyDescent="0.2">
      <c r="A1771" s="618" t="s">
        <v>2678</v>
      </c>
      <c r="B1771" s="619" t="s">
        <v>1030</v>
      </c>
      <c r="C1771" s="620"/>
      <c r="D1771" s="621"/>
      <c r="E1771" s="622"/>
      <c r="F1771" s="334"/>
      <c r="G1771" s="334"/>
      <c r="H1771" s="602"/>
      <c r="I1771" s="334"/>
      <c r="J1771" s="334"/>
      <c r="K1771" s="334"/>
      <c r="L1771" s="334"/>
      <c r="M1771" s="334"/>
      <c r="N1771" s="334"/>
      <c r="O1771" s="334"/>
    </row>
    <row r="1772" spans="1:15" ht="12.75" hidden="1" customHeight="1" outlineLevel="1" x14ac:dyDescent="0.2">
      <c r="A1772" s="623" t="s">
        <v>2679</v>
      </c>
      <c r="B1772" s="624" t="s">
        <v>1310</v>
      </c>
      <c r="C1772" s="625" t="s">
        <v>79</v>
      </c>
      <c r="D1772" s="626">
        <v>10.199999999999999</v>
      </c>
      <c r="E1772" s="622"/>
      <c r="F1772" s="334"/>
      <c r="G1772" s="334"/>
      <c r="H1772" s="602"/>
      <c r="I1772" s="334"/>
      <c r="J1772" s="334"/>
      <c r="K1772" s="334"/>
      <c r="L1772" s="334"/>
      <c r="M1772" s="334"/>
      <c r="N1772" s="334"/>
      <c r="O1772" s="334"/>
    </row>
    <row r="1773" spans="1:15" ht="12.75" hidden="1" customHeight="1" outlineLevel="1" x14ac:dyDescent="0.2">
      <c r="A1773" s="618" t="s">
        <v>2680</v>
      </c>
      <c r="B1773" s="619" t="s">
        <v>1039</v>
      </c>
      <c r="C1773" s="620"/>
      <c r="D1773" s="621"/>
      <c r="E1773" s="622"/>
      <c r="F1773" s="334"/>
      <c r="G1773" s="334"/>
      <c r="H1773" s="602"/>
      <c r="I1773" s="334"/>
      <c r="J1773" s="334"/>
      <c r="K1773" s="334"/>
      <c r="L1773" s="334"/>
      <c r="M1773" s="334"/>
      <c r="N1773" s="334"/>
      <c r="O1773" s="334"/>
    </row>
    <row r="1774" spans="1:15" ht="12.75" hidden="1" customHeight="1" outlineLevel="1" x14ac:dyDescent="0.2">
      <c r="A1774" s="627" t="s">
        <v>2681</v>
      </c>
      <c r="B1774" s="628" t="s">
        <v>1310</v>
      </c>
      <c r="C1774" s="629" t="s">
        <v>79</v>
      </c>
      <c r="D1774" s="630">
        <v>10.199999999999999</v>
      </c>
      <c r="E1774" s="622"/>
      <c r="F1774" s="334"/>
      <c r="G1774" s="334"/>
      <c r="H1774" s="602"/>
      <c r="I1774" s="334"/>
      <c r="J1774" s="334"/>
      <c r="K1774" s="334"/>
      <c r="L1774" s="334"/>
      <c r="M1774" s="334"/>
      <c r="N1774" s="334"/>
      <c r="O1774" s="334"/>
    </row>
    <row r="1775" spans="1:15" ht="12.75" hidden="1" customHeight="1" outlineLevel="1" x14ac:dyDescent="0.2">
      <c r="A1775" s="618" t="s">
        <v>2682</v>
      </c>
      <c r="B1775" s="619" t="s">
        <v>1047</v>
      </c>
      <c r="C1775" s="620"/>
      <c r="D1775" s="621"/>
      <c r="E1775" s="622"/>
      <c r="F1775" s="334"/>
      <c r="G1775" s="334"/>
      <c r="H1775" s="602"/>
      <c r="I1775" s="334"/>
      <c r="J1775" s="334"/>
      <c r="K1775" s="334"/>
      <c r="L1775" s="334"/>
      <c r="M1775" s="334"/>
      <c r="N1775" s="334"/>
      <c r="O1775" s="334"/>
    </row>
    <row r="1776" spans="1:15" ht="12.75" hidden="1" customHeight="1" outlineLevel="1" x14ac:dyDescent="0.2">
      <c r="A1776" s="623" t="s">
        <v>2683</v>
      </c>
      <c r="B1776" s="624" t="s">
        <v>1310</v>
      </c>
      <c r="C1776" s="625" t="s">
        <v>79</v>
      </c>
      <c r="D1776" s="626">
        <v>10.199999999999999</v>
      </c>
      <c r="E1776" s="622"/>
      <c r="F1776" s="334"/>
      <c r="G1776" s="334"/>
      <c r="H1776" s="602"/>
      <c r="I1776" s="334"/>
      <c r="J1776" s="334"/>
      <c r="K1776" s="334"/>
      <c r="L1776" s="334"/>
      <c r="M1776" s="334"/>
      <c r="N1776" s="334"/>
      <c r="O1776" s="334"/>
    </row>
    <row r="1777" spans="1:15" ht="12.75" hidden="1" customHeight="1" outlineLevel="1" x14ac:dyDescent="0.2">
      <c r="A1777" s="618" t="s">
        <v>2684</v>
      </c>
      <c r="B1777" s="619" t="s">
        <v>1058</v>
      </c>
      <c r="C1777" s="620"/>
      <c r="D1777" s="621"/>
      <c r="E1777" s="622"/>
      <c r="F1777" s="334"/>
      <c r="G1777" s="334"/>
      <c r="H1777" s="602"/>
      <c r="I1777" s="334"/>
      <c r="J1777" s="334"/>
      <c r="K1777" s="334"/>
      <c r="L1777" s="334"/>
      <c r="M1777" s="334"/>
      <c r="N1777" s="334"/>
      <c r="O1777" s="334"/>
    </row>
    <row r="1778" spans="1:15" ht="12.75" hidden="1" customHeight="1" outlineLevel="1" x14ac:dyDescent="0.2">
      <c r="A1778" s="627" t="s">
        <v>2685</v>
      </c>
      <c r="B1778" s="628" t="s">
        <v>1310</v>
      </c>
      <c r="C1778" s="629" t="s">
        <v>79</v>
      </c>
      <c r="D1778" s="630">
        <v>10.199999999999999</v>
      </c>
      <c r="E1778" s="622"/>
      <c r="F1778" s="334"/>
      <c r="G1778" s="334"/>
      <c r="H1778" s="602"/>
      <c r="I1778" s="334"/>
      <c r="J1778" s="334"/>
      <c r="K1778" s="334"/>
      <c r="L1778" s="334"/>
      <c r="M1778" s="334"/>
      <c r="N1778" s="334"/>
      <c r="O1778" s="334"/>
    </row>
    <row r="1779" spans="1:15" ht="12.75" hidden="1" customHeight="1" outlineLevel="1" x14ac:dyDescent="0.2">
      <c r="A1779" s="618" t="s">
        <v>2686</v>
      </c>
      <c r="B1779" s="619" t="s">
        <v>1069</v>
      </c>
      <c r="C1779" s="620"/>
      <c r="D1779" s="621"/>
      <c r="E1779" s="622"/>
      <c r="F1779" s="334"/>
      <c r="G1779" s="334"/>
      <c r="H1779" s="602"/>
      <c r="I1779" s="334"/>
      <c r="J1779" s="334"/>
      <c r="K1779" s="334"/>
      <c r="L1779" s="334"/>
      <c r="M1779" s="334"/>
      <c r="N1779" s="334"/>
      <c r="O1779" s="334"/>
    </row>
    <row r="1780" spans="1:15" ht="12.75" hidden="1" customHeight="1" outlineLevel="1" x14ac:dyDescent="0.2">
      <c r="A1780" s="623" t="s">
        <v>2687</v>
      </c>
      <c r="B1780" s="624" t="s">
        <v>1310</v>
      </c>
      <c r="C1780" s="625" t="s">
        <v>79</v>
      </c>
      <c r="D1780" s="626">
        <v>10.199999999999999</v>
      </c>
      <c r="E1780" s="622"/>
      <c r="F1780" s="334"/>
      <c r="G1780" s="334"/>
      <c r="H1780" s="602"/>
      <c r="I1780" s="334"/>
      <c r="J1780" s="334"/>
      <c r="K1780" s="334"/>
      <c r="L1780" s="334"/>
      <c r="M1780" s="334"/>
      <c r="N1780" s="334"/>
      <c r="O1780" s="334"/>
    </row>
    <row r="1781" spans="1:15" ht="12.75" hidden="1" customHeight="1" outlineLevel="1" x14ac:dyDescent="0.2">
      <c r="A1781" s="618" t="s">
        <v>2688</v>
      </c>
      <c r="B1781" s="619" t="s">
        <v>1079</v>
      </c>
      <c r="C1781" s="620"/>
      <c r="D1781" s="621"/>
      <c r="E1781" s="622"/>
      <c r="F1781" s="334"/>
      <c r="G1781" s="334"/>
      <c r="H1781" s="602"/>
      <c r="I1781" s="334"/>
      <c r="J1781" s="334"/>
      <c r="K1781" s="334"/>
      <c r="L1781" s="334"/>
      <c r="M1781" s="334"/>
      <c r="N1781" s="334"/>
      <c r="O1781" s="334"/>
    </row>
    <row r="1782" spans="1:15" ht="12.75" hidden="1" customHeight="1" outlineLevel="1" x14ac:dyDescent="0.2">
      <c r="A1782" s="627" t="s">
        <v>2689</v>
      </c>
      <c r="B1782" s="628" t="s">
        <v>1310</v>
      </c>
      <c r="C1782" s="629" t="s">
        <v>79</v>
      </c>
      <c r="D1782" s="630">
        <v>10.199999999999999</v>
      </c>
      <c r="E1782" s="622"/>
      <c r="F1782" s="334"/>
      <c r="G1782" s="334"/>
      <c r="H1782" s="602"/>
      <c r="I1782" s="334"/>
      <c r="J1782" s="334"/>
      <c r="K1782" s="334"/>
      <c r="L1782" s="334"/>
      <c r="M1782" s="334"/>
      <c r="N1782" s="334"/>
      <c r="O1782" s="334"/>
    </row>
    <row r="1783" spans="1:15" ht="12.75" hidden="1" customHeight="1" outlineLevel="1" x14ac:dyDescent="0.2">
      <c r="A1783" s="618" t="s">
        <v>2690</v>
      </c>
      <c r="B1783" s="619" t="s">
        <v>1086</v>
      </c>
      <c r="C1783" s="620"/>
      <c r="D1783" s="621"/>
      <c r="E1783" s="622"/>
      <c r="F1783" s="334"/>
      <c r="G1783" s="334"/>
      <c r="H1783" s="602"/>
      <c r="I1783" s="334"/>
      <c r="J1783" s="334"/>
      <c r="K1783" s="334"/>
      <c r="L1783" s="334"/>
      <c r="M1783" s="334"/>
      <c r="N1783" s="334"/>
      <c r="O1783" s="334"/>
    </row>
    <row r="1784" spans="1:15" ht="12.75" hidden="1" customHeight="1" outlineLevel="1" x14ac:dyDescent="0.2">
      <c r="A1784" s="623" t="s">
        <v>2691</v>
      </c>
      <c r="B1784" s="624" t="s">
        <v>1310</v>
      </c>
      <c r="C1784" s="625" t="s">
        <v>79</v>
      </c>
      <c r="D1784" s="626">
        <v>10.199999999999999</v>
      </c>
      <c r="E1784" s="622"/>
      <c r="F1784" s="334"/>
      <c r="G1784" s="334"/>
      <c r="H1784" s="602"/>
      <c r="I1784" s="334"/>
      <c r="J1784" s="334"/>
      <c r="K1784" s="334"/>
      <c r="L1784" s="334"/>
      <c r="M1784" s="334"/>
      <c r="N1784" s="334"/>
      <c r="O1784" s="334"/>
    </row>
    <row r="1785" spans="1:15" ht="12.75" hidden="1" customHeight="1" outlineLevel="1" x14ac:dyDescent="0.2">
      <c r="A1785" s="618" t="s">
        <v>2692</v>
      </c>
      <c r="B1785" s="619" t="s">
        <v>1094</v>
      </c>
      <c r="C1785" s="620"/>
      <c r="D1785" s="621"/>
      <c r="E1785" s="622"/>
      <c r="F1785" s="334"/>
      <c r="G1785" s="334"/>
      <c r="H1785" s="602"/>
      <c r="I1785" s="334"/>
      <c r="J1785" s="334"/>
      <c r="K1785" s="334"/>
      <c r="L1785" s="334"/>
      <c r="M1785" s="334"/>
      <c r="N1785" s="334"/>
      <c r="O1785" s="334"/>
    </row>
    <row r="1786" spans="1:15" ht="12.75" hidden="1" customHeight="1" outlineLevel="1" x14ac:dyDescent="0.2">
      <c r="A1786" s="627" t="s">
        <v>2693</v>
      </c>
      <c r="B1786" s="628" t="s">
        <v>1310</v>
      </c>
      <c r="C1786" s="629" t="s">
        <v>79</v>
      </c>
      <c r="D1786" s="630">
        <v>10.199999999999999</v>
      </c>
      <c r="E1786" s="622"/>
      <c r="F1786" s="334"/>
      <c r="G1786" s="334"/>
      <c r="H1786" s="602"/>
      <c r="I1786" s="334"/>
      <c r="J1786" s="334"/>
      <c r="K1786" s="334"/>
      <c r="L1786" s="334"/>
      <c r="M1786" s="334"/>
      <c r="N1786" s="334"/>
      <c r="O1786" s="334"/>
    </row>
    <row r="1787" spans="1:15" ht="12.75" hidden="1" customHeight="1" outlineLevel="1" x14ac:dyDescent="0.2">
      <c r="A1787" s="618" t="s">
        <v>2694</v>
      </c>
      <c r="B1787" s="619" t="s">
        <v>1102</v>
      </c>
      <c r="C1787" s="620"/>
      <c r="D1787" s="621"/>
      <c r="E1787" s="622"/>
      <c r="F1787" s="334"/>
      <c r="G1787" s="334"/>
      <c r="H1787" s="602"/>
      <c r="I1787" s="334"/>
      <c r="J1787" s="334"/>
      <c r="K1787" s="334"/>
      <c r="L1787" s="334"/>
      <c r="M1787" s="334"/>
      <c r="N1787" s="334"/>
      <c r="O1787" s="334"/>
    </row>
    <row r="1788" spans="1:15" ht="12.75" hidden="1" customHeight="1" outlineLevel="1" x14ac:dyDescent="0.2">
      <c r="A1788" s="623" t="s">
        <v>2695</v>
      </c>
      <c r="B1788" s="624" t="s">
        <v>1310</v>
      </c>
      <c r="C1788" s="625" t="s">
        <v>79</v>
      </c>
      <c r="D1788" s="626">
        <v>10.199999999999999</v>
      </c>
      <c r="E1788" s="622"/>
      <c r="F1788" s="334"/>
      <c r="G1788" s="334"/>
      <c r="H1788" s="602"/>
      <c r="I1788" s="334"/>
      <c r="J1788" s="334"/>
      <c r="K1788" s="334"/>
      <c r="L1788" s="334"/>
      <c r="M1788" s="334"/>
      <c r="N1788" s="334"/>
      <c r="O1788" s="334"/>
    </row>
    <row r="1789" spans="1:15" ht="12.75" hidden="1" customHeight="1" outlineLevel="1" x14ac:dyDescent="0.2">
      <c r="A1789" s="618" t="s">
        <v>2696</v>
      </c>
      <c r="B1789" s="619" t="s">
        <v>1127</v>
      </c>
      <c r="C1789" s="620"/>
      <c r="D1789" s="621"/>
      <c r="E1789" s="622"/>
      <c r="F1789" s="334"/>
      <c r="G1789" s="334"/>
      <c r="H1789" s="602"/>
      <c r="I1789" s="334"/>
      <c r="J1789" s="334"/>
      <c r="K1789" s="334"/>
      <c r="L1789" s="334"/>
      <c r="M1789" s="334"/>
      <c r="N1789" s="334"/>
      <c r="O1789" s="334"/>
    </row>
    <row r="1790" spans="1:15" ht="12.75" hidden="1" customHeight="1" outlineLevel="1" x14ac:dyDescent="0.2">
      <c r="A1790" s="627" t="s">
        <v>2697</v>
      </c>
      <c r="B1790" s="628" t="s">
        <v>1310</v>
      </c>
      <c r="C1790" s="629" t="s">
        <v>79</v>
      </c>
      <c r="D1790" s="630">
        <v>10.199999999999999</v>
      </c>
      <c r="E1790" s="622"/>
      <c r="F1790" s="334"/>
      <c r="G1790" s="334"/>
      <c r="H1790" s="602"/>
      <c r="I1790" s="334"/>
      <c r="J1790" s="334"/>
      <c r="K1790" s="334"/>
      <c r="L1790" s="334"/>
      <c r="M1790" s="334"/>
      <c r="N1790" s="334"/>
      <c r="O1790" s="334"/>
    </row>
    <row r="1791" spans="1:15" ht="12.75" hidden="1" customHeight="1" outlineLevel="1" x14ac:dyDescent="0.2">
      <c r="A1791" s="618" t="s">
        <v>2698</v>
      </c>
      <c r="B1791" s="619" t="s">
        <v>1137</v>
      </c>
      <c r="C1791" s="620"/>
      <c r="D1791" s="621"/>
      <c r="E1791" s="622"/>
      <c r="F1791" s="334"/>
      <c r="G1791" s="334"/>
      <c r="H1791" s="602"/>
      <c r="I1791" s="334"/>
      <c r="J1791" s="334"/>
      <c r="K1791" s="334"/>
      <c r="L1791" s="334"/>
      <c r="M1791" s="334"/>
      <c r="N1791" s="334"/>
      <c r="O1791" s="334"/>
    </row>
    <row r="1792" spans="1:15" ht="12.75" hidden="1" customHeight="1" outlineLevel="1" x14ac:dyDescent="0.2">
      <c r="A1792" s="623" t="s">
        <v>2699</v>
      </c>
      <c r="B1792" s="624" t="s">
        <v>1310</v>
      </c>
      <c r="C1792" s="625" t="s">
        <v>79</v>
      </c>
      <c r="D1792" s="626">
        <v>5.0999999999999996</v>
      </c>
      <c r="E1792" s="622"/>
      <c r="F1792" s="334"/>
      <c r="G1792" s="334"/>
      <c r="H1792" s="602"/>
      <c r="I1792" s="334"/>
      <c r="J1792" s="334"/>
      <c r="K1792" s="334"/>
      <c r="L1792" s="334"/>
      <c r="M1792" s="334"/>
      <c r="N1792" s="334"/>
      <c r="O1792" s="334"/>
    </row>
    <row r="1793" spans="1:15" ht="12.75" customHeight="1" collapsed="1" x14ac:dyDescent="0.2">
      <c r="A1793" s="614" t="s">
        <v>2700</v>
      </c>
      <c r="B1793" s="615" t="s">
        <v>542</v>
      </c>
      <c r="C1793" s="616"/>
      <c r="D1793" s="617"/>
      <c r="E1793" s="622"/>
      <c r="F1793" s="334"/>
      <c r="G1793" s="334"/>
      <c r="H1793" s="602"/>
      <c r="I1793" s="334"/>
      <c r="J1793" s="334"/>
      <c r="K1793" s="334"/>
      <c r="L1793" s="334"/>
      <c r="M1793" s="334"/>
      <c r="N1793" s="334"/>
      <c r="O1793" s="334"/>
    </row>
    <row r="1794" spans="1:15" ht="12.75" hidden="1" customHeight="1" outlineLevel="1" x14ac:dyDescent="0.2">
      <c r="A1794" s="618" t="s">
        <v>2701</v>
      </c>
      <c r="B1794" s="619" t="s">
        <v>1009</v>
      </c>
      <c r="C1794" s="620"/>
      <c r="D1794" s="621"/>
      <c r="E1794" s="622"/>
      <c r="F1794" s="334"/>
      <c r="G1794" s="334"/>
      <c r="H1794" s="602"/>
      <c r="I1794" s="334"/>
      <c r="J1794" s="334"/>
      <c r="K1794" s="334"/>
      <c r="L1794" s="334"/>
      <c r="M1794" s="334"/>
      <c r="N1794" s="334"/>
      <c r="O1794" s="334"/>
    </row>
    <row r="1795" spans="1:15" ht="12.75" hidden="1" customHeight="1" outlineLevel="1" x14ac:dyDescent="0.2">
      <c r="A1795" s="627" t="s">
        <v>2702</v>
      </c>
      <c r="B1795" s="628" t="s">
        <v>1312</v>
      </c>
      <c r="C1795" s="629" t="s">
        <v>100</v>
      </c>
      <c r="D1795" s="630">
        <v>0.82</v>
      </c>
      <c r="E1795" s="622"/>
      <c r="F1795" s="334"/>
      <c r="G1795" s="334"/>
      <c r="H1795" s="602"/>
      <c r="I1795" s="334"/>
      <c r="J1795" s="334"/>
      <c r="K1795" s="334"/>
      <c r="L1795" s="334"/>
      <c r="M1795" s="334"/>
      <c r="N1795" s="334"/>
      <c r="O1795" s="334"/>
    </row>
    <row r="1796" spans="1:15" ht="12.75" hidden="1" customHeight="1" outlineLevel="1" x14ac:dyDescent="0.2">
      <c r="A1796" s="623" t="s">
        <v>2703</v>
      </c>
      <c r="B1796" s="624" t="s">
        <v>1314</v>
      </c>
      <c r="C1796" s="625" t="s">
        <v>88</v>
      </c>
      <c r="D1796" s="626">
        <v>1</v>
      </c>
      <c r="E1796" s="622"/>
      <c r="F1796" s="334"/>
      <c r="G1796" s="334"/>
      <c r="H1796" s="602"/>
      <c r="I1796" s="334"/>
      <c r="J1796" s="334"/>
      <c r="K1796" s="334"/>
      <c r="L1796" s="334"/>
      <c r="M1796" s="334"/>
      <c r="N1796" s="334"/>
      <c r="O1796" s="334"/>
    </row>
    <row r="1797" spans="1:15" ht="12.75" hidden="1" customHeight="1" outlineLevel="1" x14ac:dyDescent="0.2">
      <c r="A1797" s="627" t="s">
        <v>2704</v>
      </c>
      <c r="B1797" s="628" t="s">
        <v>1199</v>
      </c>
      <c r="C1797" s="629" t="s">
        <v>88</v>
      </c>
      <c r="D1797" s="630">
        <v>2</v>
      </c>
      <c r="E1797" s="622"/>
      <c r="F1797" s="334"/>
      <c r="G1797" s="334"/>
      <c r="H1797" s="602"/>
      <c r="I1797" s="334"/>
      <c r="J1797" s="334"/>
      <c r="K1797" s="334"/>
      <c r="L1797" s="334"/>
      <c r="M1797" s="334"/>
      <c r="N1797" s="334"/>
      <c r="O1797" s="334"/>
    </row>
    <row r="1798" spans="1:15" ht="12.75" hidden="1" customHeight="1" outlineLevel="1" x14ac:dyDescent="0.2">
      <c r="A1798" s="618" t="s">
        <v>2705</v>
      </c>
      <c r="B1798" s="619" t="s">
        <v>1017</v>
      </c>
      <c r="C1798" s="620"/>
      <c r="D1798" s="621"/>
      <c r="E1798" s="622"/>
      <c r="F1798" s="334"/>
      <c r="G1798" s="334"/>
      <c r="H1798" s="602"/>
      <c r="I1798" s="334"/>
      <c r="J1798" s="334"/>
      <c r="K1798" s="334"/>
      <c r="L1798" s="334"/>
      <c r="M1798" s="334"/>
      <c r="N1798" s="334"/>
      <c r="O1798" s="334"/>
    </row>
    <row r="1799" spans="1:15" ht="12.75" hidden="1" customHeight="1" outlineLevel="1" x14ac:dyDescent="0.2">
      <c r="A1799" s="623" t="s">
        <v>2706</v>
      </c>
      <c r="B1799" s="624" t="s">
        <v>1199</v>
      </c>
      <c r="C1799" s="625" t="s">
        <v>88</v>
      </c>
      <c r="D1799" s="626">
        <v>2</v>
      </c>
      <c r="E1799" s="622"/>
      <c r="F1799" s="334"/>
      <c r="G1799" s="334"/>
      <c r="H1799" s="602"/>
      <c r="I1799" s="334"/>
      <c r="J1799" s="334"/>
      <c r="K1799" s="334"/>
      <c r="L1799" s="334"/>
      <c r="M1799" s="334"/>
      <c r="N1799" s="334"/>
      <c r="O1799" s="334"/>
    </row>
    <row r="1800" spans="1:15" ht="12.75" hidden="1" customHeight="1" outlineLevel="1" x14ac:dyDescent="0.2">
      <c r="A1800" s="618" t="s">
        <v>2707</v>
      </c>
      <c r="B1800" s="619" t="s">
        <v>1021</v>
      </c>
      <c r="C1800" s="620"/>
      <c r="D1800" s="621"/>
      <c r="E1800" s="622"/>
      <c r="F1800" s="334"/>
      <c r="G1800" s="334"/>
      <c r="H1800" s="602"/>
      <c r="I1800" s="334"/>
      <c r="J1800" s="334"/>
      <c r="K1800" s="334"/>
      <c r="L1800" s="334"/>
      <c r="M1800" s="334"/>
      <c r="N1800" s="334"/>
      <c r="O1800" s="334"/>
    </row>
    <row r="1801" spans="1:15" ht="12.75" hidden="1" customHeight="1" outlineLevel="1" x14ac:dyDescent="0.2">
      <c r="A1801" s="627" t="s">
        <v>2708</v>
      </c>
      <c r="B1801" s="628" t="s">
        <v>1312</v>
      </c>
      <c r="C1801" s="629" t="s">
        <v>100</v>
      </c>
      <c r="D1801" s="630">
        <v>15.6</v>
      </c>
      <c r="E1801" s="622"/>
      <c r="F1801" s="334"/>
      <c r="G1801" s="334"/>
      <c r="H1801" s="602"/>
      <c r="I1801" s="334"/>
      <c r="J1801" s="334"/>
      <c r="K1801" s="334"/>
      <c r="L1801" s="334"/>
      <c r="M1801" s="334"/>
      <c r="N1801" s="334"/>
      <c r="O1801" s="334"/>
    </row>
    <row r="1802" spans="1:15" ht="12.75" hidden="1" customHeight="1" outlineLevel="1" x14ac:dyDescent="0.2">
      <c r="A1802" s="623" t="s">
        <v>2709</v>
      </c>
      <c r="B1802" s="628" t="s">
        <v>1312</v>
      </c>
      <c r="C1802" s="625" t="s">
        <v>100</v>
      </c>
      <c r="D1802" s="626">
        <v>10.85</v>
      </c>
      <c r="E1802" s="622"/>
      <c r="F1802" s="334"/>
      <c r="G1802" s="334"/>
      <c r="H1802" s="602"/>
      <c r="I1802" s="334"/>
      <c r="J1802" s="334"/>
      <c r="K1802" s="334"/>
      <c r="L1802" s="334"/>
      <c r="M1802" s="334"/>
      <c r="N1802" s="334"/>
      <c r="O1802" s="334"/>
    </row>
    <row r="1803" spans="1:15" ht="12.75" hidden="1" customHeight="1" outlineLevel="1" x14ac:dyDescent="0.2">
      <c r="A1803" s="627" t="s">
        <v>2710</v>
      </c>
      <c r="B1803" s="628" t="s">
        <v>1312</v>
      </c>
      <c r="C1803" s="629" t="s">
        <v>100</v>
      </c>
      <c r="D1803" s="630">
        <v>4.2300000000000004</v>
      </c>
      <c r="E1803" s="622"/>
      <c r="F1803" s="334"/>
      <c r="G1803" s="334"/>
      <c r="H1803" s="602"/>
      <c r="I1803" s="334"/>
      <c r="J1803" s="334"/>
      <c r="K1803" s="334"/>
      <c r="L1803" s="334"/>
      <c r="M1803" s="334"/>
      <c r="N1803" s="334"/>
      <c r="O1803" s="334"/>
    </row>
    <row r="1804" spans="1:15" ht="12.75" hidden="1" customHeight="1" outlineLevel="1" x14ac:dyDescent="0.2">
      <c r="A1804" s="623" t="s">
        <v>2711</v>
      </c>
      <c r="B1804" s="628" t="s">
        <v>1312</v>
      </c>
      <c r="C1804" s="625" t="s">
        <v>100</v>
      </c>
      <c r="D1804" s="626">
        <v>47.44</v>
      </c>
      <c r="E1804" s="622"/>
      <c r="F1804" s="334"/>
      <c r="G1804" s="334"/>
      <c r="H1804" s="602"/>
      <c r="I1804" s="334"/>
      <c r="J1804" s="334"/>
      <c r="K1804" s="334"/>
      <c r="L1804" s="334"/>
      <c r="M1804" s="334"/>
      <c r="N1804" s="334"/>
      <c r="O1804" s="334"/>
    </row>
    <row r="1805" spans="1:15" ht="12.75" hidden="1" customHeight="1" outlineLevel="1" x14ac:dyDescent="0.2">
      <c r="A1805" s="627" t="s">
        <v>2712</v>
      </c>
      <c r="B1805" s="628" t="s">
        <v>1199</v>
      </c>
      <c r="C1805" s="629" t="s">
        <v>88</v>
      </c>
      <c r="D1805" s="630">
        <v>2</v>
      </c>
      <c r="E1805" s="622"/>
      <c r="F1805" s="334"/>
      <c r="G1805" s="334"/>
      <c r="H1805" s="602"/>
      <c r="I1805" s="334"/>
      <c r="J1805" s="334"/>
      <c r="K1805" s="334"/>
      <c r="L1805" s="334"/>
      <c r="M1805" s="334"/>
      <c r="N1805" s="334"/>
      <c r="O1805" s="334"/>
    </row>
    <row r="1806" spans="1:15" ht="12.75" hidden="1" customHeight="1" outlineLevel="1" x14ac:dyDescent="0.2">
      <c r="A1806" s="618" t="s">
        <v>2713</v>
      </c>
      <c r="B1806" s="619" t="s">
        <v>1030</v>
      </c>
      <c r="C1806" s="620"/>
      <c r="D1806" s="621"/>
      <c r="E1806" s="622"/>
      <c r="F1806" s="334"/>
      <c r="G1806" s="334"/>
      <c r="H1806" s="602"/>
      <c r="I1806" s="334"/>
      <c r="J1806" s="334"/>
      <c r="K1806" s="334"/>
      <c r="L1806" s="334"/>
      <c r="M1806" s="334"/>
      <c r="N1806" s="334"/>
      <c r="O1806" s="334"/>
    </row>
    <row r="1807" spans="1:15" ht="12.75" hidden="1" customHeight="1" outlineLevel="1" x14ac:dyDescent="0.2">
      <c r="A1807" s="623" t="s">
        <v>2714</v>
      </c>
      <c r="B1807" s="628" t="s">
        <v>1312</v>
      </c>
      <c r="C1807" s="625" t="s">
        <v>100</v>
      </c>
      <c r="D1807" s="626">
        <v>15.6</v>
      </c>
      <c r="E1807" s="622"/>
      <c r="F1807" s="334"/>
      <c r="G1807" s="334"/>
      <c r="H1807" s="602"/>
      <c r="I1807" s="334"/>
      <c r="J1807" s="334"/>
      <c r="K1807" s="334"/>
      <c r="L1807" s="334"/>
      <c r="M1807" s="334"/>
      <c r="N1807" s="334"/>
      <c r="O1807" s="334"/>
    </row>
    <row r="1808" spans="1:15" ht="12.75" hidden="1" customHeight="1" outlineLevel="1" x14ac:dyDescent="0.2">
      <c r="A1808" s="627" t="s">
        <v>2715</v>
      </c>
      <c r="B1808" s="628" t="s">
        <v>1312</v>
      </c>
      <c r="C1808" s="629" t="s">
        <v>100</v>
      </c>
      <c r="D1808" s="630">
        <v>4.22</v>
      </c>
      <c r="E1808" s="622"/>
      <c r="F1808" s="334"/>
      <c r="G1808" s="334"/>
      <c r="H1808" s="602"/>
      <c r="I1808" s="334"/>
      <c r="J1808" s="334"/>
      <c r="K1808" s="334"/>
      <c r="L1808" s="334"/>
      <c r="M1808" s="334"/>
      <c r="N1808" s="334"/>
      <c r="O1808" s="334"/>
    </row>
    <row r="1809" spans="1:15" ht="12.75" hidden="1" customHeight="1" outlineLevel="1" x14ac:dyDescent="0.2">
      <c r="A1809" s="623" t="s">
        <v>2716</v>
      </c>
      <c r="B1809" s="624" t="s">
        <v>1199</v>
      </c>
      <c r="C1809" s="625" t="s">
        <v>88</v>
      </c>
      <c r="D1809" s="626">
        <v>2</v>
      </c>
      <c r="E1809" s="622"/>
      <c r="F1809" s="334"/>
      <c r="G1809" s="334"/>
      <c r="H1809" s="602"/>
      <c r="I1809" s="334"/>
      <c r="J1809" s="334"/>
      <c r="K1809" s="334"/>
      <c r="L1809" s="334"/>
      <c r="M1809" s="334"/>
      <c r="N1809" s="334"/>
      <c r="O1809" s="334"/>
    </row>
    <row r="1810" spans="1:15" ht="12.75" hidden="1" customHeight="1" outlineLevel="1" x14ac:dyDescent="0.2">
      <c r="A1810" s="618" t="s">
        <v>2717</v>
      </c>
      <c r="B1810" s="619" t="s">
        <v>1039</v>
      </c>
      <c r="C1810" s="620"/>
      <c r="D1810" s="621"/>
      <c r="E1810" s="622"/>
      <c r="F1810" s="334"/>
      <c r="G1810" s="334"/>
      <c r="H1810" s="602"/>
      <c r="I1810" s="334"/>
      <c r="J1810" s="334"/>
      <c r="K1810" s="334"/>
      <c r="L1810" s="334"/>
      <c r="M1810" s="334"/>
      <c r="N1810" s="334"/>
      <c r="O1810" s="334"/>
    </row>
    <row r="1811" spans="1:15" ht="12.75" hidden="1" customHeight="1" outlineLevel="1" x14ac:dyDescent="0.2">
      <c r="A1811" s="627" t="s">
        <v>2718</v>
      </c>
      <c r="B1811" s="628" t="s">
        <v>1312</v>
      </c>
      <c r="C1811" s="629" t="s">
        <v>100</v>
      </c>
      <c r="D1811" s="630">
        <v>20.7</v>
      </c>
      <c r="E1811" s="622"/>
      <c r="F1811" s="334"/>
      <c r="G1811" s="334"/>
      <c r="H1811" s="602"/>
      <c r="I1811" s="334"/>
      <c r="J1811" s="334"/>
      <c r="K1811" s="334"/>
      <c r="L1811" s="334"/>
      <c r="M1811" s="334"/>
      <c r="N1811" s="334"/>
      <c r="O1811" s="334"/>
    </row>
    <row r="1812" spans="1:15" ht="12.75" hidden="1" customHeight="1" outlineLevel="1" x14ac:dyDescent="0.2">
      <c r="A1812" s="623" t="s">
        <v>2719</v>
      </c>
      <c r="B1812" s="628" t="s">
        <v>1312</v>
      </c>
      <c r="C1812" s="625" t="s">
        <v>100</v>
      </c>
      <c r="D1812" s="626">
        <v>2.84</v>
      </c>
      <c r="E1812" s="622"/>
      <c r="F1812" s="334"/>
      <c r="G1812" s="334"/>
      <c r="H1812" s="602"/>
      <c r="I1812" s="334"/>
      <c r="J1812" s="334"/>
      <c r="K1812" s="334"/>
      <c r="L1812" s="334"/>
      <c r="M1812" s="334"/>
      <c r="N1812" s="334"/>
      <c r="O1812" s="334"/>
    </row>
    <row r="1813" spans="1:15" ht="12.75" hidden="1" customHeight="1" outlineLevel="1" x14ac:dyDescent="0.2">
      <c r="A1813" s="627" t="s">
        <v>2720</v>
      </c>
      <c r="B1813" s="628" t="s">
        <v>1199</v>
      </c>
      <c r="C1813" s="629" t="s">
        <v>88</v>
      </c>
      <c r="D1813" s="630">
        <v>2</v>
      </c>
      <c r="E1813" s="622"/>
      <c r="F1813" s="334"/>
      <c r="G1813" s="334"/>
      <c r="H1813" s="602"/>
      <c r="I1813" s="334"/>
      <c r="J1813" s="334"/>
      <c r="K1813" s="334"/>
      <c r="L1813" s="334"/>
      <c r="M1813" s="334"/>
      <c r="N1813" s="334"/>
      <c r="O1813" s="334"/>
    </row>
    <row r="1814" spans="1:15" ht="12.75" hidden="1" customHeight="1" outlineLevel="1" x14ac:dyDescent="0.2">
      <c r="A1814" s="618" t="s">
        <v>2721</v>
      </c>
      <c r="B1814" s="619" t="s">
        <v>1047</v>
      </c>
      <c r="C1814" s="620"/>
      <c r="D1814" s="621"/>
      <c r="E1814" s="622"/>
      <c r="F1814" s="334"/>
      <c r="G1814" s="334"/>
      <c r="H1814" s="602"/>
      <c r="I1814" s="334"/>
      <c r="J1814" s="334"/>
      <c r="K1814" s="334"/>
      <c r="L1814" s="334"/>
      <c r="M1814" s="334"/>
      <c r="N1814" s="334"/>
      <c r="O1814" s="334"/>
    </row>
    <row r="1815" spans="1:15" ht="12.75" hidden="1" customHeight="1" outlineLevel="1" x14ac:dyDescent="0.2">
      <c r="A1815" s="623" t="s">
        <v>2722</v>
      </c>
      <c r="B1815" s="628" t="s">
        <v>1312</v>
      </c>
      <c r="C1815" s="625" t="s">
        <v>100</v>
      </c>
      <c r="D1815" s="626">
        <v>15.6</v>
      </c>
      <c r="E1815" s="622"/>
      <c r="F1815" s="334"/>
      <c r="G1815" s="334"/>
      <c r="H1815" s="602"/>
      <c r="I1815" s="334"/>
      <c r="J1815" s="334"/>
      <c r="K1815" s="334"/>
      <c r="L1815" s="334"/>
      <c r="M1815" s="334"/>
      <c r="N1815" s="334"/>
      <c r="O1815" s="334"/>
    </row>
    <row r="1816" spans="1:15" ht="12.75" hidden="1" customHeight="1" outlineLevel="1" x14ac:dyDescent="0.2">
      <c r="A1816" s="627" t="s">
        <v>2723</v>
      </c>
      <c r="B1816" s="628" t="s">
        <v>1312</v>
      </c>
      <c r="C1816" s="629" t="s">
        <v>100</v>
      </c>
      <c r="D1816" s="630">
        <v>4.22</v>
      </c>
      <c r="E1816" s="622"/>
      <c r="F1816" s="334"/>
      <c r="G1816" s="334"/>
      <c r="H1816" s="602"/>
      <c r="I1816" s="334"/>
      <c r="J1816" s="334"/>
      <c r="K1816" s="334"/>
      <c r="L1816" s="334"/>
      <c r="M1816" s="334"/>
      <c r="N1816" s="334"/>
      <c r="O1816" s="334"/>
    </row>
    <row r="1817" spans="1:15" ht="12.75" hidden="1" customHeight="1" outlineLevel="1" x14ac:dyDescent="0.2">
      <c r="A1817" s="623" t="s">
        <v>2724</v>
      </c>
      <c r="B1817" s="624" t="s">
        <v>1199</v>
      </c>
      <c r="C1817" s="625" t="s">
        <v>88</v>
      </c>
      <c r="D1817" s="626">
        <v>2</v>
      </c>
      <c r="E1817" s="622"/>
      <c r="F1817" s="334"/>
      <c r="G1817" s="334"/>
      <c r="H1817" s="602"/>
      <c r="I1817" s="334"/>
      <c r="J1817" s="334"/>
      <c r="K1817" s="334"/>
      <c r="L1817" s="334"/>
      <c r="M1817" s="334"/>
      <c r="N1817" s="334"/>
      <c r="O1817" s="334"/>
    </row>
    <row r="1818" spans="1:15" ht="12.75" hidden="1" customHeight="1" outlineLevel="1" x14ac:dyDescent="0.2">
      <c r="A1818" s="618" t="s">
        <v>2725</v>
      </c>
      <c r="B1818" s="619" t="s">
        <v>1058</v>
      </c>
      <c r="C1818" s="620"/>
      <c r="D1818" s="621"/>
      <c r="E1818" s="622"/>
      <c r="F1818" s="334"/>
      <c r="G1818" s="334"/>
      <c r="H1818" s="602"/>
      <c r="I1818" s="334"/>
      <c r="J1818" s="334"/>
      <c r="K1818" s="334"/>
      <c r="L1818" s="334"/>
      <c r="M1818" s="334"/>
      <c r="N1818" s="334"/>
      <c r="O1818" s="334"/>
    </row>
    <row r="1819" spans="1:15" ht="12.75" hidden="1" customHeight="1" outlineLevel="1" x14ac:dyDescent="0.2">
      <c r="A1819" s="627" t="s">
        <v>2726</v>
      </c>
      <c r="B1819" s="628" t="s">
        <v>1312</v>
      </c>
      <c r="C1819" s="629" t="s">
        <v>100</v>
      </c>
      <c r="D1819" s="630">
        <v>15.6</v>
      </c>
      <c r="E1819" s="622"/>
      <c r="F1819" s="334"/>
      <c r="G1819" s="334"/>
      <c r="H1819" s="602"/>
      <c r="I1819" s="334"/>
      <c r="J1819" s="334"/>
      <c r="K1819" s="334"/>
      <c r="L1819" s="334"/>
      <c r="M1819" s="334"/>
      <c r="N1819" s="334"/>
      <c r="O1819" s="334"/>
    </row>
    <row r="1820" spans="1:15" ht="12.75" hidden="1" customHeight="1" outlineLevel="1" x14ac:dyDescent="0.2">
      <c r="A1820" s="623" t="s">
        <v>2727</v>
      </c>
      <c r="B1820" s="628" t="s">
        <v>1312</v>
      </c>
      <c r="C1820" s="625" t="s">
        <v>100</v>
      </c>
      <c r="D1820" s="626">
        <v>4.22</v>
      </c>
      <c r="E1820" s="622"/>
      <c r="F1820" s="334"/>
      <c r="G1820" s="334"/>
      <c r="H1820" s="602"/>
      <c r="I1820" s="334"/>
      <c r="J1820" s="334"/>
      <c r="K1820" s="334"/>
      <c r="L1820" s="334"/>
      <c r="M1820" s="334"/>
      <c r="N1820" s="334"/>
      <c r="O1820" s="334"/>
    </row>
    <row r="1821" spans="1:15" ht="12.75" hidden="1" customHeight="1" outlineLevel="1" x14ac:dyDescent="0.2">
      <c r="A1821" s="627" t="s">
        <v>2728</v>
      </c>
      <c r="B1821" s="628" t="s">
        <v>1199</v>
      </c>
      <c r="C1821" s="629" t="s">
        <v>88</v>
      </c>
      <c r="D1821" s="630">
        <v>2</v>
      </c>
      <c r="E1821" s="622"/>
      <c r="F1821" s="334"/>
      <c r="G1821" s="334"/>
      <c r="H1821" s="602"/>
      <c r="I1821" s="334"/>
      <c r="J1821" s="334"/>
      <c r="K1821" s="334"/>
      <c r="L1821" s="334"/>
      <c r="M1821" s="334"/>
      <c r="N1821" s="334"/>
      <c r="O1821" s="334"/>
    </row>
    <row r="1822" spans="1:15" ht="12.75" hidden="1" customHeight="1" outlineLevel="1" x14ac:dyDescent="0.2">
      <c r="A1822" s="618" t="s">
        <v>2729</v>
      </c>
      <c r="B1822" s="619" t="s">
        <v>1069</v>
      </c>
      <c r="C1822" s="620"/>
      <c r="D1822" s="621"/>
      <c r="E1822" s="622"/>
      <c r="F1822" s="334"/>
      <c r="G1822" s="334"/>
      <c r="H1822" s="602"/>
      <c r="I1822" s="334"/>
      <c r="J1822" s="334"/>
      <c r="K1822" s="334"/>
      <c r="L1822" s="334"/>
      <c r="M1822" s="334"/>
      <c r="N1822" s="334"/>
      <c r="O1822" s="334"/>
    </row>
    <row r="1823" spans="1:15" ht="12.75" hidden="1" customHeight="1" outlineLevel="1" x14ac:dyDescent="0.2">
      <c r="A1823" s="623" t="s">
        <v>2730</v>
      </c>
      <c r="B1823" s="628" t="s">
        <v>1312</v>
      </c>
      <c r="C1823" s="625" t="s">
        <v>100</v>
      </c>
      <c r="D1823" s="626">
        <v>15.6</v>
      </c>
      <c r="E1823" s="622"/>
      <c r="F1823" s="334"/>
      <c r="G1823" s="334"/>
      <c r="H1823" s="602"/>
      <c r="I1823" s="334"/>
      <c r="J1823" s="334"/>
      <c r="K1823" s="334"/>
      <c r="L1823" s="334"/>
      <c r="M1823" s="334"/>
      <c r="N1823" s="334"/>
      <c r="O1823" s="334"/>
    </row>
    <row r="1824" spans="1:15" ht="12.75" hidden="1" customHeight="1" outlineLevel="1" x14ac:dyDescent="0.2">
      <c r="A1824" s="627" t="s">
        <v>2731</v>
      </c>
      <c r="B1824" s="628" t="s">
        <v>1312</v>
      </c>
      <c r="C1824" s="629" t="s">
        <v>100</v>
      </c>
      <c r="D1824" s="630">
        <v>4.22</v>
      </c>
      <c r="E1824" s="622"/>
      <c r="F1824" s="334"/>
      <c r="G1824" s="334"/>
      <c r="H1824" s="602"/>
      <c r="I1824" s="334"/>
      <c r="J1824" s="334"/>
      <c r="K1824" s="334"/>
      <c r="L1824" s="334"/>
      <c r="M1824" s="334"/>
      <c r="N1824" s="334"/>
      <c r="O1824" s="334"/>
    </row>
    <row r="1825" spans="1:15" ht="12.75" hidden="1" customHeight="1" outlineLevel="1" x14ac:dyDescent="0.2">
      <c r="A1825" s="623" t="s">
        <v>2732</v>
      </c>
      <c r="B1825" s="624" t="s">
        <v>1199</v>
      </c>
      <c r="C1825" s="625" t="s">
        <v>88</v>
      </c>
      <c r="D1825" s="626">
        <v>2</v>
      </c>
      <c r="E1825" s="622"/>
      <c r="F1825" s="334"/>
      <c r="G1825" s="334"/>
      <c r="H1825" s="602"/>
      <c r="I1825" s="334"/>
      <c r="J1825" s="334"/>
      <c r="K1825" s="334"/>
      <c r="L1825" s="334"/>
      <c r="M1825" s="334"/>
      <c r="N1825" s="334"/>
      <c r="O1825" s="334"/>
    </row>
    <row r="1826" spans="1:15" ht="12.75" hidden="1" customHeight="1" outlineLevel="1" x14ac:dyDescent="0.2">
      <c r="A1826" s="618" t="s">
        <v>2733</v>
      </c>
      <c r="B1826" s="619" t="s">
        <v>1079</v>
      </c>
      <c r="C1826" s="620"/>
      <c r="D1826" s="621"/>
      <c r="E1826" s="622"/>
      <c r="F1826" s="334"/>
      <c r="G1826" s="334"/>
      <c r="H1826" s="602"/>
      <c r="I1826" s="334"/>
      <c r="J1826" s="334"/>
      <c r="K1826" s="334"/>
      <c r="L1826" s="334"/>
      <c r="M1826" s="334"/>
      <c r="N1826" s="334"/>
      <c r="O1826" s="334"/>
    </row>
    <row r="1827" spans="1:15" ht="12.75" hidden="1" customHeight="1" outlineLevel="1" x14ac:dyDescent="0.2">
      <c r="A1827" s="627" t="s">
        <v>2734</v>
      </c>
      <c r="B1827" s="628" t="s">
        <v>1312</v>
      </c>
      <c r="C1827" s="629" t="s">
        <v>100</v>
      </c>
      <c r="D1827" s="630">
        <v>15.6</v>
      </c>
      <c r="E1827" s="622"/>
      <c r="F1827" s="334"/>
      <c r="G1827" s="334"/>
      <c r="H1827" s="602"/>
      <c r="I1827" s="334"/>
      <c r="J1827" s="334"/>
      <c r="K1827" s="334"/>
      <c r="L1827" s="334"/>
      <c r="M1827" s="334"/>
      <c r="N1827" s="334"/>
      <c r="O1827" s="334"/>
    </row>
    <row r="1828" spans="1:15" ht="12.75" hidden="1" customHeight="1" outlineLevel="1" x14ac:dyDescent="0.2">
      <c r="A1828" s="623" t="s">
        <v>2735</v>
      </c>
      <c r="B1828" s="628" t="s">
        <v>1312</v>
      </c>
      <c r="C1828" s="625" t="s">
        <v>100</v>
      </c>
      <c r="D1828" s="626">
        <v>4.22</v>
      </c>
      <c r="E1828" s="622"/>
      <c r="F1828" s="334"/>
      <c r="G1828" s="334"/>
      <c r="H1828" s="602"/>
      <c r="I1828" s="334"/>
      <c r="J1828" s="334"/>
      <c r="K1828" s="334"/>
      <c r="L1828" s="334"/>
      <c r="M1828" s="334"/>
      <c r="N1828" s="334"/>
      <c r="O1828" s="334"/>
    </row>
    <row r="1829" spans="1:15" ht="12.75" hidden="1" customHeight="1" outlineLevel="1" x14ac:dyDescent="0.2">
      <c r="A1829" s="627" t="s">
        <v>2736</v>
      </c>
      <c r="B1829" s="628" t="s">
        <v>1199</v>
      </c>
      <c r="C1829" s="629" t="s">
        <v>88</v>
      </c>
      <c r="D1829" s="630">
        <v>2</v>
      </c>
      <c r="E1829" s="622"/>
      <c r="F1829" s="334"/>
      <c r="G1829" s="334"/>
      <c r="H1829" s="602"/>
      <c r="I1829" s="334"/>
      <c r="J1829" s="334"/>
      <c r="K1829" s="334"/>
      <c r="L1829" s="334"/>
      <c r="M1829" s="334"/>
      <c r="N1829" s="334"/>
      <c r="O1829" s="334"/>
    </row>
    <row r="1830" spans="1:15" ht="12.75" hidden="1" customHeight="1" outlineLevel="1" x14ac:dyDescent="0.2">
      <c r="A1830" s="618" t="s">
        <v>2737</v>
      </c>
      <c r="B1830" s="619" t="s">
        <v>1086</v>
      </c>
      <c r="C1830" s="620"/>
      <c r="D1830" s="621"/>
      <c r="E1830" s="622"/>
      <c r="F1830" s="334"/>
      <c r="G1830" s="334"/>
      <c r="H1830" s="602"/>
      <c r="I1830" s="334"/>
      <c r="J1830" s="334"/>
      <c r="K1830" s="334"/>
      <c r="L1830" s="334"/>
      <c r="M1830" s="334"/>
      <c r="N1830" s="334"/>
      <c r="O1830" s="334"/>
    </row>
    <row r="1831" spans="1:15" ht="12.75" hidden="1" customHeight="1" outlineLevel="1" x14ac:dyDescent="0.2">
      <c r="A1831" s="623" t="s">
        <v>2738</v>
      </c>
      <c r="B1831" s="628" t="s">
        <v>1312</v>
      </c>
      <c r="C1831" s="625" t="s">
        <v>100</v>
      </c>
      <c r="D1831" s="626">
        <v>15.6</v>
      </c>
      <c r="E1831" s="622"/>
      <c r="F1831" s="334"/>
      <c r="G1831" s="334"/>
      <c r="H1831" s="602"/>
      <c r="I1831" s="334"/>
      <c r="J1831" s="334"/>
      <c r="K1831" s="334"/>
      <c r="L1831" s="334"/>
      <c r="M1831" s="334"/>
      <c r="N1831" s="334"/>
      <c r="O1831" s="334"/>
    </row>
    <row r="1832" spans="1:15" ht="12.75" hidden="1" customHeight="1" outlineLevel="1" x14ac:dyDescent="0.2">
      <c r="A1832" s="627" t="s">
        <v>2739</v>
      </c>
      <c r="B1832" s="628" t="s">
        <v>1312</v>
      </c>
      <c r="C1832" s="629" t="s">
        <v>100</v>
      </c>
      <c r="D1832" s="630">
        <v>4.22</v>
      </c>
      <c r="E1832" s="622"/>
      <c r="F1832" s="334"/>
      <c r="G1832" s="334"/>
      <c r="H1832" s="602"/>
      <c r="I1832" s="334"/>
      <c r="J1832" s="334"/>
      <c r="K1832" s="334"/>
      <c r="L1832" s="334"/>
      <c r="M1832" s="334"/>
      <c r="N1832" s="334"/>
      <c r="O1832" s="334"/>
    </row>
    <row r="1833" spans="1:15" ht="12.75" hidden="1" customHeight="1" outlineLevel="1" x14ac:dyDescent="0.2">
      <c r="A1833" s="623" t="s">
        <v>2740</v>
      </c>
      <c r="B1833" s="624" t="s">
        <v>1199</v>
      </c>
      <c r="C1833" s="625" t="s">
        <v>88</v>
      </c>
      <c r="D1833" s="626">
        <v>2</v>
      </c>
      <c r="E1833" s="622"/>
      <c r="F1833" s="334"/>
      <c r="G1833" s="334"/>
      <c r="H1833" s="602"/>
      <c r="I1833" s="334"/>
      <c r="J1833" s="334"/>
      <c r="K1833" s="334"/>
      <c r="L1833" s="334"/>
      <c r="M1833" s="334"/>
      <c r="N1833" s="334"/>
      <c r="O1833" s="334"/>
    </row>
    <row r="1834" spans="1:15" ht="12.75" hidden="1" customHeight="1" outlineLevel="1" x14ac:dyDescent="0.2">
      <c r="A1834" s="618" t="s">
        <v>2741</v>
      </c>
      <c r="B1834" s="619" t="s">
        <v>1094</v>
      </c>
      <c r="C1834" s="620"/>
      <c r="D1834" s="621"/>
      <c r="E1834" s="622"/>
      <c r="F1834" s="334"/>
      <c r="G1834" s="334"/>
      <c r="H1834" s="602"/>
      <c r="I1834" s="334"/>
      <c r="J1834" s="334"/>
      <c r="K1834" s="334"/>
      <c r="L1834" s="334"/>
      <c r="M1834" s="334"/>
      <c r="N1834" s="334"/>
      <c r="O1834" s="334"/>
    </row>
    <row r="1835" spans="1:15" ht="12.75" hidden="1" customHeight="1" outlineLevel="1" x14ac:dyDescent="0.2">
      <c r="A1835" s="627" t="s">
        <v>2742</v>
      </c>
      <c r="B1835" s="628" t="s">
        <v>1312</v>
      </c>
      <c r="C1835" s="629" t="s">
        <v>100</v>
      </c>
      <c r="D1835" s="630">
        <v>15.6</v>
      </c>
      <c r="E1835" s="622"/>
      <c r="F1835" s="334"/>
      <c r="G1835" s="334"/>
      <c r="H1835" s="602"/>
      <c r="I1835" s="334"/>
      <c r="J1835" s="334"/>
      <c r="K1835" s="334"/>
      <c r="L1835" s="334"/>
      <c r="M1835" s="334"/>
      <c r="N1835" s="334"/>
      <c r="O1835" s="334"/>
    </row>
    <row r="1836" spans="1:15" ht="12.75" hidden="1" customHeight="1" outlineLevel="1" x14ac:dyDescent="0.2">
      <c r="A1836" s="623" t="s">
        <v>2743</v>
      </c>
      <c r="B1836" s="628" t="s">
        <v>1312</v>
      </c>
      <c r="C1836" s="625" t="s">
        <v>100</v>
      </c>
      <c r="D1836" s="626">
        <v>4.22</v>
      </c>
      <c r="E1836" s="622"/>
      <c r="F1836" s="334"/>
      <c r="G1836" s="334"/>
      <c r="H1836" s="602"/>
      <c r="I1836" s="334"/>
      <c r="J1836" s="334"/>
      <c r="K1836" s="334"/>
      <c r="L1836" s="334"/>
      <c r="M1836" s="334"/>
      <c r="N1836" s="334"/>
      <c r="O1836" s="334"/>
    </row>
    <row r="1837" spans="1:15" ht="12.75" hidden="1" customHeight="1" outlineLevel="1" x14ac:dyDescent="0.2">
      <c r="A1837" s="627" t="s">
        <v>2744</v>
      </c>
      <c r="B1837" s="628" t="s">
        <v>1199</v>
      </c>
      <c r="C1837" s="629" t="s">
        <v>88</v>
      </c>
      <c r="D1837" s="630">
        <v>2</v>
      </c>
      <c r="E1837" s="622"/>
      <c r="F1837" s="334"/>
      <c r="G1837" s="334"/>
      <c r="H1837" s="602"/>
      <c r="I1837" s="334"/>
      <c r="J1837" s="334"/>
      <c r="K1837" s="334"/>
      <c r="L1837" s="334"/>
      <c r="M1837" s="334"/>
      <c r="N1837" s="334"/>
      <c r="O1837" s="334"/>
    </row>
    <row r="1838" spans="1:15" ht="12.75" hidden="1" customHeight="1" outlineLevel="1" x14ac:dyDescent="0.2">
      <c r="A1838" s="618" t="s">
        <v>2745</v>
      </c>
      <c r="B1838" s="619" t="s">
        <v>1102</v>
      </c>
      <c r="C1838" s="620"/>
      <c r="D1838" s="621"/>
      <c r="E1838" s="622"/>
      <c r="F1838" s="334"/>
      <c r="G1838" s="334"/>
      <c r="H1838" s="602"/>
      <c r="I1838" s="334"/>
      <c r="J1838" s="334"/>
      <c r="K1838" s="334"/>
      <c r="L1838" s="334"/>
      <c r="M1838" s="334"/>
      <c r="N1838" s="334"/>
      <c r="O1838" s="334"/>
    </row>
    <row r="1839" spans="1:15" ht="12.75" hidden="1" customHeight="1" outlineLevel="1" x14ac:dyDescent="0.2">
      <c r="A1839" s="623" t="s">
        <v>2746</v>
      </c>
      <c r="B1839" s="628" t="s">
        <v>1312</v>
      </c>
      <c r="C1839" s="625" t="s">
        <v>100</v>
      </c>
      <c r="D1839" s="626">
        <v>34.799999999999997</v>
      </c>
      <c r="E1839" s="622"/>
      <c r="F1839" s="334"/>
      <c r="G1839" s="334"/>
      <c r="H1839" s="602"/>
      <c r="I1839" s="334"/>
      <c r="J1839" s="334"/>
      <c r="K1839" s="334"/>
      <c r="L1839" s="334"/>
      <c r="M1839" s="334"/>
      <c r="N1839" s="334"/>
      <c r="O1839" s="334"/>
    </row>
    <row r="1840" spans="1:15" ht="12.75" hidden="1" customHeight="1" outlineLevel="1" x14ac:dyDescent="0.2">
      <c r="A1840" s="627" t="s">
        <v>2747</v>
      </c>
      <c r="B1840" s="628" t="s">
        <v>1199</v>
      </c>
      <c r="C1840" s="629" t="s">
        <v>88</v>
      </c>
      <c r="D1840" s="630">
        <v>2</v>
      </c>
      <c r="E1840" s="622"/>
      <c r="F1840" s="334"/>
      <c r="G1840" s="334"/>
      <c r="H1840" s="602"/>
      <c r="I1840" s="334"/>
      <c r="J1840" s="334"/>
      <c r="K1840" s="334"/>
      <c r="L1840" s="334"/>
      <c r="M1840" s="334"/>
      <c r="N1840" s="334"/>
      <c r="O1840" s="334"/>
    </row>
    <row r="1841" spans="1:15" ht="12.75" hidden="1" customHeight="1" outlineLevel="1" x14ac:dyDescent="0.2">
      <c r="A1841" s="618" t="s">
        <v>2748</v>
      </c>
      <c r="B1841" s="619" t="s">
        <v>1127</v>
      </c>
      <c r="C1841" s="620"/>
      <c r="D1841" s="621"/>
      <c r="E1841" s="622"/>
      <c r="F1841" s="334"/>
      <c r="G1841" s="334"/>
      <c r="H1841" s="602"/>
      <c r="I1841" s="334"/>
      <c r="J1841" s="334"/>
      <c r="K1841" s="334"/>
      <c r="L1841" s="334"/>
      <c r="M1841" s="334"/>
      <c r="N1841" s="334"/>
      <c r="O1841" s="334"/>
    </row>
    <row r="1842" spans="1:15" ht="12.75" hidden="1" customHeight="1" outlineLevel="1" x14ac:dyDescent="0.2">
      <c r="A1842" s="623" t="s">
        <v>2749</v>
      </c>
      <c r="B1842" s="624" t="s">
        <v>2750</v>
      </c>
      <c r="C1842" s="625" t="s">
        <v>79</v>
      </c>
      <c r="D1842" s="626">
        <v>9.6999999999999993</v>
      </c>
      <c r="E1842" s="622"/>
      <c r="F1842" s="334"/>
      <c r="G1842" s="334"/>
      <c r="H1842" s="602"/>
      <c r="I1842" s="334"/>
      <c r="J1842" s="334"/>
      <c r="K1842" s="334"/>
      <c r="L1842" s="334"/>
      <c r="M1842" s="334"/>
      <c r="N1842" s="334"/>
      <c r="O1842" s="334"/>
    </row>
    <row r="1843" spans="1:15" ht="12.75" hidden="1" customHeight="1" outlineLevel="1" x14ac:dyDescent="0.2">
      <c r="A1843" s="627" t="s">
        <v>2751</v>
      </c>
      <c r="B1843" s="628" t="s">
        <v>1312</v>
      </c>
      <c r="C1843" s="629" t="s">
        <v>100</v>
      </c>
      <c r="D1843" s="630">
        <v>20.41</v>
      </c>
      <c r="E1843" s="622"/>
      <c r="F1843" s="334"/>
      <c r="G1843" s="334"/>
      <c r="H1843" s="602"/>
      <c r="I1843" s="334"/>
      <c r="J1843" s="334"/>
      <c r="K1843" s="334"/>
      <c r="L1843" s="334"/>
      <c r="M1843" s="334"/>
      <c r="N1843" s="334"/>
      <c r="O1843" s="334"/>
    </row>
    <row r="1844" spans="1:15" ht="12.75" hidden="1" customHeight="1" outlineLevel="1" x14ac:dyDescent="0.2">
      <c r="A1844" s="623" t="s">
        <v>2752</v>
      </c>
      <c r="B1844" s="624" t="s">
        <v>1199</v>
      </c>
      <c r="C1844" s="625" t="s">
        <v>88</v>
      </c>
      <c r="D1844" s="626">
        <v>2</v>
      </c>
      <c r="E1844" s="622"/>
      <c r="F1844" s="334"/>
      <c r="G1844" s="334"/>
      <c r="H1844" s="602"/>
      <c r="I1844" s="334"/>
      <c r="J1844" s="334"/>
      <c r="K1844" s="334"/>
      <c r="L1844" s="334"/>
      <c r="M1844" s="334"/>
      <c r="N1844" s="334"/>
      <c r="O1844" s="334"/>
    </row>
    <row r="1845" spans="1:15" ht="12.75" hidden="1" customHeight="1" outlineLevel="1" x14ac:dyDescent="0.2">
      <c r="A1845" s="618" t="s">
        <v>2753</v>
      </c>
      <c r="B1845" s="619" t="s">
        <v>1137</v>
      </c>
      <c r="C1845" s="620"/>
      <c r="D1845" s="621"/>
      <c r="E1845" s="622"/>
      <c r="F1845" s="334"/>
      <c r="G1845" s="334"/>
      <c r="H1845" s="602"/>
      <c r="I1845" s="334"/>
      <c r="J1845" s="334"/>
      <c r="K1845" s="334"/>
      <c r="L1845" s="334"/>
      <c r="M1845" s="334"/>
      <c r="N1845" s="334"/>
      <c r="O1845" s="334"/>
    </row>
    <row r="1846" spans="1:15" ht="12.75" hidden="1" customHeight="1" outlineLevel="1" x14ac:dyDescent="0.2">
      <c r="A1846" s="627" t="s">
        <v>2754</v>
      </c>
      <c r="B1846" s="628" t="s">
        <v>1199</v>
      </c>
      <c r="C1846" s="629" t="s">
        <v>88</v>
      </c>
      <c r="D1846" s="630">
        <v>1</v>
      </c>
      <c r="E1846" s="622"/>
      <c r="F1846" s="334"/>
      <c r="G1846" s="334"/>
      <c r="H1846" s="602"/>
      <c r="I1846" s="334"/>
      <c r="J1846" s="334"/>
      <c r="K1846" s="334"/>
      <c r="L1846" s="334"/>
      <c r="M1846" s="334"/>
      <c r="N1846" s="334"/>
      <c r="O1846" s="334"/>
    </row>
    <row r="1847" spans="1:15" ht="12.75" customHeight="1" collapsed="1" x14ac:dyDescent="0.2">
      <c r="A1847" s="614" t="s">
        <v>2755</v>
      </c>
      <c r="B1847" s="615" t="s">
        <v>2756</v>
      </c>
      <c r="C1847" s="616"/>
      <c r="D1847" s="617"/>
      <c r="E1847" s="622"/>
      <c r="F1847" s="334"/>
      <c r="G1847" s="334"/>
      <c r="H1847" s="602"/>
      <c r="I1847" s="334"/>
      <c r="J1847" s="334"/>
      <c r="K1847" s="334"/>
      <c r="L1847" s="334"/>
      <c r="M1847" s="334"/>
      <c r="N1847" s="334"/>
      <c r="O1847" s="334"/>
    </row>
    <row r="1848" spans="1:15" ht="12.75" hidden="1" customHeight="1" outlineLevel="1" x14ac:dyDescent="0.2">
      <c r="A1848" s="618" t="s">
        <v>2757</v>
      </c>
      <c r="B1848" s="619" t="s">
        <v>1009</v>
      </c>
      <c r="C1848" s="620"/>
      <c r="D1848" s="621"/>
      <c r="E1848" s="622"/>
      <c r="F1848" s="334"/>
      <c r="G1848" s="334"/>
      <c r="H1848" s="602"/>
      <c r="I1848" s="334"/>
      <c r="J1848" s="334"/>
      <c r="K1848" s="334"/>
      <c r="L1848" s="334"/>
      <c r="M1848" s="334"/>
      <c r="N1848" s="334"/>
      <c r="O1848" s="334"/>
    </row>
    <row r="1849" spans="1:15" ht="12.75" hidden="1" customHeight="1" outlineLevel="1" x14ac:dyDescent="0.2">
      <c r="A1849" s="623" t="s">
        <v>2758</v>
      </c>
      <c r="B1849" s="624" t="s">
        <v>1320</v>
      </c>
      <c r="C1849" s="625" t="s">
        <v>100</v>
      </c>
      <c r="D1849" s="626">
        <v>31.38</v>
      </c>
      <c r="E1849" s="622"/>
      <c r="F1849" s="334"/>
      <c r="G1849" s="334"/>
      <c r="H1849" s="602"/>
      <c r="I1849" s="334"/>
      <c r="J1849" s="334"/>
      <c r="K1849" s="334"/>
      <c r="L1849" s="334"/>
      <c r="M1849" s="334"/>
      <c r="N1849" s="334"/>
      <c r="O1849" s="334"/>
    </row>
    <row r="1850" spans="1:15" ht="12.75" hidden="1" customHeight="1" outlineLevel="1" x14ac:dyDescent="0.2">
      <c r="A1850" s="627" t="s">
        <v>2759</v>
      </c>
      <c r="B1850" s="628" t="s">
        <v>1322</v>
      </c>
      <c r="C1850" s="629" t="s">
        <v>100</v>
      </c>
      <c r="D1850" s="630">
        <v>6.29</v>
      </c>
      <c r="E1850" s="622"/>
      <c r="F1850" s="334"/>
      <c r="G1850" s="334"/>
      <c r="H1850" s="602"/>
      <c r="I1850" s="334"/>
      <c r="J1850" s="334"/>
      <c r="K1850" s="334"/>
      <c r="L1850" s="334"/>
      <c r="M1850" s="334"/>
      <c r="N1850" s="334"/>
      <c r="O1850" s="334"/>
    </row>
    <row r="1851" spans="1:15" ht="12.75" hidden="1" customHeight="1" outlineLevel="1" x14ac:dyDescent="0.2">
      <c r="A1851" s="618" t="s">
        <v>2760</v>
      </c>
      <c r="B1851" s="619" t="s">
        <v>1021</v>
      </c>
      <c r="C1851" s="620"/>
      <c r="D1851" s="621"/>
      <c r="E1851" s="622"/>
      <c r="F1851" s="334"/>
      <c r="G1851" s="334"/>
      <c r="H1851" s="602"/>
      <c r="I1851" s="334"/>
      <c r="J1851" s="334"/>
      <c r="K1851" s="334"/>
      <c r="L1851" s="334"/>
      <c r="M1851" s="334"/>
      <c r="N1851" s="334"/>
      <c r="O1851" s="334"/>
    </row>
    <row r="1852" spans="1:15" ht="12.75" hidden="1" customHeight="1" outlineLevel="1" x14ac:dyDescent="0.2">
      <c r="A1852" s="623" t="s">
        <v>2761</v>
      </c>
      <c r="B1852" s="624" t="s">
        <v>1320</v>
      </c>
      <c r="C1852" s="625" t="s">
        <v>100</v>
      </c>
      <c r="D1852" s="626">
        <v>73.45</v>
      </c>
      <c r="E1852" s="622"/>
      <c r="F1852" s="334"/>
      <c r="G1852" s="334"/>
      <c r="H1852" s="602"/>
      <c r="I1852" s="334"/>
      <c r="J1852" s="334"/>
      <c r="K1852" s="334"/>
      <c r="L1852" s="334"/>
      <c r="M1852" s="334"/>
      <c r="N1852" s="334"/>
      <c r="O1852" s="334"/>
    </row>
    <row r="1853" spans="1:15" ht="12.75" hidden="1" customHeight="1" outlineLevel="1" x14ac:dyDescent="0.2">
      <c r="A1853" s="618" t="s">
        <v>2762</v>
      </c>
      <c r="B1853" s="619" t="s">
        <v>1030</v>
      </c>
      <c r="C1853" s="620"/>
      <c r="D1853" s="621"/>
      <c r="E1853" s="622"/>
      <c r="F1853" s="334"/>
      <c r="G1853" s="334"/>
      <c r="H1853" s="602"/>
      <c r="I1853" s="334"/>
      <c r="J1853" s="334"/>
      <c r="K1853" s="334"/>
      <c r="L1853" s="334"/>
      <c r="M1853" s="334"/>
      <c r="N1853" s="334"/>
      <c r="O1853" s="334"/>
    </row>
    <row r="1854" spans="1:15" ht="12.75" hidden="1" customHeight="1" outlineLevel="1" x14ac:dyDescent="0.2">
      <c r="A1854" s="627" t="s">
        <v>2763</v>
      </c>
      <c r="B1854" s="628" t="s">
        <v>1320</v>
      </c>
      <c r="C1854" s="629" t="s">
        <v>100</v>
      </c>
      <c r="D1854" s="630">
        <v>5.19</v>
      </c>
      <c r="E1854" s="622"/>
      <c r="F1854" s="334"/>
      <c r="G1854" s="334"/>
      <c r="H1854" s="602"/>
      <c r="I1854" s="334"/>
      <c r="J1854" s="334"/>
      <c r="K1854" s="334"/>
      <c r="L1854" s="334"/>
      <c r="M1854" s="334"/>
      <c r="N1854" s="334"/>
      <c r="O1854" s="334"/>
    </row>
    <row r="1855" spans="1:15" ht="12.75" hidden="1" customHeight="1" outlineLevel="1" x14ac:dyDescent="0.2">
      <c r="A1855" s="618" t="s">
        <v>2764</v>
      </c>
      <c r="B1855" s="619" t="s">
        <v>1039</v>
      </c>
      <c r="C1855" s="620"/>
      <c r="D1855" s="621"/>
      <c r="E1855" s="622"/>
      <c r="F1855" s="334"/>
      <c r="G1855" s="334"/>
      <c r="H1855" s="602"/>
      <c r="I1855" s="334"/>
      <c r="J1855" s="334"/>
      <c r="K1855" s="334"/>
      <c r="L1855" s="334"/>
      <c r="M1855" s="334"/>
      <c r="N1855" s="334"/>
      <c r="O1855" s="334"/>
    </row>
    <row r="1856" spans="1:15" ht="12.75" hidden="1" customHeight="1" outlineLevel="1" x14ac:dyDescent="0.2">
      <c r="A1856" s="623" t="s">
        <v>2765</v>
      </c>
      <c r="B1856" s="624" t="s">
        <v>1320</v>
      </c>
      <c r="C1856" s="625" t="s">
        <v>100</v>
      </c>
      <c r="D1856" s="626">
        <v>3.47</v>
      </c>
      <c r="E1856" s="622"/>
      <c r="F1856" s="334"/>
      <c r="G1856" s="334"/>
      <c r="H1856" s="602"/>
      <c r="I1856" s="334"/>
      <c r="J1856" s="334"/>
      <c r="K1856" s="334"/>
      <c r="L1856" s="334"/>
      <c r="M1856" s="334"/>
      <c r="N1856" s="334"/>
      <c r="O1856" s="334"/>
    </row>
    <row r="1857" spans="1:15" ht="12.75" hidden="1" customHeight="1" outlineLevel="1" x14ac:dyDescent="0.2">
      <c r="A1857" s="618" t="s">
        <v>2766</v>
      </c>
      <c r="B1857" s="619" t="s">
        <v>1047</v>
      </c>
      <c r="C1857" s="620"/>
      <c r="D1857" s="621"/>
      <c r="E1857" s="622"/>
      <c r="F1857" s="334"/>
      <c r="G1857" s="334"/>
      <c r="H1857" s="602"/>
      <c r="I1857" s="334"/>
      <c r="J1857" s="334"/>
      <c r="K1857" s="334"/>
      <c r="L1857" s="334"/>
      <c r="M1857" s="334"/>
      <c r="N1857" s="334"/>
      <c r="O1857" s="334"/>
    </row>
    <row r="1858" spans="1:15" ht="12.75" hidden="1" customHeight="1" outlineLevel="1" x14ac:dyDescent="0.2">
      <c r="A1858" s="627" t="s">
        <v>2767</v>
      </c>
      <c r="B1858" s="628" t="s">
        <v>1320</v>
      </c>
      <c r="C1858" s="629" t="s">
        <v>100</v>
      </c>
      <c r="D1858" s="630">
        <v>5.19</v>
      </c>
      <c r="E1858" s="622"/>
      <c r="F1858" s="334"/>
      <c r="G1858" s="334"/>
      <c r="H1858" s="602"/>
      <c r="I1858" s="334"/>
      <c r="J1858" s="334"/>
      <c r="K1858" s="334"/>
      <c r="L1858" s="334"/>
      <c r="M1858" s="334"/>
      <c r="N1858" s="334"/>
      <c r="O1858" s="334"/>
    </row>
    <row r="1859" spans="1:15" ht="12.75" hidden="1" customHeight="1" outlineLevel="1" x14ac:dyDescent="0.2">
      <c r="A1859" s="618" t="s">
        <v>2768</v>
      </c>
      <c r="B1859" s="619" t="s">
        <v>1058</v>
      </c>
      <c r="C1859" s="620"/>
      <c r="D1859" s="621"/>
      <c r="E1859" s="622"/>
      <c r="F1859" s="334"/>
      <c r="G1859" s="334"/>
      <c r="H1859" s="602"/>
      <c r="I1859" s="334"/>
      <c r="J1859" s="334"/>
      <c r="K1859" s="334"/>
      <c r="L1859" s="334"/>
      <c r="M1859" s="334"/>
      <c r="N1859" s="334"/>
      <c r="O1859" s="334"/>
    </row>
    <row r="1860" spans="1:15" ht="12.75" hidden="1" customHeight="1" outlineLevel="1" x14ac:dyDescent="0.2">
      <c r="A1860" s="623" t="s">
        <v>2769</v>
      </c>
      <c r="B1860" s="624" t="s">
        <v>1320</v>
      </c>
      <c r="C1860" s="625" t="s">
        <v>100</v>
      </c>
      <c r="D1860" s="626">
        <v>5.19</v>
      </c>
      <c r="E1860" s="622"/>
      <c r="F1860" s="334"/>
      <c r="G1860" s="334"/>
      <c r="H1860" s="602"/>
      <c r="I1860" s="334"/>
      <c r="J1860" s="334"/>
      <c r="K1860" s="334"/>
      <c r="L1860" s="334"/>
      <c r="M1860" s="334"/>
      <c r="N1860" s="334"/>
      <c r="O1860" s="334"/>
    </row>
    <row r="1861" spans="1:15" ht="12.75" hidden="1" customHeight="1" outlineLevel="1" x14ac:dyDescent="0.2">
      <c r="A1861" s="618" t="s">
        <v>2770</v>
      </c>
      <c r="B1861" s="619" t="s">
        <v>1069</v>
      </c>
      <c r="C1861" s="620"/>
      <c r="D1861" s="621"/>
      <c r="E1861" s="622"/>
      <c r="F1861" s="334"/>
      <c r="G1861" s="334"/>
      <c r="H1861" s="602"/>
      <c r="I1861" s="334"/>
      <c r="J1861" s="334"/>
      <c r="K1861" s="334"/>
      <c r="L1861" s="334"/>
      <c r="M1861" s="334"/>
      <c r="N1861" s="334"/>
      <c r="O1861" s="334"/>
    </row>
    <row r="1862" spans="1:15" ht="12.75" hidden="1" customHeight="1" outlineLevel="1" x14ac:dyDescent="0.2">
      <c r="A1862" s="627" t="s">
        <v>2771</v>
      </c>
      <c r="B1862" s="628" t="s">
        <v>1320</v>
      </c>
      <c r="C1862" s="629" t="s">
        <v>100</v>
      </c>
      <c r="D1862" s="630">
        <v>5.19</v>
      </c>
      <c r="E1862" s="622"/>
      <c r="F1862" s="334"/>
      <c r="G1862" s="334"/>
      <c r="H1862" s="602"/>
      <c r="I1862" s="334"/>
      <c r="J1862" s="334"/>
      <c r="K1862" s="334"/>
      <c r="L1862" s="334"/>
      <c r="M1862" s="334"/>
      <c r="N1862" s="334"/>
      <c r="O1862" s="334"/>
    </row>
    <row r="1863" spans="1:15" ht="12.75" hidden="1" customHeight="1" outlineLevel="1" x14ac:dyDescent="0.2">
      <c r="A1863" s="618" t="s">
        <v>2772</v>
      </c>
      <c r="B1863" s="619" t="s">
        <v>1079</v>
      </c>
      <c r="C1863" s="620"/>
      <c r="D1863" s="621"/>
      <c r="E1863" s="622"/>
      <c r="F1863" s="334"/>
      <c r="G1863" s="334"/>
      <c r="H1863" s="602"/>
      <c r="I1863" s="334"/>
      <c r="J1863" s="334"/>
      <c r="K1863" s="334"/>
      <c r="L1863" s="334"/>
      <c r="M1863" s="334"/>
      <c r="N1863" s="334"/>
      <c r="O1863" s="334"/>
    </row>
    <row r="1864" spans="1:15" ht="12.75" hidden="1" customHeight="1" outlineLevel="1" x14ac:dyDescent="0.2">
      <c r="A1864" s="623" t="s">
        <v>2773</v>
      </c>
      <c r="B1864" s="624" t="s">
        <v>1320</v>
      </c>
      <c r="C1864" s="625" t="s">
        <v>100</v>
      </c>
      <c r="D1864" s="626">
        <v>5.19</v>
      </c>
      <c r="E1864" s="622"/>
      <c r="F1864" s="334"/>
      <c r="G1864" s="334"/>
      <c r="H1864" s="602"/>
      <c r="I1864" s="334"/>
      <c r="J1864" s="334"/>
      <c r="K1864" s="334"/>
      <c r="L1864" s="334"/>
      <c r="M1864" s="334"/>
      <c r="N1864" s="334"/>
      <c r="O1864" s="334"/>
    </row>
    <row r="1865" spans="1:15" ht="12.75" hidden="1" customHeight="1" outlineLevel="1" x14ac:dyDescent="0.2">
      <c r="A1865" s="618" t="s">
        <v>2774</v>
      </c>
      <c r="B1865" s="619" t="s">
        <v>1086</v>
      </c>
      <c r="C1865" s="620"/>
      <c r="D1865" s="621"/>
      <c r="E1865" s="622"/>
      <c r="F1865" s="334"/>
      <c r="G1865" s="334"/>
      <c r="H1865" s="602"/>
      <c r="I1865" s="334"/>
      <c r="J1865" s="334"/>
      <c r="K1865" s="334"/>
      <c r="L1865" s="334"/>
      <c r="M1865" s="334"/>
      <c r="N1865" s="334"/>
      <c r="O1865" s="334"/>
    </row>
    <row r="1866" spans="1:15" ht="12.75" hidden="1" customHeight="1" outlineLevel="1" x14ac:dyDescent="0.2">
      <c r="A1866" s="627" t="s">
        <v>2775</v>
      </c>
      <c r="B1866" s="628" t="s">
        <v>1320</v>
      </c>
      <c r="C1866" s="629" t="s">
        <v>100</v>
      </c>
      <c r="D1866" s="630">
        <v>5.19</v>
      </c>
      <c r="E1866" s="622"/>
      <c r="F1866" s="334"/>
      <c r="G1866" s="334"/>
      <c r="H1866" s="602"/>
      <c r="I1866" s="334"/>
      <c r="J1866" s="334"/>
      <c r="K1866" s="334"/>
      <c r="L1866" s="334"/>
      <c r="M1866" s="334"/>
      <c r="N1866" s="334"/>
      <c r="O1866" s="334"/>
    </row>
    <row r="1867" spans="1:15" ht="12.75" hidden="1" customHeight="1" outlineLevel="1" x14ac:dyDescent="0.2">
      <c r="A1867" s="618" t="s">
        <v>2776</v>
      </c>
      <c r="B1867" s="619" t="s">
        <v>1094</v>
      </c>
      <c r="C1867" s="620"/>
      <c r="D1867" s="621"/>
      <c r="E1867" s="622"/>
      <c r="F1867" s="334"/>
      <c r="G1867" s="334"/>
      <c r="H1867" s="602"/>
      <c r="I1867" s="334"/>
      <c r="J1867" s="334"/>
      <c r="K1867" s="334"/>
      <c r="L1867" s="334"/>
      <c r="M1867" s="334"/>
      <c r="N1867" s="334"/>
      <c r="O1867" s="334"/>
    </row>
    <row r="1868" spans="1:15" ht="12.75" hidden="1" customHeight="1" outlineLevel="1" x14ac:dyDescent="0.2">
      <c r="A1868" s="623" t="s">
        <v>2777</v>
      </c>
      <c r="B1868" s="624" t="s">
        <v>1320</v>
      </c>
      <c r="C1868" s="625" t="s">
        <v>100</v>
      </c>
      <c r="D1868" s="626">
        <v>5.19</v>
      </c>
      <c r="E1868" s="622"/>
      <c r="F1868" s="334"/>
      <c r="G1868" s="334"/>
      <c r="H1868" s="602"/>
      <c r="I1868" s="334"/>
      <c r="J1868" s="334"/>
      <c r="K1868" s="334"/>
      <c r="L1868" s="334"/>
      <c r="M1868" s="334"/>
      <c r="N1868" s="334"/>
      <c r="O1868" s="334"/>
    </row>
    <row r="1869" spans="1:15" ht="12.75" hidden="1" customHeight="1" outlineLevel="1" x14ac:dyDescent="0.2">
      <c r="A1869" s="618" t="s">
        <v>2778</v>
      </c>
      <c r="B1869" s="619" t="s">
        <v>1102</v>
      </c>
      <c r="C1869" s="620"/>
      <c r="D1869" s="621"/>
      <c r="E1869" s="622"/>
      <c r="F1869" s="334"/>
      <c r="G1869" s="334"/>
      <c r="H1869" s="602"/>
      <c r="I1869" s="334"/>
      <c r="J1869" s="334"/>
      <c r="K1869" s="334"/>
      <c r="L1869" s="334"/>
      <c r="M1869" s="334"/>
      <c r="N1869" s="334"/>
      <c r="O1869" s="334"/>
    </row>
    <row r="1870" spans="1:15" ht="12.75" hidden="1" customHeight="1" outlineLevel="1" x14ac:dyDescent="0.2">
      <c r="A1870" s="627" t="s">
        <v>2779</v>
      </c>
      <c r="B1870" s="628" t="s">
        <v>1320</v>
      </c>
      <c r="C1870" s="629" t="s">
        <v>100</v>
      </c>
      <c r="D1870" s="630">
        <v>35.22</v>
      </c>
      <c r="E1870" s="622"/>
      <c r="F1870" s="334"/>
      <c r="G1870" s="334"/>
      <c r="H1870" s="602"/>
      <c r="I1870" s="334"/>
      <c r="J1870" s="334"/>
      <c r="K1870" s="334"/>
      <c r="L1870" s="334"/>
      <c r="M1870" s="334"/>
      <c r="N1870" s="334"/>
      <c r="O1870" s="334"/>
    </row>
    <row r="1871" spans="1:15" ht="12.75" hidden="1" customHeight="1" outlineLevel="1" x14ac:dyDescent="0.2">
      <c r="A1871" s="618" t="s">
        <v>2780</v>
      </c>
      <c r="B1871" s="619" t="s">
        <v>1120</v>
      </c>
      <c r="C1871" s="620"/>
      <c r="D1871" s="621"/>
      <c r="E1871" s="622"/>
      <c r="F1871" s="334"/>
      <c r="G1871" s="334"/>
      <c r="H1871" s="602"/>
      <c r="I1871" s="334"/>
      <c r="J1871" s="334"/>
      <c r="K1871" s="334"/>
      <c r="L1871" s="334"/>
      <c r="M1871" s="334"/>
      <c r="N1871" s="334"/>
      <c r="O1871" s="334"/>
    </row>
    <row r="1872" spans="1:15" ht="12.75" hidden="1" customHeight="1" outlineLevel="1" x14ac:dyDescent="0.2">
      <c r="A1872" s="623" t="s">
        <v>2781</v>
      </c>
      <c r="B1872" s="624" t="s">
        <v>2782</v>
      </c>
      <c r="C1872" s="625" t="s">
        <v>100</v>
      </c>
      <c r="D1872" s="626">
        <v>320.2</v>
      </c>
      <c r="E1872" s="622"/>
      <c r="F1872" s="334"/>
      <c r="G1872" s="334"/>
      <c r="H1872" s="602"/>
      <c r="I1872" s="334"/>
      <c r="J1872" s="334"/>
      <c r="K1872" s="334"/>
      <c r="L1872" s="334"/>
      <c r="M1872" s="334"/>
      <c r="N1872" s="334"/>
      <c r="O1872" s="334"/>
    </row>
    <row r="1873" spans="1:15" ht="12.75" hidden="1" customHeight="1" outlineLevel="1" x14ac:dyDescent="0.2">
      <c r="A1873" s="618" t="s">
        <v>2783</v>
      </c>
      <c r="B1873" s="619" t="s">
        <v>1137</v>
      </c>
      <c r="C1873" s="620"/>
      <c r="D1873" s="621"/>
      <c r="E1873" s="622"/>
      <c r="F1873" s="334"/>
      <c r="G1873" s="334"/>
      <c r="H1873" s="602"/>
      <c r="I1873" s="334"/>
      <c r="J1873" s="334"/>
      <c r="K1873" s="334"/>
      <c r="L1873" s="334"/>
      <c r="M1873" s="334"/>
      <c r="N1873" s="334"/>
      <c r="O1873" s="334"/>
    </row>
    <row r="1874" spans="1:15" ht="12.75" hidden="1" customHeight="1" outlineLevel="1" x14ac:dyDescent="0.2">
      <c r="A1874" s="627" t="s">
        <v>2784</v>
      </c>
      <c r="B1874" s="628" t="s">
        <v>2785</v>
      </c>
      <c r="C1874" s="629" t="s">
        <v>100</v>
      </c>
      <c r="D1874" s="630">
        <v>7.64</v>
      </c>
      <c r="E1874" s="622"/>
      <c r="F1874" s="334"/>
      <c r="G1874" s="334"/>
      <c r="H1874" s="602"/>
      <c r="I1874" s="334"/>
      <c r="J1874" s="334"/>
      <c r="K1874" s="334"/>
      <c r="L1874" s="334"/>
      <c r="M1874" s="334"/>
      <c r="N1874" s="334"/>
      <c r="O1874" s="334"/>
    </row>
    <row r="1875" spans="1:15" ht="12.75" hidden="1" customHeight="1" outlineLevel="1" x14ac:dyDescent="0.2">
      <c r="A1875" s="618" t="s">
        <v>2786</v>
      </c>
      <c r="B1875" s="619" t="s">
        <v>2035</v>
      </c>
      <c r="C1875" s="620"/>
      <c r="D1875" s="621"/>
      <c r="E1875" s="622"/>
      <c r="F1875" s="334"/>
      <c r="G1875" s="334"/>
      <c r="H1875" s="602"/>
      <c r="I1875" s="334"/>
      <c r="J1875" s="334"/>
      <c r="K1875" s="334"/>
      <c r="L1875" s="334"/>
      <c r="M1875" s="334"/>
      <c r="N1875" s="334"/>
      <c r="O1875" s="334"/>
    </row>
    <row r="1876" spans="1:15" ht="12.75" hidden="1" customHeight="1" outlineLevel="1" x14ac:dyDescent="0.2">
      <c r="A1876" s="623" t="s">
        <v>2787</v>
      </c>
      <c r="B1876" s="624" t="s">
        <v>2788</v>
      </c>
      <c r="C1876" s="625" t="s">
        <v>100</v>
      </c>
      <c r="D1876" s="626">
        <v>31.2</v>
      </c>
      <c r="E1876" s="622"/>
      <c r="F1876" s="334"/>
      <c r="G1876" s="334"/>
      <c r="H1876" s="602"/>
      <c r="I1876" s="334"/>
      <c r="J1876" s="334"/>
      <c r="K1876" s="334"/>
      <c r="L1876" s="334"/>
      <c r="M1876" s="334"/>
      <c r="N1876" s="334"/>
      <c r="O1876" s="334"/>
    </row>
    <row r="1877" spans="1:15" ht="12.75" customHeight="1" collapsed="1" x14ac:dyDescent="0.2">
      <c r="A1877" s="614" t="s">
        <v>2789</v>
      </c>
      <c r="B1877" s="615" t="s">
        <v>2790</v>
      </c>
      <c r="C1877" s="616"/>
      <c r="D1877" s="617"/>
      <c r="E1877" s="622"/>
      <c r="F1877" s="334"/>
      <c r="G1877" s="334"/>
      <c r="H1877" s="602"/>
      <c r="I1877" s="334"/>
      <c r="J1877" s="334"/>
      <c r="K1877" s="334"/>
      <c r="L1877" s="334"/>
      <c r="M1877" s="334"/>
      <c r="N1877" s="334"/>
      <c r="O1877" s="334"/>
    </row>
    <row r="1878" spans="1:15" ht="12.75" hidden="1" customHeight="1" outlineLevel="1" x14ac:dyDescent="0.2">
      <c r="A1878" s="618" t="s">
        <v>2791</v>
      </c>
      <c r="B1878" s="619" t="s">
        <v>1009</v>
      </c>
      <c r="C1878" s="620"/>
      <c r="D1878" s="621"/>
      <c r="E1878" s="622"/>
      <c r="F1878" s="334"/>
      <c r="G1878" s="334"/>
      <c r="H1878" s="602"/>
      <c r="I1878" s="334"/>
      <c r="J1878" s="334"/>
      <c r="K1878" s="334"/>
      <c r="L1878" s="334"/>
      <c r="M1878" s="334"/>
      <c r="N1878" s="334"/>
      <c r="O1878" s="334"/>
    </row>
    <row r="1879" spans="1:15" ht="12.75" hidden="1" customHeight="1" outlineLevel="1" x14ac:dyDescent="0.2">
      <c r="A1879" s="627" t="s">
        <v>2792</v>
      </c>
      <c r="B1879" s="628" t="s">
        <v>1324</v>
      </c>
      <c r="C1879" s="629" t="s">
        <v>100</v>
      </c>
      <c r="D1879" s="630">
        <v>19.72</v>
      </c>
      <c r="E1879" s="622"/>
      <c r="F1879" s="334"/>
      <c r="G1879" s="334"/>
      <c r="H1879" s="631" t="s">
        <v>696</v>
      </c>
      <c r="I1879" s="632" t="s">
        <v>59</v>
      </c>
      <c r="J1879" s="334"/>
      <c r="K1879" s="334"/>
      <c r="L1879" s="334"/>
      <c r="M1879" s="334"/>
      <c r="N1879" s="334"/>
      <c r="O1879" s="334"/>
    </row>
    <row r="1880" spans="1:15" ht="12.75" hidden="1" customHeight="1" outlineLevel="1" x14ac:dyDescent="0.2">
      <c r="A1880" s="623" t="s">
        <v>2793</v>
      </c>
      <c r="B1880" s="624" t="s">
        <v>1326</v>
      </c>
      <c r="C1880" s="625" t="s">
        <v>100</v>
      </c>
      <c r="D1880" s="626">
        <v>19.72</v>
      </c>
      <c r="E1880" s="622"/>
      <c r="F1880" s="334"/>
      <c r="G1880" s="334"/>
      <c r="H1880" s="633" t="s">
        <v>1320</v>
      </c>
      <c r="I1880" s="634">
        <f t="shared" ref="I1880:I1885" si="10">SUMIF($B$14:$B$4106,H1880,$D$14:$D$4106)</f>
        <v>179.85</v>
      </c>
      <c r="J1880" s="334"/>
      <c r="K1880" s="334"/>
      <c r="L1880" s="334"/>
      <c r="M1880" s="334"/>
      <c r="N1880" s="334"/>
      <c r="O1880" s="334"/>
    </row>
    <row r="1881" spans="1:15" ht="12.75" hidden="1" customHeight="1" outlineLevel="1" x14ac:dyDescent="0.2">
      <c r="A1881" s="627" t="s">
        <v>2794</v>
      </c>
      <c r="B1881" s="628" t="s">
        <v>1328</v>
      </c>
      <c r="C1881" s="629" t="s">
        <v>100</v>
      </c>
      <c r="D1881" s="630">
        <v>19.72</v>
      </c>
      <c r="E1881" s="622"/>
      <c r="F1881" s="334"/>
      <c r="G1881" s="334"/>
      <c r="H1881" s="633" t="s">
        <v>1322</v>
      </c>
      <c r="I1881" s="634">
        <f t="shared" si="10"/>
        <v>6.29</v>
      </c>
      <c r="J1881" s="334"/>
      <c r="K1881" s="334"/>
      <c r="L1881" s="334"/>
      <c r="M1881" s="334"/>
      <c r="N1881" s="334"/>
      <c r="O1881" s="334"/>
    </row>
    <row r="1882" spans="1:15" ht="12.75" hidden="1" customHeight="1" outlineLevel="1" x14ac:dyDescent="0.2">
      <c r="A1882" s="623" t="s">
        <v>2795</v>
      </c>
      <c r="B1882" s="628" t="s">
        <v>1324</v>
      </c>
      <c r="C1882" s="625" t="s">
        <v>100</v>
      </c>
      <c r="D1882" s="626">
        <v>103.62</v>
      </c>
      <c r="E1882" s="622"/>
      <c r="F1882" s="334"/>
      <c r="G1882" s="334"/>
      <c r="H1882" s="633" t="s">
        <v>1324</v>
      </c>
      <c r="I1882" s="634">
        <f t="shared" si="10"/>
        <v>13619.059999999994</v>
      </c>
      <c r="J1882" s="334"/>
      <c r="K1882" s="334"/>
      <c r="L1882" s="334"/>
      <c r="M1882" s="334"/>
      <c r="N1882" s="334"/>
      <c r="O1882" s="334"/>
    </row>
    <row r="1883" spans="1:15" ht="12.75" hidden="1" customHeight="1" outlineLevel="1" x14ac:dyDescent="0.2">
      <c r="A1883" s="627" t="s">
        <v>2796</v>
      </c>
      <c r="B1883" s="624" t="s">
        <v>1326</v>
      </c>
      <c r="C1883" s="629" t="s">
        <v>100</v>
      </c>
      <c r="D1883" s="630">
        <v>103.62</v>
      </c>
      <c r="E1883" s="622"/>
      <c r="F1883" s="334"/>
      <c r="G1883" s="334"/>
      <c r="H1883" s="633" t="s">
        <v>1326</v>
      </c>
      <c r="I1883" s="634">
        <f t="shared" si="10"/>
        <v>12834.329999999998</v>
      </c>
      <c r="J1883" s="334"/>
      <c r="K1883" s="334"/>
      <c r="L1883" s="334"/>
      <c r="M1883" s="334"/>
      <c r="N1883" s="334"/>
      <c r="O1883" s="334"/>
    </row>
    <row r="1884" spans="1:15" ht="12.75" hidden="1" customHeight="1" outlineLevel="1" x14ac:dyDescent="0.2">
      <c r="A1884" s="623" t="s">
        <v>2797</v>
      </c>
      <c r="B1884" s="628" t="s">
        <v>1328</v>
      </c>
      <c r="C1884" s="625" t="s">
        <v>100</v>
      </c>
      <c r="D1884" s="626">
        <v>19.38</v>
      </c>
      <c r="E1884" s="622"/>
      <c r="F1884" s="334"/>
      <c r="G1884" s="334"/>
      <c r="H1884" s="633" t="s">
        <v>1328</v>
      </c>
      <c r="I1884" s="634">
        <f t="shared" si="10"/>
        <v>1246.48</v>
      </c>
      <c r="J1884" s="334"/>
      <c r="K1884" s="334"/>
      <c r="L1884" s="334"/>
      <c r="M1884" s="334"/>
      <c r="N1884" s="334"/>
      <c r="O1884" s="334"/>
    </row>
    <row r="1885" spans="1:15" ht="12.75" hidden="1" customHeight="1" outlineLevel="1" x14ac:dyDescent="0.2">
      <c r="A1885" s="627" t="s">
        <v>2798</v>
      </c>
      <c r="B1885" s="628" t="s">
        <v>1324</v>
      </c>
      <c r="C1885" s="629" t="s">
        <v>100</v>
      </c>
      <c r="D1885" s="630">
        <v>19.38</v>
      </c>
      <c r="E1885" s="622"/>
      <c r="F1885" s="334"/>
      <c r="G1885" s="334"/>
      <c r="H1885" s="628" t="s">
        <v>1330</v>
      </c>
      <c r="I1885" s="634">
        <f t="shared" si="10"/>
        <v>9907.7899999999954</v>
      </c>
      <c r="J1885" s="334"/>
      <c r="K1885" s="334"/>
      <c r="L1885" s="334"/>
      <c r="M1885" s="334"/>
      <c r="N1885" s="334"/>
      <c r="O1885" s="334"/>
    </row>
    <row r="1886" spans="1:15" ht="12.75" hidden="1" customHeight="1" outlineLevel="1" x14ac:dyDescent="0.2">
      <c r="A1886" s="623" t="s">
        <v>2799</v>
      </c>
      <c r="B1886" s="624" t="s">
        <v>1326</v>
      </c>
      <c r="C1886" s="625" t="s">
        <v>100</v>
      </c>
      <c r="D1886" s="626">
        <v>19.38</v>
      </c>
      <c r="E1886" s="622"/>
      <c r="F1886" s="334"/>
      <c r="G1886" s="334"/>
      <c r="J1886" s="334"/>
      <c r="K1886" s="334"/>
      <c r="L1886" s="334"/>
      <c r="M1886" s="334"/>
      <c r="N1886" s="334"/>
      <c r="O1886" s="334"/>
    </row>
    <row r="1887" spans="1:15" ht="12.75" hidden="1" customHeight="1" outlineLevel="1" x14ac:dyDescent="0.2">
      <c r="A1887" s="627" t="s">
        <v>2800</v>
      </c>
      <c r="B1887" s="628" t="s">
        <v>1330</v>
      </c>
      <c r="C1887" s="629" t="s">
        <v>100</v>
      </c>
      <c r="D1887" s="630">
        <v>13.16</v>
      </c>
      <c r="E1887" s="622"/>
      <c r="F1887" s="334"/>
      <c r="G1887" s="334"/>
      <c r="J1887" s="334"/>
      <c r="K1887" s="334"/>
      <c r="L1887" s="334"/>
      <c r="M1887" s="334"/>
      <c r="N1887" s="334"/>
      <c r="O1887" s="334"/>
    </row>
    <row r="1888" spans="1:15" ht="12.75" hidden="1" customHeight="1" outlineLevel="1" x14ac:dyDescent="0.2">
      <c r="A1888" s="623" t="s">
        <v>2801</v>
      </c>
      <c r="B1888" s="628" t="s">
        <v>1324</v>
      </c>
      <c r="C1888" s="625" t="s">
        <v>100</v>
      </c>
      <c r="D1888" s="626">
        <v>13.16</v>
      </c>
      <c r="E1888" s="622"/>
      <c r="F1888" s="334"/>
      <c r="G1888" s="334"/>
      <c r="J1888" s="334"/>
      <c r="K1888" s="334"/>
      <c r="L1888" s="334"/>
      <c r="M1888" s="334"/>
      <c r="N1888" s="334"/>
      <c r="O1888" s="334"/>
    </row>
    <row r="1889" spans="1:15" ht="12.75" hidden="1" customHeight="1" outlineLevel="1" x14ac:dyDescent="0.2">
      <c r="A1889" s="627" t="s">
        <v>2802</v>
      </c>
      <c r="B1889" s="624" t="s">
        <v>1326</v>
      </c>
      <c r="C1889" s="629" t="s">
        <v>100</v>
      </c>
      <c r="D1889" s="630">
        <v>13.16</v>
      </c>
      <c r="E1889" s="622"/>
      <c r="F1889" s="334"/>
      <c r="G1889" s="334"/>
      <c r="J1889" s="334"/>
      <c r="K1889" s="334"/>
      <c r="L1889" s="334"/>
      <c r="M1889" s="334"/>
      <c r="N1889" s="334"/>
      <c r="O1889" s="334"/>
    </row>
    <row r="1890" spans="1:15" ht="12.75" hidden="1" customHeight="1" outlineLevel="1" x14ac:dyDescent="0.2">
      <c r="A1890" s="623" t="s">
        <v>2803</v>
      </c>
      <c r="B1890" s="628" t="s">
        <v>1330</v>
      </c>
      <c r="C1890" s="625" t="s">
        <v>100</v>
      </c>
      <c r="D1890" s="626">
        <v>31.34</v>
      </c>
      <c r="E1890" s="622"/>
      <c r="F1890" s="334"/>
      <c r="G1890" s="334"/>
      <c r="J1890" s="334"/>
      <c r="K1890" s="334"/>
      <c r="L1890" s="334"/>
      <c r="M1890" s="334"/>
      <c r="N1890" s="334"/>
      <c r="O1890" s="334"/>
    </row>
    <row r="1891" spans="1:15" ht="12.75" hidden="1" customHeight="1" outlineLevel="1" x14ac:dyDescent="0.2">
      <c r="A1891" s="627" t="s">
        <v>2804</v>
      </c>
      <c r="B1891" s="628" t="s">
        <v>1324</v>
      </c>
      <c r="C1891" s="629" t="s">
        <v>100</v>
      </c>
      <c r="D1891" s="630">
        <v>31.34</v>
      </c>
      <c r="E1891" s="622"/>
      <c r="F1891" s="334"/>
      <c r="G1891" s="334"/>
      <c r="J1891" s="334"/>
      <c r="K1891" s="334"/>
      <c r="L1891" s="334"/>
      <c r="M1891" s="334"/>
      <c r="N1891" s="334"/>
      <c r="O1891" s="334"/>
    </row>
    <row r="1892" spans="1:15" ht="12.75" hidden="1" customHeight="1" outlineLevel="1" x14ac:dyDescent="0.2">
      <c r="A1892" s="623" t="s">
        <v>2805</v>
      </c>
      <c r="B1892" s="624" t="s">
        <v>1326</v>
      </c>
      <c r="C1892" s="625" t="s">
        <v>100</v>
      </c>
      <c r="D1892" s="626">
        <v>31.34</v>
      </c>
      <c r="E1892" s="622"/>
      <c r="F1892" s="334"/>
      <c r="G1892" s="334"/>
      <c r="J1892" s="334"/>
      <c r="K1892" s="334"/>
      <c r="L1892" s="334"/>
      <c r="M1892" s="334"/>
      <c r="N1892" s="334"/>
      <c r="O1892" s="334"/>
    </row>
    <row r="1893" spans="1:15" ht="12.75" hidden="1" customHeight="1" outlineLevel="1" x14ac:dyDescent="0.2">
      <c r="A1893" s="627" t="s">
        <v>2806</v>
      </c>
      <c r="B1893" s="628" t="s">
        <v>1324</v>
      </c>
      <c r="C1893" s="629" t="s">
        <v>100</v>
      </c>
      <c r="D1893" s="630">
        <v>39.369999999999997</v>
      </c>
      <c r="E1893" s="622"/>
      <c r="F1893" s="334"/>
      <c r="G1893" s="334"/>
      <c r="J1893" s="334"/>
      <c r="K1893" s="334"/>
      <c r="L1893" s="334"/>
      <c r="M1893" s="334"/>
      <c r="N1893" s="334"/>
      <c r="O1893" s="334"/>
    </row>
    <row r="1894" spans="1:15" ht="12.75" hidden="1" customHeight="1" outlineLevel="1" x14ac:dyDescent="0.2">
      <c r="A1894" s="623" t="s">
        <v>2807</v>
      </c>
      <c r="B1894" s="624" t="s">
        <v>1324</v>
      </c>
      <c r="C1894" s="625" t="s">
        <v>100</v>
      </c>
      <c r="D1894" s="626">
        <v>51.02</v>
      </c>
      <c r="E1894" s="622"/>
      <c r="F1894" s="334"/>
      <c r="G1894" s="334"/>
      <c r="J1894" s="334"/>
      <c r="K1894" s="334"/>
      <c r="L1894" s="334"/>
      <c r="M1894" s="334"/>
      <c r="N1894" s="334"/>
      <c r="O1894" s="334"/>
    </row>
    <row r="1895" spans="1:15" ht="12.75" hidden="1" customHeight="1" outlineLevel="1" x14ac:dyDescent="0.2">
      <c r="A1895" s="627" t="s">
        <v>2808</v>
      </c>
      <c r="B1895" s="628" t="s">
        <v>1326</v>
      </c>
      <c r="C1895" s="629" t="s">
        <v>100</v>
      </c>
      <c r="D1895" s="630">
        <v>51.02</v>
      </c>
      <c r="E1895" s="622"/>
      <c r="F1895" s="334"/>
      <c r="G1895" s="334"/>
      <c r="J1895" s="334"/>
      <c r="K1895" s="334"/>
      <c r="L1895" s="334"/>
      <c r="M1895" s="334"/>
      <c r="N1895" s="334"/>
      <c r="O1895" s="334"/>
    </row>
    <row r="1896" spans="1:15" ht="12.75" hidden="1" customHeight="1" outlineLevel="1" x14ac:dyDescent="0.2">
      <c r="A1896" s="623" t="s">
        <v>2809</v>
      </c>
      <c r="B1896" s="624" t="s">
        <v>1328</v>
      </c>
      <c r="C1896" s="625" t="s">
        <v>100</v>
      </c>
      <c r="D1896" s="626">
        <v>51.02</v>
      </c>
      <c r="E1896" s="622"/>
      <c r="F1896" s="334"/>
      <c r="G1896" s="334"/>
      <c r="J1896" s="334"/>
      <c r="K1896" s="334"/>
      <c r="L1896" s="334"/>
      <c r="M1896" s="334"/>
      <c r="N1896" s="334"/>
      <c r="O1896" s="334"/>
    </row>
    <row r="1897" spans="1:15" ht="12.75" hidden="1" customHeight="1" outlineLevel="1" x14ac:dyDescent="0.2">
      <c r="A1897" s="627" t="s">
        <v>2810</v>
      </c>
      <c r="B1897" s="628" t="s">
        <v>1330</v>
      </c>
      <c r="C1897" s="629" t="s">
        <v>100</v>
      </c>
      <c r="D1897" s="630">
        <v>23.35</v>
      </c>
      <c r="E1897" s="622"/>
      <c r="F1897" s="334"/>
      <c r="G1897" s="334"/>
      <c r="J1897" s="334"/>
      <c r="K1897" s="334"/>
      <c r="L1897" s="334"/>
      <c r="M1897" s="334"/>
      <c r="N1897" s="334"/>
      <c r="O1897" s="334"/>
    </row>
    <row r="1898" spans="1:15" ht="12.75" hidden="1" customHeight="1" outlineLevel="1" x14ac:dyDescent="0.2">
      <c r="A1898" s="623" t="s">
        <v>2811</v>
      </c>
      <c r="B1898" s="624" t="s">
        <v>1324</v>
      </c>
      <c r="C1898" s="625" t="s">
        <v>100</v>
      </c>
      <c r="D1898" s="626">
        <v>23.35</v>
      </c>
      <c r="E1898" s="622"/>
      <c r="F1898" s="334"/>
      <c r="G1898" s="334"/>
      <c r="J1898" s="334"/>
      <c r="K1898" s="334"/>
      <c r="L1898" s="334"/>
      <c r="M1898" s="334"/>
      <c r="N1898" s="334"/>
      <c r="O1898" s="334"/>
    </row>
    <row r="1899" spans="1:15" ht="12.75" hidden="1" customHeight="1" outlineLevel="1" x14ac:dyDescent="0.2">
      <c r="A1899" s="627" t="s">
        <v>2812</v>
      </c>
      <c r="B1899" s="628" t="s">
        <v>1326</v>
      </c>
      <c r="C1899" s="629" t="s">
        <v>100</v>
      </c>
      <c r="D1899" s="630">
        <v>23.35</v>
      </c>
      <c r="E1899" s="622"/>
      <c r="F1899" s="334"/>
      <c r="G1899" s="334"/>
      <c r="J1899" s="334"/>
      <c r="K1899" s="334"/>
      <c r="L1899" s="334"/>
      <c r="M1899" s="334"/>
      <c r="N1899" s="334"/>
      <c r="O1899" s="334"/>
    </row>
    <row r="1900" spans="1:15" ht="12.75" hidden="1" customHeight="1" outlineLevel="1" x14ac:dyDescent="0.2">
      <c r="A1900" s="623" t="s">
        <v>2813</v>
      </c>
      <c r="B1900" s="624" t="s">
        <v>1324</v>
      </c>
      <c r="C1900" s="625" t="s">
        <v>100</v>
      </c>
      <c r="D1900" s="626">
        <v>299.70999999999998</v>
      </c>
      <c r="E1900" s="622"/>
      <c r="F1900" s="334"/>
      <c r="G1900" s="334"/>
      <c r="J1900" s="334"/>
      <c r="K1900" s="334"/>
      <c r="L1900" s="334"/>
      <c r="M1900" s="334"/>
      <c r="N1900" s="334"/>
      <c r="O1900" s="334"/>
    </row>
    <row r="1901" spans="1:15" ht="12.75" hidden="1" customHeight="1" outlineLevel="1" x14ac:dyDescent="0.2">
      <c r="A1901" s="627" t="s">
        <v>2814</v>
      </c>
      <c r="B1901" s="628" t="s">
        <v>1326</v>
      </c>
      <c r="C1901" s="629" t="s">
        <v>100</v>
      </c>
      <c r="D1901" s="630">
        <v>299.70999999999998</v>
      </c>
      <c r="E1901" s="622"/>
      <c r="F1901" s="334"/>
      <c r="G1901" s="334"/>
      <c r="J1901" s="334"/>
      <c r="K1901" s="334"/>
      <c r="L1901" s="334"/>
      <c r="M1901" s="334"/>
      <c r="N1901" s="334"/>
      <c r="O1901" s="334"/>
    </row>
    <row r="1902" spans="1:15" ht="12.75" hidden="1" customHeight="1" outlineLevel="1" x14ac:dyDescent="0.2">
      <c r="A1902" s="623" t="s">
        <v>2815</v>
      </c>
      <c r="B1902" s="624" t="s">
        <v>1324</v>
      </c>
      <c r="C1902" s="625" t="s">
        <v>100</v>
      </c>
      <c r="D1902" s="626">
        <v>38.770000000000003</v>
      </c>
      <c r="E1902" s="622"/>
      <c r="F1902" s="334"/>
      <c r="G1902" s="334"/>
      <c r="J1902" s="334"/>
      <c r="K1902" s="334"/>
      <c r="L1902" s="334"/>
      <c r="M1902" s="334"/>
      <c r="N1902" s="334"/>
      <c r="O1902" s="334"/>
    </row>
    <row r="1903" spans="1:15" ht="12.75" hidden="1" customHeight="1" outlineLevel="1" x14ac:dyDescent="0.2">
      <c r="A1903" s="627" t="s">
        <v>2816</v>
      </c>
      <c r="B1903" s="628" t="s">
        <v>1326</v>
      </c>
      <c r="C1903" s="629" t="s">
        <v>100</v>
      </c>
      <c r="D1903" s="630">
        <v>38.770000000000003</v>
      </c>
      <c r="E1903" s="622"/>
      <c r="F1903" s="334"/>
      <c r="G1903" s="334"/>
      <c r="J1903" s="334"/>
      <c r="K1903" s="334"/>
      <c r="L1903" s="334"/>
      <c r="M1903" s="334"/>
      <c r="N1903" s="334"/>
      <c r="O1903" s="334"/>
    </row>
    <row r="1904" spans="1:15" ht="12.75" hidden="1" customHeight="1" outlineLevel="1" x14ac:dyDescent="0.2">
      <c r="A1904" s="623" t="s">
        <v>2817</v>
      </c>
      <c r="B1904" s="624" t="s">
        <v>2818</v>
      </c>
      <c r="C1904" s="625" t="s">
        <v>100</v>
      </c>
      <c r="D1904" s="626">
        <v>44.21</v>
      </c>
      <c r="E1904" s="622"/>
      <c r="F1904" s="334"/>
      <c r="G1904" s="334"/>
      <c r="J1904" s="334"/>
      <c r="K1904" s="334"/>
      <c r="L1904" s="334"/>
      <c r="M1904" s="334"/>
      <c r="N1904" s="334"/>
      <c r="O1904" s="334"/>
    </row>
    <row r="1905" spans="1:15" ht="12.75" hidden="1" customHeight="1" outlineLevel="1" x14ac:dyDescent="0.2">
      <c r="A1905" s="627" t="s">
        <v>2819</v>
      </c>
      <c r="B1905" s="628" t="s">
        <v>1324</v>
      </c>
      <c r="C1905" s="629" t="s">
        <v>100</v>
      </c>
      <c r="D1905" s="630">
        <v>5.47</v>
      </c>
      <c r="E1905" s="622"/>
      <c r="F1905" s="334"/>
      <c r="G1905" s="334"/>
      <c r="J1905" s="334"/>
      <c r="K1905" s="334"/>
      <c r="L1905" s="334"/>
      <c r="M1905" s="334"/>
      <c r="N1905" s="334"/>
      <c r="O1905" s="334"/>
    </row>
    <row r="1906" spans="1:15" ht="12.75" hidden="1" customHeight="1" outlineLevel="1" x14ac:dyDescent="0.2">
      <c r="A1906" s="623" t="s">
        <v>2820</v>
      </c>
      <c r="B1906" s="624" t="s">
        <v>1326</v>
      </c>
      <c r="C1906" s="625" t="s">
        <v>100</v>
      </c>
      <c r="D1906" s="626">
        <v>5.47</v>
      </c>
      <c r="E1906" s="622"/>
      <c r="F1906" s="334"/>
      <c r="G1906" s="334"/>
      <c r="J1906" s="334"/>
      <c r="K1906" s="334"/>
      <c r="L1906" s="334"/>
      <c r="M1906" s="334"/>
      <c r="N1906" s="334"/>
      <c r="O1906" s="334"/>
    </row>
    <row r="1907" spans="1:15" ht="12.75" hidden="1" customHeight="1" outlineLevel="1" x14ac:dyDescent="0.2">
      <c r="A1907" s="627" t="s">
        <v>2821</v>
      </c>
      <c r="B1907" s="628" t="s">
        <v>1328</v>
      </c>
      <c r="C1907" s="629" t="s">
        <v>100</v>
      </c>
      <c r="D1907" s="630">
        <v>5.47</v>
      </c>
      <c r="E1907" s="622"/>
      <c r="F1907" s="334"/>
      <c r="G1907" s="334"/>
      <c r="J1907" s="334"/>
      <c r="K1907" s="334"/>
      <c r="L1907" s="334"/>
      <c r="M1907" s="334"/>
      <c r="N1907" s="334"/>
      <c r="O1907" s="334"/>
    </row>
    <row r="1908" spans="1:15" ht="12.75" hidden="1" customHeight="1" outlineLevel="1" x14ac:dyDescent="0.2">
      <c r="A1908" s="623" t="s">
        <v>2822</v>
      </c>
      <c r="B1908" s="624" t="s">
        <v>1330</v>
      </c>
      <c r="C1908" s="625" t="s">
        <v>100</v>
      </c>
      <c r="D1908" s="626">
        <v>83.19</v>
      </c>
      <c r="E1908" s="622"/>
      <c r="F1908" s="334"/>
      <c r="G1908" s="334"/>
      <c r="J1908" s="334"/>
      <c r="K1908" s="334"/>
      <c r="L1908" s="334"/>
      <c r="M1908" s="334"/>
      <c r="N1908" s="334"/>
      <c r="O1908" s="334"/>
    </row>
    <row r="1909" spans="1:15" ht="12.75" hidden="1" customHeight="1" outlineLevel="1" x14ac:dyDescent="0.2">
      <c r="A1909" s="627" t="s">
        <v>2823</v>
      </c>
      <c r="B1909" s="628" t="s">
        <v>1324</v>
      </c>
      <c r="C1909" s="629" t="s">
        <v>100</v>
      </c>
      <c r="D1909" s="630">
        <v>83.19</v>
      </c>
      <c r="E1909" s="622"/>
      <c r="F1909" s="334"/>
      <c r="G1909" s="334"/>
      <c r="H1909" s="602"/>
      <c r="I1909" s="334"/>
      <c r="J1909" s="334"/>
      <c r="K1909" s="334"/>
      <c r="L1909" s="334"/>
      <c r="M1909" s="334"/>
      <c r="N1909" s="334"/>
      <c r="O1909" s="334"/>
    </row>
    <row r="1910" spans="1:15" ht="12.75" hidden="1" customHeight="1" outlineLevel="1" x14ac:dyDescent="0.2">
      <c r="A1910" s="623" t="s">
        <v>2824</v>
      </c>
      <c r="B1910" s="624" t="s">
        <v>1326</v>
      </c>
      <c r="C1910" s="625" t="s">
        <v>100</v>
      </c>
      <c r="D1910" s="626">
        <v>83.19</v>
      </c>
      <c r="E1910" s="622"/>
      <c r="F1910" s="334"/>
      <c r="G1910" s="334"/>
      <c r="H1910" s="602"/>
      <c r="I1910" s="334"/>
      <c r="J1910" s="334"/>
      <c r="K1910" s="334"/>
      <c r="L1910" s="334"/>
      <c r="M1910" s="334"/>
      <c r="N1910" s="334"/>
      <c r="O1910" s="334"/>
    </row>
    <row r="1911" spans="1:15" ht="12.75" hidden="1" customHeight="1" outlineLevel="1" x14ac:dyDescent="0.2">
      <c r="A1911" s="627" t="s">
        <v>2825</v>
      </c>
      <c r="B1911" s="628" t="s">
        <v>1330</v>
      </c>
      <c r="C1911" s="629" t="s">
        <v>100</v>
      </c>
      <c r="D1911" s="630">
        <v>19.809999999999999</v>
      </c>
      <c r="E1911" s="622"/>
      <c r="F1911" s="334"/>
      <c r="G1911" s="334"/>
      <c r="H1911" s="602"/>
      <c r="I1911" s="334"/>
      <c r="J1911" s="334"/>
      <c r="K1911" s="334"/>
      <c r="L1911" s="334"/>
      <c r="M1911" s="334"/>
      <c r="N1911" s="334"/>
      <c r="O1911" s="334"/>
    </row>
    <row r="1912" spans="1:15" ht="12.75" hidden="1" customHeight="1" outlineLevel="1" x14ac:dyDescent="0.2">
      <c r="A1912" s="623" t="s">
        <v>2826</v>
      </c>
      <c r="B1912" s="624" t="s">
        <v>1324</v>
      </c>
      <c r="C1912" s="625" t="s">
        <v>100</v>
      </c>
      <c r="D1912" s="626">
        <v>19.809999999999999</v>
      </c>
      <c r="E1912" s="622"/>
      <c r="F1912" s="334"/>
      <c r="G1912" s="334"/>
      <c r="H1912" s="602"/>
      <c r="I1912" s="334"/>
      <c r="J1912" s="334"/>
      <c r="K1912" s="334"/>
      <c r="L1912" s="334"/>
      <c r="M1912" s="334"/>
      <c r="N1912" s="334"/>
      <c r="O1912" s="334"/>
    </row>
    <row r="1913" spans="1:15" ht="12.75" hidden="1" customHeight="1" outlineLevel="1" x14ac:dyDescent="0.2">
      <c r="A1913" s="627" t="s">
        <v>2827</v>
      </c>
      <c r="B1913" s="628" t="s">
        <v>1326</v>
      </c>
      <c r="C1913" s="629" t="s">
        <v>100</v>
      </c>
      <c r="D1913" s="630">
        <v>19.809999999999999</v>
      </c>
      <c r="E1913" s="622"/>
      <c r="F1913" s="334"/>
      <c r="G1913" s="334"/>
      <c r="H1913" s="602"/>
      <c r="I1913" s="334"/>
      <c r="J1913" s="334"/>
      <c r="K1913" s="334"/>
      <c r="L1913" s="334"/>
      <c r="M1913" s="334"/>
      <c r="N1913" s="334"/>
      <c r="O1913" s="334"/>
    </row>
    <row r="1914" spans="1:15" ht="12.75" hidden="1" customHeight="1" outlineLevel="1" x14ac:dyDescent="0.2">
      <c r="A1914" s="623" t="s">
        <v>2828</v>
      </c>
      <c r="B1914" s="624" t="s">
        <v>1330</v>
      </c>
      <c r="C1914" s="625" t="s">
        <v>100</v>
      </c>
      <c r="D1914" s="626">
        <v>20.47</v>
      </c>
      <c r="E1914" s="622"/>
      <c r="F1914" s="334"/>
      <c r="G1914" s="334"/>
      <c r="H1914" s="602"/>
      <c r="I1914" s="334"/>
      <c r="J1914" s="334"/>
      <c r="K1914" s="334"/>
      <c r="L1914" s="334"/>
      <c r="M1914" s="334"/>
      <c r="N1914" s="334"/>
      <c r="O1914" s="334"/>
    </row>
    <row r="1915" spans="1:15" ht="12.75" hidden="1" customHeight="1" outlineLevel="1" x14ac:dyDescent="0.2">
      <c r="A1915" s="627" t="s">
        <v>2829</v>
      </c>
      <c r="B1915" s="628" t="s">
        <v>1324</v>
      </c>
      <c r="C1915" s="629" t="s">
        <v>100</v>
      </c>
      <c r="D1915" s="630">
        <v>20.47</v>
      </c>
      <c r="E1915" s="622"/>
      <c r="F1915" s="334"/>
      <c r="G1915" s="334"/>
      <c r="H1915" s="602"/>
      <c r="I1915" s="334"/>
      <c r="J1915" s="334"/>
      <c r="K1915" s="334"/>
      <c r="L1915" s="334"/>
      <c r="M1915" s="334"/>
      <c r="N1915" s="334"/>
      <c r="O1915" s="334"/>
    </row>
    <row r="1916" spans="1:15" ht="12.75" hidden="1" customHeight="1" outlineLevel="1" x14ac:dyDescent="0.2">
      <c r="A1916" s="623" t="s">
        <v>2830</v>
      </c>
      <c r="B1916" s="624" t="s">
        <v>1326</v>
      </c>
      <c r="C1916" s="625" t="s">
        <v>100</v>
      </c>
      <c r="D1916" s="626">
        <v>20.47</v>
      </c>
      <c r="E1916" s="622"/>
      <c r="F1916" s="334"/>
      <c r="G1916" s="334"/>
      <c r="H1916" s="602"/>
      <c r="I1916" s="334"/>
      <c r="J1916" s="334"/>
      <c r="K1916" s="334"/>
      <c r="L1916" s="334"/>
      <c r="M1916" s="334"/>
      <c r="N1916" s="334"/>
      <c r="O1916" s="334"/>
    </row>
    <row r="1917" spans="1:15" ht="12.75" hidden="1" customHeight="1" outlineLevel="1" x14ac:dyDescent="0.2">
      <c r="A1917" s="627" t="s">
        <v>2831</v>
      </c>
      <c r="B1917" s="628" t="s">
        <v>1330</v>
      </c>
      <c r="C1917" s="629" t="s">
        <v>100</v>
      </c>
      <c r="D1917" s="630">
        <v>97.96</v>
      </c>
      <c r="E1917" s="622"/>
      <c r="F1917" s="334"/>
      <c r="G1917" s="334"/>
      <c r="H1917" s="602"/>
      <c r="I1917" s="334"/>
      <c r="J1917" s="334"/>
      <c r="K1917" s="334"/>
      <c r="L1917" s="334"/>
      <c r="M1917" s="334"/>
      <c r="N1917" s="334"/>
      <c r="O1917" s="334"/>
    </row>
    <row r="1918" spans="1:15" ht="12.75" hidden="1" customHeight="1" outlineLevel="1" x14ac:dyDescent="0.2">
      <c r="A1918" s="623" t="s">
        <v>2832</v>
      </c>
      <c r="B1918" s="624" t="s">
        <v>1324</v>
      </c>
      <c r="C1918" s="625" t="s">
        <v>100</v>
      </c>
      <c r="D1918" s="626">
        <v>97.96</v>
      </c>
      <c r="E1918" s="622"/>
      <c r="F1918" s="334"/>
      <c r="G1918" s="334"/>
      <c r="H1918" s="602"/>
      <c r="I1918" s="334"/>
      <c r="J1918" s="334"/>
      <c r="K1918" s="334"/>
      <c r="L1918" s="334"/>
      <c r="M1918" s="334"/>
      <c r="N1918" s="334"/>
      <c r="O1918" s="334"/>
    </row>
    <row r="1919" spans="1:15" ht="12.75" hidden="1" customHeight="1" outlineLevel="1" x14ac:dyDescent="0.2">
      <c r="A1919" s="627" t="s">
        <v>2833</v>
      </c>
      <c r="B1919" s="628" t="s">
        <v>1326</v>
      </c>
      <c r="C1919" s="629" t="s">
        <v>100</v>
      </c>
      <c r="D1919" s="630">
        <v>97.96</v>
      </c>
      <c r="E1919" s="622"/>
      <c r="F1919" s="334"/>
      <c r="G1919" s="334"/>
      <c r="H1919" s="602"/>
      <c r="I1919" s="334"/>
      <c r="J1919" s="334"/>
      <c r="K1919" s="334"/>
      <c r="L1919" s="334"/>
      <c r="M1919" s="334"/>
      <c r="N1919" s="334"/>
      <c r="O1919" s="334"/>
    </row>
    <row r="1920" spans="1:15" ht="12.75" hidden="1" customHeight="1" outlineLevel="1" x14ac:dyDescent="0.2">
      <c r="A1920" s="623" t="s">
        <v>2834</v>
      </c>
      <c r="B1920" s="624" t="s">
        <v>1330</v>
      </c>
      <c r="C1920" s="625" t="s">
        <v>100</v>
      </c>
      <c r="D1920" s="626">
        <v>116.8</v>
      </c>
      <c r="E1920" s="622"/>
      <c r="F1920" s="334"/>
      <c r="G1920" s="334"/>
      <c r="H1920" s="602"/>
      <c r="I1920" s="334"/>
      <c r="J1920" s="334"/>
      <c r="K1920" s="334"/>
      <c r="L1920" s="334"/>
      <c r="M1920" s="334"/>
      <c r="N1920" s="334"/>
      <c r="O1920" s="334"/>
    </row>
    <row r="1921" spans="1:15" ht="12.75" hidden="1" customHeight="1" outlineLevel="1" x14ac:dyDescent="0.2">
      <c r="A1921" s="627" t="s">
        <v>2835</v>
      </c>
      <c r="B1921" s="628" t="s">
        <v>1324</v>
      </c>
      <c r="C1921" s="629" t="s">
        <v>100</v>
      </c>
      <c r="D1921" s="630">
        <v>116.8</v>
      </c>
      <c r="E1921" s="622"/>
      <c r="F1921" s="334"/>
      <c r="G1921" s="334"/>
      <c r="H1921" s="602"/>
      <c r="I1921" s="334"/>
      <c r="J1921" s="334"/>
      <c r="K1921" s="334"/>
      <c r="L1921" s="334"/>
      <c r="M1921" s="334"/>
      <c r="N1921" s="334"/>
      <c r="O1921" s="334"/>
    </row>
    <row r="1922" spans="1:15" ht="12.75" hidden="1" customHeight="1" outlineLevel="1" x14ac:dyDescent="0.2">
      <c r="A1922" s="623" t="s">
        <v>2836</v>
      </c>
      <c r="B1922" s="624" t="s">
        <v>1326</v>
      </c>
      <c r="C1922" s="625" t="s">
        <v>100</v>
      </c>
      <c r="D1922" s="626">
        <v>116.8</v>
      </c>
      <c r="E1922" s="622"/>
      <c r="F1922" s="334"/>
      <c r="G1922" s="334"/>
      <c r="H1922" s="602"/>
      <c r="I1922" s="334"/>
      <c r="J1922" s="334"/>
      <c r="K1922" s="334"/>
      <c r="L1922" s="334"/>
      <c r="M1922" s="334"/>
      <c r="N1922" s="334"/>
      <c r="O1922" s="334"/>
    </row>
    <row r="1923" spans="1:15" ht="12.75" hidden="1" customHeight="1" outlineLevel="1" x14ac:dyDescent="0.2">
      <c r="A1923" s="627" t="s">
        <v>2837</v>
      </c>
      <c r="B1923" s="628" t="s">
        <v>1324</v>
      </c>
      <c r="C1923" s="629" t="s">
        <v>100</v>
      </c>
      <c r="D1923" s="630">
        <v>15.71</v>
      </c>
      <c r="E1923" s="622"/>
      <c r="F1923" s="334"/>
      <c r="G1923" s="334"/>
      <c r="H1923" s="602"/>
      <c r="I1923" s="334"/>
      <c r="J1923" s="334"/>
      <c r="K1923" s="334"/>
      <c r="L1923" s="334"/>
      <c r="M1923" s="334"/>
      <c r="N1923" s="334"/>
      <c r="O1923" s="334"/>
    </row>
    <row r="1924" spans="1:15" ht="12.75" hidden="1" customHeight="1" outlineLevel="1" x14ac:dyDescent="0.2">
      <c r="A1924" s="623" t="s">
        <v>2838</v>
      </c>
      <c r="B1924" s="624" t="s">
        <v>1326</v>
      </c>
      <c r="C1924" s="625" t="s">
        <v>100</v>
      </c>
      <c r="D1924" s="626">
        <v>15.71</v>
      </c>
      <c r="E1924" s="622"/>
      <c r="F1924" s="334"/>
      <c r="G1924" s="334"/>
      <c r="H1924" s="602"/>
      <c r="I1924" s="334"/>
      <c r="J1924" s="334"/>
      <c r="K1924" s="334"/>
      <c r="L1924" s="334"/>
      <c r="M1924" s="334"/>
      <c r="N1924" s="334"/>
      <c r="O1924" s="334"/>
    </row>
    <row r="1925" spans="1:15" ht="12.75" hidden="1" customHeight="1" outlineLevel="1" x14ac:dyDescent="0.2">
      <c r="A1925" s="627" t="s">
        <v>2839</v>
      </c>
      <c r="B1925" s="628" t="s">
        <v>1328</v>
      </c>
      <c r="C1925" s="629" t="s">
        <v>100</v>
      </c>
      <c r="D1925" s="630">
        <v>15.71</v>
      </c>
      <c r="E1925" s="622"/>
      <c r="F1925" s="334"/>
      <c r="G1925" s="334"/>
      <c r="H1925" s="602"/>
      <c r="I1925" s="334"/>
      <c r="J1925" s="334"/>
      <c r="K1925" s="334"/>
      <c r="L1925" s="334"/>
      <c r="M1925" s="334"/>
      <c r="N1925" s="334"/>
      <c r="O1925" s="334"/>
    </row>
    <row r="1926" spans="1:15" ht="12.75" hidden="1" customHeight="1" outlineLevel="1" x14ac:dyDescent="0.2">
      <c r="A1926" s="623" t="s">
        <v>2840</v>
      </c>
      <c r="B1926" s="624" t="s">
        <v>1330</v>
      </c>
      <c r="C1926" s="625" t="s">
        <v>100</v>
      </c>
      <c r="D1926" s="626">
        <v>18.78</v>
      </c>
      <c r="E1926" s="622"/>
      <c r="F1926" s="334"/>
      <c r="G1926" s="334"/>
      <c r="H1926" s="602"/>
      <c r="I1926" s="334"/>
      <c r="J1926" s="334"/>
      <c r="K1926" s="334"/>
      <c r="L1926" s="334"/>
      <c r="M1926" s="334"/>
      <c r="N1926" s="334"/>
      <c r="O1926" s="334"/>
    </row>
    <row r="1927" spans="1:15" ht="12.75" hidden="1" customHeight="1" outlineLevel="1" x14ac:dyDescent="0.2">
      <c r="A1927" s="627" t="s">
        <v>2841</v>
      </c>
      <c r="B1927" s="628" t="s">
        <v>1324</v>
      </c>
      <c r="C1927" s="629" t="s">
        <v>100</v>
      </c>
      <c r="D1927" s="630">
        <v>18.78</v>
      </c>
      <c r="E1927" s="622"/>
      <c r="F1927" s="334"/>
      <c r="G1927" s="334"/>
      <c r="H1927" s="602"/>
      <c r="I1927" s="334"/>
      <c r="J1927" s="334"/>
      <c r="K1927" s="334"/>
      <c r="L1927" s="334"/>
      <c r="M1927" s="334"/>
      <c r="N1927" s="334"/>
      <c r="O1927" s="334"/>
    </row>
    <row r="1928" spans="1:15" ht="12.75" hidden="1" customHeight="1" outlineLevel="1" x14ac:dyDescent="0.2">
      <c r="A1928" s="623" t="s">
        <v>2842</v>
      </c>
      <c r="B1928" s="624" t="s">
        <v>1326</v>
      </c>
      <c r="C1928" s="625" t="s">
        <v>100</v>
      </c>
      <c r="D1928" s="626">
        <v>18.78</v>
      </c>
      <c r="E1928" s="622"/>
      <c r="F1928" s="334"/>
      <c r="G1928" s="334"/>
      <c r="H1928" s="602"/>
      <c r="I1928" s="334"/>
      <c r="J1928" s="334"/>
      <c r="K1928" s="334"/>
      <c r="L1928" s="334"/>
      <c r="M1928" s="334"/>
      <c r="N1928" s="334"/>
      <c r="O1928" s="334"/>
    </row>
    <row r="1929" spans="1:15" ht="12.75" hidden="1" customHeight="1" outlineLevel="1" x14ac:dyDescent="0.2">
      <c r="A1929" s="627" t="s">
        <v>2843</v>
      </c>
      <c r="B1929" s="628" t="s">
        <v>1328</v>
      </c>
      <c r="C1929" s="629" t="s">
        <v>100</v>
      </c>
      <c r="D1929" s="630">
        <v>18.78</v>
      </c>
      <c r="E1929" s="622"/>
      <c r="F1929" s="334"/>
      <c r="G1929" s="334"/>
      <c r="H1929" s="602"/>
      <c r="I1929" s="334"/>
      <c r="J1929" s="334"/>
      <c r="K1929" s="334"/>
      <c r="L1929" s="334"/>
      <c r="M1929" s="334"/>
      <c r="N1929" s="334"/>
      <c r="O1929" s="334"/>
    </row>
    <row r="1930" spans="1:15" ht="12.75" hidden="1" customHeight="1" outlineLevel="1" x14ac:dyDescent="0.2">
      <c r="A1930" s="623" t="s">
        <v>2844</v>
      </c>
      <c r="B1930" s="624" t="s">
        <v>1324</v>
      </c>
      <c r="C1930" s="625" t="s">
        <v>100</v>
      </c>
      <c r="D1930" s="626">
        <v>112.69</v>
      </c>
      <c r="E1930" s="622"/>
      <c r="F1930" s="334"/>
      <c r="G1930" s="334"/>
      <c r="H1930" s="602"/>
      <c r="I1930" s="334"/>
      <c r="J1930" s="334"/>
      <c r="K1930" s="334"/>
      <c r="L1930" s="334"/>
      <c r="M1930" s="334"/>
      <c r="N1930" s="334"/>
      <c r="O1930" s="334"/>
    </row>
    <row r="1931" spans="1:15" ht="12.75" hidden="1" customHeight="1" outlineLevel="1" x14ac:dyDescent="0.2">
      <c r="A1931" s="627" t="s">
        <v>2845</v>
      </c>
      <c r="B1931" s="628" t="s">
        <v>1326</v>
      </c>
      <c r="C1931" s="629" t="s">
        <v>100</v>
      </c>
      <c r="D1931" s="630">
        <v>112.69</v>
      </c>
      <c r="E1931" s="622"/>
      <c r="F1931" s="334"/>
      <c r="G1931" s="334"/>
      <c r="H1931" s="602"/>
      <c r="I1931" s="334"/>
      <c r="J1931" s="334"/>
      <c r="K1931" s="334"/>
      <c r="L1931" s="334"/>
      <c r="M1931" s="334"/>
      <c r="N1931" s="334"/>
      <c r="O1931" s="334"/>
    </row>
    <row r="1932" spans="1:15" ht="12.75" hidden="1" customHeight="1" outlineLevel="1" x14ac:dyDescent="0.2">
      <c r="A1932" s="623" t="s">
        <v>2846</v>
      </c>
      <c r="B1932" s="624" t="s">
        <v>1324</v>
      </c>
      <c r="C1932" s="625" t="s">
        <v>100</v>
      </c>
      <c r="D1932" s="626">
        <v>25.06</v>
      </c>
      <c r="E1932" s="622"/>
      <c r="F1932" s="334"/>
      <c r="G1932" s="334"/>
      <c r="H1932" s="602"/>
      <c r="I1932" s="334"/>
      <c r="J1932" s="334"/>
      <c r="K1932" s="334"/>
      <c r="L1932" s="334"/>
      <c r="M1932" s="334"/>
      <c r="N1932" s="334"/>
      <c r="O1932" s="334"/>
    </row>
    <row r="1933" spans="1:15" ht="12.75" hidden="1" customHeight="1" outlineLevel="1" x14ac:dyDescent="0.2">
      <c r="A1933" s="627" t="s">
        <v>2847</v>
      </c>
      <c r="B1933" s="628" t="s">
        <v>1326</v>
      </c>
      <c r="C1933" s="629" t="s">
        <v>100</v>
      </c>
      <c r="D1933" s="630">
        <v>25.06</v>
      </c>
      <c r="E1933" s="622"/>
      <c r="F1933" s="334"/>
      <c r="G1933" s="334"/>
      <c r="H1933" s="602"/>
      <c r="I1933" s="334"/>
      <c r="J1933" s="334"/>
      <c r="K1933" s="334"/>
      <c r="L1933" s="334"/>
      <c r="M1933" s="334"/>
      <c r="N1933" s="334"/>
      <c r="O1933" s="334"/>
    </row>
    <row r="1934" spans="1:15" ht="12.75" hidden="1" customHeight="1" outlineLevel="1" x14ac:dyDescent="0.2">
      <c r="A1934" s="618" t="s">
        <v>2848</v>
      </c>
      <c r="B1934" s="619" t="s">
        <v>1017</v>
      </c>
      <c r="C1934" s="620"/>
      <c r="D1934" s="621"/>
      <c r="E1934" s="622"/>
      <c r="F1934" s="334"/>
      <c r="G1934" s="334"/>
      <c r="H1934" s="602"/>
      <c r="I1934" s="334"/>
      <c r="J1934" s="334"/>
      <c r="K1934" s="334"/>
      <c r="L1934" s="334"/>
      <c r="M1934" s="334"/>
      <c r="N1934" s="334"/>
      <c r="O1934" s="334"/>
    </row>
    <row r="1935" spans="1:15" ht="12.75" hidden="1" customHeight="1" outlineLevel="1" x14ac:dyDescent="0.2">
      <c r="A1935" s="623" t="s">
        <v>2849</v>
      </c>
      <c r="B1935" s="624" t="s">
        <v>1324</v>
      </c>
      <c r="C1935" s="625" t="s">
        <v>100</v>
      </c>
      <c r="D1935" s="626">
        <v>21.44</v>
      </c>
      <c r="E1935" s="622"/>
      <c r="F1935" s="334"/>
      <c r="G1935" s="334"/>
      <c r="H1935" s="602"/>
      <c r="I1935" s="334"/>
      <c r="J1935" s="334"/>
      <c r="K1935" s="334"/>
      <c r="L1935" s="334"/>
      <c r="M1935" s="334"/>
      <c r="N1935" s="334"/>
      <c r="O1935" s="334"/>
    </row>
    <row r="1936" spans="1:15" ht="12.75" hidden="1" customHeight="1" outlineLevel="1" x14ac:dyDescent="0.2">
      <c r="A1936" s="627" t="s">
        <v>2850</v>
      </c>
      <c r="B1936" s="628" t="s">
        <v>1326</v>
      </c>
      <c r="C1936" s="629" t="s">
        <v>100</v>
      </c>
      <c r="D1936" s="630">
        <v>21.44</v>
      </c>
      <c r="E1936" s="622"/>
      <c r="F1936" s="334"/>
      <c r="G1936" s="334"/>
      <c r="H1936" s="602"/>
      <c r="I1936" s="334"/>
      <c r="J1936" s="334"/>
      <c r="K1936" s="334"/>
      <c r="L1936" s="334"/>
      <c r="M1936" s="334"/>
      <c r="N1936" s="334"/>
      <c r="O1936" s="334"/>
    </row>
    <row r="1937" spans="1:15" ht="12.75" hidden="1" customHeight="1" outlineLevel="1" x14ac:dyDescent="0.2">
      <c r="A1937" s="623" t="s">
        <v>2851</v>
      </c>
      <c r="B1937" s="624" t="s">
        <v>1328</v>
      </c>
      <c r="C1937" s="625" t="s">
        <v>100</v>
      </c>
      <c r="D1937" s="626">
        <v>21.44</v>
      </c>
      <c r="E1937" s="622"/>
      <c r="F1937" s="334"/>
      <c r="G1937" s="334"/>
      <c r="H1937" s="602"/>
      <c r="I1937" s="334"/>
      <c r="J1937" s="334"/>
      <c r="K1937" s="334"/>
      <c r="L1937" s="334"/>
      <c r="M1937" s="334"/>
      <c r="N1937" s="334"/>
      <c r="O1937" s="334"/>
    </row>
    <row r="1938" spans="1:15" ht="12.75" hidden="1" customHeight="1" outlineLevel="1" x14ac:dyDescent="0.2">
      <c r="A1938" s="627" t="s">
        <v>2852</v>
      </c>
      <c r="B1938" s="628" t="s">
        <v>1330</v>
      </c>
      <c r="C1938" s="629" t="s">
        <v>100</v>
      </c>
      <c r="D1938" s="630">
        <v>9.84</v>
      </c>
      <c r="E1938" s="622"/>
      <c r="F1938" s="334"/>
      <c r="G1938" s="334"/>
      <c r="H1938" s="602"/>
      <c r="I1938" s="334"/>
      <c r="J1938" s="334"/>
      <c r="K1938" s="334"/>
      <c r="L1938" s="334"/>
      <c r="M1938" s="334"/>
      <c r="N1938" s="334"/>
      <c r="O1938" s="334"/>
    </row>
    <row r="1939" spans="1:15" ht="12.75" hidden="1" customHeight="1" outlineLevel="1" x14ac:dyDescent="0.2">
      <c r="A1939" s="623" t="s">
        <v>2853</v>
      </c>
      <c r="B1939" s="624" t="s">
        <v>1324</v>
      </c>
      <c r="C1939" s="625" t="s">
        <v>100</v>
      </c>
      <c r="D1939" s="626">
        <v>9.84</v>
      </c>
      <c r="E1939" s="622"/>
      <c r="F1939" s="334"/>
      <c r="G1939" s="334"/>
      <c r="H1939" s="602"/>
      <c r="I1939" s="334"/>
      <c r="J1939" s="334"/>
      <c r="K1939" s="334"/>
      <c r="L1939" s="334"/>
      <c r="M1939" s="334"/>
      <c r="N1939" s="334"/>
      <c r="O1939" s="334"/>
    </row>
    <row r="1940" spans="1:15" ht="12.75" hidden="1" customHeight="1" outlineLevel="1" x14ac:dyDescent="0.2">
      <c r="A1940" s="627" t="s">
        <v>2854</v>
      </c>
      <c r="B1940" s="628" t="s">
        <v>1326</v>
      </c>
      <c r="C1940" s="629" t="s">
        <v>100</v>
      </c>
      <c r="D1940" s="630">
        <v>9.84</v>
      </c>
      <c r="E1940" s="622"/>
      <c r="F1940" s="334"/>
      <c r="G1940" s="334"/>
      <c r="H1940" s="602"/>
      <c r="I1940" s="334"/>
      <c r="J1940" s="334"/>
      <c r="K1940" s="334"/>
      <c r="L1940" s="334"/>
      <c r="M1940" s="334"/>
      <c r="N1940" s="334"/>
      <c r="O1940" s="334"/>
    </row>
    <row r="1941" spans="1:15" ht="12.75" hidden="1" customHeight="1" outlineLevel="1" x14ac:dyDescent="0.2">
      <c r="A1941" s="623" t="s">
        <v>2855</v>
      </c>
      <c r="B1941" s="628" t="s">
        <v>1330</v>
      </c>
      <c r="C1941" s="625" t="s">
        <v>100</v>
      </c>
      <c r="D1941" s="626">
        <v>16.79</v>
      </c>
      <c r="E1941" s="622"/>
      <c r="F1941" s="334"/>
      <c r="G1941" s="334"/>
      <c r="H1941" s="602"/>
      <c r="I1941" s="334"/>
      <c r="J1941" s="334"/>
      <c r="K1941" s="334"/>
      <c r="L1941" s="334"/>
      <c r="M1941" s="334"/>
      <c r="N1941" s="334"/>
      <c r="O1941" s="334"/>
    </row>
    <row r="1942" spans="1:15" ht="12.75" hidden="1" customHeight="1" outlineLevel="1" x14ac:dyDescent="0.2">
      <c r="A1942" s="627" t="s">
        <v>2856</v>
      </c>
      <c r="B1942" s="624" t="s">
        <v>1324</v>
      </c>
      <c r="C1942" s="629" t="s">
        <v>100</v>
      </c>
      <c r="D1942" s="630">
        <v>16.79</v>
      </c>
      <c r="E1942" s="622"/>
      <c r="F1942" s="334"/>
      <c r="G1942" s="334"/>
      <c r="H1942" s="602"/>
      <c r="I1942" s="334"/>
      <c r="J1942" s="334"/>
      <c r="K1942" s="334"/>
      <c r="L1942" s="334"/>
      <c r="M1942" s="334"/>
      <c r="N1942" s="334"/>
      <c r="O1942" s="334"/>
    </row>
    <row r="1943" spans="1:15" ht="12.75" hidden="1" customHeight="1" outlineLevel="1" x14ac:dyDescent="0.2">
      <c r="A1943" s="623" t="s">
        <v>2857</v>
      </c>
      <c r="B1943" s="628" t="s">
        <v>1326</v>
      </c>
      <c r="C1943" s="625" t="s">
        <v>100</v>
      </c>
      <c r="D1943" s="626">
        <v>16.79</v>
      </c>
      <c r="E1943" s="622"/>
      <c r="F1943" s="334"/>
      <c r="G1943" s="334"/>
      <c r="H1943" s="602"/>
      <c r="I1943" s="334"/>
      <c r="J1943" s="334"/>
      <c r="K1943" s="334"/>
      <c r="L1943" s="334"/>
      <c r="M1943" s="334"/>
      <c r="N1943" s="334"/>
      <c r="O1943" s="334"/>
    </row>
    <row r="1944" spans="1:15" ht="12.75" hidden="1" customHeight="1" outlineLevel="1" x14ac:dyDescent="0.2">
      <c r="A1944" s="627" t="s">
        <v>2858</v>
      </c>
      <c r="B1944" s="628" t="s">
        <v>1330</v>
      </c>
      <c r="C1944" s="629" t="s">
        <v>100</v>
      </c>
      <c r="D1944" s="630">
        <v>16.510000000000002</v>
      </c>
      <c r="E1944" s="622"/>
      <c r="F1944" s="334"/>
      <c r="G1944" s="334"/>
      <c r="H1944" s="602"/>
      <c r="I1944" s="334"/>
      <c r="J1944" s="334"/>
      <c r="K1944" s="334"/>
      <c r="L1944" s="334"/>
      <c r="M1944" s="334"/>
      <c r="N1944" s="334"/>
      <c r="O1944" s="334"/>
    </row>
    <row r="1945" spans="1:15" ht="12.75" hidden="1" customHeight="1" outlineLevel="1" x14ac:dyDescent="0.2">
      <c r="A1945" s="623" t="s">
        <v>2859</v>
      </c>
      <c r="B1945" s="624" t="s">
        <v>1324</v>
      </c>
      <c r="C1945" s="625" t="s">
        <v>100</v>
      </c>
      <c r="D1945" s="626">
        <v>16.510000000000002</v>
      </c>
      <c r="E1945" s="622"/>
      <c r="F1945" s="334"/>
      <c r="G1945" s="334"/>
      <c r="H1945" s="602"/>
      <c r="I1945" s="334"/>
      <c r="J1945" s="334"/>
      <c r="K1945" s="334"/>
      <c r="L1945" s="334"/>
      <c r="M1945" s="334"/>
      <c r="N1945" s="334"/>
      <c r="O1945" s="334"/>
    </row>
    <row r="1946" spans="1:15" ht="12.75" hidden="1" customHeight="1" outlineLevel="1" x14ac:dyDescent="0.2">
      <c r="A1946" s="627" t="s">
        <v>2860</v>
      </c>
      <c r="B1946" s="628" t="s">
        <v>1326</v>
      </c>
      <c r="C1946" s="629" t="s">
        <v>100</v>
      </c>
      <c r="D1946" s="630">
        <v>16.510000000000002</v>
      </c>
      <c r="E1946" s="622"/>
      <c r="F1946" s="334"/>
      <c r="G1946" s="334"/>
      <c r="H1946" s="602"/>
      <c r="I1946" s="334"/>
      <c r="J1946" s="334"/>
      <c r="K1946" s="334"/>
      <c r="L1946" s="334"/>
      <c r="M1946" s="334"/>
      <c r="N1946" s="334"/>
      <c r="O1946" s="334"/>
    </row>
    <row r="1947" spans="1:15" ht="12.75" hidden="1" customHeight="1" outlineLevel="1" x14ac:dyDescent="0.2">
      <c r="A1947" s="623" t="s">
        <v>2861</v>
      </c>
      <c r="B1947" s="628" t="s">
        <v>1330</v>
      </c>
      <c r="C1947" s="625" t="s">
        <v>100</v>
      </c>
      <c r="D1947" s="626">
        <v>24.02</v>
      </c>
      <c r="E1947" s="622"/>
      <c r="F1947" s="334"/>
      <c r="G1947" s="334"/>
      <c r="H1947" s="602"/>
      <c r="I1947" s="334"/>
      <c r="J1947" s="334"/>
      <c r="K1947" s="334"/>
      <c r="L1947" s="334"/>
      <c r="M1947" s="334"/>
      <c r="N1947" s="334"/>
      <c r="O1947" s="334"/>
    </row>
    <row r="1948" spans="1:15" ht="12.75" hidden="1" customHeight="1" outlineLevel="1" x14ac:dyDescent="0.2">
      <c r="A1948" s="627" t="s">
        <v>2862</v>
      </c>
      <c r="B1948" s="624" t="s">
        <v>1324</v>
      </c>
      <c r="C1948" s="629" t="s">
        <v>100</v>
      </c>
      <c r="D1948" s="630">
        <v>24.02</v>
      </c>
      <c r="E1948" s="622"/>
      <c r="F1948" s="334"/>
      <c r="G1948" s="334"/>
      <c r="H1948" s="602"/>
      <c r="I1948" s="334"/>
      <c r="J1948" s="334"/>
      <c r="K1948" s="334"/>
      <c r="L1948" s="334"/>
      <c r="M1948" s="334"/>
      <c r="N1948" s="334"/>
      <c r="O1948" s="334"/>
    </row>
    <row r="1949" spans="1:15" ht="12.75" hidden="1" customHeight="1" outlineLevel="1" x14ac:dyDescent="0.2">
      <c r="A1949" s="623" t="s">
        <v>2863</v>
      </c>
      <c r="B1949" s="628" t="s">
        <v>1326</v>
      </c>
      <c r="C1949" s="625" t="s">
        <v>100</v>
      </c>
      <c r="D1949" s="626">
        <v>24.02</v>
      </c>
      <c r="E1949" s="622"/>
      <c r="F1949" s="334"/>
      <c r="G1949" s="334"/>
      <c r="H1949" s="602"/>
      <c r="I1949" s="334"/>
      <c r="J1949" s="334"/>
      <c r="K1949" s="334"/>
      <c r="L1949" s="334"/>
      <c r="M1949" s="334"/>
      <c r="N1949" s="334"/>
      <c r="O1949" s="334"/>
    </row>
    <row r="1950" spans="1:15" ht="12.75" hidden="1" customHeight="1" outlineLevel="1" x14ac:dyDescent="0.2">
      <c r="A1950" s="627" t="s">
        <v>2864</v>
      </c>
      <c r="B1950" s="628" t="s">
        <v>1324</v>
      </c>
      <c r="C1950" s="629" t="s">
        <v>100</v>
      </c>
      <c r="D1950" s="630">
        <v>27.61</v>
      </c>
      <c r="E1950" s="622"/>
      <c r="F1950" s="334"/>
      <c r="G1950" s="334"/>
      <c r="H1950" s="602"/>
      <c r="I1950" s="334"/>
      <c r="J1950" s="334"/>
      <c r="K1950" s="334"/>
      <c r="L1950" s="334"/>
      <c r="M1950" s="334"/>
      <c r="N1950" s="334"/>
      <c r="O1950" s="334"/>
    </row>
    <row r="1951" spans="1:15" ht="12.75" hidden="1" customHeight="1" outlineLevel="1" x14ac:dyDescent="0.2">
      <c r="A1951" s="623" t="s">
        <v>2865</v>
      </c>
      <c r="B1951" s="624" t="s">
        <v>1324</v>
      </c>
      <c r="C1951" s="625" t="s">
        <v>100</v>
      </c>
      <c r="D1951" s="626">
        <v>73.86</v>
      </c>
      <c r="E1951" s="622"/>
      <c r="F1951" s="334"/>
      <c r="G1951" s="334"/>
      <c r="H1951" s="602"/>
      <c r="I1951" s="334"/>
      <c r="J1951" s="334"/>
      <c r="K1951" s="334"/>
      <c r="L1951" s="334"/>
      <c r="M1951" s="334"/>
      <c r="N1951" s="334"/>
      <c r="O1951" s="334"/>
    </row>
    <row r="1952" spans="1:15" ht="12.75" hidden="1" customHeight="1" outlineLevel="1" x14ac:dyDescent="0.2">
      <c r="A1952" s="627" t="s">
        <v>2866</v>
      </c>
      <c r="B1952" s="628" t="s">
        <v>1326</v>
      </c>
      <c r="C1952" s="629" t="s">
        <v>100</v>
      </c>
      <c r="D1952" s="630">
        <v>73.86</v>
      </c>
      <c r="E1952" s="622"/>
      <c r="F1952" s="334"/>
      <c r="G1952" s="334"/>
      <c r="H1952" s="602"/>
      <c r="I1952" s="334"/>
      <c r="J1952" s="334"/>
      <c r="K1952" s="334"/>
      <c r="L1952" s="334"/>
      <c r="M1952" s="334"/>
      <c r="N1952" s="334"/>
      <c r="O1952" s="334"/>
    </row>
    <row r="1953" spans="1:15" ht="12.75" hidden="1" customHeight="1" outlineLevel="1" x14ac:dyDescent="0.2">
      <c r="A1953" s="623" t="s">
        <v>2867</v>
      </c>
      <c r="B1953" s="624" t="s">
        <v>1328</v>
      </c>
      <c r="C1953" s="625" t="s">
        <v>100</v>
      </c>
      <c r="D1953" s="626">
        <v>73.86</v>
      </c>
      <c r="E1953" s="622"/>
      <c r="F1953" s="334"/>
      <c r="G1953" s="334"/>
      <c r="H1953" s="602"/>
      <c r="I1953" s="334"/>
      <c r="J1953" s="334"/>
      <c r="K1953" s="334"/>
      <c r="L1953" s="334"/>
      <c r="M1953" s="334"/>
      <c r="N1953" s="334"/>
      <c r="O1953" s="334"/>
    </row>
    <row r="1954" spans="1:15" ht="12.75" hidden="1" customHeight="1" outlineLevel="1" x14ac:dyDescent="0.2">
      <c r="A1954" s="627" t="s">
        <v>2868</v>
      </c>
      <c r="B1954" s="628" t="s">
        <v>1324</v>
      </c>
      <c r="C1954" s="629" t="s">
        <v>100</v>
      </c>
      <c r="D1954" s="630">
        <v>889.69</v>
      </c>
      <c r="E1954" s="622"/>
      <c r="F1954" s="334"/>
      <c r="G1954" s="334"/>
      <c r="H1954" s="602"/>
      <c r="I1954" s="334"/>
      <c r="J1954" s="334"/>
      <c r="K1954" s="334"/>
      <c r="L1954" s="334"/>
      <c r="M1954" s="334"/>
      <c r="N1954" s="334"/>
      <c r="O1954" s="334"/>
    </row>
    <row r="1955" spans="1:15" ht="12.75" hidden="1" customHeight="1" outlineLevel="1" x14ac:dyDescent="0.2">
      <c r="A1955" s="623" t="s">
        <v>2869</v>
      </c>
      <c r="B1955" s="624" t="s">
        <v>1326</v>
      </c>
      <c r="C1955" s="625" t="s">
        <v>100</v>
      </c>
      <c r="D1955" s="626">
        <v>889.69</v>
      </c>
      <c r="E1955" s="622"/>
      <c r="F1955" s="334"/>
      <c r="G1955" s="334"/>
      <c r="H1955" s="602"/>
      <c r="I1955" s="334"/>
      <c r="J1955" s="334"/>
      <c r="K1955" s="334"/>
      <c r="L1955" s="334"/>
      <c r="M1955" s="334"/>
      <c r="N1955" s="334"/>
      <c r="O1955" s="334"/>
    </row>
    <row r="1956" spans="1:15" ht="12.75" hidden="1" customHeight="1" outlineLevel="1" x14ac:dyDescent="0.2">
      <c r="A1956" s="627" t="s">
        <v>2870</v>
      </c>
      <c r="B1956" s="628" t="s">
        <v>1324</v>
      </c>
      <c r="C1956" s="629" t="s">
        <v>100</v>
      </c>
      <c r="D1956" s="630">
        <v>83.82</v>
      </c>
      <c r="E1956" s="622"/>
      <c r="F1956" s="334"/>
      <c r="G1956" s="334"/>
      <c r="H1956" s="602"/>
      <c r="I1956" s="334"/>
      <c r="J1956" s="334"/>
      <c r="K1956" s="334"/>
      <c r="L1956" s="334"/>
      <c r="M1956" s="334"/>
      <c r="N1956" s="334"/>
      <c r="O1956" s="334"/>
    </row>
    <row r="1957" spans="1:15" ht="12.75" hidden="1" customHeight="1" outlineLevel="1" x14ac:dyDescent="0.2">
      <c r="A1957" s="623" t="s">
        <v>2871</v>
      </c>
      <c r="B1957" s="624" t="s">
        <v>1326</v>
      </c>
      <c r="C1957" s="625" t="s">
        <v>100</v>
      </c>
      <c r="D1957" s="626">
        <v>83.82</v>
      </c>
      <c r="E1957" s="622"/>
      <c r="F1957" s="334"/>
      <c r="G1957" s="334"/>
      <c r="H1957" s="602"/>
      <c r="I1957" s="334"/>
      <c r="J1957" s="334"/>
      <c r="K1957" s="334"/>
      <c r="L1957" s="334"/>
      <c r="M1957" s="334"/>
      <c r="N1957" s="334"/>
      <c r="O1957" s="334"/>
    </row>
    <row r="1958" spans="1:15" ht="12.75" hidden="1" customHeight="1" outlineLevel="1" x14ac:dyDescent="0.2">
      <c r="A1958" s="627" t="s">
        <v>2872</v>
      </c>
      <c r="B1958" s="628" t="s">
        <v>2818</v>
      </c>
      <c r="C1958" s="629" t="s">
        <v>100</v>
      </c>
      <c r="D1958" s="630">
        <v>54.8</v>
      </c>
      <c r="E1958" s="622"/>
      <c r="F1958" s="334"/>
      <c r="G1958" s="334"/>
      <c r="H1958" s="602"/>
      <c r="I1958" s="334"/>
      <c r="J1958" s="334"/>
      <c r="K1958" s="334"/>
      <c r="L1958" s="334"/>
      <c r="M1958" s="334"/>
      <c r="N1958" s="334"/>
      <c r="O1958" s="334"/>
    </row>
    <row r="1959" spans="1:15" ht="12.75" hidden="1" customHeight="1" outlineLevel="1" x14ac:dyDescent="0.2">
      <c r="A1959" s="618" t="s">
        <v>2873</v>
      </c>
      <c r="B1959" s="619" t="s">
        <v>1021</v>
      </c>
      <c r="C1959" s="620"/>
      <c r="D1959" s="621"/>
      <c r="E1959" s="622"/>
      <c r="F1959" s="334"/>
      <c r="G1959" s="334"/>
      <c r="H1959" s="602"/>
      <c r="I1959" s="334"/>
      <c r="J1959" s="334"/>
      <c r="K1959" s="334"/>
      <c r="L1959" s="334"/>
      <c r="M1959" s="334"/>
      <c r="N1959" s="334"/>
      <c r="O1959" s="334"/>
    </row>
    <row r="1960" spans="1:15" ht="12.75" hidden="1" customHeight="1" outlineLevel="1" x14ac:dyDescent="0.2">
      <c r="A1960" s="623" t="s">
        <v>2874</v>
      </c>
      <c r="B1960" s="624" t="s">
        <v>1324</v>
      </c>
      <c r="C1960" s="625" t="s">
        <v>100</v>
      </c>
      <c r="D1960" s="626">
        <v>16.190000000000001</v>
      </c>
      <c r="E1960" s="622"/>
      <c r="F1960" s="334"/>
      <c r="G1960" s="334"/>
      <c r="H1960" s="602"/>
      <c r="I1960" s="334"/>
      <c r="J1960" s="334"/>
      <c r="K1960" s="334"/>
      <c r="L1960" s="334"/>
      <c r="M1960" s="334"/>
      <c r="N1960" s="334"/>
      <c r="O1960" s="334"/>
    </row>
    <row r="1961" spans="1:15" ht="12.75" hidden="1" customHeight="1" outlineLevel="1" x14ac:dyDescent="0.2">
      <c r="A1961" s="627" t="s">
        <v>2875</v>
      </c>
      <c r="B1961" s="628" t="s">
        <v>1326</v>
      </c>
      <c r="C1961" s="629" t="s">
        <v>100</v>
      </c>
      <c r="D1961" s="630">
        <v>16.190000000000001</v>
      </c>
      <c r="E1961" s="622"/>
      <c r="F1961" s="334"/>
      <c r="G1961" s="334"/>
      <c r="H1961" s="602"/>
      <c r="I1961" s="334"/>
      <c r="J1961" s="334"/>
      <c r="K1961" s="334"/>
      <c r="L1961" s="334"/>
      <c r="M1961" s="334"/>
      <c r="N1961" s="334"/>
      <c r="O1961" s="334"/>
    </row>
    <row r="1962" spans="1:15" ht="12.75" hidden="1" customHeight="1" outlineLevel="1" x14ac:dyDescent="0.2">
      <c r="A1962" s="623" t="s">
        <v>2876</v>
      </c>
      <c r="B1962" s="624" t="s">
        <v>2877</v>
      </c>
      <c r="C1962" s="625" t="s">
        <v>100</v>
      </c>
      <c r="D1962" s="626">
        <v>16.190000000000001</v>
      </c>
      <c r="E1962" s="622"/>
      <c r="F1962" s="334"/>
      <c r="G1962" s="334"/>
      <c r="H1962" s="602"/>
      <c r="I1962" s="334"/>
      <c r="J1962" s="334"/>
      <c r="K1962" s="334"/>
      <c r="L1962" s="334"/>
      <c r="M1962" s="334"/>
      <c r="N1962" s="334"/>
      <c r="O1962" s="334"/>
    </row>
    <row r="1963" spans="1:15" ht="12.75" hidden="1" customHeight="1" outlineLevel="1" x14ac:dyDescent="0.2">
      <c r="A1963" s="627" t="s">
        <v>2878</v>
      </c>
      <c r="B1963" s="628" t="s">
        <v>1330</v>
      </c>
      <c r="C1963" s="629" t="s">
        <v>100</v>
      </c>
      <c r="D1963" s="630">
        <v>281.72000000000003</v>
      </c>
      <c r="E1963" s="622"/>
      <c r="F1963" s="334"/>
      <c r="G1963" s="334"/>
      <c r="H1963" s="602"/>
      <c r="I1963" s="334"/>
      <c r="J1963" s="334"/>
      <c r="K1963" s="334"/>
      <c r="L1963" s="334"/>
      <c r="M1963" s="334"/>
      <c r="N1963" s="334"/>
      <c r="O1963" s="334"/>
    </row>
    <row r="1964" spans="1:15" ht="12.75" hidden="1" customHeight="1" outlineLevel="1" x14ac:dyDescent="0.2">
      <c r="A1964" s="623" t="s">
        <v>2879</v>
      </c>
      <c r="B1964" s="624" t="s">
        <v>1324</v>
      </c>
      <c r="C1964" s="625" t="s">
        <v>100</v>
      </c>
      <c r="D1964" s="626">
        <v>281.72000000000003</v>
      </c>
      <c r="E1964" s="622"/>
      <c r="F1964" s="334"/>
      <c r="G1964" s="334"/>
      <c r="H1964" s="602"/>
      <c r="I1964" s="334"/>
      <c r="J1964" s="334"/>
      <c r="K1964" s="334"/>
      <c r="L1964" s="334"/>
      <c r="M1964" s="334"/>
      <c r="N1964" s="334"/>
      <c r="O1964" s="334"/>
    </row>
    <row r="1965" spans="1:15" ht="12.75" hidden="1" customHeight="1" outlineLevel="1" x14ac:dyDescent="0.2">
      <c r="A1965" s="627" t="s">
        <v>2880</v>
      </c>
      <c r="B1965" s="628" t="s">
        <v>1326</v>
      </c>
      <c r="C1965" s="629" t="s">
        <v>100</v>
      </c>
      <c r="D1965" s="630">
        <v>281.72000000000003</v>
      </c>
      <c r="E1965" s="622"/>
      <c r="F1965" s="334"/>
      <c r="G1965" s="334"/>
      <c r="H1965" s="602"/>
      <c r="I1965" s="334"/>
      <c r="J1965" s="334"/>
      <c r="K1965" s="334"/>
      <c r="L1965" s="334"/>
      <c r="M1965" s="334"/>
      <c r="N1965" s="334"/>
      <c r="O1965" s="334"/>
    </row>
    <row r="1966" spans="1:15" ht="12.75" hidden="1" customHeight="1" outlineLevel="1" x14ac:dyDescent="0.2">
      <c r="A1966" s="623" t="s">
        <v>2881</v>
      </c>
      <c r="B1966" s="628" t="s">
        <v>1330</v>
      </c>
      <c r="C1966" s="625" t="s">
        <v>100</v>
      </c>
      <c r="D1966" s="626">
        <v>234.29</v>
      </c>
      <c r="E1966" s="622"/>
      <c r="F1966" s="334"/>
      <c r="G1966" s="334"/>
      <c r="H1966" s="602"/>
      <c r="I1966" s="334"/>
      <c r="J1966" s="334"/>
      <c r="K1966" s="334"/>
      <c r="L1966" s="334"/>
      <c r="M1966" s="334"/>
      <c r="N1966" s="334"/>
      <c r="O1966" s="334"/>
    </row>
    <row r="1967" spans="1:15" ht="12.75" hidden="1" customHeight="1" outlineLevel="1" x14ac:dyDescent="0.2">
      <c r="A1967" s="627" t="s">
        <v>2882</v>
      </c>
      <c r="B1967" s="624" t="s">
        <v>1324</v>
      </c>
      <c r="C1967" s="629" t="s">
        <v>100</v>
      </c>
      <c r="D1967" s="630">
        <v>234.29</v>
      </c>
      <c r="E1967" s="622"/>
      <c r="F1967" s="334"/>
      <c r="G1967" s="334"/>
      <c r="H1967" s="602"/>
      <c r="I1967" s="334"/>
      <c r="J1967" s="334"/>
      <c r="K1967" s="334"/>
      <c r="L1967" s="334"/>
      <c r="M1967" s="334"/>
      <c r="N1967" s="334"/>
      <c r="O1967" s="334"/>
    </row>
    <row r="1968" spans="1:15" ht="12.75" hidden="1" customHeight="1" outlineLevel="1" x14ac:dyDescent="0.2">
      <c r="A1968" s="623" t="s">
        <v>2883</v>
      </c>
      <c r="B1968" s="628" t="s">
        <v>1326</v>
      </c>
      <c r="C1968" s="625" t="s">
        <v>100</v>
      </c>
      <c r="D1968" s="626">
        <v>234.29</v>
      </c>
      <c r="E1968" s="622"/>
      <c r="F1968" s="334"/>
      <c r="G1968" s="334"/>
      <c r="H1968" s="602"/>
      <c r="I1968" s="334"/>
      <c r="J1968" s="334"/>
      <c r="K1968" s="334"/>
      <c r="L1968" s="334"/>
      <c r="M1968" s="334"/>
      <c r="N1968" s="334"/>
      <c r="O1968" s="334"/>
    </row>
    <row r="1969" spans="1:15" ht="12.75" hidden="1" customHeight="1" outlineLevel="1" x14ac:dyDescent="0.2">
      <c r="A1969" s="627" t="s">
        <v>2884</v>
      </c>
      <c r="B1969" s="628" t="s">
        <v>1330</v>
      </c>
      <c r="C1969" s="629" t="s">
        <v>100</v>
      </c>
      <c r="D1969" s="630">
        <v>128.24</v>
      </c>
      <c r="E1969" s="622"/>
      <c r="F1969" s="334"/>
      <c r="G1969" s="334"/>
      <c r="H1969" s="602"/>
      <c r="I1969" s="334"/>
      <c r="J1969" s="334"/>
      <c r="K1969" s="334"/>
      <c r="L1969" s="334"/>
      <c r="M1969" s="334"/>
      <c r="N1969" s="334"/>
      <c r="O1969" s="334"/>
    </row>
    <row r="1970" spans="1:15" ht="12.75" hidden="1" customHeight="1" outlineLevel="1" x14ac:dyDescent="0.2">
      <c r="A1970" s="623" t="s">
        <v>2885</v>
      </c>
      <c r="B1970" s="624" t="s">
        <v>1324</v>
      </c>
      <c r="C1970" s="625" t="s">
        <v>100</v>
      </c>
      <c r="D1970" s="626">
        <v>128.24</v>
      </c>
      <c r="E1970" s="622"/>
      <c r="F1970" s="334"/>
      <c r="G1970" s="334"/>
      <c r="H1970" s="602"/>
      <c r="I1970" s="334"/>
      <c r="J1970" s="334"/>
      <c r="K1970" s="334"/>
      <c r="L1970" s="334"/>
      <c r="M1970" s="334"/>
      <c r="N1970" s="334"/>
      <c r="O1970" s="334"/>
    </row>
    <row r="1971" spans="1:15" ht="12.75" hidden="1" customHeight="1" outlineLevel="1" x14ac:dyDescent="0.2">
      <c r="A1971" s="627" t="s">
        <v>2886</v>
      </c>
      <c r="B1971" s="628" t="s">
        <v>1326</v>
      </c>
      <c r="C1971" s="629" t="s">
        <v>100</v>
      </c>
      <c r="D1971" s="630">
        <v>128.24</v>
      </c>
      <c r="E1971" s="622"/>
      <c r="F1971" s="334"/>
      <c r="G1971" s="334"/>
      <c r="H1971" s="602"/>
      <c r="I1971" s="334"/>
      <c r="J1971" s="334"/>
      <c r="K1971" s="334"/>
      <c r="L1971" s="334"/>
      <c r="M1971" s="334"/>
      <c r="N1971" s="334"/>
      <c r="O1971" s="334"/>
    </row>
    <row r="1972" spans="1:15" ht="12.75" hidden="1" customHeight="1" outlineLevel="1" x14ac:dyDescent="0.2">
      <c r="A1972" s="623" t="s">
        <v>2887</v>
      </c>
      <c r="B1972" s="628" t="s">
        <v>1330</v>
      </c>
      <c r="C1972" s="625" t="s">
        <v>100</v>
      </c>
      <c r="D1972" s="626">
        <v>15.2</v>
      </c>
      <c r="E1972" s="622"/>
      <c r="F1972" s="334"/>
      <c r="G1972" s="334"/>
      <c r="H1972" s="602"/>
      <c r="I1972" s="334"/>
      <c r="J1972" s="334"/>
      <c r="K1972" s="334"/>
      <c r="L1972" s="334"/>
      <c r="M1972" s="334"/>
      <c r="N1972" s="334"/>
      <c r="O1972" s="334"/>
    </row>
    <row r="1973" spans="1:15" ht="12.75" hidden="1" customHeight="1" outlineLevel="1" x14ac:dyDescent="0.2">
      <c r="A1973" s="627" t="s">
        <v>2888</v>
      </c>
      <c r="B1973" s="624" t="s">
        <v>1324</v>
      </c>
      <c r="C1973" s="629" t="s">
        <v>100</v>
      </c>
      <c r="D1973" s="630">
        <v>15.2</v>
      </c>
      <c r="E1973" s="622"/>
      <c r="F1973" s="334"/>
      <c r="G1973" s="334"/>
      <c r="H1973" s="602"/>
      <c r="I1973" s="334"/>
      <c r="J1973" s="334"/>
      <c r="K1973" s="334"/>
      <c r="L1973" s="334"/>
      <c r="M1973" s="334"/>
      <c r="N1973" s="334"/>
      <c r="O1973" s="334"/>
    </row>
    <row r="1974" spans="1:15" ht="12.75" hidden="1" customHeight="1" outlineLevel="1" x14ac:dyDescent="0.2">
      <c r="A1974" s="623" t="s">
        <v>2889</v>
      </c>
      <c r="B1974" s="628" t="s">
        <v>1326</v>
      </c>
      <c r="C1974" s="625" t="s">
        <v>100</v>
      </c>
      <c r="D1974" s="626">
        <v>15.2</v>
      </c>
      <c r="E1974" s="622"/>
      <c r="F1974" s="334"/>
      <c r="G1974" s="334"/>
      <c r="H1974" s="602"/>
      <c r="I1974" s="334"/>
      <c r="J1974" s="334"/>
      <c r="K1974" s="334"/>
      <c r="L1974" s="334"/>
      <c r="M1974" s="334"/>
      <c r="N1974" s="334"/>
      <c r="O1974" s="334"/>
    </row>
    <row r="1975" spans="1:15" ht="12.75" hidden="1" customHeight="1" outlineLevel="1" x14ac:dyDescent="0.2">
      <c r="A1975" s="627" t="s">
        <v>2890</v>
      </c>
      <c r="B1975" s="628" t="s">
        <v>1330</v>
      </c>
      <c r="C1975" s="629" t="s">
        <v>100</v>
      </c>
      <c r="D1975" s="630">
        <v>14.92</v>
      </c>
      <c r="E1975" s="622"/>
      <c r="F1975" s="334"/>
      <c r="G1975" s="334"/>
      <c r="H1975" s="602"/>
      <c r="I1975" s="334"/>
      <c r="J1975" s="334"/>
      <c r="K1975" s="334"/>
      <c r="L1975" s="334"/>
      <c r="M1975" s="334"/>
      <c r="N1975" s="334"/>
      <c r="O1975" s="334"/>
    </row>
    <row r="1976" spans="1:15" ht="12.75" hidden="1" customHeight="1" outlineLevel="1" x14ac:dyDescent="0.2">
      <c r="A1976" s="623" t="s">
        <v>2891</v>
      </c>
      <c r="B1976" s="624" t="s">
        <v>1324</v>
      </c>
      <c r="C1976" s="625" t="s">
        <v>100</v>
      </c>
      <c r="D1976" s="626">
        <v>14.92</v>
      </c>
      <c r="E1976" s="622"/>
      <c r="F1976" s="334"/>
      <c r="G1976" s="334"/>
      <c r="H1976" s="602"/>
      <c r="I1976" s="334"/>
      <c r="J1976" s="334"/>
      <c r="K1976" s="334"/>
      <c r="L1976" s="334"/>
      <c r="M1976" s="334"/>
      <c r="N1976" s="334"/>
      <c r="O1976" s="334"/>
    </row>
    <row r="1977" spans="1:15" ht="12.75" hidden="1" customHeight="1" outlineLevel="1" x14ac:dyDescent="0.2">
      <c r="A1977" s="627" t="s">
        <v>2892</v>
      </c>
      <c r="B1977" s="628" t="s">
        <v>1326</v>
      </c>
      <c r="C1977" s="629" t="s">
        <v>100</v>
      </c>
      <c r="D1977" s="630">
        <v>14.92</v>
      </c>
      <c r="E1977" s="622"/>
      <c r="F1977" s="334"/>
      <c r="G1977" s="334"/>
      <c r="H1977" s="602"/>
      <c r="I1977" s="334"/>
      <c r="J1977" s="334"/>
      <c r="K1977" s="334"/>
      <c r="L1977" s="334"/>
      <c r="M1977" s="334"/>
      <c r="N1977" s="334"/>
      <c r="O1977" s="334"/>
    </row>
    <row r="1978" spans="1:15" ht="12.75" hidden="1" customHeight="1" outlineLevel="1" x14ac:dyDescent="0.2">
      <c r="A1978" s="623" t="s">
        <v>2893</v>
      </c>
      <c r="B1978" s="628" t="s">
        <v>1330</v>
      </c>
      <c r="C1978" s="625" t="s">
        <v>100</v>
      </c>
      <c r="D1978" s="626">
        <v>164.24</v>
      </c>
      <c r="E1978" s="622"/>
      <c r="F1978" s="334"/>
      <c r="G1978" s="334"/>
      <c r="H1978" s="602"/>
      <c r="I1978" s="334"/>
      <c r="J1978" s="334"/>
      <c r="K1978" s="334"/>
      <c r="L1978" s="334"/>
      <c r="M1978" s="334"/>
      <c r="N1978" s="334"/>
      <c r="O1978" s="334"/>
    </row>
    <row r="1979" spans="1:15" ht="12.75" hidden="1" customHeight="1" outlineLevel="1" x14ac:dyDescent="0.2">
      <c r="A1979" s="627" t="s">
        <v>2894</v>
      </c>
      <c r="B1979" s="624" t="s">
        <v>1324</v>
      </c>
      <c r="C1979" s="629" t="s">
        <v>100</v>
      </c>
      <c r="D1979" s="630">
        <v>164.24</v>
      </c>
      <c r="E1979" s="622"/>
      <c r="F1979" s="334"/>
      <c r="G1979" s="334"/>
      <c r="H1979" s="602"/>
      <c r="I1979" s="334"/>
      <c r="J1979" s="334"/>
      <c r="K1979" s="334"/>
      <c r="L1979" s="334"/>
      <c r="M1979" s="334"/>
      <c r="N1979" s="334"/>
      <c r="O1979" s="334"/>
    </row>
    <row r="1980" spans="1:15" ht="12.75" hidden="1" customHeight="1" outlineLevel="1" x14ac:dyDescent="0.2">
      <c r="A1980" s="623" t="s">
        <v>2895</v>
      </c>
      <c r="B1980" s="628" t="s">
        <v>1326</v>
      </c>
      <c r="C1980" s="625" t="s">
        <v>100</v>
      </c>
      <c r="D1980" s="626">
        <v>164.24</v>
      </c>
      <c r="E1980" s="622"/>
      <c r="F1980" s="334"/>
      <c r="G1980" s="334"/>
      <c r="H1980" s="602"/>
      <c r="I1980" s="334"/>
      <c r="J1980" s="334"/>
      <c r="K1980" s="334"/>
      <c r="L1980" s="334"/>
      <c r="M1980" s="334"/>
      <c r="N1980" s="334"/>
      <c r="O1980" s="334"/>
    </row>
    <row r="1981" spans="1:15" ht="12.75" hidden="1" customHeight="1" outlineLevel="1" x14ac:dyDescent="0.2">
      <c r="A1981" s="627" t="s">
        <v>2896</v>
      </c>
      <c r="B1981" s="628" t="s">
        <v>1330</v>
      </c>
      <c r="C1981" s="629" t="s">
        <v>100</v>
      </c>
      <c r="D1981" s="630">
        <v>10.47</v>
      </c>
      <c r="E1981" s="622"/>
      <c r="F1981" s="334"/>
      <c r="G1981" s="334"/>
      <c r="H1981" s="602"/>
      <c r="I1981" s="334"/>
      <c r="J1981" s="334"/>
      <c r="K1981" s="334"/>
      <c r="L1981" s="334"/>
      <c r="M1981" s="334"/>
      <c r="N1981" s="334"/>
      <c r="O1981" s="334"/>
    </row>
    <row r="1982" spans="1:15" ht="12.75" hidden="1" customHeight="1" outlineLevel="1" x14ac:dyDescent="0.2">
      <c r="A1982" s="623" t="s">
        <v>2897</v>
      </c>
      <c r="B1982" s="624" t="s">
        <v>1324</v>
      </c>
      <c r="C1982" s="625" t="s">
        <v>100</v>
      </c>
      <c r="D1982" s="626">
        <v>10.47</v>
      </c>
      <c r="E1982" s="622"/>
      <c r="F1982" s="334"/>
      <c r="G1982" s="334"/>
      <c r="H1982" s="602"/>
      <c r="I1982" s="334"/>
      <c r="J1982" s="334"/>
      <c r="K1982" s="334"/>
      <c r="L1982" s="334"/>
      <c r="M1982" s="334"/>
      <c r="N1982" s="334"/>
      <c r="O1982" s="334"/>
    </row>
    <row r="1983" spans="1:15" ht="12.75" hidden="1" customHeight="1" outlineLevel="1" x14ac:dyDescent="0.2">
      <c r="A1983" s="627" t="s">
        <v>2898</v>
      </c>
      <c r="B1983" s="628" t="s">
        <v>1326</v>
      </c>
      <c r="C1983" s="629" t="s">
        <v>100</v>
      </c>
      <c r="D1983" s="630">
        <v>10.47</v>
      </c>
      <c r="E1983" s="622"/>
      <c r="F1983" s="334"/>
      <c r="G1983" s="334"/>
      <c r="H1983" s="602"/>
      <c r="I1983" s="334"/>
      <c r="J1983" s="334"/>
      <c r="K1983" s="334"/>
      <c r="L1983" s="334"/>
      <c r="M1983" s="334"/>
      <c r="N1983" s="334"/>
      <c r="O1983" s="334"/>
    </row>
    <row r="1984" spans="1:15" ht="12.75" hidden="1" customHeight="1" outlineLevel="1" x14ac:dyDescent="0.2">
      <c r="A1984" s="623" t="s">
        <v>2899</v>
      </c>
      <c r="B1984" s="624" t="s">
        <v>1324</v>
      </c>
      <c r="C1984" s="625" t="s">
        <v>100</v>
      </c>
      <c r="D1984" s="626">
        <v>42.15</v>
      </c>
      <c r="E1984" s="622"/>
      <c r="F1984" s="334"/>
      <c r="G1984" s="334"/>
      <c r="H1984" s="602"/>
      <c r="I1984" s="334"/>
      <c r="J1984" s="334"/>
      <c r="K1984" s="334"/>
      <c r="L1984" s="334"/>
      <c r="M1984" s="334"/>
      <c r="N1984" s="334"/>
      <c r="O1984" s="334"/>
    </row>
    <row r="1985" spans="1:15" ht="12.75" hidden="1" customHeight="1" outlineLevel="1" x14ac:dyDescent="0.2">
      <c r="A1985" s="627" t="s">
        <v>2900</v>
      </c>
      <c r="B1985" s="628" t="s">
        <v>1324</v>
      </c>
      <c r="C1985" s="629" t="s">
        <v>100</v>
      </c>
      <c r="D1985" s="630">
        <v>59.8</v>
      </c>
      <c r="E1985" s="622"/>
      <c r="F1985" s="334"/>
      <c r="G1985" s="334"/>
      <c r="H1985" s="602"/>
      <c r="I1985" s="334"/>
      <c r="J1985" s="334"/>
      <c r="K1985" s="334"/>
      <c r="L1985" s="334"/>
      <c r="M1985" s="334"/>
      <c r="N1985" s="334"/>
      <c r="O1985" s="334"/>
    </row>
    <row r="1986" spans="1:15" ht="12.75" hidden="1" customHeight="1" outlineLevel="1" x14ac:dyDescent="0.2">
      <c r="A1986" s="623" t="s">
        <v>2901</v>
      </c>
      <c r="B1986" s="624" t="s">
        <v>1326</v>
      </c>
      <c r="C1986" s="625" t="s">
        <v>100</v>
      </c>
      <c r="D1986" s="626">
        <v>59.8</v>
      </c>
      <c r="E1986" s="622"/>
      <c r="F1986" s="334"/>
      <c r="G1986" s="334"/>
      <c r="H1986" s="602"/>
      <c r="I1986" s="334"/>
      <c r="J1986" s="334"/>
      <c r="K1986" s="334"/>
      <c r="L1986" s="334"/>
      <c r="M1986" s="334"/>
      <c r="N1986" s="334"/>
      <c r="O1986" s="334"/>
    </row>
    <row r="1987" spans="1:15" ht="12.75" hidden="1" customHeight="1" outlineLevel="1" x14ac:dyDescent="0.2">
      <c r="A1987" s="627" t="s">
        <v>2902</v>
      </c>
      <c r="B1987" s="628" t="s">
        <v>1328</v>
      </c>
      <c r="C1987" s="629" t="s">
        <v>100</v>
      </c>
      <c r="D1987" s="630">
        <v>59.8</v>
      </c>
      <c r="E1987" s="622"/>
      <c r="F1987" s="334"/>
      <c r="G1987" s="334"/>
      <c r="H1987" s="602"/>
      <c r="I1987" s="334"/>
      <c r="J1987" s="334"/>
      <c r="K1987" s="334"/>
      <c r="L1987" s="334"/>
      <c r="M1987" s="334"/>
      <c r="N1987" s="334"/>
      <c r="O1987" s="334"/>
    </row>
    <row r="1988" spans="1:15" ht="12.75" hidden="1" customHeight="1" outlineLevel="1" x14ac:dyDescent="0.2">
      <c r="A1988" s="623" t="s">
        <v>2903</v>
      </c>
      <c r="B1988" s="624" t="s">
        <v>1330</v>
      </c>
      <c r="C1988" s="625" t="s">
        <v>100</v>
      </c>
      <c r="D1988" s="626">
        <v>33.659999999999997</v>
      </c>
      <c r="E1988" s="622"/>
      <c r="F1988" s="334"/>
      <c r="G1988" s="334"/>
      <c r="H1988" s="602"/>
      <c r="I1988" s="334"/>
      <c r="J1988" s="334"/>
      <c r="K1988" s="334"/>
      <c r="L1988" s="334"/>
      <c r="M1988" s="334"/>
      <c r="N1988" s="334"/>
      <c r="O1988" s="334"/>
    </row>
    <row r="1989" spans="1:15" ht="12.75" hidden="1" customHeight="1" outlineLevel="1" x14ac:dyDescent="0.2">
      <c r="A1989" s="627" t="s">
        <v>2904</v>
      </c>
      <c r="B1989" s="628" t="s">
        <v>1324</v>
      </c>
      <c r="C1989" s="629" t="s">
        <v>100</v>
      </c>
      <c r="D1989" s="630">
        <v>33.659999999999997</v>
      </c>
      <c r="E1989" s="622"/>
      <c r="F1989" s="334"/>
      <c r="G1989" s="334"/>
      <c r="H1989" s="602"/>
      <c r="I1989" s="334"/>
      <c r="J1989" s="334"/>
      <c r="K1989" s="334"/>
      <c r="L1989" s="334"/>
      <c r="M1989" s="334"/>
      <c r="N1989" s="334"/>
      <c r="O1989" s="334"/>
    </row>
    <row r="1990" spans="1:15" ht="12.75" hidden="1" customHeight="1" outlineLevel="1" x14ac:dyDescent="0.2">
      <c r="A1990" s="623" t="s">
        <v>2905</v>
      </c>
      <c r="B1990" s="624" t="s">
        <v>1326</v>
      </c>
      <c r="C1990" s="625" t="s">
        <v>100</v>
      </c>
      <c r="D1990" s="626">
        <v>33.659999999999997</v>
      </c>
      <c r="E1990" s="622"/>
      <c r="F1990" s="334"/>
      <c r="G1990" s="334"/>
      <c r="H1990" s="602"/>
      <c r="I1990" s="334"/>
      <c r="J1990" s="334"/>
      <c r="K1990" s="334"/>
      <c r="L1990" s="334"/>
      <c r="M1990" s="334"/>
      <c r="N1990" s="334"/>
      <c r="O1990" s="334"/>
    </row>
    <row r="1991" spans="1:15" ht="12.75" hidden="1" customHeight="1" outlineLevel="1" x14ac:dyDescent="0.2">
      <c r="A1991" s="618" t="s">
        <v>2906</v>
      </c>
      <c r="B1991" s="619" t="s">
        <v>1030</v>
      </c>
      <c r="C1991" s="620"/>
      <c r="D1991" s="621"/>
      <c r="E1991" s="622"/>
      <c r="F1991" s="334"/>
      <c r="G1991" s="334"/>
      <c r="H1991" s="602"/>
      <c r="I1991" s="334"/>
      <c r="J1991" s="334"/>
      <c r="K1991" s="334"/>
      <c r="L1991" s="334"/>
      <c r="M1991" s="334"/>
      <c r="N1991" s="334"/>
      <c r="O1991" s="334"/>
    </row>
    <row r="1992" spans="1:15" ht="12.75" hidden="1" customHeight="1" outlineLevel="1" x14ac:dyDescent="0.2">
      <c r="A1992" s="627" t="s">
        <v>2907</v>
      </c>
      <c r="B1992" s="624" t="s">
        <v>1324</v>
      </c>
      <c r="C1992" s="629" t="s">
        <v>100</v>
      </c>
      <c r="D1992" s="630">
        <v>16.28</v>
      </c>
      <c r="E1992" s="622"/>
      <c r="F1992" s="334"/>
      <c r="G1992" s="334"/>
      <c r="H1992" s="602"/>
      <c r="I1992" s="334"/>
      <c r="J1992" s="334"/>
      <c r="K1992" s="334"/>
      <c r="L1992" s="334"/>
      <c r="M1992" s="334"/>
      <c r="N1992" s="334"/>
      <c r="O1992" s="334"/>
    </row>
    <row r="1993" spans="1:15" ht="12.75" hidden="1" customHeight="1" outlineLevel="1" x14ac:dyDescent="0.2">
      <c r="A1993" s="623" t="s">
        <v>2908</v>
      </c>
      <c r="B1993" s="628" t="s">
        <v>1326</v>
      </c>
      <c r="C1993" s="625" t="s">
        <v>100</v>
      </c>
      <c r="D1993" s="626">
        <v>16.28</v>
      </c>
      <c r="E1993" s="622"/>
      <c r="F1993" s="334"/>
      <c r="G1993" s="334"/>
      <c r="H1993" s="602"/>
      <c r="I1993" s="334"/>
      <c r="J1993" s="334"/>
      <c r="K1993" s="334"/>
      <c r="L1993" s="334"/>
      <c r="M1993" s="334"/>
      <c r="N1993" s="334"/>
      <c r="O1993" s="334"/>
    </row>
    <row r="1994" spans="1:15" ht="12.75" hidden="1" customHeight="1" outlineLevel="1" x14ac:dyDescent="0.2">
      <c r="A1994" s="627" t="s">
        <v>2909</v>
      </c>
      <c r="B1994" s="624" t="s">
        <v>2877</v>
      </c>
      <c r="C1994" s="629" t="s">
        <v>100</v>
      </c>
      <c r="D1994" s="630">
        <v>16.28</v>
      </c>
      <c r="E1994" s="622"/>
      <c r="F1994" s="334"/>
      <c r="G1994" s="334"/>
      <c r="H1994" s="602"/>
      <c r="I1994" s="334"/>
      <c r="J1994" s="334"/>
      <c r="K1994" s="334"/>
      <c r="L1994" s="334"/>
      <c r="M1994" s="334"/>
      <c r="N1994" s="334"/>
      <c r="O1994" s="334"/>
    </row>
    <row r="1995" spans="1:15" ht="12.75" hidden="1" customHeight="1" outlineLevel="1" x14ac:dyDescent="0.2">
      <c r="A1995" s="623" t="s">
        <v>2910</v>
      </c>
      <c r="B1995" s="628" t="s">
        <v>1330</v>
      </c>
      <c r="C1995" s="625" t="s">
        <v>100</v>
      </c>
      <c r="D1995" s="626">
        <v>114.47</v>
      </c>
      <c r="E1995" s="622"/>
      <c r="F1995" s="334"/>
      <c r="G1995" s="334"/>
      <c r="H1995" s="602"/>
      <c r="I1995" s="334"/>
      <c r="J1995" s="334"/>
      <c r="K1995" s="334"/>
      <c r="L1995" s="334"/>
      <c r="M1995" s="334"/>
      <c r="N1995" s="334"/>
      <c r="O1995" s="334"/>
    </row>
    <row r="1996" spans="1:15" ht="12.75" hidden="1" customHeight="1" outlineLevel="1" x14ac:dyDescent="0.2">
      <c r="A1996" s="627" t="s">
        <v>2911</v>
      </c>
      <c r="B1996" s="624" t="s">
        <v>1324</v>
      </c>
      <c r="C1996" s="629" t="s">
        <v>100</v>
      </c>
      <c r="D1996" s="630">
        <v>114.47</v>
      </c>
      <c r="E1996" s="622"/>
      <c r="F1996" s="334"/>
      <c r="G1996" s="334"/>
      <c r="H1996" s="602"/>
      <c r="I1996" s="334"/>
      <c r="J1996" s="334"/>
      <c r="K1996" s="334"/>
      <c r="L1996" s="334"/>
      <c r="M1996" s="334"/>
      <c r="N1996" s="334"/>
      <c r="O1996" s="334"/>
    </row>
    <row r="1997" spans="1:15" ht="12.75" hidden="1" customHeight="1" outlineLevel="1" x14ac:dyDescent="0.2">
      <c r="A1997" s="623" t="s">
        <v>2912</v>
      </c>
      <c r="B1997" s="628" t="s">
        <v>1326</v>
      </c>
      <c r="C1997" s="625" t="s">
        <v>100</v>
      </c>
      <c r="D1997" s="626">
        <v>114.47</v>
      </c>
      <c r="E1997" s="622"/>
      <c r="F1997" s="334"/>
      <c r="G1997" s="334"/>
      <c r="H1997" s="602"/>
      <c r="I1997" s="334"/>
      <c r="J1997" s="334"/>
      <c r="K1997" s="334"/>
      <c r="L1997" s="334"/>
      <c r="M1997" s="334"/>
      <c r="N1997" s="334"/>
      <c r="O1997" s="334"/>
    </row>
    <row r="1998" spans="1:15" ht="12.75" hidden="1" customHeight="1" outlineLevel="1" x14ac:dyDescent="0.2">
      <c r="A1998" s="627" t="s">
        <v>2913</v>
      </c>
      <c r="B1998" s="628" t="s">
        <v>1330</v>
      </c>
      <c r="C1998" s="629" t="s">
        <v>100</v>
      </c>
      <c r="D1998" s="630">
        <v>494.15</v>
      </c>
      <c r="E1998" s="622"/>
      <c r="F1998" s="334"/>
      <c r="G1998" s="334"/>
      <c r="H1998" s="602"/>
      <c r="I1998" s="334"/>
      <c r="J1998" s="334"/>
      <c r="K1998" s="334"/>
      <c r="L1998" s="334"/>
      <c r="M1998" s="334"/>
      <c r="N1998" s="334"/>
      <c r="O1998" s="334"/>
    </row>
    <row r="1999" spans="1:15" ht="12.75" hidden="1" customHeight="1" outlineLevel="1" x14ac:dyDescent="0.2">
      <c r="A1999" s="623" t="s">
        <v>2914</v>
      </c>
      <c r="B1999" s="624" t="s">
        <v>1324</v>
      </c>
      <c r="C1999" s="625" t="s">
        <v>100</v>
      </c>
      <c r="D1999" s="626">
        <v>494.15</v>
      </c>
      <c r="E1999" s="622"/>
      <c r="F1999" s="334"/>
      <c r="G1999" s="334"/>
      <c r="H1999" s="602"/>
      <c r="I1999" s="334"/>
      <c r="J1999" s="334"/>
      <c r="K1999" s="334"/>
      <c r="L1999" s="334"/>
      <c r="M1999" s="334"/>
      <c r="N1999" s="334"/>
      <c r="O1999" s="334"/>
    </row>
    <row r="2000" spans="1:15" ht="12.75" hidden="1" customHeight="1" outlineLevel="1" x14ac:dyDescent="0.2">
      <c r="A2000" s="627" t="s">
        <v>2915</v>
      </c>
      <c r="B2000" s="628" t="s">
        <v>1326</v>
      </c>
      <c r="C2000" s="629" t="s">
        <v>100</v>
      </c>
      <c r="D2000" s="630">
        <v>494.15</v>
      </c>
      <c r="E2000" s="622"/>
      <c r="F2000" s="334"/>
      <c r="G2000" s="334"/>
      <c r="H2000" s="602"/>
      <c r="I2000" s="334"/>
      <c r="J2000" s="334"/>
      <c r="K2000" s="334"/>
      <c r="L2000" s="334"/>
      <c r="M2000" s="334"/>
      <c r="N2000" s="334"/>
      <c r="O2000" s="334"/>
    </row>
    <row r="2001" spans="1:15" ht="12.75" hidden="1" customHeight="1" outlineLevel="1" x14ac:dyDescent="0.2">
      <c r="A2001" s="623" t="s">
        <v>2916</v>
      </c>
      <c r="B2001" s="628" t="s">
        <v>1330</v>
      </c>
      <c r="C2001" s="625" t="s">
        <v>100</v>
      </c>
      <c r="D2001" s="626">
        <v>135.18</v>
      </c>
      <c r="E2001" s="622"/>
      <c r="F2001" s="334"/>
      <c r="G2001" s="334"/>
      <c r="H2001" s="602"/>
      <c r="I2001" s="334"/>
      <c r="J2001" s="334"/>
      <c r="K2001" s="334"/>
      <c r="L2001" s="334"/>
      <c r="M2001" s="334"/>
      <c r="N2001" s="334"/>
      <c r="O2001" s="334"/>
    </row>
    <row r="2002" spans="1:15" ht="12.75" hidden="1" customHeight="1" outlineLevel="1" x14ac:dyDescent="0.2">
      <c r="A2002" s="627" t="s">
        <v>2917</v>
      </c>
      <c r="B2002" s="624" t="s">
        <v>1324</v>
      </c>
      <c r="C2002" s="629" t="s">
        <v>100</v>
      </c>
      <c r="D2002" s="630">
        <v>135.18</v>
      </c>
      <c r="E2002" s="622"/>
      <c r="F2002" s="334"/>
      <c r="G2002" s="334"/>
      <c r="H2002" s="602"/>
      <c r="I2002" s="334"/>
      <c r="J2002" s="334"/>
      <c r="K2002" s="334"/>
      <c r="L2002" s="334"/>
      <c r="M2002" s="334"/>
      <c r="N2002" s="334"/>
      <c r="O2002" s="334"/>
    </row>
    <row r="2003" spans="1:15" ht="12.75" hidden="1" customHeight="1" outlineLevel="1" x14ac:dyDescent="0.2">
      <c r="A2003" s="623" t="s">
        <v>2918</v>
      </c>
      <c r="B2003" s="628" t="s">
        <v>1326</v>
      </c>
      <c r="C2003" s="625" t="s">
        <v>100</v>
      </c>
      <c r="D2003" s="626">
        <v>135.18</v>
      </c>
      <c r="E2003" s="622"/>
      <c r="F2003" s="334"/>
      <c r="G2003" s="334"/>
      <c r="H2003" s="602"/>
      <c r="I2003" s="334"/>
      <c r="J2003" s="334"/>
      <c r="K2003" s="334"/>
      <c r="L2003" s="334"/>
      <c r="M2003" s="334"/>
      <c r="N2003" s="334"/>
      <c r="O2003" s="334"/>
    </row>
    <row r="2004" spans="1:15" ht="12.75" hidden="1" customHeight="1" outlineLevel="1" x14ac:dyDescent="0.2">
      <c r="A2004" s="627" t="s">
        <v>2919</v>
      </c>
      <c r="B2004" s="628" t="s">
        <v>1330</v>
      </c>
      <c r="C2004" s="629" t="s">
        <v>100</v>
      </c>
      <c r="D2004" s="630">
        <v>14.44</v>
      </c>
      <c r="E2004" s="622"/>
      <c r="F2004" s="334"/>
      <c r="G2004" s="334"/>
      <c r="H2004" s="602"/>
      <c r="I2004" s="334"/>
      <c r="J2004" s="334"/>
      <c r="K2004" s="334"/>
      <c r="L2004" s="334"/>
      <c r="M2004" s="334"/>
      <c r="N2004" s="334"/>
      <c r="O2004" s="334"/>
    </row>
    <row r="2005" spans="1:15" ht="12.75" hidden="1" customHeight="1" outlineLevel="1" x14ac:dyDescent="0.2">
      <c r="A2005" s="623" t="s">
        <v>2920</v>
      </c>
      <c r="B2005" s="624" t="s">
        <v>1324</v>
      </c>
      <c r="C2005" s="625" t="s">
        <v>100</v>
      </c>
      <c r="D2005" s="626">
        <v>14.44</v>
      </c>
      <c r="E2005" s="622"/>
      <c r="F2005" s="334"/>
      <c r="G2005" s="334"/>
      <c r="H2005" s="602"/>
      <c r="I2005" s="334"/>
      <c r="J2005" s="334"/>
      <c r="K2005" s="334"/>
      <c r="L2005" s="334"/>
      <c r="M2005" s="334"/>
      <c r="N2005" s="334"/>
      <c r="O2005" s="334"/>
    </row>
    <row r="2006" spans="1:15" ht="12.75" hidden="1" customHeight="1" outlineLevel="1" x14ac:dyDescent="0.2">
      <c r="A2006" s="627" t="s">
        <v>2921</v>
      </c>
      <c r="B2006" s="628" t="s">
        <v>1326</v>
      </c>
      <c r="C2006" s="629" t="s">
        <v>100</v>
      </c>
      <c r="D2006" s="630">
        <v>14.44</v>
      </c>
      <c r="E2006" s="622"/>
      <c r="F2006" s="334"/>
      <c r="G2006" s="334"/>
      <c r="H2006" s="602"/>
      <c r="I2006" s="334"/>
      <c r="J2006" s="334"/>
      <c r="K2006" s="334"/>
      <c r="L2006" s="334"/>
      <c r="M2006" s="334"/>
      <c r="N2006" s="334"/>
      <c r="O2006" s="334"/>
    </row>
    <row r="2007" spans="1:15" ht="12.75" hidden="1" customHeight="1" outlineLevel="1" x14ac:dyDescent="0.2">
      <c r="A2007" s="623" t="s">
        <v>2922</v>
      </c>
      <c r="B2007" s="628" t="s">
        <v>1330</v>
      </c>
      <c r="C2007" s="625" t="s">
        <v>100</v>
      </c>
      <c r="D2007" s="626">
        <v>13.84</v>
      </c>
      <c r="E2007" s="622"/>
      <c r="F2007" s="334"/>
      <c r="G2007" s="334"/>
      <c r="H2007" s="602"/>
      <c r="I2007" s="334"/>
      <c r="J2007" s="334"/>
      <c r="K2007" s="334"/>
      <c r="L2007" s="334"/>
      <c r="M2007" s="334"/>
      <c r="N2007" s="334"/>
      <c r="O2007" s="334"/>
    </row>
    <row r="2008" spans="1:15" ht="12.75" hidden="1" customHeight="1" outlineLevel="1" x14ac:dyDescent="0.2">
      <c r="A2008" s="627" t="s">
        <v>2923</v>
      </c>
      <c r="B2008" s="624" t="s">
        <v>1324</v>
      </c>
      <c r="C2008" s="629" t="s">
        <v>100</v>
      </c>
      <c r="D2008" s="630">
        <v>13.84</v>
      </c>
      <c r="E2008" s="622"/>
      <c r="F2008" s="334"/>
      <c r="G2008" s="334"/>
      <c r="H2008" s="602"/>
      <c r="I2008" s="334"/>
      <c r="J2008" s="334"/>
      <c r="K2008" s="334"/>
      <c r="L2008" s="334"/>
      <c r="M2008" s="334"/>
      <c r="N2008" s="334"/>
      <c r="O2008" s="334"/>
    </row>
    <row r="2009" spans="1:15" ht="12.75" hidden="1" customHeight="1" outlineLevel="1" x14ac:dyDescent="0.2">
      <c r="A2009" s="623" t="s">
        <v>2924</v>
      </c>
      <c r="B2009" s="628" t="s">
        <v>1326</v>
      </c>
      <c r="C2009" s="625" t="s">
        <v>100</v>
      </c>
      <c r="D2009" s="626">
        <v>13.84</v>
      </c>
      <c r="E2009" s="622"/>
      <c r="F2009" s="334"/>
      <c r="G2009" s="334"/>
      <c r="H2009" s="602"/>
      <c r="I2009" s="334"/>
      <c r="J2009" s="334"/>
      <c r="K2009" s="334"/>
      <c r="L2009" s="334"/>
      <c r="M2009" s="334"/>
      <c r="N2009" s="334"/>
      <c r="O2009" s="334"/>
    </row>
    <row r="2010" spans="1:15" ht="12.75" hidden="1" customHeight="1" outlineLevel="1" x14ac:dyDescent="0.2">
      <c r="A2010" s="627" t="s">
        <v>2925</v>
      </c>
      <c r="B2010" s="628" t="s">
        <v>1330</v>
      </c>
      <c r="C2010" s="629" t="s">
        <v>100</v>
      </c>
      <c r="D2010" s="630">
        <v>65.11</v>
      </c>
      <c r="E2010" s="622"/>
      <c r="F2010" s="334"/>
      <c r="G2010" s="334"/>
      <c r="H2010" s="602"/>
      <c r="I2010" s="334"/>
      <c r="J2010" s="334"/>
      <c r="K2010" s="334"/>
      <c r="L2010" s="334"/>
      <c r="M2010" s="334"/>
      <c r="N2010" s="334"/>
      <c r="O2010" s="334"/>
    </row>
    <row r="2011" spans="1:15" ht="12.75" hidden="1" customHeight="1" outlineLevel="1" x14ac:dyDescent="0.2">
      <c r="A2011" s="623" t="s">
        <v>2926</v>
      </c>
      <c r="B2011" s="624" t="s">
        <v>1324</v>
      </c>
      <c r="C2011" s="625" t="s">
        <v>100</v>
      </c>
      <c r="D2011" s="626">
        <v>65.11</v>
      </c>
      <c r="E2011" s="622"/>
      <c r="F2011" s="334"/>
      <c r="G2011" s="334"/>
      <c r="H2011" s="602"/>
      <c r="I2011" s="334"/>
      <c r="J2011" s="334"/>
      <c r="K2011" s="334"/>
      <c r="L2011" s="334"/>
      <c r="M2011" s="334"/>
      <c r="N2011" s="334"/>
      <c r="O2011" s="334"/>
    </row>
    <row r="2012" spans="1:15" ht="12.75" hidden="1" customHeight="1" outlineLevel="1" x14ac:dyDescent="0.2">
      <c r="A2012" s="627" t="s">
        <v>2927</v>
      </c>
      <c r="B2012" s="628" t="s">
        <v>1326</v>
      </c>
      <c r="C2012" s="629" t="s">
        <v>100</v>
      </c>
      <c r="D2012" s="630">
        <v>65.11</v>
      </c>
      <c r="E2012" s="622"/>
      <c r="F2012" s="334"/>
      <c r="G2012" s="334"/>
      <c r="H2012" s="602"/>
      <c r="I2012" s="334"/>
      <c r="J2012" s="334"/>
      <c r="K2012" s="334"/>
      <c r="L2012" s="334"/>
      <c r="M2012" s="334"/>
      <c r="N2012" s="334"/>
      <c r="O2012" s="334"/>
    </row>
    <row r="2013" spans="1:15" ht="12.75" hidden="1" customHeight="1" outlineLevel="1" x14ac:dyDescent="0.2">
      <c r="A2013" s="623" t="s">
        <v>2928</v>
      </c>
      <c r="B2013" s="628" t="s">
        <v>1330</v>
      </c>
      <c r="C2013" s="625" t="s">
        <v>100</v>
      </c>
      <c r="D2013" s="626">
        <v>10.47</v>
      </c>
      <c r="E2013" s="622"/>
      <c r="F2013" s="334"/>
      <c r="G2013" s="334"/>
      <c r="H2013" s="602"/>
      <c r="I2013" s="334"/>
      <c r="J2013" s="334"/>
      <c r="K2013" s="334"/>
      <c r="L2013" s="334"/>
      <c r="M2013" s="334"/>
      <c r="N2013" s="334"/>
      <c r="O2013" s="334"/>
    </row>
    <row r="2014" spans="1:15" ht="12.75" hidden="1" customHeight="1" outlineLevel="1" x14ac:dyDescent="0.2">
      <c r="A2014" s="627" t="s">
        <v>2929</v>
      </c>
      <c r="B2014" s="624" t="s">
        <v>1324</v>
      </c>
      <c r="C2014" s="629" t="s">
        <v>100</v>
      </c>
      <c r="D2014" s="630">
        <v>10.47</v>
      </c>
      <c r="E2014" s="622"/>
      <c r="F2014" s="334"/>
      <c r="G2014" s="334"/>
      <c r="H2014" s="602"/>
      <c r="I2014" s="334"/>
      <c r="J2014" s="334"/>
      <c r="K2014" s="334"/>
      <c r="L2014" s="334"/>
      <c r="M2014" s="334"/>
      <c r="N2014" s="334"/>
      <c r="O2014" s="334"/>
    </row>
    <row r="2015" spans="1:15" ht="12.75" hidden="1" customHeight="1" outlineLevel="1" x14ac:dyDescent="0.2">
      <c r="A2015" s="623" t="s">
        <v>2930</v>
      </c>
      <c r="B2015" s="628" t="s">
        <v>1326</v>
      </c>
      <c r="C2015" s="625" t="s">
        <v>100</v>
      </c>
      <c r="D2015" s="626">
        <v>10.47</v>
      </c>
      <c r="E2015" s="622"/>
      <c r="F2015" s="334"/>
      <c r="G2015" s="334"/>
      <c r="H2015" s="602"/>
      <c r="I2015" s="334"/>
      <c r="J2015" s="334"/>
      <c r="K2015" s="334"/>
      <c r="L2015" s="334"/>
      <c r="M2015" s="334"/>
      <c r="N2015" s="334"/>
      <c r="O2015" s="334"/>
    </row>
    <row r="2016" spans="1:15" ht="12.75" hidden="1" customHeight="1" outlineLevel="1" x14ac:dyDescent="0.2">
      <c r="A2016" s="627" t="s">
        <v>2931</v>
      </c>
      <c r="B2016" s="624" t="s">
        <v>1324</v>
      </c>
      <c r="C2016" s="629" t="s">
        <v>100</v>
      </c>
      <c r="D2016" s="630">
        <v>46.4</v>
      </c>
      <c r="E2016" s="622"/>
      <c r="F2016" s="334"/>
      <c r="G2016" s="334"/>
      <c r="H2016" s="602"/>
      <c r="I2016" s="334"/>
      <c r="J2016" s="334"/>
      <c r="K2016" s="334"/>
      <c r="L2016" s="334"/>
      <c r="M2016" s="334"/>
      <c r="N2016" s="334"/>
      <c r="O2016" s="334"/>
    </row>
    <row r="2017" spans="1:15" ht="12.75" hidden="1" customHeight="1" outlineLevel="1" x14ac:dyDescent="0.2">
      <c r="A2017" s="623" t="s">
        <v>2932</v>
      </c>
      <c r="B2017" s="628" t="s">
        <v>1324</v>
      </c>
      <c r="C2017" s="625" t="s">
        <v>100</v>
      </c>
      <c r="D2017" s="626">
        <v>61.2</v>
      </c>
      <c r="E2017" s="622"/>
      <c r="F2017" s="334"/>
      <c r="G2017" s="334"/>
      <c r="H2017" s="602"/>
      <c r="I2017" s="334"/>
      <c r="J2017" s="334"/>
      <c r="K2017" s="334"/>
      <c r="L2017" s="334"/>
      <c r="M2017" s="334"/>
      <c r="N2017" s="334"/>
      <c r="O2017" s="334"/>
    </row>
    <row r="2018" spans="1:15" ht="12.75" hidden="1" customHeight="1" outlineLevel="1" x14ac:dyDescent="0.2">
      <c r="A2018" s="627" t="s">
        <v>2933</v>
      </c>
      <c r="B2018" s="624" t="s">
        <v>1326</v>
      </c>
      <c r="C2018" s="629" t="s">
        <v>100</v>
      </c>
      <c r="D2018" s="630">
        <v>61.2</v>
      </c>
      <c r="E2018" s="622"/>
      <c r="F2018" s="334"/>
      <c r="G2018" s="334"/>
      <c r="H2018" s="602"/>
      <c r="I2018" s="334"/>
      <c r="J2018" s="334"/>
      <c r="K2018" s="334"/>
      <c r="L2018" s="334"/>
      <c r="M2018" s="334"/>
      <c r="N2018" s="334"/>
      <c r="O2018" s="334"/>
    </row>
    <row r="2019" spans="1:15" ht="12.75" hidden="1" customHeight="1" outlineLevel="1" x14ac:dyDescent="0.2">
      <c r="A2019" s="623" t="s">
        <v>2934</v>
      </c>
      <c r="B2019" s="628" t="s">
        <v>1328</v>
      </c>
      <c r="C2019" s="625" t="s">
        <v>100</v>
      </c>
      <c r="D2019" s="626">
        <v>61.2</v>
      </c>
      <c r="E2019" s="622"/>
      <c r="F2019" s="334"/>
      <c r="G2019" s="334"/>
      <c r="H2019" s="602"/>
      <c r="I2019" s="334"/>
      <c r="J2019" s="334"/>
      <c r="K2019" s="334"/>
      <c r="L2019" s="334"/>
      <c r="M2019" s="334"/>
      <c r="N2019" s="334"/>
      <c r="O2019" s="334"/>
    </row>
    <row r="2020" spans="1:15" ht="12.75" hidden="1" customHeight="1" outlineLevel="1" x14ac:dyDescent="0.2">
      <c r="A2020" s="618" t="s">
        <v>2935</v>
      </c>
      <c r="B2020" s="619" t="s">
        <v>1039</v>
      </c>
      <c r="C2020" s="620"/>
      <c r="D2020" s="621"/>
      <c r="E2020" s="622"/>
      <c r="F2020" s="334"/>
      <c r="G2020" s="334"/>
      <c r="H2020" s="602"/>
      <c r="I2020" s="334"/>
      <c r="J2020" s="334"/>
      <c r="K2020" s="334"/>
      <c r="L2020" s="334"/>
      <c r="M2020" s="334"/>
      <c r="N2020" s="334"/>
      <c r="O2020" s="334"/>
    </row>
    <row r="2021" spans="1:15" ht="12.75" hidden="1" customHeight="1" outlineLevel="1" x14ac:dyDescent="0.2">
      <c r="A2021" s="627" t="s">
        <v>2936</v>
      </c>
      <c r="B2021" s="624" t="s">
        <v>1324</v>
      </c>
      <c r="C2021" s="629" t="s">
        <v>100</v>
      </c>
      <c r="D2021" s="630">
        <v>15.33</v>
      </c>
      <c r="E2021" s="622"/>
      <c r="F2021" s="334"/>
      <c r="G2021" s="334"/>
      <c r="H2021" s="602"/>
      <c r="I2021" s="334"/>
      <c r="J2021" s="334"/>
      <c r="K2021" s="334"/>
      <c r="L2021" s="334"/>
      <c r="M2021" s="334"/>
      <c r="N2021" s="334"/>
      <c r="O2021" s="334"/>
    </row>
    <row r="2022" spans="1:15" ht="12.75" hidden="1" customHeight="1" outlineLevel="1" x14ac:dyDescent="0.2">
      <c r="A2022" s="623" t="s">
        <v>2937</v>
      </c>
      <c r="B2022" s="628" t="s">
        <v>1326</v>
      </c>
      <c r="C2022" s="625" t="s">
        <v>100</v>
      </c>
      <c r="D2022" s="626">
        <v>15.33</v>
      </c>
      <c r="E2022" s="622"/>
      <c r="F2022" s="334"/>
      <c r="G2022" s="334"/>
      <c r="H2022" s="602"/>
      <c r="I2022" s="334"/>
      <c r="J2022" s="334"/>
      <c r="K2022" s="334"/>
      <c r="L2022" s="334"/>
      <c r="M2022" s="334"/>
      <c r="N2022" s="334"/>
      <c r="O2022" s="334"/>
    </row>
    <row r="2023" spans="1:15" ht="12.75" hidden="1" customHeight="1" outlineLevel="1" x14ac:dyDescent="0.2">
      <c r="A2023" s="627" t="s">
        <v>2938</v>
      </c>
      <c r="B2023" s="624" t="s">
        <v>2877</v>
      </c>
      <c r="C2023" s="629" t="s">
        <v>100</v>
      </c>
      <c r="D2023" s="630">
        <v>15.33</v>
      </c>
      <c r="E2023" s="622"/>
      <c r="F2023" s="334"/>
      <c r="G2023" s="334"/>
      <c r="H2023" s="602"/>
      <c r="I2023" s="334"/>
      <c r="J2023" s="334"/>
      <c r="K2023" s="334"/>
      <c r="L2023" s="334"/>
      <c r="M2023" s="334"/>
      <c r="N2023" s="334"/>
      <c r="O2023" s="334"/>
    </row>
    <row r="2024" spans="1:15" ht="12.75" hidden="1" customHeight="1" outlineLevel="1" x14ac:dyDescent="0.2">
      <c r="A2024" s="623" t="s">
        <v>2939</v>
      </c>
      <c r="B2024" s="628" t="s">
        <v>1330</v>
      </c>
      <c r="C2024" s="625" t="s">
        <v>100</v>
      </c>
      <c r="D2024" s="626">
        <v>324.26</v>
      </c>
      <c r="E2024" s="622"/>
      <c r="F2024" s="334"/>
      <c r="G2024" s="334"/>
      <c r="H2024" s="602"/>
      <c r="I2024" s="334"/>
      <c r="J2024" s="334"/>
      <c r="K2024" s="334"/>
      <c r="L2024" s="334"/>
      <c r="M2024" s="334"/>
      <c r="N2024" s="334"/>
      <c r="O2024" s="334"/>
    </row>
    <row r="2025" spans="1:15" ht="12.75" hidden="1" customHeight="1" outlineLevel="1" x14ac:dyDescent="0.2">
      <c r="A2025" s="627" t="s">
        <v>2940</v>
      </c>
      <c r="B2025" s="624" t="s">
        <v>1324</v>
      </c>
      <c r="C2025" s="629" t="s">
        <v>100</v>
      </c>
      <c r="D2025" s="630">
        <v>324.26</v>
      </c>
      <c r="E2025" s="622"/>
      <c r="F2025" s="334"/>
      <c r="G2025" s="334"/>
      <c r="H2025" s="602"/>
      <c r="I2025" s="334"/>
      <c r="J2025" s="334"/>
      <c r="K2025" s="334"/>
      <c r="L2025" s="334"/>
      <c r="M2025" s="334"/>
      <c r="N2025" s="334"/>
      <c r="O2025" s="334"/>
    </row>
    <row r="2026" spans="1:15" ht="12.75" hidden="1" customHeight="1" outlineLevel="1" x14ac:dyDescent="0.2">
      <c r="A2026" s="623" t="s">
        <v>2941</v>
      </c>
      <c r="B2026" s="628" t="s">
        <v>1326</v>
      </c>
      <c r="C2026" s="625" t="s">
        <v>100</v>
      </c>
      <c r="D2026" s="626">
        <v>324.26</v>
      </c>
      <c r="E2026" s="622"/>
      <c r="F2026" s="334"/>
      <c r="G2026" s="334"/>
      <c r="H2026" s="602"/>
      <c r="I2026" s="334"/>
      <c r="J2026" s="334"/>
      <c r="K2026" s="334"/>
      <c r="L2026" s="334"/>
      <c r="M2026" s="334"/>
      <c r="N2026" s="334"/>
      <c r="O2026" s="334"/>
    </row>
    <row r="2027" spans="1:15" ht="12.75" hidden="1" customHeight="1" outlineLevel="1" x14ac:dyDescent="0.2">
      <c r="A2027" s="627" t="s">
        <v>2942</v>
      </c>
      <c r="B2027" s="628" t="s">
        <v>1330</v>
      </c>
      <c r="C2027" s="629" t="s">
        <v>100</v>
      </c>
      <c r="D2027" s="630">
        <v>116.6</v>
      </c>
      <c r="E2027" s="622"/>
      <c r="F2027" s="334"/>
      <c r="G2027" s="334"/>
      <c r="H2027" s="602"/>
      <c r="I2027" s="334"/>
      <c r="J2027" s="334"/>
      <c r="K2027" s="334"/>
      <c r="L2027" s="334"/>
      <c r="M2027" s="334"/>
      <c r="N2027" s="334"/>
      <c r="O2027" s="334"/>
    </row>
    <row r="2028" spans="1:15" ht="12.75" hidden="1" customHeight="1" outlineLevel="1" x14ac:dyDescent="0.2">
      <c r="A2028" s="623" t="s">
        <v>2943</v>
      </c>
      <c r="B2028" s="624" t="s">
        <v>1324</v>
      </c>
      <c r="C2028" s="625" t="s">
        <v>100</v>
      </c>
      <c r="D2028" s="626">
        <v>116.6</v>
      </c>
      <c r="E2028" s="622"/>
      <c r="F2028" s="334"/>
      <c r="G2028" s="334"/>
      <c r="H2028" s="602"/>
      <c r="I2028" s="334"/>
      <c r="J2028" s="334"/>
      <c r="K2028" s="334"/>
      <c r="L2028" s="334"/>
      <c r="M2028" s="334"/>
      <c r="N2028" s="334"/>
      <c r="O2028" s="334"/>
    </row>
    <row r="2029" spans="1:15" ht="12.75" hidden="1" customHeight="1" outlineLevel="1" x14ac:dyDescent="0.2">
      <c r="A2029" s="627" t="s">
        <v>2944</v>
      </c>
      <c r="B2029" s="628" t="s">
        <v>1326</v>
      </c>
      <c r="C2029" s="629" t="s">
        <v>100</v>
      </c>
      <c r="D2029" s="630">
        <v>116.6</v>
      </c>
      <c r="E2029" s="622"/>
      <c r="F2029" s="334"/>
      <c r="G2029" s="334"/>
      <c r="H2029" s="602"/>
      <c r="I2029" s="334"/>
      <c r="J2029" s="334"/>
      <c r="K2029" s="334"/>
      <c r="L2029" s="334"/>
      <c r="M2029" s="334"/>
      <c r="N2029" s="334"/>
      <c r="O2029" s="334"/>
    </row>
    <row r="2030" spans="1:15" ht="12.75" hidden="1" customHeight="1" outlineLevel="1" x14ac:dyDescent="0.2">
      <c r="A2030" s="623" t="s">
        <v>2945</v>
      </c>
      <c r="B2030" s="628" t="s">
        <v>1330</v>
      </c>
      <c r="C2030" s="625" t="s">
        <v>100</v>
      </c>
      <c r="D2030" s="626">
        <v>75.67</v>
      </c>
      <c r="E2030" s="622"/>
      <c r="F2030" s="334"/>
      <c r="G2030" s="334"/>
      <c r="H2030" s="602"/>
      <c r="I2030" s="334"/>
      <c r="J2030" s="334"/>
      <c r="K2030" s="334"/>
      <c r="L2030" s="334"/>
      <c r="M2030" s="334"/>
      <c r="N2030" s="334"/>
      <c r="O2030" s="334"/>
    </row>
    <row r="2031" spans="1:15" ht="12.75" hidden="1" customHeight="1" outlineLevel="1" x14ac:dyDescent="0.2">
      <c r="A2031" s="627" t="s">
        <v>2946</v>
      </c>
      <c r="B2031" s="624" t="s">
        <v>1324</v>
      </c>
      <c r="C2031" s="629" t="s">
        <v>100</v>
      </c>
      <c r="D2031" s="630">
        <v>75.67</v>
      </c>
      <c r="E2031" s="622"/>
      <c r="F2031" s="334"/>
      <c r="G2031" s="334"/>
      <c r="H2031" s="602"/>
      <c r="I2031" s="334"/>
      <c r="J2031" s="334"/>
      <c r="K2031" s="334"/>
      <c r="L2031" s="334"/>
      <c r="M2031" s="334"/>
      <c r="N2031" s="334"/>
      <c r="O2031" s="334"/>
    </row>
    <row r="2032" spans="1:15" ht="12.75" hidden="1" customHeight="1" outlineLevel="1" x14ac:dyDescent="0.2">
      <c r="A2032" s="623" t="s">
        <v>2947</v>
      </c>
      <c r="B2032" s="628" t="s">
        <v>1326</v>
      </c>
      <c r="C2032" s="625" t="s">
        <v>100</v>
      </c>
      <c r="D2032" s="626">
        <v>75.67</v>
      </c>
      <c r="E2032" s="622"/>
      <c r="F2032" s="334"/>
      <c r="G2032" s="334"/>
      <c r="H2032" s="602"/>
      <c r="I2032" s="334"/>
      <c r="J2032" s="334"/>
      <c r="K2032" s="334"/>
      <c r="L2032" s="334"/>
      <c r="M2032" s="334"/>
      <c r="N2032" s="334"/>
      <c r="O2032" s="334"/>
    </row>
    <row r="2033" spans="1:15" ht="12.75" hidden="1" customHeight="1" outlineLevel="1" x14ac:dyDescent="0.2">
      <c r="A2033" s="627" t="s">
        <v>2948</v>
      </c>
      <c r="B2033" s="628" t="s">
        <v>1330</v>
      </c>
      <c r="C2033" s="629" t="s">
        <v>100</v>
      </c>
      <c r="D2033" s="630">
        <v>13.35</v>
      </c>
      <c r="E2033" s="622"/>
      <c r="F2033" s="334"/>
      <c r="G2033" s="334"/>
      <c r="H2033" s="602"/>
      <c r="I2033" s="334"/>
      <c r="J2033" s="334"/>
      <c r="K2033" s="334"/>
      <c r="L2033" s="334"/>
      <c r="M2033" s="334"/>
      <c r="N2033" s="334"/>
      <c r="O2033" s="334"/>
    </row>
    <row r="2034" spans="1:15" ht="12.75" hidden="1" customHeight="1" outlineLevel="1" x14ac:dyDescent="0.2">
      <c r="A2034" s="623" t="s">
        <v>2949</v>
      </c>
      <c r="B2034" s="624" t="s">
        <v>1324</v>
      </c>
      <c r="C2034" s="625" t="s">
        <v>100</v>
      </c>
      <c r="D2034" s="626">
        <v>13.35</v>
      </c>
      <c r="E2034" s="622"/>
      <c r="F2034" s="334"/>
      <c r="G2034" s="334"/>
      <c r="H2034" s="602"/>
      <c r="I2034" s="334"/>
      <c r="J2034" s="334"/>
      <c r="K2034" s="334"/>
      <c r="L2034" s="334"/>
      <c r="M2034" s="334"/>
      <c r="N2034" s="334"/>
      <c r="O2034" s="334"/>
    </row>
    <row r="2035" spans="1:15" ht="12.75" hidden="1" customHeight="1" outlineLevel="1" x14ac:dyDescent="0.2">
      <c r="A2035" s="627" t="s">
        <v>2950</v>
      </c>
      <c r="B2035" s="628" t="s">
        <v>1326</v>
      </c>
      <c r="C2035" s="629" t="s">
        <v>100</v>
      </c>
      <c r="D2035" s="630">
        <v>13.35</v>
      </c>
      <c r="E2035" s="622"/>
      <c r="F2035" s="334"/>
      <c r="G2035" s="334"/>
      <c r="H2035" s="602"/>
      <c r="I2035" s="334"/>
      <c r="J2035" s="334"/>
      <c r="K2035" s="334"/>
      <c r="L2035" s="334"/>
      <c r="M2035" s="334"/>
      <c r="N2035" s="334"/>
      <c r="O2035" s="334"/>
    </row>
    <row r="2036" spans="1:15" ht="12.75" hidden="1" customHeight="1" outlineLevel="1" x14ac:dyDescent="0.2">
      <c r="A2036" s="623" t="s">
        <v>2951</v>
      </c>
      <c r="B2036" s="628" t="s">
        <v>1330</v>
      </c>
      <c r="C2036" s="625" t="s">
        <v>100</v>
      </c>
      <c r="D2036" s="626">
        <v>13.07</v>
      </c>
      <c r="E2036" s="622"/>
      <c r="F2036" s="334"/>
      <c r="G2036" s="334"/>
      <c r="H2036" s="602"/>
      <c r="I2036" s="334"/>
      <c r="J2036" s="334"/>
      <c r="K2036" s="334"/>
      <c r="L2036" s="334"/>
      <c r="M2036" s="334"/>
      <c r="N2036" s="334"/>
      <c r="O2036" s="334"/>
    </row>
    <row r="2037" spans="1:15" ht="12.75" hidden="1" customHeight="1" outlineLevel="1" x14ac:dyDescent="0.2">
      <c r="A2037" s="627" t="s">
        <v>2952</v>
      </c>
      <c r="B2037" s="624" t="s">
        <v>1324</v>
      </c>
      <c r="C2037" s="629" t="s">
        <v>100</v>
      </c>
      <c r="D2037" s="630">
        <v>13.07</v>
      </c>
      <c r="E2037" s="622"/>
      <c r="F2037" s="334"/>
      <c r="G2037" s="334"/>
      <c r="H2037" s="602"/>
      <c r="I2037" s="334"/>
      <c r="J2037" s="334"/>
      <c r="K2037" s="334"/>
      <c r="L2037" s="334"/>
      <c r="M2037" s="334"/>
      <c r="N2037" s="334"/>
      <c r="O2037" s="334"/>
    </row>
    <row r="2038" spans="1:15" ht="12.75" hidden="1" customHeight="1" outlineLevel="1" x14ac:dyDescent="0.2">
      <c r="A2038" s="623" t="s">
        <v>2953</v>
      </c>
      <c r="B2038" s="628" t="s">
        <v>1326</v>
      </c>
      <c r="C2038" s="625" t="s">
        <v>100</v>
      </c>
      <c r="D2038" s="626">
        <v>13.07</v>
      </c>
      <c r="E2038" s="622"/>
      <c r="F2038" s="334"/>
      <c r="G2038" s="334"/>
      <c r="H2038" s="602"/>
      <c r="I2038" s="334"/>
      <c r="J2038" s="334"/>
      <c r="K2038" s="334"/>
      <c r="L2038" s="334"/>
      <c r="M2038" s="334"/>
      <c r="N2038" s="334"/>
      <c r="O2038" s="334"/>
    </row>
    <row r="2039" spans="1:15" ht="12.75" hidden="1" customHeight="1" outlineLevel="1" x14ac:dyDescent="0.2">
      <c r="A2039" s="627" t="s">
        <v>2954</v>
      </c>
      <c r="B2039" s="628" t="s">
        <v>1330</v>
      </c>
      <c r="C2039" s="629" t="s">
        <v>100</v>
      </c>
      <c r="D2039" s="630">
        <v>65.67</v>
      </c>
      <c r="E2039" s="622"/>
      <c r="F2039" s="334"/>
      <c r="G2039" s="334"/>
      <c r="H2039" s="602"/>
      <c r="I2039" s="334"/>
      <c r="J2039" s="334"/>
      <c r="K2039" s="334"/>
      <c r="L2039" s="334"/>
      <c r="M2039" s="334"/>
      <c r="N2039" s="334"/>
      <c r="O2039" s="334"/>
    </row>
    <row r="2040" spans="1:15" ht="12.75" hidden="1" customHeight="1" outlineLevel="1" x14ac:dyDescent="0.2">
      <c r="A2040" s="623" t="s">
        <v>2955</v>
      </c>
      <c r="B2040" s="624" t="s">
        <v>1324</v>
      </c>
      <c r="C2040" s="625" t="s">
        <v>100</v>
      </c>
      <c r="D2040" s="626">
        <v>65.67</v>
      </c>
      <c r="E2040" s="622"/>
      <c r="F2040" s="334"/>
      <c r="G2040" s="334"/>
      <c r="H2040" s="602"/>
      <c r="I2040" s="334"/>
      <c r="J2040" s="334"/>
      <c r="K2040" s="334"/>
      <c r="L2040" s="334"/>
      <c r="M2040" s="334"/>
      <c r="N2040" s="334"/>
      <c r="O2040" s="334"/>
    </row>
    <row r="2041" spans="1:15" ht="12.75" hidden="1" customHeight="1" outlineLevel="1" x14ac:dyDescent="0.2">
      <c r="A2041" s="627" t="s">
        <v>2956</v>
      </c>
      <c r="B2041" s="628" t="s">
        <v>1326</v>
      </c>
      <c r="C2041" s="629" t="s">
        <v>100</v>
      </c>
      <c r="D2041" s="630">
        <v>65.67</v>
      </c>
      <c r="E2041" s="622"/>
      <c r="F2041" s="334"/>
      <c r="G2041" s="334"/>
      <c r="H2041" s="602"/>
      <c r="I2041" s="334"/>
      <c r="J2041" s="334"/>
      <c r="K2041" s="334"/>
      <c r="L2041" s="334"/>
      <c r="M2041" s="334"/>
      <c r="N2041" s="334"/>
      <c r="O2041" s="334"/>
    </row>
    <row r="2042" spans="1:15" ht="12.75" hidden="1" customHeight="1" outlineLevel="1" x14ac:dyDescent="0.2">
      <c r="A2042" s="623" t="s">
        <v>2957</v>
      </c>
      <c r="B2042" s="628" t="s">
        <v>1330</v>
      </c>
      <c r="C2042" s="625" t="s">
        <v>100</v>
      </c>
      <c r="D2042" s="626">
        <v>9.8800000000000008</v>
      </c>
      <c r="E2042" s="622"/>
      <c r="F2042" s="334"/>
      <c r="G2042" s="334"/>
      <c r="H2042" s="602"/>
      <c r="I2042" s="334"/>
      <c r="J2042" s="334"/>
      <c r="K2042" s="334"/>
      <c r="L2042" s="334"/>
      <c r="M2042" s="334"/>
      <c r="N2042" s="334"/>
      <c r="O2042" s="334"/>
    </row>
    <row r="2043" spans="1:15" ht="12.75" hidden="1" customHeight="1" outlineLevel="1" x14ac:dyDescent="0.2">
      <c r="A2043" s="627" t="s">
        <v>2958</v>
      </c>
      <c r="B2043" s="624" t="s">
        <v>1324</v>
      </c>
      <c r="C2043" s="629" t="s">
        <v>100</v>
      </c>
      <c r="D2043" s="630">
        <v>9.8800000000000008</v>
      </c>
      <c r="E2043" s="622"/>
      <c r="F2043" s="334"/>
      <c r="G2043" s="334"/>
      <c r="H2043" s="602"/>
      <c r="I2043" s="334"/>
      <c r="J2043" s="334"/>
      <c r="K2043" s="334"/>
      <c r="L2043" s="334"/>
      <c r="M2043" s="334"/>
      <c r="N2043" s="334"/>
      <c r="O2043" s="334"/>
    </row>
    <row r="2044" spans="1:15" ht="12.75" hidden="1" customHeight="1" outlineLevel="1" x14ac:dyDescent="0.2">
      <c r="A2044" s="623" t="s">
        <v>2959</v>
      </c>
      <c r="B2044" s="628" t="s">
        <v>1326</v>
      </c>
      <c r="C2044" s="625" t="s">
        <v>100</v>
      </c>
      <c r="D2044" s="626">
        <v>9.8800000000000008</v>
      </c>
      <c r="E2044" s="622"/>
      <c r="F2044" s="334"/>
      <c r="G2044" s="334"/>
      <c r="H2044" s="602"/>
      <c r="I2044" s="334"/>
      <c r="J2044" s="334"/>
      <c r="K2044" s="334"/>
      <c r="L2044" s="334"/>
      <c r="M2044" s="334"/>
      <c r="N2044" s="334"/>
      <c r="O2044" s="334"/>
    </row>
    <row r="2045" spans="1:15" ht="12.75" hidden="1" customHeight="1" outlineLevel="1" x14ac:dyDescent="0.2">
      <c r="A2045" s="627" t="s">
        <v>2960</v>
      </c>
      <c r="B2045" s="624" t="s">
        <v>1324</v>
      </c>
      <c r="C2045" s="629" t="s">
        <v>100</v>
      </c>
      <c r="D2045" s="630">
        <v>42.49</v>
      </c>
      <c r="E2045" s="622"/>
      <c r="F2045" s="334"/>
      <c r="G2045" s="334"/>
      <c r="H2045" s="602"/>
      <c r="I2045" s="334"/>
      <c r="J2045" s="334"/>
      <c r="K2045" s="334"/>
      <c r="L2045" s="334"/>
      <c r="M2045" s="334"/>
      <c r="N2045" s="334"/>
      <c r="O2045" s="334"/>
    </row>
    <row r="2046" spans="1:15" ht="12.75" hidden="1" customHeight="1" outlineLevel="1" x14ac:dyDescent="0.2">
      <c r="A2046" s="623" t="s">
        <v>2961</v>
      </c>
      <c r="B2046" s="628" t="s">
        <v>1324</v>
      </c>
      <c r="C2046" s="625" t="s">
        <v>100</v>
      </c>
      <c r="D2046" s="626">
        <v>59.38</v>
      </c>
      <c r="E2046" s="622"/>
      <c r="F2046" s="334"/>
      <c r="G2046" s="334"/>
      <c r="H2046" s="602"/>
      <c r="I2046" s="334"/>
      <c r="J2046" s="334"/>
      <c r="K2046" s="334"/>
      <c r="L2046" s="334"/>
      <c r="M2046" s="334"/>
      <c r="N2046" s="334"/>
      <c r="O2046" s="334"/>
    </row>
    <row r="2047" spans="1:15" ht="12.75" hidden="1" customHeight="1" outlineLevel="1" x14ac:dyDescent="0.2">
      <c r="A2047" s="627" t="s">
        <v>2962</v>
      </c>
      <c r="B2047" s="624" t="s">
        <v>1326</v>
      </c>
      <c r="C2047" s="629" t="s">
        <v>100</v>
      </c>
      <c r="D2047" s="630">
        <v>59.38</v>
      </c>
      <c r="E2047" s="622"/>
      <c r="F2047" s="334"/>
      <c r="G2047" s="334"/>
      <c r="H2047" s="602"/>
      <c r="I2047" s="334"/>
      <c r="J2047" s="334"/>
      <c r="K2047" s="334"/>
      <c r="L2047" s="334"/>
      <c r="M2047" s="334"/>
      <c r="N2047" s="334"/>
      <c r="O2047" s="334"/>
    </row>
    <row r="2048" spans="1:15" ht="12.75" hidden="1" customHeight="1" outlineLevel="1" x14ac:dyDescent="0.2">
      <c r="A2048" s="623" t="s">
        <v>2963</v>
      </c>
      <c r="B2048" s="628" t="s">
        <v>1328</v>
      </c>
      <c r="C2048" s="625" t="s">
        <v>100</v>
      </c>
      <c r="D2048" s="626">
        <v>59.38</v>
      </c>
      <c r="E2048" s="622"/>
      <c r="F2048" s="334"/>
      <c r="G2048" s="334"/>
      <c r="H2048" s="602"/>
      <c r="I2048" s="334"/>
      <c r="J2048" s="334"/>
      <c r="K2048" s="334"/>
      <c r="L2048" s="334"/>
      <c r="M2048" s="334"/>
      <c r="N2048" s="334"/>
      <c r="O2048" s="334"/>
    </row>
    <row r="2049" spans="1:15" ht="12.75" hidden="1" customHeight="1" outlineLevel="1" x14ac:dyDescent="0.2">
      <c r="A2049" s="627" t="s">
        <v>2964</v>
      </c>
      <c r="B2049" s="628" t="s">
        <v>1330</v>
      </c>
      <c r="C2049" s="629" t="s">
        <v>100</v>
      </c>
      <c r="D2049" s="630">
        <v>31.83</v>
      </c>
      <c r="E2049" s="622"/>
      <c r="F2049" s="334"/>
      <c r="G2049" s="334"/>
      <c r="H2049" s="602"/>
      <c r="I2049" s="334"/>
      <c r="J2049" s="334"/>
      <c r="K2049" s="334"/>
      <c r="L2049" s="334"/>
      <c r="M2049" s="334"/>
      <c r="N2049" s="334"/>
      <c r="O2049" s="334"/>
    </row>
    <row r="2050" spans="1:15" ht="12.75" hidden="1" customHeight="1" outlineLevel="1" x14ac:dyDescent="0.2">
      <c r="A2050" s="623" t="s">
        <v>2965</v>
      </c>
      <c r="B2050" s="624" t="s">
        <v>1324</v>
      </c>
      <c r="C2050" s="625" t="s">
        <v>100</v>
      </c>
      <c r="D2050" s="626">
        <v>31.83</v>
      </c>
      <c r="E2050" s="622"/>
      <c r="F2050" s="334"/>
      <c r="G2050" s="334"/>
      <c r="H2050" s="602"/>
      <c r="I2050" s="334"/>
      <c r="J2050" s="334"/>
      <c r="K2050" s="334"/>
      <c r="L2050" s="334"/>
      <c r="M2050" s="334"/>
      <c r="N2050" s="334"/>
      <c r="O2050" s="334"/>
    </row>
    <row r="2051" spans="1:15" ht="12.75" hidden="1" customHeight="1" outlineLevel="1" x14ac:dyDescent="0.2">
      <c r="A2051" s="627" t="s">
        <v>2966</v>
      </c>
      <c r="B2051" s="628" t="s">
        <v>1326</v>
      </c>
      <c r="C2051" s="629" t="s">
        <v>100</v>
      </c>
      <c r="D2051" s="630">
        <v>31.83</v>
      </c>
      <c r="E2051" s="622"/>
      <c r="F2051" s="334"/>
      <c r="G2051" s="334"/>
      <c r="H2051" s="602"/>
      <c r="I2051" s="334"/>
      <c r="J2051" s="334"/>
      <c r="K2051" s="334"/>
      <c r="L2051" s="334"/>
      <c r="M2051" s="334"/>
      <c r="N2051" s="334"/>
      <c r="O2051" s="334"/>
    </row>
    <row r="2052" spans="1:15" ht="12.75" hidden="1" customHeight="1" outlineLevel="1" x14ac:dyDescent="0.2">
      <c r="A2052" s="623" t="s">
        <v>2967</v>
      </c>
      <c r="B2052" s="624" t="s">
        <v>1330</v>
      </c>
      <c r="C2052" s="625" t="s">
        <v>100</v>
      </c>
      <c r="D2052" s="626">
        <v>164.1</v>
      </c>
      <c r="E2052" s="622"/>
      <c r="F2052" s="334"/>
      <c r="G2052" s="334"/>
      <c r="H2052" s="602"/>
      <c r="I2052" s="334"/>
      <c r="J2052" s="334"/>
      <c r="K2052" s="334"/>
      <c r="L2052" s="334"/>
      <c r="M2052" s="334"/>
      <c r="N2052" s="334"/>
      <c r="O2052" s="334"/>
    </row>
    <row r="2053" spans="1:15" ht="12.75" hidden="1" customHeight="1" outlineLevel="1" x14ac:dyDescent="0.2">
      <c r="A2053" s="627" t="s">
        <v>2968</v>
      </c>
      <c r="B2053" s="628" t="s">
        <v>1330</v>
      </c>
      <c r="C2053" s="629" t="s">
        <v>100</v>
      </c>
      <c r="D2053" s="630">
        <v>72.19</v>
      </c>
      <c r="E2053" s="622"/>
      <c r="F2053" s="334"/>
      <c r="G2053" s="334"/>
      <c r="H2053" s="602"/>
      <c r="I2053" s="334"/>
      <c r="J2053" s="334"/>
      <c r="K2053" s="334"/>
      <c r="L2053" s="334"/>
      <c r="M2053" s="334"/>
      <c r="N2053" s="334"/>
      <c r="O2053" s="334"/>
    </row>
    <row r="2054" spans="1:15" ht="12.75" hidden="1" customHeight="1" outlineLevel="1" x14ac:dyDescent="0.2">
      <c r="A2054" s="623" t="s">
        <v>2969</v>
      </c>
      <c r="B2054" s="624" t="s">
        <v>1324</v>
      </c>
      <c r="C2054" s="625" t="s">
        <v>100</v>
      </c>
      <c r="D2054" s="626">
        <v>164.1</v>
      </c>
      <c r="E2054" s="622"/>
      <c r="F2054" s="334"/>
      <c r="G2054" s="334"/>
      <c r="H2054" s="602"/>
      <c r="I2054" s="334"/>
      <c r="J2054" s="334"/>
      <c r="K2054" s="334"/>
      <c r="L2054" s="334"/>
      <c r="M2054" s="334"/>
      <c r="N2054" s="334"/>
      <c r="O2054" s="334"/>
    </row>
    <row r="2055" spans="1:15" ht="12.75" hidden="1" customHeight="1" outlineLevel="1" x14ac:dyDescent="0.2">
      <c r="A2055" s="627" t="s">
        <v>2970</v>
      </c>
      <c r="B2055" s="628" t="s">
        <v>1324</v>
      </c>
      <c r="C2055" s="629" t="s">
        <v>100</v>
      </c>
      <c r="D2055" s="630">
        <v>72.19</v>
      </c>
      <c r="E2055" s="622"/>
      <c r="F2055" s="334"/>
      <c r="G2055" s="334"/>
      <c r="H2055" s="602"/>
      <c r="I2055" s="334"/>
      <c r="J2055" s="334"/>
      <c r="K2055" s="334"/>
      <c r="L2055" s="334"/>
      <c r="M2055" s="334"/>
      <c r="N2055" s="334"/>
      <c r="O2055" s="334"/>
    </row>
    <row r="2056" spans="1:15" ht="12.75" hidden="1" customHeight="1" outlineLevel="1" x14ac:dyDescent="0.2">
      <c r="A2056" s="623" t="s">
        <v>2971</v>
      </c>
      <c r="B2056" s="624" t="s">
        <v>1326</v>
      </c>
      <c r="C2056" s="625" t="s">
        <v>100</v>
      </c>
      <c r="D2056" s="626">
        <v>164.1</v>
      </c>
      <c r="E2056" s="622"/>
      <c r="F2056" s="334"/>
      <c r="G2056" s="334"/>
      <c r="H2056" s="602"/>
      <c r="I2056" s="334"/>
      <c r="J2056" s="334"/>
      <c r="K2056" s="334"/>
      <c r="L2056" s="334"/>
      <c r="M2056" s="334"/>
      <c r="N2056" s="334"/>
      <c r="O2056" s="334"/>
    </row>
    <row r="2057" spans="1:15" ht="12.75" hidden="1" customHeight="1" outlineLevel="1" x14ac:dyDescent="0.2">
      <c r="A2057" s="627" t="s">
        <v>2972</v>
      </c>
      <c r="B2057" s="628" t="s">
        <v>1326</v>
      </c>
      <c r="C2057" s="629" t="s">
        <v>100</v>
      </c>
      <c r="D2057" s="630">
        <v>72.19</v>
      </c>
      <c r="E2057" s="622"/>
      <c r="F2057" s="334"/>
      <c r="G2057" s="334"/>
      <c r="H2057" s="602"/>
      <c r="I2057" s="334"/>
      <c r="J2057" s="334"/>
      <c r="K2057" s="334"/>
      <c r="L2057" s="334"/>
      <c r="M2057" s="334"/>
      <c r="N2057" s="334"/>
      <c r="O2057" s="334"/>
    </row>
    <row r="2058" spans="1:15" ht="12.75" hidden="1" customHeight="1" outlineLevel="1" x14ac:dyDescent="0.2">
      <c r="A2058" s="618" t="s">
        <v>2973</v>
      </c>
      <c r="B2058" s="619" t="s">
        <v>1047</v>
      </c>
      <c r="C2058" s="620"/>
      <c r="D2058" s="621"/>
      <c r="E2058" s="622"/>
      <c r="F2058" s="334"/>
      <c r="G2058" s="334"/>
      <c r="H2058" s="602"/>
      <c r="I2058" s="334"/>
      <c r="J2058" s="334"/>
      <c r="K2058" s="334"/>
      <c r="L2058" s="334"/>
      <c r="M2058" s="334"/>
      <c r="N2058" s="334"/>
      <c r="O2058" s="334"/>
    </row>
    <row r="2059" spans="1:15" ht="12.75" hidden="1" customHeight="1" outlineLevel="1" x14ac:dyDescent="0.2">
      <c r="A2059" s="623" t="s">
        <v>2974</v>
      </c>
      <c r="B2059" s="624" t="s">
        <v>1324</v>
      </c>
      <c r="C2059" s="625" t="s">
        <v>100</v>
      </c>
      <c r="D2059" s="626">
        <v>16.28</v>
      </c>
      <c r="E2059" s="622"/>
      <c r="F2059" s="334"/>
      <c r="G2059" s="334"/>
      <c r="H2059" s="602"/>
      <c r="I2059" s="334"/>
      <c r="J2059" s="334"/>
      <c r="K2059" s="334"/>
      <c r="L2059" s="334"/>
      <c r="M2059" s="334"/>
      <c r="N2059" s="334"/>
      <c r="O2059" s="334"/>
    </row>
    <row r="2060" spans="1:15" ht="12.75" hidden="1" customHeight="1" outlineLevel="1" x14ac:dyDescent="0.2">
      <c r="A2060" s="627" t="s">
        <v>2975</v>
      </c>
      <c r="B2060" s="628" t="s">
        <v>1326</v>
      </c>
      <c r="C2060" s="629" t="s">
        <v>100</v>
      </c>
      <c r="D2060" s="630">
        <v>16.28</v>
      </c>
      <c r="E2060" s="622"/>
      <c r="F2060" s="334"/>
      <c r="G2060" s="334"/>
      <c r="H2060" s="602"/>
      <c r="I2060" s="334"/>
      <c r="J2060" s="334"/>
      <c r="K2060" s="334"/>
      <c r="L2060" s="334"/>
      <c r="M2060" s="334"/>
      <c r="N2060" s="334"/>
      <c r="O2060" s="334"/>
    </row>
    <row r="2061" spans="1:15" ht="12.75" hidden="1" customHeight="1" outlineLevel="1" x14ac:dyDescent="0.2">
      <c r="A2061" s="623" t="s">
        <v>2976</v>
      </c>
      <c r="B2061" s="624" t="s">
        <v>2877</v>
      </c>
      <c r="C2061" s="625" t="s">
        <v>100</v>
      </c>
      <c r="D2061" s="626">
        <v>16.28</v>
      </c>
      <c r="E2061" s="622"/>
      <c r="F2061" s="334"/>
      <c r="G2061" s="334"/>
      <c r="H2061" s="602"/>
      <c r="I2061" s="334"/>
      <c r="J2061" s="334"/>
      <c r="K2061" s="334"/>
      <c r="L2061" s="334"/>
      <c r="M2061" s="334"/>
      <c r="N2061" s="334"/>
      <c r="O2061" s="334"/>
    </row>
    <row r="2062" spans="1:15" ht="12.75" hidden="1" customHeight="1" outlineLevel="1" x14ac:dyDescent="0.2">
      <c r="A2062" s="627" t="s">
        <v>2977</v>
      </c>
      <c r="B2062" s="628" t="s">
        <v>1330</v>
      </c>
      <c r="C2062" s="629" t="s">
        <v>100</v>
      </c>
      <c r="D2062" s="630">
        <v>114.47</v>
      </c>
      <c r="E2062" s="622"/>
      <c r="F2062" s="334"/>
      <c r="G2062" s="334"/>
      <c r="H2062" s="602"/>
      <c r="I2062" s="334"/>
      <c r="J2062" s="334"/>
      <c r="K2062" s="334"/>
      <c r="L2062" s="334"/>
      <c r="M2062" s="334"/>
      <c r="N2062" s="334"/>
      <c r="O2062" s="334"/>
    </row>
    <row r="2063" spans="1:15" ht="12.75" hidden="1" customHeight="1" outlineLevel="1" x14ac:dyDescent="0.2">
      <c r="A2063" s="623" t="s">
        <v>2978</v>
      </c>
      <c r="B2063" s="624" t="s">
        <v>1324</v>
      </c>
      <c r="C2063" s="625" t="s">
        <v>100</v>
      </c>
      <c r="D2063" s="626">
        <v>114.47</v>
      </c>
      <c r="E2063" s="622"/>
      <c r="F2063" s="334"/>
      <c r="G2063" s="334"/>
      <c r="H2063" s="602"/>
      <c r="I2063" s="334"/>
      <c r="J2063" s="334"/>
      <c r="K2063" s="334"/>
      <c r="L2063" s="334"/>
      <c r="M2063" s="334"/>
      <c r="N2063" s="334"/>
      <c r="O2063" s="334"/>
    </row>
    <row r="2064" spans="1:15" ht="12.75" hidden="1" customHeight="1" outlineLevel="1" x14ac:dyDescent="0.2">
      <c r="A2064" s="627" t="s">
        <v>2979</v>
      </c>
      <c r="B2064" s="628" t="s">
        <v>1326</v>
      </c>
      <c r="C2064" s="629" t="s">
        <v>100</v>
      </c>
      <c r="D2064" s="630">
        <v>114.47</v>
      </c>
      <c r="E2064" s="622"/>
      <c r="F2064" s="334"/>
      <c r="G2064" s="334"/>
      <c r="H2064" s="602"/>
      <c r="I2064" s="334"/>
      <c r="J2064" s="334"/>
      <c r="K2064" s="334"/>
      <c r="L2064" s="334"/>
      <c r="M2064" s="334"/>
      <c r="N2064" s="334"/>
      <c r="O2064" s="334"/>
    </row>
    <row r="2065" spans="1:15" ht="12.75" hidden="1" customHeight="1" outlineLevel="1" x14ac:dyDescent="0.2">
      <c r="A2065" s="623" t="s">
        <v>2980</v>
      </c>
      <c r="B2065" s="628" t="s">
        <v>1330</v>
      </c>
      <c r="C2065" s="625" t="s">
        <v>100</v>
      </c>
      <c r="D2065" s="626">
        <v>494.13</v>
      </c>
      <c r="E2065" s="622"/>
      <c r="F2065" s="334"/>
      <c r="G2065" s="334"/>
      <c r="H2065" s="602"/>
      <c r="I2065" s="334"/>
      <c r="J2065" s="334"/>
      <c r="K2065" s="334"/>
      <c r="L2065" s="334"/>
      <c r="M2065" s="334"/>
      <c r="N2065" s="334"/>
      <c r="O2065" s="334"/>
    </row>
    <row r="2066" spans="1:15" ht="12.75" hidden="1" customHeight="1" outlineLevel="1" x14ac:dyDescent="0.2">
      <c r="A2066" s="627" t="s">
        <v>2981</v>
      </c>
      <c r="B2066" s="624" t="s">
        <v>1324</v>
      </c>
      <c r="C2066" s="629" t="s">
        <v>100</v>
      </c>
      <c r="D2066" s="630">
        <v>494.13</v>
      </c>
      <c r="E2066" s="622"/>
      <c r="F2066" s="334"/>
      <c r="G2066" s="334"/>
      <c r="H2066" s="602"/>
      <c r="I2066" s="334"/>
      <c r="J2066" s="334"/>
      <c r="K2066" s="334"/>
      <c r="L2066" s="334"/>
      <c r="M2066" s="334"/>
      <c r="N2066" s="334"/>
      <c r="O2066" s="334"/>
    </row>
    <row r="2067" spans="1:15" ht="12.75" hidden="1" customHeight="1" outlineLevel="1" x14ac:dyDescent="0.2">
      <c r="A2067" s="623" t="s">
        <v>2982</v>
      </c>
      <c r="B2067" s="628" t="s">
        <v>1326</v>
      </c>
      <c r="C2067" s="625" t="s">
        <v>100</v>
      </c>
      <c r="D2067" s="626">
        <v>494.13</v>
      </c>
      <c r="E2067" s="622"/>
      <c r="F2067" s="334"/>
      <c r="G2067" s="334"/>
      <c r="H2067" s="602"/>
      <c r="I2067" s="334"/>
      <c r="J2067" s="334"/>
      <c r="K2067" s="334"/>
      <c r="L2067" s="334"/>
      <c r="M2067" s="334"/>
      <c r="N2067" s="334"/>
      <c r="O2067" s="334"/>
    </row>
    <row r="2068" spans="1:15" ht="12.75" hidden="1" customHeight="1" outlineLevel="1" x14ac:dyDescent="0.2">
      <c r="A2068" s="627" t="s">
        <v>2983</v>
      </c>
      <c r="B2068" s="628" t="s">
        <v>1330</v>
      </c>
      <c r="C2068" s="629" t="s">
        <v>100</v>
      </c>
      <c r="D2068" s="630">
        <v>135.16</v>
      </c>
      <c r="E2068" s="622"/>
      <c r="F2068" s="334"/>
      <c r="G2068" s="334"/>
      <c r="H2068" s="602"/>
      <c r="I2068" s="334"/>
      <c r="J2068" s="334"/>
      <c r="K2068" s="334"/>
      <c r="L2068" s="334"/>
      <c r="M2068" s="334"/>
      <c r="N2068" s="334"/>
      <c r="O2068" s="334"/>
    </row>
    <row r="2069" spans="1:15" ht="12.75" hidden="1" customHeight="1" outlineLevel="1" x14ac:dyDescent="0.2">
      <c r="A2069" s="623" t="s">
        <v>2984</v>
      </c>
      <c r="B2069" s="624" t="s">
        <v>1324</v>
      </c>
      <c r="C2069" s="625" t="s">
        <v>100</v>
      </c>
      <c r="D2069" s="626">
        <v>135.16</v>
      </c>
      <c r="E2069" s="622"/>
      <c r="F2069" s="334"/>
      <c r="G2069" s="334"/>
      <c r="H2069" s="602"/>
      <c r="I2069" s="334"/>
      <c r="J2069" s="334"/>
      <c r="K2069" s="334"/>
      <c r="L2069" s="334"/>
      <c r="M2069" s="334"/>
      <c r="N2069" s="334"/>
      <c r="O2069" s="334"/>
    </row>
    <row r="2070" spans="1:15" ht="12.75" hidden="1" customHeight="1" outlineLevel="1" x14ac:dyDescent="0.2">
      <c r="A2070" s="627" t="s">
        <v>2985</v>
      </c>
      <c r="B2070" s="628" t="s">
        <v>1326</v>
      </c>
      <c r="C2070" s="629" t="s">
        <v>100</v>
      </c>
      <c r="D2070" s="630">
        <v>135.16</v>
      </c>
      <c r="E2070" s="622"/>
      <c r="F2070" s="334"/>
      <c r="G2070" s="334"/>
      <c r="H2070" s="602"/>
      <c r="I2070" s="334"/>
      <c r="J2070" s="334"/>
      <c r="K2070" s="334"/>
      <c r="L2070" s="334"/>
      <c r="M2070" s="334"/>
      <c r="N2070" s="334"/>
      <c r="O2070" s="334"/>
    </row>
    <row r="2071" spans="1:15" ht="12.75" hidden="1" customHeight="1" outlineLevel="1" x14ac:dyDescent="0.2">
      <c r="A2071" s="623" t="s">
        <v>2986</v>
      </c>
      <c r="B2071" s="628" t="s">
        <v>1330</v>
      </c>
      <c r="C2071" s="625" t="s">
        <v>100</v>
      </c>
      <c r="D2071" s="626">
        <v>14.44</v>
      </c>
      <c r="E2071" s="622"/>
      <c r="F2071" s="334"/>
      <c r="G2071" s="334"/>
      <c r="H2071" s="602"/>
      <c r="I2071" s="334"/>
      <c r="J2071" s="334"/>
      <c r="K2071" s="334"/>
      <c r="L2071" s="334"/>
      <c r="M2071" s="334"/>
      <c r="N2071" s="334"/>
      <c r="O2071" s="334"/>
    </row>
    <row r="2072" spans="1:15" ht="12.75" hidden="1" customHeight="1" outlineLevel="1" x14ac:dyDescent="0.2">
      <c r="A2072" s="627" t="s">
        <v>2987</v>
      </c>
      <c r="B2072" s="624" t="s">
        <v>1324</v>
      </c>
      <c r="C2072" s="629" t="s">
        <v>100</v>
      </c>
      <c r="D2072" s="630">
        <v>14.44</v>
      </c>
      <c r="E2072" s="622"/>
      <c r="F2072" s="334"/>
      <c r="G2072" s="334"/>
      <c r="H2072" s="602"/>
      <c r="I2072" s="334"/>
      <c r="J2072" s="334"/>
      <c r="K2072" s="334"/>
      <c r="L2072" s="334"/>
      <c r="M2072" s="334"/>
      <c r="N2072" s="334"/>
      <c r="O2072" s="334"/>
    </row>
    <row r="2073" spans="1:15" ht="12.75" hidden="1" customHeight="1" outlineLevel="1" x14ac:dyDescent="0.2">
      <c r="A2073" s="623" t="s">
        <v>2988</v>
      </c>
      <c r="B2073" s="628" t="s">
        <v>1326</v>
      </c>
      <c r="C2073" s="625" t="s">
        <v>100</v>
      </c>
      <c r="D2073" s="626">
        <v>14.44</v>
      </c>
      <c r="E2073" s="622"/>
      <c r="F2073" s="334"/>
      <c r="G2073" s="334"/>
      <c r="H2073" s="602"/>
      <c r="I2073" s="334"/>
      <c r="J2073" s="334"/>
      <c r="K2073" s="334"/>
      <c r="L2073" s="334"/>
      <c r="M2073" s="334"/>
      <c r="N2073" s="334"/>
      <c r="O2073" s="334"/>
    </row>
    <row r="2074" spans="1:15" ht="12.75" hidden="1" customHeight="1" outlineLevel="1" x14ac:dyDescent="0.2">
      <c r="A2074" s="627" t="s">
        <v>2989</v>
      </c>
      <c r="B2074" s="628" t="s">
        <v>1330</v>
      </c>
      <c r="C2074" s="629" t="s">
        <v>100</v>
      </c>
      <c r="D2074" s="630">
        <v>13.78</v>
      </c>
      <c r="E2074" s="622"/>
      <c r="F2074" s="334"/>
      <c r="G2074" s="334"/>
      <c r="H2074" s="602"/>
      <c r="I2074" s="334"/>
      <c r="J2074" s="334"/>
      <c r="K2074" s="334"/>
      <c r="L2074" s="334"/>
      <c r="M2074" s="334"/>
      <c r="N2074" s="334"/>
      <c r="O2074" s="334"/>
    </row>
    <row r="2075" spans="1:15" ht="12.75" hidden="1" customHeight="1" outlineLevel="1" x14ac:dyDescent="0.2">
      <c r="A2075" s="623" t="s">
        <v>2990</v>
      </c>
      <c r="B2075" s="624" t="s">
        <v>1324</v>
      </c>
      <c r="C2075" s="625" t="s">
        <v>100</v>
      </c>
      <c r="D2075" s="626">
        <v>13.78</v>
      </c>
      <c r="E2075" s="622"/>
      <c r="F2075" s="334"/>
      <c r="G2075" s="334"/>
      <c r="H2075" s="602"/>
      <c r="I2075" s="334"/>
      <c r="J2075" s="334"/>
      <c r="K2075" s="334"/>
      <c r="L2075" s="334"/>
      <c r="M2075" s="334"/>
      <c r="N2075" s="334"/>
      <c r="O2075" s="334"/>
    </row>
    <row r="2076" spans="1:15" ht="12.75" hidden="1" customHeight="1" outlineLevel="1" x14ac:dyDescent="0.2">
      <c r="A2076" s="627" t="s">
        <v>2991</v>
      </c>
      <c r="B2076" s="628" t="s">
        <v>1326</v>
      </c>
      <c r="C2076" s="629" t="s">
        <v>100</v>
      </c>
      <c r="D2076" s="630">
        <v>13.78</v>
      </c>
      <c r="E2076" s="622"/>
      <c r="F2076" s="334"/>
      <c r="G2076" s="334"/>
      <c r="H2076" s="602"/>
      <c r="I2076" s="334"/>
      <c r="J2076" s="334"/>
      <c r="K2076" s="334"/>
      <c r="L2076" s="334"/>
      <c r="M2076" s="334"/>
      <c r="N2076" s="334"/>
      <c r="O2076" s="334"/>
    </row>
    <row r="2077" spans="1:15" ht="12.75" hidden="1" customHeight="1" outlineLevel="1" x14ac:dyDescent="0.2">
      <c r="A2077" s="623" t="s">
        <v>2992</v>
      </c>
      <c r="B2077" s="628" t="s">
        <v>1330</v>
      </c>
      <c r="C2077" s="625" t="s">
        <v>100</v>
      </c>
      <c r="D2077" s="626">
        <v>65.11</v>
      </c>
      <c r="E2077" s="622"/>
      <c r="F2077" s="334"/>
      <c r="G2077" s="334"/>
      <c r="H2077" s="602"/>
      <c r="I2077" s="334"/>
      <c r="J2077" s="334"/>
      <c r="K2077" s="334"/>
      <c r="L2077" s="334"/>
      <c r="M2077" s="334"/>
      <c r="N2077" s="334"/>
      <c r="O2077" s="334"/>
    </row>
    <row r="2078" spans="1:15" ht="12.75" hidden="1" customHeight="1" outlineLevel="1" x14ac:dyDescent="0.2">
      <c r="A2078" s="627" t="s">
        <v>2993</v>
      </c>
      <c r="B2078" s="624" t="s">
        <v>1324</v>
      </c>
      <c r="C2078" s="629" t="s">
        <v>100</v>
      </c>
      <c r="D2078" s="630">
        <v>65.11</v>
      </c>
      <c r="E2078" s="622"/>
      <c r="F2078" s="334"/>
      <c r="G2078" s="334"/>
      <c r="H2078" s="602"/>
      <c r="I2078" s="334"/>
      <c r="J2078" s="334"/>
      <c r="K2078" s="334"/>
      <c r="L2078" s="334"/>
      <c r="M2078" s="334"/>
      <c r="N2078" s="334"/>
      <c r="O2078" s="334"/>
    </row>
    <row r="2079" spans="1:15" ht="12.75" hidden="1" customHeight="1" outlineLevel="1" x14ac:dyDescent="0.2">
      <c r="A2079" s="623" t="s">
        <v>2994</v>
      </c>
      <c r="B2079" s="628" t="s">
        <v>1326</v>
      </c>
      <c r="C2079" s="625" t="s">
        <v>100</v>
      </c>
      <c r="D2079" s="626">
        <v>65.11</v>
      </c>
      <c r="E2079" s="622"/>
      <c r="F2079" s="334"/>
      <c r="G2079" s="334"/>
      <c r="H2079" s="602"/>
      <c r="I2079" s="334"/>
      <c r="J2079" s="334"/>
      <c r="K2079" s="334"/>
      <c r="L2079" s="334"/>
      <c r="M2079" s="334"/>
      <c r="N2079" s="334"/>
      <c r="O2079" s="334"/>
    </row>
    <row r="2080" spans="1:15" ht="12.75" hidden="1" customHeight="1" outlineLevel="1" x14ac:dyDescent="0.2">
      <c r="A2080" s="627" t="s">
        <v>2995</v>
      </c>
      <c r="B2080" s="628" t="s">
        <v>1330</v>
      </c>
      <c r="C2080" s="629" t="s">
        <v>100</v>
      </c>
      <c r="D2080" s="630">
        <v>10.47</v>
      </c>
      <c r="E2080" s="622"/>
      <c r="F2080" s="334"/>
      <c r="G2080" s="334"/>
      <c r="H2080" s="602"/>
      <c r="I2080" s="334"/>
      <c r="J2080" s="334"/>
      <c r="K2080" s="334"/>
      <c r="L2080" s="334"/>
      <c r="M2080" s="334"/>
      <c r="N2080" s="334"/>
      <c r="O2080" s="334"/>
    </row>
    <row r="2081" spans="1:15" ht="12.75" hidden="1" customHeight="1" outlineLevel="1" x14ac:dyDescent="0.2">
      <c r="A2081" s="623" t="s">
        <v>2996</v>
      </c>
      <c r="B2081" s="624" t="s">
        <v>1324</v>
      </c>
      <c r="C2081" s="625" t="s">
        <v>100</v>
      </c>
      <c r="D2081" s="626">
        <v>10.47</v>
      </c>
      <c r="E2081" s="622"/>
      <c r="F2081" s="334"/>
      <c r="G2081" s="334"/>
      <c r="H2081" s="602"/>
      <c r="I2081" s="334"/>
      <c r="J2081" s="334"/>
      <c r="K2081" s="334"/>
      <c r="L2081" s="334"/>
      <c r="M2081" s="334"/>
      <c r="N2081" s="334"/>
      <c r="O2081" s="334"/>
    </row>
    <row r="2082" spans="1:15" ht="12.75" hidden="1" customHeight="1" outlineLevel="1" x14ac:dyDescent="0.2">
      <c r="A2082" s="627" t="s">
        <v>2997</v>
      </c>
      <c r="B2082" s="628" t="s">
        <v>1326</v>
      </c>
      <c r="C2082" s="629" t="s">
        <v>100</v>
      </c>
      <c r="D2082" s="630">
        <v>10.47</v>
      </c>
      <c r="E2082" s="622"/>
      <c r="F2082" s="334"/>
      <c r="G2082" s="334"/>
      <c r="H2082" s="602"/>
      <c r="I2082" s="334"/>
      <c r="J2082" s="334"/>
      <c r="K2082" s="334"/>
      <c r="L2082" s="334"/>
      <c r="M2082" s="334"/>
      <c r="N2082" s="334"/>
      <c r="O2082" s="334"/>
    </row>
    <row r="2083" spans="1:15" ht="12.75" hidden="1" customHeight="1" outlineLevel="1" x14ac:dyDescent="0.2">
      <c r="A2083" s="623" t="s">
        <v>2998</v>
      </c>
      <c r="B2083" s="624" t="s">
        <v>1324</v>
      </c>
      <c r="C2083" s="625" t="s">
        <v>100</v>
      </c>
      <c r="D2083" s="626">
        <v>46.4</v>
      </c>
      <c r="E2083" s="622"/>
      <c r="F2083" s="334"/>
      <c r="G2083" s="334"/>
      <c r="H2083" s="602"/>
      <c r="I2083" s="334"/>
      <c r="J2083" s="334"/>
      <c r="K2083" s="334"/>
      <c r="L2083" s="334"/>
      <c r="M2083" s="334"/>
      <c r="N2083" s="334"/>
      <c r="O2083" s="334"/>
    </row>
    <row r="2084" spans="1:15" ht="12.75" hidden="1" customHeight="1" outlineLevel="1" x14ac:dyDescent="0.2">
      <c r="A2084" s="627" t="s">
        <v>2999</v>
      </c>
      <c r="B2084" s="628" t="s">
        <v>1324</v>
      </c>
      <c r="C2084" s="629" t="s">
        <v>100</v>
      </c>
      <c r="D2084" s="630">
        <v>61.2</v>
      </c>
      <c r="E2084" s="622"/>
      <c r="F2084" s="334"/>
      <c r="G2084" s="334"/>
      <c r="H2084" s="602"/>
      <c r="I2084" s="334"/>
      <c r="J2084" s="334"/>
      <c r="K2084" s="334"/>
      <c r="L2084" s="334"/>
      <c r="M2084" s="334"/>
      <c r="N2084" s="334"/>
      <c r="O2084" s="334"/>
    </row>
    <row r="2085" spans="1:15" ht="12.75" hidden="1" customHeight="1" outlineLevel="1" x14ac:dyDescent="0.2">
      <c r="A2085" s="623" t="s">
        <v>3000</v>
      </c>
      <c r="B2085" s="624" t="s">
        <v>1326</v>
      </c>
      <c r="C2085" s="625" t="s">
        <v>100</v>
      </c>
      <c r="D2085" s="626">
        <v>61.2</v>
      </c>
      <c r="E2085" s="622"/>
      <c r="F2085" s="334"/>
      <c r="G2085" s="334"/>
      <c r="H2085" s="602"/>
      <c r="I2085" s="334"/>
      <c r="J2085" s="334"/>
      <c r="K2085" s="334"/>
      <c r="L2085" s="334"/>
      <c r="M2085" s="334"/>
      <c r="N2085" s="334"/>
      <c r="O2085" s="334"/>
    </row>
    <row r="2086" spans="1:15" ht="12.75" hidden="1" customHeight="1" outlineLevel="1" x14ac:dyDescent="0.2">
      <c r="A2086" s="627" t="s">
        <v>3001</v>
      </c>
      <c r="B2086" s="628" t="s">
        <v>1328</v>
      </c>
      <c r="C2086" s="629" t="s">
        <v>100</v>
      </c>
      <c r="D2086" s="630">
        <v>61.2</v>
      </c>
      <c r="E2086" s="622"/>
      <c r="F2086" s="334"/>
      <c r="G2086" s="334"/>
      <c r="H2086" s="602"/>
      <c r="I2086" s="334"/>
      <c r="J2086" s="334"/>
      <c r="K2086" s="334"/>
      <c r="L2086" s="334"/>
      <c r="M2086" s="334"/>
      <c r="N2086" s="334"/>
      <c r="O2086" s="334"/>
    </row>
    <row r="2087" spans="1:15" ht="12.75" hidden="1" customHeight="1" outlineLevel="1" x14ac:dyDescent="0.2">
      <c r="A2087" s="618" t="s">
        <v>3002</v>
      </c>
      <c r="B2087" s="619" t="s">
        <v>1058</v>
      </c>
      <c r="C2087" s="620"/>
      <c r="D2087" s="621"/>
      <c r="E2087" s="622"/>
      <c r="F2087" s="334"/>
      <c r="G2087" s="334"/>
      <c r="H2087" s="602"/>
      <c r="I2087" s="334"/>
      <c r="J2087" s="334"/>
      <c r="K2087" s="334"/>
      <c r="L2087" s="334"/>
      <c r="M2087" s="334"/>
      <c r="N2087" s="334"/>
      <c r="O2087" s="334"/>
    </row>
    <row r="2088" spans="1:15" ht="12.75" hidden="1" customHeight="1" outlineLevel="1" x14ac:dyDescent="0.2">
      <c r="A2088" s="623" t="s">
        <v>3003</v>
      </c>
      <c r="B2088" s="624" t="s">
        <v>1324</v>
      </c>
      <c r="C2088" s="625" t="s">
        <v>100</v>
      </c>
      <c r="D2088" s="626">
        <v>16.28</v>
      </c>
      <c r="E2088" s="622"/>
      <c r="F2088" s="334"/>
      <c r="G2088" s="334"/>
      <c r="H2088" s="602"/>
      <c r="I2088" s="334"/>
      <c r="J2088" s="334"/>
      <c r="K2088" s="334"/>
      <c r="L2088" s="334"/>
      <c r="M2088" s="334"/>
      <c r="N2088" s="334"/>
      <c r="O2088" s="334"/>
    </row>
    <row r="2089" spans="1:15" ht="12.75" hidden="1" customHeight="1" outlineLevel="1" x14ac:dyDescent="0.2">
      <c r="A2089" s="627" t="s">
        <v>3004</v>
      </c>
      <c r="B2089" s="628" t="s">
        <v>1326</v>
      </c>
      <c r="C2089" s="629" t="s">
        <v>100</v>
      </c>
      <c r="D2089" s="630">
        <v>16.28</v>
      </c>
      <c r="E2089" s="622"/>
      <c r="F2089" s="334"/>
      <c r="G2089" s="334"/>
      <c r="H2089" s="602"/>
      <c r="I2089" s="334"/>
      <c r="J2089" s="334"/>
      <c r="K2089" s="334"/>
      <c r="L2089" s="334"/>
      <c r="M2089" s="334"/>
      <c r="N2089" s="334"/>
      <c r="O2089" s="334"/>
    </row>
    <row r="2090" spans="1:15" ht="12.75" hidden="1" customHeight="1" outlineLevel="1" x14ac:dyDescent="0.2">
      <c r="A2090" s="623" t="s">
        <v>3005</v>
      </c>
      <c r="B2090" s="624" t="s">
        <v>2877</v>
      </c>
      <c r="C2090" s="625" t="s">
        <v>100</v>
      </c>
      <c r="D2090" s="626">
        <v>16.28</v>
      </c>
      <c r="E2090" s="622"/>
      <c r="F2090" s="334"/>
      <c r="G2090" s="334"/>
      <c r="H2090" s="602"/>
      <c r="I2090" s="334"/>
      <c r="J2090" s="334"/>
      <c r="K2090" s="334"/>
      <c r="L2090" s="334"/>
      <c r="M2090" s="334"/>
      <c r="N2090" s="334"/>
      <c r="O2090" s="334"/>
    </row>
    <row r="2091" spans="1:15" ht="12.75" hidden="1" customHeight="1" outlineLevel="1" x14ac:dyDescent="0.2">
      <c r="A2091" s="627" t="s">
        <v>3006</v>
      </c>
      <c r="B2091" s="628" t="s">
        <v>1330</v>
      </c>
      <c r="C2091" s="629" t="s">
        <v>100</v>
      </c>
      <c r="D2091" s="630">
        <v>114.47</v>
      </c>
      <c r="E2091" s="622"/>
      <c r="F2091" s="334"/>
      <c r="G2091" s="334"/>
      <c r="H2091" s="602"/>
      <c r="I2091" s="334"/>
      <c r="J2091" s="334"/>
      <c r="K2091" s="334"/>
      <c r="L2091" s="334"/>
      <c r="M2091" s="334"/>
      <c r="N2091" s="334"/>
      <c r="O2091" s="334"/>
    </row>
    <row r="2092" spans="1:15" ht="12.75" hidden="1" customHeight="1" outlineLevel="1" x14ac:dyDescent="0.2">
      <c r="A2092" s="623" t="s">
        <v>3007</v>
      </c>
      <c r="B2092" s="624" t="s">
        <v>1324</v>
      </c>
      <c r="C2092" s="625" t="s">
        <v>100</v>
      </c>
      <c r="D2092" s="626">
        <v>114.47</v>
      </c>
      <c r="E2092" s="622"/>
      <c r="F2092" s="334"/>
      <c r="G2092" s="334"/>
      <c r="H2092" s="602"/>
      <c r="I2092" s="334"/>
      <c r="J2092" s="334"/>
      <c r="K2092" s="334"/>
      <c r="L2092" s="334"/>
      <c r="M2092" s="334"/>
      <c r="N2092" s="334"/>
      <c r="O2092" s="334"/>
    </row>
    <row r="2093" spans="1:15" ht="12.75" hidden="1" customHeight="1" outlineLevel="1" x14ac:dyDescent="0.2">
      <c r="A2093" s="627" t="s">
        <v>3008</v>
      </c>
      <c r="B2093" s="628" t="s">
        <v>1326</v>
      </c>
      <c r="C2093" s="629" t="s">
        <v>100</v>
      </c>
      <c r="D2093" s="630">
        <v>114.47</v>
      </c>
      <c r="E2093" s="622"/>
      <c r="F2093" s="334"/>
      <c r="G2093" s="334"/>
      <c r="H2093" s="602"/>
      <c r="I2093" s="334"/>
      <c r="J2093" s="334"/>
      <c r="K2093" s="334"/>
      <c r="L2093" s="334"/>
      <c r="M2093" s="334"/>
      <c r="N2093" s="334"/>
      <c r="O2093" s="334"/>
    </row>
    <row r="2094" spans="1:15" ht="12.75" hidden="1" customHeight="1" outlineLevel="1" x14ac:dyDescent="0.2">
      <c r="A2094" s="623" t="s">
        <v>3009</v>
      </c>
      <c r="B2094" s="628" t="s">
        <v>1330</v>
      </c>
      <c r="C2094" s="625" t="s">
        <v>100</v>
      </c>
      <c r="D2094" s="626">
        <v>494.13</v>
      </c>
      <c r="E2094" s="622"/>
      <c r="F2094" s="334"/>
      <c r="G2094" s="334"/>
      <c r="H2094" s="602"/>
      <c r="I2094" s="334"/>
      <c r="J2094" s="334"/>
      <c r="K2094" s="334"/>
      <c r="L2094" s="334"/>
      <c r="M2094" s="334"/>
      <c r="N2094" s="334"/>
      <c r="O2094" s="334"/>
    </row>
    <row r="2095" spans="1:15" ht="12.75" hidden="1" customHeight="1" outlineLevel="1" x14ac:dyDescent="0.2">
      <c r="A2095" s="627" t="s">
        <v>3010</v>
      </c>
      <c r="B2095" s="624" t="s">
        <v>1324</v>
      </c>
      <c r="C2095" s="629" t="s">
        <v>100</v>
      </c>
      <c r="D2095" s="630">
        <v>494.13</v>
      </c>
      <c r="E2095" s="622"/>
      <c r="F2095" s="334"/>
      <c r="G2095" s="334"/>
      <c r="H2095" s="602"/>
      <c r="I2095" s="334"/>
      <c r="J2095" s="334"/>
      <c r="K2095" s="334"/>
      <c r="L2095" s="334"/>
      <c r="M2095" s="334"/>
      <c r="N2095" s="334"/>
      <c r="O2095" s="334"/>
    </row>
    <row r="2096" spans="1:15" ht="12.75" hidden="1" customHeight="1" outlineLevel="1" x14ac:dyDescent="0.2">
      <c r="A2096" s="623" t="s">
        <v>3011</v>
      </c>
      <c r="B2096" s="628" t="s">
        <v>1326</v>
      </c>
      <c r="C2096" s="625" t="s">
        <v>100</v>
      </c>
      <c r="D2096" s="626">
        <v>494.13</v>
      </c>
      <c r="E2096" s="622"/>
      <c r="F2096" s="334"/>
      <c r="G2096" s="334"/>
      <c r="H2096" s="602"/>
      <c r="I2096" s="334"/>
      <c r="J2096" s="334"/>
      <c r="K2096" s="334"/>
      <c r="L2096" s="334"/>
      <c r="M2096" s="334"/>
      <c r="N2096" s="334"/>
      <c r="O2096" s="334"/>
    </row>
    <row r="2097" spans="1:15" ht="12.75" hidden="1" customHeight="1" outlineLevel="1" x14ac:dyDescent="0.2">
      <c r="A2097" s="627" t="s">
        <v>3012</v>
      </c>
      <c r="B2097" s="628" t="s">
        <v>1330</v>
      </c>
      <c r="C2097" s="629" t="s">
        <v>100</v>
      </c>
      <c r="D2097" s="630">
        <v>135.16</v>
      </c>
      <c r="E2097" s="622"/>
      <c r="F2097" s="334"/>
      <c r="G2097" s="334"/>
      <c r="H2097" s="602"/>
      <c r="I2097" s="334"/>
      <c r="J2097" s="334"/>
      <c r="K2097" s="334"/>
      <c r="L2097" s="334"/>
      <c r="M2097" s="334"/>
      <c r="N2097" s="334"/>
      <c r="O2097" s="334"/>
    </row>
    <row r="2098" spans="1:15" ht="12.75" hidden="1" customHeight="1" outlineLevel="1" x14ac:dyDescent="0.2">
      <c r="A2098" s="623" t="s">
        <v>3013</v>
      </c>
      <c r="B2098" s="624" t="s">
        <v>1324</v>
      </c>
      <c r="C2098" s="625" t="s">
        <v>100</v>
      </c>
      <c r="D2098" s="626">
        <v>135.16</v>
      </c>
      <c r="E2098" s="622"/>
      <c r="F2098" s="334"/>
      <c r="G2098" s="334"/>
      <c r="H2098" s="602"/>
      <c r="I2098" s="334"/>
      <c r="J2098" s="334"/>
      <c r="K2098" s="334"/>
      <c r="L2098" s="334"/>
      <c r="M2098" s="334"/>
      <c r="N2098" s="334"/>
      <c r="O2098" s="334"/>
    </row>
    <row r="2099" spans="1:15" ht="12.75" hidden="1" customHeight="1" outlineLevel="1" x14ac:dyDescent="0.2">
      <c r="A2099" s="627" t="s">
        <v>3014</v>
      </c>
      <c r="B2099" s="628" t="s">
        <v>1326</v>
      </c>
      <c r="C2099" s="629" t="s">
        <v>100</v>
      </c>
      <c r="D2099" s="630">
        <v>135.16</v>
      </c>
      <c r="E2099" s="622"/>
      <c r="F2099" s="334"/>
      <c r="G2099" s="334"/>
      <c r="H2099" s="602"/>
      <c r="I2099" s="334"/>
      <c r="J2099" s="334"/>
      <c r="K2099" s="334"/>
      <c r="L2099" s="334"/>
      <c r="M2099" s="334"/>
      <c r="N2099" s="334"/>
      <c r="O2099" s="334"/>
    </row>
    <row r="2100" spans="1:15" ht="12.75" hidden="1" customHeight="1" outlineLevel="1" x14ac:dyDescent="0.2">
      <c r="A2100" s="623" t="s">
        <v>3015</v>
      </c>
      <c r="B2100" s="628" t="s">
        <v>1330</v>
      </c>
      <c r="C2100" s="625" t="s">
        <v>100</v>
      </c>
      <c r="D2100" s="626">
        <v>14.44</v>
      </c>
      <c r="E2100" s="622"/>
      <c r="F2100" s="334"/>
      <c r="G2100" s="334"/>
      <c r="H2100" s="602"/>
      <c r="I2100" s="334"/>
      <c r="J2100" s="334"/>
      <c r="K2100" s="334"/>
      <c r="L2100" s="334"/>
      <c r="M2100" s="334"/>
      <c r="N2100" s="334"/>
      <c r="O2100" s="334"/>
    </row>
    <row r="2101" spans="1:15" ht="12.75" hidden="1" customHeight="1" outlineLevel="1" x14ac:dyDescent="0.2">
      <c r="A2101" s="627" t="s">
        <v>3016</v>
      </c>
      <c r="B2101" s="624" t="s">
        <v>1324</v>
      </c>
      <c r="C2101" s="629" t="s">
        <v>100</v>
      </c>
      <c r="D2101" s="630">
        <v>14.44</v>
      </c>
      <c r="E2101" s="622"/>
      <c r="F2101" s="334"/>
      <c r="G2101" s="334"/>
      <c r="H2101" s="602"/>
      <c r="I2101" s="334"/>
      <c r="J2101" s="334"/>
      <c r="K2101" s="334"/>
      <c r="L2101" s="334"/>
      <c r="M2101" s="334"/>
      <c r="N2101" s="334"/>
      <c r="O2101" s="334"/>
    </row>
    <row r="2102" spans="1:15" ht="12.75" hidden="1" customHeight="1" outlineLevel="1" x14ac:dyDescent="0.2">
      <c r="A2102" s="623" t="s">
        <v>3017</v>
      </c>
      <c r="B2102" s="628" t="s">
        <v>1326</v>
      </c>
      <c r="C2102" s="625" t="s">
        <v>100</v>
      </c>
      <c r="D2102" s="626">
        <v>14.44</v>
      </c>
      <c r="E2102" s="622"/>
      <c r="F2102" s="334"/>
      <c r="G2102" s="334"/>
      <c r="H2102" s="602"/>
      <c r="I2102" s="334"/>
      <c r="J2102" s="334"/>
      <c r="K2102" s="334"/>
      <c r="L2102" s="334"/>
      <c r="M2102" s="334"/>
      <c r="N2102" s="334"/>
      <c r="O2102" s="334"/>
    </row>
    <row r="2103" spans="1:15" ht="12.75" hidden="1" customHeight="1" outlineLevel="1" x14ac:dyDescent="0.2">
      <c r="A2103" s="627" t="s">
        <v>3018</v>
      </c>
      <c r="B2103" s="628" t="s">
        <v>1330</v>
      </c>
      <c r="C2103" s="629" t="s">
        <v>100</v>
      </c>
      <c r="D2103" s="630">
        <v>13.78</v>
      </c>
      <c r="E2103" s="622"/>
      <c r="F2103" s="334"/>
      <c r="G2103" s="334"/>
      <c r="H2103" s="602"/>
      <c r="I2103" s="334"/>
      <c r="J2103" s="334"/>
      <c r="K2103" s="334"/>
      <c r="L2103" s="334"/>
      <c r="M2103" s="334"/>
      <c r="N2103" s="334"/>
      <c r="O2103" s="334"/>
    </row>
    <row r="2104" spans="1:15" ht="12.75" hidden="1" customHeight="1" outlineLevel="1" x14ac:dyDescent="0.2">
      <c r="A2104" s="623" t="s">
        <v>3019</v>
      </c>
      <c r="B2104" s="624" t="s">
        <v>1324</v>
      </c>
      <c r="C2104" s="625" t="s">
        <v>100</v>
      </c>
      <c r="D2104" s="626">
        <v>13.78</v>
      </c>
      <c r="E2104" s="622"/>
      <c r="F2104" s="334"/>
      <c r="G2104" s="334"/>
      <c r="H2104" s="602"/>
      <c r="I2104" s="334"/>
      <c r="J2104" s="334"/>
      <c r="K2104" s="334"/>
      <c r="L2104" s="334"/>
      <c r="M2104" s="334"/>
      <c r="N2104" s="334"/>
      <c r="O2104" s="334"/>
    </row>
    <row r="2105" spans="1:15" ht="12.75" hidden="1" customHeight="1" outlineLevel="1" x14ac:dyDescent="0.2">
      <c r="A2105" s="627" t="s">
        <v>3020</v>
      </c>
      <c r="B2105" s="628" t="s">
        <v>1326</v>
      </c>
      <c r="C2105" s="629" t="s">
        <v>100</v>
      </c>
      <c r="D2105" s="630">
        <v>13.78</v>
      </c>
      <c r="E2105" s="622"/>
      <c r="F2105" s="334"/>
      <c r="G2105" s="334"/>
      <c r="H2105" s="602"/>
      <c r="I2105" s="334"/>
      <c r="J2105" s="334"/>
      <c r="K2105" s="334"/>
      <c r="L2105" s="334"/>
      <c r="M2105" s="334"/>
      <c r="N2105" s="334"/>
      <c r="O2105" s="334"/>
    </row>
    <row r="2106" spans="1:15" ht="12.75" hidden="1" customHeight="1" outlineLevel="1" x14ac:dyDescent="0.2">
      <c r="A2106" s="623" t="s">
        <v>3021</v>
      </c>
      <c r="B2106" s="628" t="s">
        <v>1330</v>
      </c>
      <c r="C2106" s="625" t="s">
        <v>100</v>
      </c>
      <c r="D2106" s="626">
        <v>65.11</v>
      </c>
      <c r="E2106" s="622"/>
      <c r="F2106" s="334"/>
      <c r="G2106" s="334"/>
      <c r="H2106" s="602"/>
      <c r="I2106" s="334"/>
      <c r="J2106" s="334"/>
      <c r="K2106" s="334"/>
      <c r="L2106" s="334"/>
      <c r="M2106" s="334"/>
      <c r="N2106" s="334"/>
      <c r="O2106" s="334"/>
    </row>
    <row r="2107" spans="1:15" ht="12.75" hidden="1" customHeight="1" outlineLevel="1" x14ac:dyDescent="0.2">
      <c r="A2107" s="627" t="s">
        <v>3022</v>
      </c>
      <c r="B2107" s="624" t="s">
        <v>1324</v>
      </c>
      <c r="C2107" s="629" t="s">
        <v>100</v>
      </c>
      <c r="D2107" s="630">
        <v>65.11</v>
      </c>
      <c r="E2107" s="622"/>
      <c r="F2107" s="334"/>
      <c r="G2107" s="334"/>
      <c r="H2107" s="602"/>
      <c r="I2107" s="334"/>
      <c r="J2107" s="334"/>
      <c r="K2107" s="334"/>
      <c r="L2107" s="334"/>
      <c r="M2107" s="334"/>
      <c r="N2107" s="334"/>
      <c r="O2107" s="334"/>
    </row>
    <row r="2108" spans="1:15" ht="12.75" hidden="1" customHeight="1" outlineLevel="1" x14ac:dyDescent="0.2">
      <c r="A2108" s="623" t="s">
        <v>3023</v>
      </c>
      <c r="B2108" s="628" t="s">
        <v>1326</v>
      </c>
      <c r="C2108" s="625" t="s">
        <v>100</v>
      </c>
      <c r="D2108" s="626">
        <v>65.11</v>
      </c>
      <c r="E2108" s="622"/>
      <c r="F2108" s="334"/>
      <c r="G2108" s="334"/>
      <c r="H2108" s="602"/>
      <c r="I2108" s="334"/>
      <c r="J2108" s="334"/>
      <c r="K2108" s="334"/>
      <c r="L2108" s="334"/>
      <c r="M2108" s="334"/>
      <c r="N2108" s="334"/>
      <c r="O2108" s="334"/>
    </row>
    <row r="2109" spans="1:15" ht="12.75" hidden="1" customHeight="1" outlineLevel="1" x14ac:dyDescent="0.2">
      <c r="A2109" s="627" t="s">
        <v>3024</v>
      </c>
      <c r="B2109" s="628" t="s">
        <v>1330</v>
      </c>
      <c r="C2109" s="629" t="s">
        <v>100</v>
      </c>
      <c r="D2109" s="630">
        <v>10.47</v>
      </c>
      <c r="E2109" s="622"/>
      <c r="F2109" s="334"/>
      <c r="G2109" s="334"/>
      <c r="H2109" s="602"/>
      <c r="I2109" s="334"/>
      <c r="J2109" s="334"/>
      <c r="K2109" s="334"/>
      <c r="L2109" s="334"/>
      <c r="M2109" s="334"/>
      <c r="N2109" s="334"/>
      <c r="O2109" s="334"/>
    </row>
    <row r="2110" spans="1:15" ht="12.75" hidden="1" customHeight="1" outlineLevel="1" x14ac:dyDescent="0.2">
      <c r="A2110" s="623" t="s">
        <v>3025</v>
      </c>
      <c r="B2110" s="624" t="s">
        <v>1324</v>
      </c>
      <c r="C2110" s="625" t="s">
        <v>100</v>
      </c>
      <c r="D2110" s="626">
        <v>10.47</v>
      </c>
      <c r="E2110" s="622"/>
      <c r="F2110" s="334"/>
      <c r="G2110" s="334"/>
      <c r="H2110" s="602"/>
      <c r="I2110" s="334"/>
      <c r="J2110" s="334"/>
      <c r="K2110" s="334"/>
      <c r="L2110" s="334"/>
      <c r="M2110" s="334"/>
      <c r="N2110" s="334"/>
      <c r="O2110" s="334"/>
    </row>
    <row r="2111" spans="1:15" ht="12.75" hidden="1" customHeight="1" outlineLevel="1" x14ac:dyDescent="0.2">
      <c r="A2111" s="627" t="s">
        <v>3026</v>
      </c>
      <c r="B2111" s="628" t="s">
        <v>1326</v>
      </c>
      <c r="C2111" s="629" t="s">
        <v>100</v>
      </c>
      <c r="D2111" s="630">
        <v>10.47</v>
      </c>
      <c r="E2111" s="622"/>
      <c r="F2111" s="334"/>
      <c r="G2111" s="334"/>
      <c r="H2111" s="602"/>
      <c r="I2111" s="334"/>
      <c r="J2111" s="334"/>
      <c r="K2111" s="334"/>
      <c r="L2111" s="334"/>
      <c r="M2111" s="334"/>
      <c r="N2111" s="334"/>
      <c r="O2111" s="334"/>
    </row>
    <row r="2112" spans="1:15" ht="12.75" hidden="1" customHeight="1" outlineLevel="1" x14ac:dyDescent="0.2">
      <c r="A2112" s="623" t="s">
        <v>3027</v>
      </c>
      <c r="B2112" s="624" t="s">
        <v>1324</v>
      </c>
      <c r="C2112" s="625" t="s">
        <v>100</v>
      </c>
      <c r="D2112" s="626">
        <v>46.4</v>
      </c>
      <c r="E2112" s="622"/>
      <c r="F2112" s="334"/>
      <c r="G2112" s="334"/>
      <c r="H2112" s="602"/>
      <c r="I2112" s="334"/>
      <c r="J2112" s="334"/>
      <c r="K2112" s="334"/>
      <c r="L2112" s="334"/>
      <c r="M2112" s="334"/>
      <c r="N2112" s="334"/>
      <c r="O2112" s="334"/>
    </row>
    <row r="2113" spans="1:15" ht="12.75" hidden="1" customHeight="1" outlineLevel="1" x14ac:dyDescent="0.2">
      <c r="A2113" s="627" t="s">
        <v>3028</v>
      </c>
      <c r="B2113" s="628" t="s">
        <v>1324</v>
      </c>
      <c r="C2113" s="629" t="s">
        <v>100</v>
      </c>
      <c r="D2113" s="630">
        <v>61.2</v>
      </c>
      <c r="E2113" s="622"/>
      <c r="F2113" s="334"/>
      <c r="G2113" s="334"/>
      <c r="H2113" s="602"/>
      <c r="I2113" s="334"/>
      <c r="J2113" s="334"/>
      <c r="K2113" s="334"/>
      <c r="L2113" s="334"/>
      <c r="M2113" s="334"/>
      <c r="N2113" s="334"/>
      <c r="O2113" s="334"/>
    </row>
    <row r="2114" spans="1:15" ht="12.75" hidden="1" customHeight="1" outlineLevel="1" x14ac:dyDescent="0.2">
      <c r="A2114" s="623" t="s">
        <v>3029</v>
      </c>
      <c r="B2114" s="624" t="s">
        <v>1326</v>
      </c>
      <c r="C2114" s="625" t="s">
        <v>100</v>
      </c>
      <c r="D2114" s="626">
        <v>61.2</v>
      </c>
      <c r="E2114" s="622"/>
      <c r="F2114" s="334"/>
      <c r="G2114" s="334"/>
      <c r="H2114" s="602"/>
      <c r="I2114" s="334"/>
      <c r="J2114" s="334"/>
      <c r="K2114" s="334"/>
      <c r="L2114" s="334"/>
      <c r="M2114" s="334"/>
      <c r="N2114" s="334"/>
      <c r="O2114" s="334"/>
    </row>
    <row r="2115" spans="1:15" ht="12.75" hidden="1" customHeight="1" outlineLevel="1" x14ac:dyDescent="0.2">
      <c r="A2115" s="627" t="s">
        <v>3030</v>
      </c>
      <c r="B2115" s="628" t="s">
        <v>1328</v>
      </c>
      <c r="C2115" s="629" t="s">
        <v>100</v>
      </c>
      <c r="D2115" s="630">
        <v>61.2</v>
      </c>
      <c r="E2115" s="622"/>
      <c r="F2115" s="334"/>
      <c r="G2115" s="334"/>
      <c r="H2115" s="602"/>
      <c r="I2115" s="334"/>
      <c r="J2115" s="334"/>
      <c r="K2115" s="334"/>
      <c r="L2115" s="334"/>
      <c r="M2115" s="334"/>
      <c r="N2115" s="334"/>
      <c r="O2115" s="334"/>
    </row>
    <row r="2116" spans="1:15" ht="12.75" hidden="1" customHeight="1" outlineLevel="1" x14ac:dyDescent="0.2">
      <c r="A2116" s="618" t="s">
        <v>3031</v>
      </c>
      <c r="B2116" s="619" t="s">
        <v>1069</v>
      </c>
      <c r="C2116" s="620"/>
      <c r="D2116" s="621"/>
      <c r="E2116" s="622"/>
      <c r="F2116" s="334"/>
      <c r="G2116" s="334"/>
      <c r="H2116" s="602"/>
      <c r="I2116" s="334"/>
      <c r="J2116" s="334"/>
      <c r="K2116" s="334"/>
      <c r="L2116" s="334"/>
      <c r="M2116" s="334"/>
      <c r="N2116" s="334"/>
      <c r="O2116" s="334"/>
    </row>
    <row r="2117" spans="1:15" ht="12.75" hidden="1" customHeight="1" outlineLevel="1" x14ac:dyDescent="0.2">
      <c r="A2117" s="623" t="s">
        <v>3032</v>
      </c>
      <c r="B2117" s="624" t="s">
        <v>1324</v>
      </c>
      <c r="C2117" s="625" t="s">
        <v>100</v>
      </c>
      <c r="D2117" s="626">
        <v>16.28</v>
      </c>
      <c r="E2117" s="622"/>
      <c r="F2117" s="334"/>
      <c r="G2117" s="334"/>
      <c r="H2117" s="602"/>
      <c r="I2117" s="334"/>
      <c r="J2117" s="334"/>
      <c r="K2117" s="334"/>
      <c r="L2117" s="334"/>
      <c r="M2117" s="334"/>
      <c r="N2117" s="334"/>
      <c r="O2117" s="334"/>
    </row>
    <row r="2118" spans="1:15" ht="12.75" hidden="1" customHeight="1" outlineLevel="1" x14ac:dyDescent="0.2">
      <c r="A2118" s="627" t="s">
        <v>3033</v>
      </c>
      <c r="B2118" s="628" t="s">
        <v>1326</v>
      </c>
      <c r="C2118" s="629" t="s">
        <v>100</v>
      </c>
      <c r="D2118" s="630">
        <v>16.28</v>
      </c>
      <c r="E2118" s="622"/>
      <c r="F2118" s="334"/>
      <c r="G2118" s="334"/>
      <c r="H2118" s="602"/>
      <c r="I2118" s="334"/>
      <c r="J2118" s="334"/>
      <c r="K2118" s="334"/>
      <c r="L2118" s="334"/>
      <c r="M2118" s="334"/>
      <c r="N2118" s="334"/>
      <c r="O2118" s="334"/>
    </row>
    <row r="2119" spans="1:15" ht="12.75" hidden="1" customHeight="1" outlineLevel="1" x14ac:dyDescent="0.2">
      <c r="A2119" s="623" t="s">
        <v>3034</v>
      </c>
      <c r="B2119" s="624" t="s">
        <v>2877</v>
      </c>
      <c r="C2119" s="625" t="s">
        <v>100</v>
      </c>
      <c r="D2119" s="626">
        <v>16.28</v>
      </c>
      <c r="E2119" s="622"/>
      <c r="F2119" s="334"/>
      <c r="G2119" s="334"/>
      <c r="H2119" s="602"/>
      <c r="I2119" s="334"/>
      <c r="J2119" s="334"/>
      <c r="K2119" s="334"/>
      <c r="L2119" s="334"/>
      <c r="M2119" s="334"/>
      <c r="N2119" s="334"/>
      <c r="O2119" s="334"/>
    </row>
    <row r="2120" spans="1:15" ht="12.75" hidden="1" customHeight="1" outlineLevel="1" x14ac:dyDescent="0.2">
      <c r="A2120" s="627" t="s">
        <v>3035</v>
      </c>
      <c r="B2120" s="628" t="s">
        <v>1330</v>
      </c>
      <c r="C2120" s="629" t="s">
        <v>100</v>
      </c>
      <c r="D2120" s="630">
        <v>114.47</v>
      </c>
      <c r="E2120" s="622"/>
      <c r="F2120" s="334"/>
      <c r="G2120" s="334"/>
      <c r="H2120" s="602"/>
      <c r="I2120" s="334"/>
      <c r="J2120" s="334"/>
      <c r="K2120" s="334"/>
      <c r="L2120" s="334"/>
      <c r="M2120" s="334"/>
      <c r="N2120" s="334"/>
      <c r="O2120" s="334"/>
    </row>
    <row r="2121" spans="1:15" ht="12.75" hidden="1" customHeight="1" outlineLevel="1" x14ac:dyDescent="0.2">
      <c r="A2121" s="623" t="s">
        <v>3036</v>
      </c>
      <c r="B2121" s="624" t="s">
        <v>1324</v>
      </c>
      <c r="C2121" s="625" t="s">
        <v>100</v>
      </c>
      <c r="D2121" s="626">
        <v>114.47</v>
      </c>
      <c r="E2121" s="622"/>
      <c r="F2121" s="334"/>
      <c r="G2121" s="334"/>
      <c r="H2121" s="602"/>
      <c r="I2121" s="334"/>
      <c r="J2121" s="334"/>
      <c r="K2121" s="334"/>
      <c r="L2121" s="334"/>
      <c r="M2121" s="334"/>
      <c r="N2121" s="334"/>
      <c r="O2121" s="334"/>
    </row>
    <row r="2122" spans="1:15" ht="12.75" hidden="1" customHeight="1" outlineLevel="1" x14ac:dyDescent="0.2">
      <c r="A2122" s="627" t="s">
        <v>3037</v>
      </c>
      <c r="B2122" s="628" t="s">
        <v>1326</v>
      </c>
      <c r="C2122" s="629" t="s">
        <v>100</v>
      </c>
      <c r="D2122" s="630">
        <v>114.47</v>
      </c>
      <c r="E2122" s="622"/>
      <c r="F2122" s="334"/>
      <c r="G2122" s="334"/>
      <c r="H2122" s="602"/>
      <c r="I2122" s="334"/>
      <c r="J2122" s="334"/>
      <c r="K2122" s="334"/>
      <c r="L2122" s="334"/>
      <c r="M2122" s="334"/>
      <c r="N2122" s="334"/>
      <c r="O2122" s="334"/>
    </row>
    <row r="2123" spans="1:15" ht="12.75" hidden="1" customHeight="1" outlineLevel="1" x14ac:dyDescent="0.2">
      <c r="A2123" s="623" t="s">
        <v>3038</v>
      </c>
      <c r="B2123" s="628" t="s">
        <v>1330</v>
      </c>
      <c r="C2123" s="625" t="s">
        <v>100</v>
      </c>
      <c r="D2123" s="626">
        <v>494.13</v>
      </c>
      <c r="E2123" s="622"/>
      <c r="F2123" s="334"/>
      <c r="G2123" s="334"/>
      <c r="H2123" s="602"/>
      <c r="I2123" s="334"/>
      <c r="J2123" s="334"/>
      <c r="K2123" s="334"/>
      <c r="L2123" s="334"/>
      <c r="M2123" s="334"/>
      <c r="N2123" s="334"/>
      <c r="O2123" s="334"/>
    </row>
    <row r="2124" spans="1:15" ht="12.75" hidden="1" customHeight="1" outlineLevel="1" x14ac:dyDescent="0.2">
      <c r="A2124" s="627" t="s">
        <v>3039</v>
      </c>
      <c r="B2124" s="624" t="s">
        <v>1324</v>
      </c>
      <c r="C2124" s="629" t="s">
        <v>100</v>
      </c>
      <c r="D2124" s="630">
        <v>494.13</v>
      </c>
      <c r="E2124" s="622"/>
      <c r="F2124" s="334"/>
      <c r="G2124" s="334"/>
      <c r="H2124" s="602"/>
      <c r="I2124" s="334"/>
      <c r="J2124" s="334"/>
      <c r="K2124" s="334"/>
      <c r="L2124" s="334"/>
      <c r="M2124" s="334"/>
      <c r="N2124" s="334"/>
      <c r="O2124" s="334"/>
    </row>
    <row r="2125" spans="1:15" ht="12.75" hidden="1" customHeight="1" outlineLevel="1" x14ac:dyDescent="0.2">
      <c r="A2125" s="623" t="s">
        <v>3040</v>
      </c>
      <c r="B2125" s="628" t="s">
        <v>1326</v>
      </c>
      <c r="C2125" s="625" t="s">
        <v>100</v>
      </c>
      <c r="D2125" s="626">
        <v>494.13</v>
      </c>
      <c r="E2125" s="622"/>
      <c r="F2125" s="334"/>
      <c r="G2125" s="334"/>
      <c r="H2125" s="602"/>
      <c r="I2125" s="334"/>
      <c r="J2125" s="334"/>
      <c r="K2125" s="334"/>
      <c r="L2125" s="334"/>
      <c r="M2125" s="334"/>
      <c r="N2125" s="334"/>
      <c r="O2125" s="334"/>
    </row>
    <row r="2126" spans="1:15" ht="12.75" hidden="1" customHeight="1" outlineLevel="1" x14ac:dyDescent="0.2">
      <c r="A2126" s="627" t="s">
        <v>3041</v>
      </c>
      <c r="B2126" s="628" t="s">
        <v>1330</v>
      </c>
      <c r="C2126" s="629" t="s">
        <v>100</v>
      </c>
      <c r="D2126" s="630">
        <v>135.16</v>
      </c>
      <c r="E2126" s="622"/>
      <c r="F2126" s="334"/>
      <c r="G2126" s="334"/>
      <c r="H2126" s="602"/>
      <c r="I2126" s="334"/>
      <c r="J2126" s="334"/>
      <c r="K2126" s="334"/>
      <c r="L2126" s="334"/>
      <c r="M2126" s="334"/>
      <c r="N2126" s="334"/>
      <c r="O2126" s="334"/>
    </row>
    <row r="2127" spans="1:15" ht="12.75" hidden="1" customHeight="1" outlineLevel="1" x14ac:dyDescent="0.2">
      <c r="A2127" s="623" t="s">
        <v>3042</v>
      </c>
      <c r="B2127" s="624" t="s">
        <v>1324</v>
      </c>
      <c r="C2127" s="625" t="s">
        <v>100</v>
      </c>
      <c r="D2127" s="626">
        <v>135.16</v>
      </c>
      <c r="E2127" s="622"/>
      <c r="F2127" s="334"/>
      <c r="G2127" s="334"/>
      <c r="H2127" s="602"/>
      <c r="I2127" s="334"/>
      <c r="J2127" s="334"/>
      <c r="K2127" s="334"/>
      <c r="L2127" s="334"/>
      <c r="M2127" s="334"/>
      <c r="N2127" s="334"/>
      <c r="O2127" s="334"/>
    </row>
    <row r="2128" spans="1:15" ht="12.75" hidden="1" customHeight="1" outlineLevel="1" x14ac:dyDescent="0.2">
      <c r="A2128" s="627" t="s">
        <v>3043</v>
      </c>
      <c r="B2128" s="628" t="s">
        <v>1326</v>
      </c>
      <c r="C2128" s="629" t="s">
        <v>100</v>
      </c>
      <c r="D2128" s="630">
        <v>135.16</v>
      </c>
      <c r="E2128" s="622"/>
      <c r="F2128" s="334"/>
      <c r="G2128" s="334"/>
      <c r="H2128" s="602"/>
      <c r="I2128" s="334"/>
      <c r="J2128" s="334"/>
      <c r="K2128" s="334"/>
      <c r="L2128" s="334"/>
      <c r="M2128" s="334"/>
      <c r="N2128" s="334"/>
      <c r="O2128" s="334"/>
    </row>
    <row r="2129" spans="1:15" ht="12.75" hidden="1" customHeight="1" outlineLevel="1" x14ac:dyDescent="0.2">
      <c r="A2129" s="623" t="s">
        <v>3044</v>
      </c>
      <c r="B2129" s="628" t="s">
        <v>1330</v>
      </c>
      <c r="C2129" s="625" t="s">
        <v>100</v>
      </c>
      <c r="D2129" s="626">
        <v>14.44</v>
      </c>
      <c r="E2129" s="622"/>
      <c r="F2129" s="334"/>
      <c r="G2129" s="334"/>
      <c r="H2129" s="602"/>
      <c r="I2129" s="334"/>
      <c r="J2129" s="334"/>
      <c r="K2129" s="334"/>
      <c r="L2129" s="334"/>
      <c r="M2129" s="334"/>
      <c r="N2129" s="334"/>
      <c r="O2129" s="334"/>
    </row>
    <row r="2130" spans="1:15" ht="12.75" hidden="1" customHeight="1" outlineLevel="1" x14ac:dyDescent="0.2">
      <c r="A2130" s="627" t="s">
        <v>3045</v>
      </c>
      <c r="B2130" s="624" t="s">
        <v>1324</v>
      </c>
      <c r="C2130" s="629" t="s">
        <v>100</v>
      </c>
      <c r="D2130" s="630">
        <v>14.44</v>
      </c>
      <c r="E2130" s="622"/>
      <c r="F2130" s="334"/>
      <c r="G2130" s="334"/>
      <c r="H2130" s="602"/>
      <c r="I2130" s="334"/>
      <c r="J2130" s="334"/>
      <c r="K2130" s="334"/>
      <c r="L2130" s="334"/>
      <c r="M2130" s="334"/>
      <c r="N2130" s="334"/>
      <c r="O2130" s="334"/>
    </row>
    <row r="2131" spans="1:15" ht="12.75" hidden="1" customHeight="1" outlineLevel="1" x14ac:dyDescent="0.2">
      <c r="A2131" s="623" t="s">
        <v>3046</v>
      </c>
      <c r="B2131" s="628" t="s">
        <v>1326</v>
      </c>
      <c r="C2131" s="625" t="s">
        <v>100</v>
      </c>
      <c r="D2131" s="626">
        <v>14.44</v>
      </c>
      <c r="E2131" s="622"/>
      <c r="F2131" s="334"/>
      <c r="G2131" s="334"/>
      <c r="H2131" s="602"/>
      <c r="I2131" s="334"/>
      <c r="J2131" s="334"/>
      <c r="K2131" s="334"/>
      <c r="L2131" s="334"/>
      <c r="M2131" s="334"/>
      <c r="N2131" s="334"/>
      <c r="O2131" s="334"/>
    </row>
    <row r="2132" spans="1:15" ht="12.75" hidden="1" customHeight="1" outlineLevel="1" x14ac:dyDescent="0.2">
      <c r="A2132" s="627" t="s">
        <v>3047</v>
      </c>
      <c r="B2132" s="628" t="s">
        <v>1330</v>
      </c>
      <c r="C2132" s="629" t="s">
        <v>100</v>
      </c>
      <c r="D2132" s="630">
        <v>13.78</v>
      </c>
      <c r="E2132" s="622"/>
      <c r="F2132" s="334"/>
      <c r="G2132" s="334"/>
      <c r="H2132" s="602"/>
      <c r="I2132" s="334"/>
      <c r="J2132" s="334"/>
      <c r="K2132" s="334"/>
      <c r="L2132" s="334"/>
      <c r="M2132" s="334"/>
      <c r="N2132" s="334"/>
      <c r="O2132" s="334"/>
    </row>
    <row r="2133" spans="1:15" ht="12.75" hidden="1" customHeight="1" outlineLevel="1" x14ac:dyDescent="0.2">
      <c r="A2133" s="623" t="s">
        <v>3048</v>
      </c>
      <c r="B2133" s="624" t="s">
        <v>1324</v>
      </c>
      <c r="C2133" s="625" t="s">
        <v>100</v>
      </c>
      <c r="D2133" s="626">
        <v>13.78</v>
      </c>
      <c r="E2133" s="622"/>
      <c r="F2133" s="334"/>
      <c r="G2133" s="334"/>
      <c r="H2133" s="602"/>
      <c r="I2133" s="334"/>
      <c r="J2133" s="334"/>
      <c r="K2133" s="334"/>
      <c r="L2133" s="334"/>
      <c r="M2133" s="334"/>
      <c r="N2133" s="334"/>
      <c r="O2133" s="334"/>
    </row>
    <row r="2134" spans="1:15" ht="12.75" hidden="1" customHeight="1" outlineLevel="1" x14ac:dyDescent="0.2">
      <c r="A2134" s="627" t="s">
        <v>3049</v>
      </c>
      <c r="B2134" s="628" t="s">
        <v>1326</v>
      </c>
      <c r="C2134" s="629" t="s">
        <v>100</v>
      </c>
      <c r="D2134" s="630">
        <v>13.78</v>
      </c>
      <c r="E2134" s="622"/>
      <c r="F2134" s="334"/>
      <c r="G2134" s="334"/>
      <c r="H2134" s="602"/>
      <c r="I2134" s="334"/>
      <c r="J2134" s="334"/>
      <c r="K2134" s="334"/>
      <c r="L2134" s="334"/>
      <c r="M2134" s="334"/>
      <c r="N2134" s="334"/>
      <c r="O2134" s="334"/>
    </row>
    <row r="2135" spans="1:15" ht="12.75" hidden="1" customHeight="1" outlineLevel="1" x14ac:dyDescent="0.2">
      <c r="A2135" s="623" t="s">
        <v>3050</v>
      </c>
      <c r="B2135" s="628" t="s">
        <v>1330</v>
      </c>
      <c r="C2135" s="625" t="s">
        <v>100</v>
      </c>
      <c r="D2135" s="626">
        <v>65.11</v>
      </c>
      <c r="E2135" s="622"/>
      <c r="F2135" s="334"/>
      <c r="G2135" s="334"/>
      <c r="H2135" s="602"/>
      <c r="I2135" s="334"/>
      <c r="J2135" s="334"/>
      <c r="K2135" s="334"/>
      <c r="L2135" s="334"/>
      <c r="M2135" s="334"/>
      <c r="N2135" s="334"/>
      <c r="O2135" s="334"/>
    </row>
    <row r="2136" spans="1:15" ht="12.75" hidden="1" customHeight="1" outlineLevel="1" x14ac:dyDescent="0.2">
      <c r="A2136" s="627" t="s">
        <v>3051</v>
      </c>
      <c r="B2136" s="624" t="s">
        <v>1324</v>
      </c>
      <c r="C2136" s="629" t="s">
        <v>100</v>
      </c>
      <c r="D2136" s="630">
        <v>65.11</v>
      </c>
      <c r="E2136" s="622"/>
      <c r="F2136" s="334"/>
      <c r="G2136" s="334"/>
      <c r="H2136" s="602"/>
      <c r="I2136" s="334"/>
      <c r="J2136" s="334"/>
      <c r="K2136" s="334"/>
      <c r="L2136" s="334"/>
      <c r="M2136" s="334"/>
      <c r="N2136" s="334"/>
      <c r="O2136" s="334"/>
    </row>
    <row r="2137" spans="1:15" ht="12.75" hidden="1" customHeight="1" outlineLevel="1" x14ac:dyDescent="0.2">
      <c r="A2137" s="623" t="s">
        <v>3052</v>
      </c>
      <c r="B2137" s="628" t="s">
        <v>1326</v>
      </c>
      <c r="C2137" s="625" t="s">
        <v>100</v>
      </c>
      <c r="D2137" s="626">
        <v>65.11</v>
      </c>
      <c r="E2137" s="622"/>
      <c r="F2137" s="334"/>
      <c r="G2137" s="334"/>
      <c r="H2137" s="602"/>
      <c r="I2137" s="334"/>
      <c r="J2137" s="334"/>
      <c r="K2137" s="334"/>
      <c r="L2137" s="334"/>
      <c r="M2137" s="334"/>
      <c r="N2137" s="334"/>
      <c r="O2137" s="334"/>
    </row>
    <row r="2138" spans="1:15" ht="12.75" hidden="1" customHeight="1" outlineLevel="1" x14ac:dyDescent="0.2">
      <c r="A2138" s="627" t="s">
        <v>3053</v>
      </c>
      <c r="B2138" s="628" t="s">
        <v>1330</v>
      </c>
      <c r="C2138" s="629" t="s">
        <v>100</v>
      </c>
      <c r="D2138" s="630">
        <v>10.47</v>
      </c>
      <c r="E2138" s="622"/>
      <c r="F2138" s="334"/>
      <c r="G2138" s="334"/>
      <c r="H2138" s="602"/>
      <c r="I2138" s="334"/>
      <c r="J2138" s="334"/>
      <c r="K2138" s="334"/>
      <c r="L2138" s="334"/>
      <c r="M2138" s="334"/>
      <c r="N2138" s="334"/>
      <c r="O2138" s="334"/>
    </row>
    <row r="2139" spans="1:15" ht="12.75" hidden="1" customHeight="1" outlineLevel="1" x14ac:dyDescent="0.2">
      <c r="A2139" s="623" t="s">
        <v>3054</v>
      </c>
      <c r="B2139" s="624" t="s">
        <v>1324</v>
      </c>
      <c r="C2139" s="625" t="s">
        <v>100</v>
      </c>
      <c r="D2139" s="626">
        <v>10.47</v>
      </c>
      <c r="E2139" s="622"/>
      <c r="F2139" s="334"/>
      <c r="G2139" s="334"/>
      <c r="H2139" s="602"/>
      <c r="I2139" s="334"/>
      <c r="J2139" s="334"/>
      <c r="K2139" s="334"/>
      <c r="L2139" s="334"/>
      <c r="M2139" s="334"/>
      <c r="N2139" s="334"/>
      <c r="O2139" s="334"/>
    </row>
    <row r="2140" spans="1:15" ht="12.75" hidden="1" customHeight="1" outlineLevel="1" x14ac:dyDescent="0.2">
      <c r="A2140" s="627" t="s">
        <v>3055</v>
      </c>
      <c r="B2140" s="628" t="s">
        <v>1326</v>
      </c>
      <c r="C2140" s="629" t="s">
        <v>100</v>
      </c>
      <c r="D2140" s="630">
        <v>10.47</v>
      </c>
      <c r="E2140" s="622"/>
      <c r="F2140" s="334"/>
      <c r="G2140" s="334"/>
      <c r="H2140" s="602"/>
      <c r="I2140" s="334"/>
      <c r="J2140" s="334"/>
      <c r="K2140" s="334"/>
      <c r="L2140" s="334"/>
      <c r="M2140" s="334"/>
      <c r="N2140" s="334"/>
      <c r="O2140" s="334"/>
    </row>
    <row r="2141" spans="1:15" ht="12.75" hidden="1" customHeight="1" outlineLevel="1" x14ac:dyDescent="0.2">
      <c r="A2141" s="623" t="s">
        <v>3056</v>
      </c>
      <c r="B2141" s="624" t="s">
        <v>1324</v>
      </c>
      <c r="C2141" s="625" t="s">
        <v>100</v>
      </c>
      <c r="D2141" s="626">
        <v>46.4</v>
      </c>
      <c r="E2141" s="622"/>
      <c r="F2141" s="334"/>
      <c r="G2141" s="334"/>
      <c r="H2141" s="602"/>
      <c r="I2141" s="334"/>
      <c r="J2141" s="334"/>
      <c r="K2141" s="334"/>
      <c r="L2141" s="334"/>
      <c r="M2141" s="334"/>
      <c r="N2141" s="334"/>
      <c r="O2141" s="334"/>
    </row>
    <row r="2142" spans="1:15" ht="12.75" hidden="1" customHeight="1" outlineLevel="1" x14ac:dyDescent="0.2">
      <c r="A2142" s="627" t="s">
        <v>3057</v>
      </c>
      <c r="B2142" s="628" t="s">
        <v>1324</v>
      </c>
      <c r="C2142" s="629" t="s">
        <v>100</v>
      </c>
      <c r="D2142" s="630">
        <v>61.2</v>
      </c>
      <c r="E2142" s="622"/>
      <c r="F2142" s="334"/>
      <c r="G2142" s="334"/>
      <c r="H2142" s="602"/>
      <c r="I2142" s="334"/>
      <c r="J2142" s="334"/>
      <c r="K2142" s="334"/>
      <c r="L2142" s="334"/>
      <c r="M2142" s="334"/>
      <c r="N2142" s="334"/>
      <c r="O2142" s="334"/>
    </row>
    <row r="2143" spans="1:15" ht="12.75" hidden="1" customHeight="1" outlineLevel="1" x14ac:dyDescent="0.2">
      <c r="A2143" s="623" t="s">
        <v>3058</v>
      </c>
      <c r="B2143" s="624" t="s">
        <v>1326</v>
      </c>
      <c r="C2143" s="625" t="s">
        <v>100</v>
      </c>
      <c r="D2143" s="626">
        <v>61.2</v>
      </c>
      <c r="E2143" s="622"/>
      <c r="F2143" s="334"/>
      <c r="G2143" s="334"/>
      <c r="H2143" s="602"/>
      <c r="I2143" s="334"/>
      <c r="J2143" s="334"/>
      <c r="K2143" s="334"/>
      <c r="L2143" s="334"/>
      <c r="M2143" s="334"/>
      <c r="N2143" s="334"/>
      <c r="O2143" s="334"/>
    </row>
    <row r="2144" spans="1:15" ht="12.75" hidden="1" customHeight="1" outlineLevel="1" x14ac:dyDescent="0.2">
      <c r="A2144" s="627" t="s">
        <v>3059</v>
      </c>
      <c r="B2144" s="628" t="s">
        <v>1328</v>
      </c>
      <c r="C2144" s="629" t="s">
        <v>100</v>
      </c>
      <c r="D2144" s="630">
        <v>61.2</v>
      </c>
      <c r="E2144" s="622"/>
      <c r="F2144" s="334"/>
      <c r="G2144" s="334"/>
      <c r="H2144" s="602"/>
      <c r="I2144" s="334"/>
      <c r="J2144" s="334"/>
      <c r="K2144" s="334"/>
      <c r="L2144" s="334"/>
      <c r="M2144" s="334"/>
      <c r="N2144" s="334"/>
      <c r="O2144" s="334"/>
    </row>
    <row r="2145" spans="1:15" ht="12.75" hidden="1" customHeight="1" outlineLevel="1" x14ac:dyDescent="0.2">
      <c r="A2145" s="618" t="s">
        <v>3060</v>
      </c>
      <c r="B2145" s="619" t="s">
        <v>1079</v>
      </c>
      <c r="C2145" s="620"/>
      <c r="D2145" s="621"/>
      <c r="E2145" s="622"/>
      <c r="F2145" s="334"/>
      <c r="G2145" s="334"/>
      <c r="H2145" s="602"/>
      <c r="I2145" s="334"/>
      <c r="J2145" s="334"/>
      <c r="K2145" s="334"/>
      <c r="L2145" s="334"/>
      <c r="M2145" s="334"/>
      <c r="N2145" s="334"/>
      <c r="O2145" s="334"/>
    </row>
    <row r="2146" spans="1:15" ht="12.75" hidden="1" customHeight="1" outlineLevel="1" x14ac:dyDescent="0.2">
      <c r="A2146" s="623" t="s">
        <v>3061</v>
      </c>
      <c r="B2146" s="624" t="s">
        <v>1324</v>
      </c>
      <c r="C2146" s="625" t="s">
        <v>100</v>
      </c>
      <c r="D2146" s="626">
        <v>16.28</v>
      </c>
      <c r="E2146" s="622"/>
      <c r="F2146" s="334"/>
      <c r="G2146" s="334"/>
      <c r="H2146" s="602"/>
      <c r="I2146" s="334"/>
      <c r="J2146" s="334"/>
      <c r="K2146" s="334"/>
      <c r="L2146" s="334"/>
      <c r="M2146" s="334"/>
      <c r="N2146" s="334"/>
      <c r="O2146" s="334"/>
    </row>
    <row r="2147" spans="1:15" ht="12.75" hidden="1" customHeight="1" outlineLevel="1" x14ac:dyDescent="0.2">
      <c r="A2147" s="627" t="s">
        <v>3062</v>
      </c>
      <c r="B2147" s="628" t="s">
        <v>1326</v>
      </c>
      <c r="C2147" s="629" t="s">
        <v>100</v>
      </c>
      <c r="D2147" s="630">
        <v>16.28</v>
      </c>
      <c r="E2147" s="622"/>
      <c r="F2147" s="334"/>
      <c r="G2147" s="334"/>
      <c r="H2147" s="602"/>
      <c r="I2147" s="334"/>
      <c r="J2147" s="334"/>
      <c r="K2147" s="334"/>
      <c r="L2147" s="334"/>
      <c r="M2147" s="334"/>
      <c r="N2147" s="334"/>
      <c r="O2147" s="334"/>
    </row>
    <row r="2148" spans="1:15" ht="12.75" hidden="1" customHeight="1" outlineLevel="1" x14ac:dyDescent="0.2">
      <c r="A2148" s="623" t="s">
        <v>3063</v>
      </c>
      <c r="B2148" s="624" t="s">
        <v>2877</v>
      </c>
      <c r="C2148" s="625" t="s">
        <v>100</v>
      </c>
      <c r="D2148" s="626">
        <v>16.28</v>
      </c>
      <c r="E2148" s="622"/>
      <c r="F2148" s="334"/>
      <c r="G2148" s="334"/>
      <c r="H2148" s="602"/>
      <c r="I2148" s="334"/>
      <c r="J2148" s="334"/>
      <c r="K2148" s="334"/>
      <c r="L2148" s="334"/>
      <c r="M2148" s="334"/>
      <c r="N2148" s="334"/>
      <c r="O2148" s="334"/>
    </row>
    <row r="2149" spans="1:15" ht="12.75" hidden="1" customHeight="1" outlineLevel="1" x14ac:dyDescent="0.2">
      <c r="A2149" s="627" t="s">
        <v>3064</v>
      </c>
      <c r="B2149" s="628" t="s">
        <v>1330</v>
      </c>
      <c r="C2149" s="629" t="s">
        <v>100</v>
      </c>
      <c r="D2149" s="630">
        <v>114.47</v>
      </c>
      <c r="E2149" s="622"/>
      <c r="F2149" s="334"/>
      <c r="G2149" s="334"/>
      <c r="H2149" s="602"/>
      <c r="I2149" s="334"/>
      <c r="J2149" s="334"/>
      <c r="K2149" s="334"/>
      <c r="L2149" s="334"/>
      <c r="M2149" s="334"/>
      <c r="N2149" s="334"/>
      <c r="O2149" s="334"/>
    </row>
    <row r="2150" spans="1:15" ht="12.75" hidden="1" customHeight="1" outlineLevel="1" x14ac:dyDescent="0.2">
      <c r="A2150" s="623" t="s">
        <v>3065</v>
      </c>
      <c r="B2150" s="624" t="s">
        <v>1324</v>
      </c>
      <c r="C2150" s="625" t="s">
        <v>100</v>
      </c>
      <c r="D2150" s="626">
        <v>114.47</v>
      </c>
      <c r="E2150" s="622"/>
      <c r="F2150" s="334"/>
      <c r="G2150" s="334"/>
      <c r="H2150" s="602"/>
      <c r="I2150" s="334"/>
      <c r="J2150" s="334"/>
      <c r="K2150" s="334"/>
      <c r="L2150" s="334"/>
      <c r="M2150" s="334"/>
      <c r="N2150" s="334"/>
      <c r="O2150" s="334"/>
    </row>
    <row r="2151" spans="1:15" ht="12.75" hidden="1" customHeight="1" outlineLevel="1" x14ac:dyDescent="0.2">
      <c r="A2151" s="627" t="s">
        <v>3066</v>
      </c>
      <c r="B2151" s="628" t="s">
        <v>1326</v>
      </c>
      <c r="C2151" s="629" t="s">
        <v>100</v>
      </c>
      <c r="D2151" s="630">
        <v>114.47</v>
      </c>
      <c r="E2151" s="622"/>
      <c r="F2151" s="334"/>
      <c r="G2151" s="334"/>
      <c r="H2151" s="602"/>
      <c r="I2151" s="334"/>
      <c r="J2151" s="334"/>
      <c r="K2151" s="334"/>
      <c r="L2151" s="334"/>
      <c r="M2151" s="334"/>
      <c r="N2151" s="334"/>
      <c r="O2151" s="334"/>
    </row>
    <row r="2152" spans="1:15" ht="12.75" hidden="1" customHeight="1" outlineLevel="1" x14ac:dyDescent="0.2">
      <c r="A2152" s="623" t="s">
        <v>3067</v>
      </c>
      <c r="B2152" s="628" t="s">
        <v>1330</v>
      </c>
      <c r="C2152" s="625" t="s">
        <v>100</v>
      </c>
      <c r="D2152" s="626">
        <v>494.13</v>
      </c>
      <c r="E2152" s="622"/>
      <c r="F2152" s="334"/>
      <c r="G2152" s="334"/>
      <c r="H2152" s="602"/>
      <c r="I2152" s="334"/>
      <c r="J2152" s="334"/>
      <c r="K2152" s="334"/>
      <c r="L2152" s="334"/>
      <c r="M2152" s="334"/>
      <c r="N2152" s="334"/>
      <c r="O2152" s="334"/>
    </row>
    <row r="2153" spans="1:15" ht="12.75" hidden="1" customHeight="1" outlineLevel="1" x14ac:dyDescent="0.2">
      <c r="A2153" s="627" t="s">
        <v>3068</v>
      </c>
      <c r="B2153" s="624" t="s">
        <v>1324</v>
      </c>
      <c r="C2153" s="629" t="s">
        <v>100</v>
      </c>
      <c r="D2153" s="630">
        <v>494.13</v>
      </c>
      <c r="E2153" s="622"/>
      <c r="F2153" s="334"/>
      <c r="G2153" s="334"/>
      <c r="H2153" s="602"/>
      <c r="I2153" s="334"/>
      <c r="J2153" s="334"/>
      <c r="K2153" s="334"/>
      <c r="L2153" s="334"/>
      <c r="M2153" s="334"/>
      <c r="N2153" s="334"/>
      <c r="O2153" s="334"/>
    </row>
    <row r="2154" spans="1:15" ht="12.75" hidden="1" customHeight="1" outlineLevel="1" x14ac:dyDescent="0.2">
      <c r="A2154" s="623" t="s">
        <v>3069</v>
      </c>
      <c r="B2154" s="628" t="s">
        <v>1326</v>
      </c>
      <c r="C2154" s="625" t="s">
        <v>100</v>
      </c>
      <c r="D2154" s="626">
        <v>494.13</v>
      </c>
      <c r="E2154" s="622"/>
      <c r="F2154" s="334"/>
      <c r="G2154" s="334"/>
      <c r="H2154" s="602"/>
      <c r="I2154" s="334"/>
      <c r="J2154" s="334"/>
      <c r="K2154" s="334"/>
      <c r="L2154" s="334"/>
      <c r="M2154" s="334"/>
      <c r="N2154" s="334"/>
      <c r="O2154" s="334"/>
    </row>
    <row r="2155" spans="1:15" ht="12.75" hidden="1" customHeight="1" outlineLevel="1" x14ac:dyDescent="0.2">
      <c r="A2155" s="627" t="s">
        <v>3070</v>
      </c>
      <c r="B2155" s="628" t="s">
        <v>1330</v>
      </c>
      <c r="C2155" s="629" t="s">
        <v>100</v>
      </c>
      <c r="D2155" s="630">
        <v>135.16</v>
      </c>
      <c r="E2155" s="622"/>
      <c r="F2155" s="334"/>
      <c r="G2155" s="334"/>
      <c r="H2155" s="602"/>
      <c r="I2155" s="334"/>
      <c r="J2155" s="334"/>
      <c r="K2155" s="334"/>
      <c r="L2155" s="334"/>
      <c r="M2155" s="334"/>
      <c r="N2155" s="334"/>
      <c r="O2155" s="334"/>
    </row>
    <row r="2156" spans="1:15" ht="12.75" hidden="1" customHeight="1" outlineLevel="1" x14ac:dyDescent="0.2">
      <c r="A2156" s="623" t="s">
        <v>3071</v>
      </c>
      <c r="B2156" s="624" t="s">
        <v>1324</v>
      </c>
      <c r="C2156" s="625" t="s">
        <v>100</v>
      </c>
      <c r="D2156" s="626">
        <v>135.16</v>
      </c>
      <c r="E2156" s="622"/>
      <c r="F2156" s="334"/>
      <c r="G2156" s="334"/>
      <c r="H2156" s="602"/>
      <c r="I2156" s="334"/>
      <c r="J2156" s="334"/>
      <c r="K2156" s="334"/>
      <c r="L2156" s="334"/>
      <c r="M2156" s="334"/>
      <c r="N2156" s="334"/>
      <c r="O2156" s="334"/>
    </row>
    <row r="2157" spans="1:15" ht="12.75" hidden="1" customHeight="1" outlineLevel="1" x14ac:dyDescent="0.2">
      <c r="A2157" s="627" t="s">
        <v>3072</v>
      </c>
      <c r="B2157" s="628" t="s">
        <v>1326</v>
      </c>
      <c r="C2157" s="629" t="s">
        <v>100</v>
      </c>
      <c r="D2157" s="630">
        <v>135.16</v>
      </c>
      <c r="E2157" s="622"/>
      <c r="F2157" s="334"/>
      <c r="G2157" s="334"/>
      <c r="H2157" s="602"/>
      <c r="I2157" s="334"/>
      <c r="J2157" s="334"/>
      <c r="K2157" s="334"/>
      <c r="L2157" s="334"/>
      <c r="M2157" s="334"/>
      <c r="N2157" s="334"/>
      <c r="O2157" s="334"/>
    </row>
    <row r="2158" spans="1:15" ht="12.75" hidden="1" customHeight="1" outlineLevel="1" x14ac:dyDescent="0.2">
      <c r="A2158" s="623" t="s">
        <v>3073</v>
      </c>
      <c r="B2158" s="628" t="s">
        <v>1330</v>
      </c>
      <c r="C2158" s="625" t="s">
        <v>100</v>
      </c>
      <c r="D2158" s="626">
        <v>14.44</v>
      </c>
      <c r="E2158" s="622"/>
      <c r="F2158" s="334"/>
      <c r="G2158" s="334"/>
      <c r="H2158" s="602"/>
      <c r="I2158" s="334"/>
      <c r="J2158" s="334"/>
      <c r="K2158" s="334"/>
      <c r="L2158" s="334"/>
      <c r="M2158" s="334"/>
      <c r="N2158" s="334"/>
      <c r="O2158" s="334"/>
    </row>
    <row r="2159" spans="1:15" ht="12.75" hidden="1" customHeight="1" outlineLevel="1" x14ac:dyDescent="0.2">
      <c r="A2159" s="627" t="s">
        <v>3074</v>
      </c>
      <c r="B2159" s="624" t="s">
        <v>1324</v>
      </c>
      <c r="C2159" s="629" t="s">
        <v>100</v>
      </c>
      <c r="D2159" s="630">
        <v>14.44</v>
      </c>
      <c r="E2159" s="622"/>
      <c r="F2159" s="334"/>
      <c r="G2159" s="334"/>
      <c r="H2159" s="602"/>
      <c r="I2159" s="334"/>
      <c r="J2159" s="334"/>
      <c r="K2159" s="334"/>
      <c r="L2159" s="334"/>
      <c r="M2159" s="334"/>
      <c r="N2159" s="334"/>
      <c r="O2159" s="334"/>
    </row>
    <row r="2160" spans="1:15" ht="12.75" hidden="1" customHeight="1" outlineLevel="1" x14ac:dyDescent="0.2">
      <c r="A2160" s="623" t="s">
        <v>3075</v>
      </c>
      <c r="B2160" s="628" t="s">
        <v>1326</v>
      </c>
      <c r="C2160" s="625" t="s">
        <v>100</v>
      </c>
      <c r="D2160" s="626">
        <v>14.44</v>
      </c>
      <c r="E2160" s="622"/>
      <c r="F2160" s="334"/>
      <c r="G2160" s="334"/>
      <c r="H2160" s="602"/>
      <c r="I2160" s="334"/>
      <c r="J2160" s="334"/>
      <c r="K2160" s="334"/>
      <c r="L2160" s="334"/>
      <c r="M2160" s="334"/>
      <c r="N2160" s="334"/>
      <c r="O2160" s="334"/>
    </row>
    <row r="2161" spans="1:15" ht="12.75" hidden="1" customHeight="1" outlineLevel="1" x14ac:dyDescent="0.2">
      <c r="A2161" s="627" t="s">
        <v>3076</v>
      </c>
      <c r="B2161" s="628" t="s">
        <v>1330</v>
      </c>
      <c r="C2161" s="629" t="s">
        <v>100</v>
      </c>
      <c r="D2161" s="630">
        <v>13.78</v>
      </c>
      <c r="E2161" s="622"/>
      <c r="F2161" s="334"/>
      <c r="G2161" s="334"/>
      <c r="H2161" s="602"/>
      <c r="I2161" s="334"/>
      <c r="J2161" s="334"/>
      <c r="K2161" s="334"/>
      <c r="L2161" s="334"/>
      <c r="M2161" s="334"/>
      <c r="N2161" s="334"/>
      <c r="O2161" s="334"/>
    </row>
    <row r="2162" spans="1:15" ht="12.75" hidden="1" customHeight="1" outlineLevel="1" x14ac:dyDescent="0.2">
      <c r="A2162" s="623" t="s">
        <v>3077</v>
      </c>
      <c r="B2162" s="624" t="s">
        <v>1324</v>
      </c>
      <c r="C2162" s="625" t="s">
        <v>100</v>
      </c>
      <c r="D2162" s="626">
        <v>13.78</v>
      </c>
      <c r="E2162" s="622"/>
      <c r="F2162" s="334"/>
      <c r="G2162" s="334"/>
      <c r="H2162" s="602"/>
      <c r="I2162" s="334"/>
      <c r="J2162" s="334"/>
      <c r="K2162" s="334"/>
      <c r="L2162" s="334"/>
      <c r="M2162" s="334"/>
      <c r="N2162" s="334"/>
      <c r="O2162" s="334"/>
    </row>
    <row r="2163" spans="1:15" ht="12.75" hidden="1" customHeight="1" outlineLevel="1" x14ac:dyDescent="0.2">
      <c r="A2163" s="627" t="s">
        <v>3078</v>
      </c>
      <c r="B2163" s="628" t="s">
        <v>1326</v>
      </c>
      <c r="C2163" s="629" t="s">
        <v>100</v>
      </c>
      <c r="D2163" s="630">
        <v>13.78</v>
      </c>
      <c r="E2163" s="622"/>
      <c r="F2163" s="334"/>
      <c r="G2163" s="334"/>
      <c r="H2163" s="602"/>
      <c r="I2163" s="334"/>
      <c r="J2163" s="334"/>
      <c r="K2163" s="334"/>
      <c r="L2163" s="334"/>
      <c r="M2163" s="334"/>
      <c r="N2163" s="334"/>
      <c r="O2163" s="334"/>
    </row>
    <row r="2164" spans="1:15" ht="12.75" hidden="1" customHeight="1" outlineLevel="1" x14ac:dyDescent="0.2">
      <c r="A2164" s="623" t="s">
        <v>3079</v>
      </c>
      <c r="B2164" s="628" t="s">
        <v>1330</v>
      </c>
      <c r="C2164" s="625" t="s">
        <v>100</v>
      </c>
      <c r="D2164" s="626">
        <v>65.11</v>
      </c>
      <c r="E2164" s="622"/>
      <c r="F2164" s="334"/>
      <c r="G2164" s="334"/>
      <c r="H2164" s="602"/>
      <c r="I2164" s="334"/>
      <c r="J2164" s="334"/>
      <c r="K2164" s="334"/>
      <c r="L2164" s="334"/>
      <c r="M2164" s="334"/>
      <c r="N2164" s="334"/>
      <c r="O2164" s="334"/>
    </row>
    <row r="2165" spans="1:15" ht="12.75" hidden="1" customHeight="1" outlineLevel="1" x14ac:dyDescent="0.2">
      <c r="A2165" s="627" t="s">
        <v>3080</v>
      </c>
      <c r="B2165" s="624" t="s">
        <v>1324</v>
      </c>
      <c r="C2165" s="629" t="s">
        <v>100</v>
      </c>
      <c r="D2165" s="630">
        <v>65.11</v>
      </c>
      <c r="E2165" s="622"/>
      <c r="F2165" s="334"/>
      <c r="G2165" s="334"/>
      <c r="H2165" s="602"/>
      <c r="I2165" s="334"/>
      <c r="J2165" s="334"/>
      <c r="K2165" s="334"/>
      <c r="L2165" s="334"/>
      <c r="M2165" s="334"/>
      <c r="N2165" s="334"/>
      <c r="O2165" s="334"/>
    </row>
    <row r="2166" spans="1:15" ht="12.75" hidden="1" customHeight="1" outlineLevel="1" x14ac:dyDescent="0.2">
      <c r="A2166" s="623" t="s">
        <v>3081</v>
      </c>
      <c r="B2166" s="628" t="s">
        <v>1326</v>
      </c>
      <c r="C2166" s="625" t="s">
        <v>100</v>
      </c>
      <c r="D2166" s="626">
        <v>65.11</v>
      </c>
      <c r="E2166" s="622"/>
      <c r="F2166" s="334"/>
      <c r="G2166" s="334"/>
      <c r="H2166" s="602"/>
      <c r="I2166" s="334"/>
      <c r="J2166" s="334"/>
      <c r="K2166" s="334"/>
      <c r="L2166" s="334"/>
      <c r="M2166" s="334"/>
      <c r="N2166" s="334"/>
      <c r="O2166" s="334"/>
    </row>
    <row r="2167" spans="1:15" ht="12.75" hidden="1" customHeight="1" outlineLevel="1" x14ac:dyDescent="0.2">
      <c r="A2167" s="627" t="s">
        <v>3082</v>
      </c>
      <c r="B2167" s="628" t="s">
        <v>1330</v>
      </c>
      <c r="C2167" s="629" t="s">
        <v>100</v>
      </c>
      <c r="D2167" s="630">
        <v>10.47</v>
      </c>
      <c r="E2167" s="622"/>
      <c r="F2167" s="334"/>
      <c r="G2167" s="334"/>
      <c r="H2167" s="602"/>
      <c r="I2167" s="334"/>
      <c r="J2167" s="334"/>
      <c r="K2167" s="334"/>
      <c r="L2167" s="334"/>
      <c r="M2167" s="334"/>
      <c r="N2167" s="334"/>
      <c r="O2167" s="334"/>
    </row>
    <row r="2168" spans="1:15" ht="12.75" hidden="1" customHeight="1" outlineLevel="1" x14ac:dyDescent="0.2">
      <c r="A2168" s="623" t="s">
        <v>3083</v>
      </c>
      <c r="B2168" s="624" t="s">
        <v>1324</v>
      </c>
      <c r="C2168" s="625" t="s">
        <v>100</v>
      </c>
      <c r="D2168" s="626">
        <v>10.47</v>
      </c>
      <c r="E2168" s="622"/>
      <c r="F2168" s="334"/>
      <c r="G2168" s="334"/>
      <c r="H2168" s="602"/>
      <c r="I2168" s="334"/>
      <c r="J2168" s="334"/>
      <c r="K2168" s="334"/>
      <c r="L2168" s="334"/>
      <c r="M2168" s="334"/>
      <c r="N2168" s="334"/>
      <c r="O2168" s="334"/>
    </row>
    <row r="2169" spans="1:15" ht="12.75" hidden="1" customHeight="1" outlineLevel="1" x14ac:dyDescent="0.2">
      <c r="A2169" s="627" t="s">
        <v>3084</v>
      </c>
      <c r="B2169" s="628" t="s">
        <v>1326</v>
      </c>
      <c r="C2169" s="629" t="s">
        <v>100</v>
      </c>
      <c r="D2169" s="630">
        <v>10.47</v>
      </c>
      <c r="E2169" s="622"/>
      <c r="F2169" s="334"/>
      <c r="G2169" s="334"/>
      <c r="H2169" s="602"/>
      <c r="I2169" s="334"/>
      <c r="J2169" s="334"/>
      <c r="K2169" s="334"/>
      <c r="L2169" s="334"/>
      <c r="M2169" s="334"/>
      <c r="N2169" s="334"/>
      <c r="O2169" s="334"/>
    </row>
    <row r="2170" spans="1:15" ht="12.75" hidden="1" customHeight="1" outlineLevel="1" x14ac:dyDescent="0.2">
      <c r="A2170" s="623" t="s">
        <v>3085</v>
      </c>
      <c r="B2170" s="624" t="s">
        <v>1324</v>
      </c>
      <c r="C2170" s="625" t="s">
        <v>100</v>
      </c>
      <c r="D2170" s="626">
        <v>46.4</v>
      </c>
      <c r="E2170" s="622"/>
      <c r="F2170" s="334"/>
      <c r="G2170" s="334"/>
      <c r="H2170" s="602"/>
      <c r="I2170" s="334"/>
      <c r="J2170" s="334"/>
      <c r="K2170" s="334"/>
      <c r="L2170" s="334"/>
      <c r="M2170" s="334"/>
      <c r="N2170" s="334"/>
      <c r="O2170" s="334"/>
    </row>
    <row r="2171" spans="1:15" ht="12.75" hidden="1" customHeight="1" outlineLevel="1" x14ac:dyDescent="0.2">
      <c r="A2171" s="627" t="s">
        <v>3086</v>
      </c>
      <c r="B2171" s="628" t="s">
        <v>1324</v>
      </c>
      <c r="C2171" s="629" t="s">
        <v>100</v>
      </c>
      <c r="D2171" s="630">
        <v>61.2</v>
      </c>
      <c r="E2171" s="622"/>
      <c r="F2171" s="334"/>
      <c r="G2171" s="334"/>
      <c r="H2171" s="602"/>
      <c r="I2171" s="334"/>
      <c r="J2171" s="334"/>
      <c r="K2171" s="334"/>
      <c r="L2171" s="334"/>
      <c r="M2171" s="334"/>
      <c r="N2171" s="334"/>
      <c r="O2171" s="334"/>
    </row>
    <row r="2172" spans="1:15" ht="12.75" hidden="1" customHeight="1" outlineLevel="1" x14ac:dyDescent="0.2">
      <c r="A2172" s="623" t="s">
        <v>3087</v>
      </c>
      <c r="B2172" s="624" t="s">
        <v>1326</v>
      </c>
      <c r="C2172" s="625" t="s">
        <v>100</v>
      </c>
      <c r="D2172" s="626">
        <v>61.2</v>
      </c>
      <c r="E2172" s="622"/>
      <c r="F2172" s="334"/>
      <c r="G2172" s="334"/>
      <c r="H2172" s="602"/>
      <c r="I2172" s="334"/>
      <c r="J2172" s="334"/>
      <c r="K2172" s="334"/>
      <c r="L2172" s="334"/>
      <c r="M2172" s="334"/>
      <c r="N2172" s="334"/>
      <c r="O2172" s="334"/>
    </row>
    <row r="2173" spans="1:15" ht="12.75" hidden="1" customHeight="1" outlineLevel="1" x14ac:dyDescent="0.2">
      <c r="A2173" s="627" t="s">
        <v>3088</v>
      </c>
      <c r="B2173" s="628" t="s">
        <v>1328</v>
      </c>
      <c r="C2173" s="629" t="s">
        <v>100</v>
      </c>
      <c r="D2173" s="630">
        <v>61.2</v>
      </c>
      <c r="E2173" s="622"/>
      <c r="F2173" s="334"/>
      <c r="G2173" s="334"/>
      <c r="H2173" s="602"/>
      <c r="I2173" s="334"/>
      <c r="J2173" s="334"/>
      <c r="K2173" s="334"/>
      <c r="L2173" s="334"/>
      <c r="M2173" s="334"/>
      <c r="N2173" s="334"/>
      <c r="O2173" s="334"/>
    </row>
    <row r="2174" spans="1:15" ht="12.75" hidden="1" customHeight="1" outlineLevel="1" x14ac:dyDescent="0.2">
      <c r="A2174" s="618" t="s">
        <v>3089</v>
      </c>
      <c r="B2174" s="619" t="s">
        <v>1086</v>
      </c>
      <c r="C2174" s="620"/>
      <c r="D2174" s="621"/>
      <c r="E2174" s="622"/>
      <c r="F2174" s="334"/>
      <c r="G2174" s="334"/>
      <c r="H2174" s="602"/>
      <c r="I2174" s="334"/>
      <c r="J2174" s="334"/>
      <c r="K2174" s="334"/>
      <c r="L2174" s="334"/>
      <c r="M2174" s="334"/>
      <c r="N2174" s="334"/>
      <c r="O2174" s="334"/>
    </row>
    <row r="2175" spans="1:15" ht="12.75" hidden="1" customHeight="1" outlineLevel="1" x14ac:dyDescent="0.2">
      <c r="A2175" s="623" t="s">
        <v>3090</v>
      </c>
      <c r="B2175" s="624" t="s">
        <v>1324</v>
      </c>
      <c r="C2175" s="625" t="s">
        <v>100</v>
      </c>
      <c r="D2175" s="626">
        <v>16.28</v>
      </c>
      <c r="E2175" s="622"/>
      <c r="F2175" s="334"/>
      <c r="G2175" s="334"/>
      <c r="H2175" s="602"/>
      <c r="I2175" s="334"/>
      <c r="J2175" s="334"/>
      <c r="K2175" s="334"/>
      <c r="L2175" s="334"/>
      <c r="M2175" s="334"/>
      <c r="N2175" s="334"/>
      <c r="O2175" s="334"/>
    </row>
    <row r="2176" spans="1:15" ht="12.75" hidden="1" customHeight="1" outlineLevel="1" x14ac:dyDescent="0.2">
      <c r="A2176" s="627" t="s">
        <v>3091</v>
      </c>
      <c r="B2176" s="628" t="s">
        <v>1326</v>
      </c>
      <c r="C2176" s="629" t="s">
        <v>100</v>
      </c>
      <c r="D2176" s="630">
        <v>16.28</v>
      </c>
      <c r="E2176" s="622"/>
      <c r="F2176" s="334"/>
      <c r="G2176" s="334"/>
      <c r="H2176" s="602"/>
      <c r="I2176" s="334"/>
      <c r="J2176" s="334"/>
      <c r="K2176" s="334"/>
      <c r="L2176" s="334"/>
      <c r="M2176" s="334"/>
      <c r="N2176" s="334"/>
      <c r="O2176" s="334"/>
    </row>
    <row r="2177" spans="1:15" ht="12.75" hidden="1" customHeight="1" outlineLevel="1" x14ac:dyDescent="0.2">
      <c r="A2177" s="623" t="s">
        <v>3092</v>
      </c>
      <c r="B2177" s="624" t="s">
        <v>2877</v>
      </c>
      <c r="C2177" s="625" t="s">
        <v>100</v>
      </c>
      <c r="D2177" s="626">
        <v>16.28</v>
      </c>
      <c r="E2177" s="622"/>
      <c r="F2177" s="334"/>
      <c r="G2177" s="334"/>
      <c r="H2177" s="602"/>
      <c r="I2177" s="334"/>
      <c r="J2177" s="334"/>
      <c r="K2177" s="334"/>
      <c r="L2177" s="334"/>
      <c r="M2177" s="334"/>
      <c r="N2177" s="334"/>
      <c r="O2177" s="334"/>
    </row>
    <row r="2178" spans="1:15" ht="12.75" hidden="1" customHeight="1" outlineLevel="1" x14ac:dyDescent="0.2">
      <c r="A2178" s="627" t="s">
        <v>3093</v>
      </c>
      <c r="B2178" s="628" t="s">
        <v>1330</v>
      </c>
      <c r="C2178" s="629" t="s">
        <v>100</v>
      </c>
      <c r="D2178" s="630">
        <v>114.47</v>
      </c>
      <c r="E2178" s="622"/>
      <c r="F2178" s="334"/>
      <c r="G2178" s="334"/>
      <c r="H2178" s="602"/>
      <c r="I2178" s="334"/>
      <c r="J2178" s="334"/>
      <c r="K2178" s="334"/>
      <c r="L2178" s="334"/>
      <c r="M2178" s="334"/>
      <c r="N2178" s="334"/>
      <c r="O2178" s="334"/>
    </row>
    <row r="2179" spans="1:15" ht="12.75" hidden="1" customHeight="1" outlineLevel="1" x14ac:dyDescent="0.2">
      <c r="A2179" s="623" t="s">
        <v>3094</v>
      </c>
      <c r="B2179" s="624" t="s">
        <v>1324</v>
      </c>
      <c r="C2179" s="625" t="s">
        <v>100</v>
      </c>
      <c r="D2179" s="626">
        <v>114.47</v>
      </c>
      <c r="E2179" s="622"/>
      <c r="F2179" s="334"/>
      <c r="G2179" s="334"/>
      <c r="H2179" s="602"/>
      <c r="I2179" s="334"/>
      <c r="J2179" s="334"/>
      <c r="K2179" s="334"/>
      <c r="L2179" s="334"/>
      <c r="M2179" s="334"/>
      <c r="N2179" s="334"/>
      <c r="O2179" s="334"/>
    </row>
    <row r="2180" spans="1:15" ht="12.75" hidden="1" customHeight="1" outlineLevel="1" x14ac:dyDescent="0.2">
      <c r="A2180" s="627" t="s">
        <v>3095</v>
      </c>
      <c r="B2180" s="628" t="s">
        <v>1326</v>
      </c>
      <c r="C2180" s="629" t="s">
        <v>100</v>
      </c>
      <c r="D2180" s="630">
        <v>114.47</v>
      </c>
      <c r="E2180" s="622"/>
      <c r="F2180" s="334"/>
      <c r="G2180" s="334"/>
      <c r="H2180" s="602"/>
      <c r="I2180" s="334"/>
      <c r="J2180" s="334"/>
      <c r="K2180" s="334"/>
      <c r="L2180" s="334"/>
      <c r="M2180" s="334"/>
      <c r="N2180" s="334"/>
      <c r="O2180" s="334"/>
    </row>
    <row r="2181" spans="1:15" ht="12.75" hidden="1" customHeight="1" outlineLevel="1" x14ac:dyDescent="0.2">
      <c r="A2181" s="623" t="s">
        <v>3096</v>
      </c>
      <c r="B2181" s="628" t="s">
        <v>1330</v>
      </c>
      <c r="C2181" s="625" t="s">
        <v>100</v>
      </c>
      <c r="D2181" s="626">
        <v>494.13</v>
      </c>
      <c r="E2181" s="622"/>
      <c r="F2181" s="334"/>
      <c r="G2181" s="334"/>
      <c r="H2181" s="602"/>
      <c r="I2181" s="334"/>
      <c r="J2181" s="334"/>
      <c r="K2181" s="334"/>
      <c r="L2181" s="334"/>
      <c r="M2181" s="334"/>
      <c r="N2181" s="334"/>
      <c r="O2181" s="334"/>
    </row>
    <row r="2182" spans="1:15" ht="12.75" hidden="1" customHeight="1" outlineLevel="1" x14ac:dyDescent="0.2">
      <c r="A2182" s="627" t="s">
        <v>3097</v>
      </c>
      <c r="B2182" s="624" t="s">
        <v>1324</v>
      </c>
      <c r="C2182" s="629" t="s">
        <v>100</v>
      </c>
      <c r="D2182" s="630">
        <v>494.13</v>
      </c>
      <c r="E2182" s="622"/>
      <c r="F2182" s="334"/>
      <c r="G2182" s="334"/>
      <c r="H2182" s="602"/>
      <c r="I2182" s="334"/>
      <c r="J2182" s="334"/>
      <c r="K2182" s="334"/>
      <c r="L2182" s="334"/>
      <c r="M2182" s="334"/>
      <c r="N2182" s="334"/>
      <c r="O2182" s="334"/>
    </row>
    <row r="2183" spans="1:15" ht="12.75" hidden="1" customHeight="1" outlineLevel="1" x14ac:dyDescent="0.2">
      <c r="A2183" s="623" t="s">
        <v>3098</v>
      </c>
      <c r="B2183" s="628" t="s">
        <v>1326</v>
      </c>
      <c r="C2183" s="625" t="s">
        <v>100</v>
      </c>
      <c r="D2183" s="626">
        <v>494.13</v>
      </c>
      <c r="E2183" s="622"/>
      <c r="F2183" s="334"/>
      <c r="G2183" s="334"/>
      <c r="H2183" s="602"/>
      <c r="I2183" s="334"/>
      <c r="J2183" s="334"/>
      <c r="K2183" s="334"/>
      <c r="L2183" s="334"/>
      <c r="M2183" s="334"/>
      <c r="N2183" s="334"/>
      <c r="O2183" s="334"/>
    </row>
    <row r="2184" spans="1:15" ht="12.75" hidden="1" customHeight="1" outlineLevel="1" x14ac:dyDescent="0.2">
      <c r="A2184" s="627" t="s">
        <v>3099</v>
      </c>
      <c r="B2184" s="628" t="s">
        <v>1330</v>
      </c>
      <c r="C2184" s="629" t="s">
        <v>100</v>
      </c>
      <c r="D2184" s="630">
        <v>135.16</v>
      </c>
      <c r="E2184" s="622"/>
      <c r="F2184" s="334"/>
      <c r="G2184" s="334"/>
      <c r="H2184" s="602"/>
      <c r="I2184" s="334"/>
      <c r="J2184" s="334"/>
      <c r="K2184" s="334"/>
      <c r="L2184" s="334"/>
      <c r="M2184" s="334"/>
      <c r="N2184" s="334"/>
      <c r="O2184" s="334"/>
    </row>
    <row r="2185" spans="1:15" ht="12.75" hidden="1" customHeight="1" outlineLevel="1" x14ac:dyDescent="0.2">
      <c r="A2185" s="623" t="s">
        <v>3100</v>
      </c>
      <c r="B2185" s="624" t="s">
        <v>1324</v>
      </c>
      <c r="C2185" s="625" t="s">
        <v>100</v>
      </c>
      <c r="D2185" s="626">
        <v>135.16</v>
      </c>
      <c r="E2185" s="622"/>
      <c r="F2185" s="334"/>
      <c r="G2185" s="334"/>
      <c r="H2185" s="602"/>
      <c r="I2185" s="334"/>
      <c r="J2185" s="334"/>
      <c r="K2185" s="334"/>
      <c r="L2185" s="334"/>
      <c r="M2185" s="334"/>
      <c r="N2185" s="334"/>
      <c r="O2185" s="334"/>
    </row>
    <row r="2186" spans="1:15" ht="12.75" hidden="1" customHeight="1" outlineLevel="1" x14ac:dyDescent="0.2">
      <c r="A2186" s="627" t="s">
        <v>3101</v>
      </c>
      <c r="B2186" s="628" t="s">
        <v>1326</v>
      </c>
      <c r="C2186" s="629" t="s">
        <v>100</v>
      </c>
      <c r="D2186" s="630">
        <v>135.16</v>
      </c>
      <c r="E2186" s="622"/>
      <c r="F2186" s="334"/>
      <c r="G2186" s="334"/>
      <c r="H2186" s="602"/>
      <c r="I2186" s="334"/>
      <c r="J2186" s="334"/>
      <c r="K2186" s="334"/>
      <c r="L2186" s="334"/>
      <c r="M2186" s="334"/>
      <c r="N2186" s="334"/>
      <c r="O2186" s="334"/>
    </row>
    <row r="2187" spans="1:15" ht="12.75" hidden="1" customHeight="1" outlineLevel="1" x14ac:dyDescent="0.2">
      <c r="A2187" s="623" t="s">
        <v>3102</v>
      </c>
      <c r="B2187" s="628" t="s">
        <v>1330</v>
      </c>
      <c r="C2187" s="625" t="s">
        <v>100</v>
      </c>
      <c r="D2187" s="626">
        <v>14.44</v>
      </c>
      <c r="E2187" s="622"/>
      <c r="F2187" s="334"/>
      <c r="G2187" s="334"/>
      <c r="H2187" s="602"/>
      <c r="I2187" s="334"/>
      <c r="J2187" s="334"/>
      <c r="K2187" s="334"/>
      <c r="L2187" s="334"/>
      <c r="M2187" s="334"/>
      <c r="N2187" s="334"/>
      <c r="O2187" s="334"/>
    </row>
    <row r="2188" spans="1:15" ht="12.75" hidden="1" customHeight="1" outlineLevel="1" x14ac:dyDescent="0.2">
      <c r="A2188" s="627" t="s">
        <v>3103</v>
      </c>
      <c r="B2188" s="624" t="s">
        <v>1324</v>
      </c>
      <c r="C2188" s="629" t="s">
        <v>100</v>
      </c>
      <c r="D2188" s="630">
        <v>14.44</v>
      </c>
      <c r="E2188" s="622"/>
      <c r="F2188" s="334"/>
      <c r="G2188" s="334"/>
      <c r="H2188" s="602"/>
      <c r="I2188" s="334"/>
      <c r="J2188" s="334"/>
      <c r="K2188" s="334"/>
      <c r="L2188" s="334"/>
      <c r="M2188" s="334"/>
      <c r="N2188" s="334"/>
      <c r="O2188" s="334"/>
    </row>
    <row r="2189" spans="1:15" ht="12.75" hidden="1" customHeight="1" outlineLevel="1" x14ac:dyDescent="0.2">
      <c r="A2189" s="623" t="s">
        <v>3104</v>
      </c>
      <c r="B2189" s="628" t="s">
        <v>1326</v>
      </c>
      <c r="C2189" s="625" t="s">
        <v>100</v>
      </c>
      <c r="D2189" s="626">
        <v>14.44</v>
      </c>
      <c r="E2189" s="622"/>
      <c r="F2189" s="334"/>
      <c r="G2189" s="334"/>
      <c r="H2189" s="602"/>
      <c r="I2189" s="334"/>
      <c r="J2189" s="334"/>
      <c r="K2189" s="334"/>
      <c r="L2189" s="334"/>
      <c r="M2189" s="334"/>
      <c r="N2189" s="334"/>
      <c r="O2189" s="334"/>
    </row>
    <row r="2190" spans="1:15" ht="12.75" hidden="1" customHeight="1" outlineLevel="1" x14ac:dyDescent="0.2">
      <c r="A2190" s="627" t="s">
        <v>3105</v>
      </c>
      <c r="B2190" s="628" t="s">
        <v>1330</v>
      </c>
      <c r="C2190" s="629" t="s">
        <v>100</v>
      </c>
      <c r="D2190" s="630">
        <v>13.78</v>
      </c>
      <c r="E2190" s="622"/>
      <c r="F2190" s="334"/>
      <c r="G2190" s="334"/>
      <c r="H2190" s="602"/>
      <c r="I2190" s="334"/>
      <c r="J2190" s="334"/>
      <c r="K2190" s="334"/>
      <c r="L2190" s="334"/>
      <c r="M2190" s="334"/>
      <c r="N2190" s="334"/>
      <c r="O2190" s="334"/>
    </row>
    <row r="2191" spans="1:15" ht="12.75" hidden="1" customHeight="1" outlineLevel="1" x14ac:dyDescent="0.2">
      <c r="A2191" s="623" t="s">
        <v>3106</v>
      </c>
      <c r="B2191" s="624" t="s">
        <v>1324</v>
      </c>
      <c r="C2191" s="625" t="s">
        <v>100</v>
      </c>
      <c r="D2191" s="626">
        <v>13.78</v>
      </c>
      <c r="E2191" s="622"/>
      <c r="F2191" s="334"/>
      <c r="G2191" s="334"/>
      <c r="H2191" s="602"/>
      <c r="I2191" s="334"/>
      <c r="J2191" s="334"/>
      <c r="K2191" s="334"/>
      <c r="L2191" s="334"/>
      <c r="M2191" s="334"/>
      <c r="N2191" s="334"/>
      <c r="O2191" s="334"/>
    </row>
    <row r="2192" spans="1:15" ht="12.75" hidden="1" customHeight="1" outlineLevel="1" x14ac:dyDescent="0.2">
      <c r="A2192" s="627" t="s">
        <v>3107</v>
      </c>
      <c r="B2192" s="628" t="s">
        <v>1326</v>
      </c>
      <c r="C2192" s="629" t="s">
        <v>100</v>
      </c>
      <c r="D2192" s="630">
        <v>13.78</v>
      </c>
      <c r="E2192" s="622"/>
      <c r="F2192" s="334"/>
      <c r="G2192" s="334"/>
      <c r="H2192" s="602"/>
      <c r="I2192" s="334"/>
      <c r="J2192" s="334"/>
      <c r="K2192" s="334"/>
      <c r="L2192" s="334"/>
      <c r="M2192" s="334"/>
      <c r="N2192" s="334"/>
      <c r="O2192" s="334"/>
    </row>
    <row r="2193" spans="1:15" ht="12.75" hidden="1" customHeight="1" outlineLevel="1" x14ac:dyDescent="0.2">
      <c r="A2193" s="623" t="s">
        <v>3108</v>
      </c>
      <c r="B2193" s="628" t="s">
        <v>1330</v>
      </c>
      <c r="C2193" s="625" t="s">
        <v>100</v>
      </c>
      <c r="D2193" s="626">
        <v>65.11</v>
      </c>
      <c r="E2193" s="622"/>
      <c r="F2193" s="334"/>
      <c r="G2193" s="334"/>
      <c r="H2193" s="602"/>
      <c r="I2193" s="334"/>
      <c r="J2193" s="334"/>
      <c r="K2193" s="334"/>
      <c r="L2193" s="334"/>
      <c r="M2193" s="334"/>
      <c r="N2193" s="334"/>
      <c r="O2193" s="334"/>
    </row>
    <row r="2194" spans="1:15" ht="12.75" hidden="1" customHeight="1" outlineLevel="1" x14ac:dyDescent="0.2">
      <c r="A2194" s="627" t="s">
        <v>3109</v>
      </c>
      <c r="B2194" s="624" t="s">
        <v>1324</v>
      </c>
      <c r="C2194" s="629" t="s">
        <v>100</v>
      </c>
      <c r="D2194" s="630">
        <v>65.11</v>
      </c>
      <c r="E2194" s="622"/>
      <c r="F2194" s="334"/>
      <c r="G2194" s="334"/>
      <c r="H2194" s="602"/>
      <c r="I2194" s="334"/>
      <c r="J2194" s="334"/>
      <c r="K2194" s="334"/>
      <c r="L2194" s="334"/>
      <c r="M2194" s="334"/>
      <c r="N2194" s="334"/>
      <c r="O2194" s="334"/>
    </row>
    <row r="2195" spans="1:15" ht="12.75" hidden="1" customHeight="1" outlineLevel="1" x14ac:dyDescent="0.2">
      <c r="A2195" s="623" t="s">
        <v>3110</v>
      </c>
      <c r="B2195" s="628" t="s">
        <v>1326</v>
      </c>
      <c r="C2195" s="625" t="s">
        <v>100</v>
      </c>
      <c r="D2195" s="626">
        <v>65.11</v>
      </c>
      <c r="E2195" s="622"/>
      <c r="F2195" s="334"/>
      <c r="G2195" s="334"/>
      <c r="H2195" s="602"/>
      <c r="I2195" s="334"/>
      <c r="J2195" s="334"/>
      <c r="K2195" s="334"/>
      <c r="L2195" s="334"/>
      <c r="M2195" s="334"/>
      <c r="N2195" s="334"/>
      <c r="O2195" s="334"/>
    </row>
    <row r="2196" spans="1:15" ht="12.75" hidden="1" customHeight="1" outlineLevel="1" x14ac:dyDescent="0.2">
      <c r="A2196" s="627" t="s">
        <v>3111</v>
      </c>
      <c r="B2196" s="628" t="s">
        <v>1330</v>
      </c>
      <c r="C2196" s="629" t="s">
        <v>100</v>
      </c>
      <c r="D2196" s="630">
        <v>10.47</v>
      </c>
      <c r="E2196" s="622"/>
      <c r="F2196" s="334"/>
      <c r="G2196" s="334"/>
      <c r="H2196" s="602"/>
      <c r="I2196" s="334"/>
      <c r="J2196" s="334"/>
      <c r="K2196" s="334"/>
      <c r="L2196" s="334"/>
      <c r="M2196" s="334"/>
      <c r="N2196" s="334"/>
      <c r="O2196" s="334"/>
    </row>
    <row r="2197" spans="1:15" ht="12.75" hidden="1" customHeight="1" outlineLevel="1" x14ac:dyDescent="0.2">
      <c r="A2197" s="623" t="s">
        <v>3112</v>
      </c>
      <c r="B2197" s="624" t="s">
        <v>1324</v>
      </c>
      <c r="C2197" s="625" t="s">
        <v>100</v>
      </c>
      <c r="D2197" s="626">
        <v>10.47</v>
      </c>
      <c r="E2197" s="622"/>
      <c r="F2197" s="334"/>
      <c r="G2197" s="334"/>
      <c r="H2197" s="602"/>
      <c r="I2197" s="334"/>
      <c r="J2197" s="334"/>
      <c r="K2197" s="334"/>
      <c r="L2197" s="334"/>
      <c r="M2197" s="334"/>
      <c r="N2197" s="334"/>
      <c r="O2197" s="334"/>
    </row>
    <row r="2198" spans="1:15" ht="12.75" hidden="1" customHeight="1" outlineLevel="1" x14ac:dyDescent="0.2">
      <c r="A2198" s="627" t="s">
        <v>3113</v>
      </c>
      <c r="B2198" s="628" t="s">
        <v>1326</v>
      </c>
      <c r="C2198" s="629" t="s">
        <v>100</v>
      </c>
      <c r="D2198" s="630">
        <v>10.47</v>
      </c>
      <c r="E2198" s="622"/>
      <c r="F2198" s="334"/>
      <c r="G2198" s="334"/>
      <c r="H2198" s="602"/>
      <c r="I2198" s="334"/>
      <c r="J2198" s="334"/>
      <c r="K2198" s="334"/>
      <c r="L2198" s="334"/>
      <c r="M2198" s="334"/>
      <c r="N2198" s="334"/>
      <c r="O2198" s="334"/>
    </row>
    <row r="2199" spans="1:15" ht="12.75" hidden="1" customHeight="1" outlineLevel="1" x14ac:dyDescent="0.2">
      <c r="A2199" s="623" t="s">
        <v>3114</v>
      </c>
      <c r="B2199" s="624" t="s">
        <v>1324</v>
      </c>
      <c r="C2199" s="625" t="s">
        <v>100</v>
      </c>
      <c r="D2199" s="626">
        <v>46.4</v>
      </c>
      <c r="E2199" s="622"/>
      <c r="F2199" s="334"/>
      <c r="G2199" s="334"/>
      <c r="H2199" s="602"/>
      <c r="I2199" s="334"/>
      <c r="J2199" s="334"/>
      <c r="K2199" s="334"/>
      <c r="L2199" s="334"/>
      <c r="M2199" s="334"/>
      <c r="N2199" s="334"/>
      <c r="O2199" s="334"/>
    </row>
    <row r="2200" spans="1:15" ht="12.75" hidden="1" customHeight="1" outlineLevel="1" x14ac:dyDescent="0.2">
      <c r="A2200" s="627" t="s">
        <v>3115</v>
      </c>
      <c r="B2200" s="628" t="s">
        <v>1324</v>
      </c>
      <c r="C2200" s="629" t="s">
        <v>100</v>
      </c>
      <c r="D2200" s="630">
        <v>61.2</v>
      </c>
      <c r="E2200" s="622"/>
      <c r="F2200" s="334"/>
      <c r="G2200" s="334"/>
      <c r="H2200" s="602"/>
      <c r="I2200" s="334"/>
      <c r="J2200" s="334"/>
      <c r="K2200" s="334"/>
      <c r="L2200" s="334"/>
      <c r="M2200" s="334"/>
      <c r="N2200" s="334"/>
      <c r="O2200" s="334"/>
    </row>
    <row r="2201" spans="1:15" ht="12.75" hidden="1" customHeight="1" outlineLevel="1" x14ac:dyDescent="0.2">
      <c r="A2201" s="623" t="s">
        <v>3116</v>
      </c>
      <c r="B2201" s="624" t="s">
        <v>1326</v>
      </c>
      <c r="C2201" s="625" t="s">
        <v>100</v>
      </c>
      <c r="D2201" s="626">
        <v>61.2</v>
      </c>
      <c r="E2201" s="622"/>
      <c r="F2201" s="334"/>
      <c r="G2201" s="334"/>
      <c r="H2201" s="602"/>
      <c r="I2201" s="334"/>
      <c r="J2201" s="334"/>
      <c r="K2201" s="334"/>
      <c r="L2201" s="334"/>
      <c r="M2201" s="334"/>
      <c r="N2201" s="334"/>
      <c r="O2201" s="334"/>
    </row>
    <row r="2202" spans="1:15" ht="12.75" hidden="1" customHeight="1" outlineLevel="1" x14ac:dyDescent="0.2">
      <c r="A2202" s="627" t="s">
        <v>3117</v>
      </c>
      <c r="B2202" s="628" t="s">
        <v>1328</v>
      </c>
      <c r="C2202" s="629" t="s">
        <v>100</v>
      </c>
      <c r="D2202" s="630">
        <v>61.2</v>
      </c>
      <c r="E2202" s="622"/>
      <c r="F2202" s="334"/>
      <c r="G2202" s="334"/>
      <c r="H2202" s="602"/>
      <c r="I2202" s="334"/>
      <c r="J2202" s="334"/>
      <c r="K2202" s="334"/>
      <c r="L2202" s="334"/>
      <c r="M2202" s="334"/>
      <c r="N2202" s="334"/>
      <c r="O2202" s="334"/>
    </row>
    <row r="2203" spans="1:15" ht="12.75" hidden="1" customHeight="1" outlineLevel="1" x14ac:dyDescent="0.2">
      <c r="A2203" s="618" t="s">
        <v>3118</v>
      </c>
      <c r="B2203" s="619" t="s">
        <v>1094</v>
      </c>
      <c r="C2203" s="620"/>
      <c r="D2203" s="621"/>
      <c r="E2203" s="622"/>
      <c r="F2203" s="334"/>
      <c r="G2203" s="334"/>
      <c r="H2203" s="602"/>
      <c r="I2203" s="334"/>
      <c r="J2203" s="334"/>
      <c r="K2203" s="334"/>
      <c r="L2203" s="334"/>
      <c r="M2203" s="334"/>
      <c r="N2203" s="334"/>
      <c r="O2203" s="334"/>
    </row>
    <row r="2204" spans="1:15" ht="12.75" hidden="1" customHeight="1" outlineLevel="1" x14ac:dyDescent="0.2">
      <c r="A2204" s="623" t="s">
        <v>3119</v>
      </c>
      <c r="B2204" s="624" t="s">
        <v>1324</v>
      </c>
      <c r="C2204" s="625" t="s">
        <v>100</v>
      </c>
      <c r="D2204" s="626">
        <v>16.28</v>
      </c>
      <c r="E2204" s="622"/>
      <c r="F2204" s="334"/>
      <c r="G2204" s="334"/>
      <c r="H2204" s="602"/>
      <c r="I2204" s="334"/>
      <c r="J2204" s="334"/>
      <c r="K2204" s="334"/>
      <c r="L2204" s="334"/>
      <c r="M2204" s="334"/>
      <c r="N2204" s="334"/>
      <c r="O2204" s="334"/>
    </row>
    <row r="2205" spans="1:15" ht="12.75" hidden="1" customHeight="1" outlineLevel="1" x14ac:dyDescent="0.2">
      <c r="A2205" s="627" t="s">
        <v>3120</v>
      </c>
      <c r="B2205" s="628" t="s">
        <v>1326</v>
      </c>
      <c r="C2205" s="629" t="s">
        <v>100</v>
      </c>
      <c r="D2205" s="630">
        <v>16.28</v>
      </c>
      <c r="E2205" s="622"/>
      <c r="F2205" s="334"/>
      <c r="G2205" s="334"/>
      <c r="H2205" s="602"/>
      <c r="I2205" s="334"/>
      <c r="J2205" s="334"/>
      <c r="K2205" s="334"/>
      <c r="L2205" s="334"/>
      <c r="M2205" s="334"/>
      <c r="N2205" s="334"/>
      <c r="O2205" s="334"/>
    </row>
    <row r="2206" spans="1:15" ht="12.75" hidden="1" customHeight="1" outlineLevel="1" x14ac:dyDescent="0.2">
      <c r="A2206" s="623" t="s">
        <v>3121</v>
      </c>
      <c r="B2206" s="624" t="s">
        <v>2877</v>
      </c>
      <c r="C2206" s="625" t="s">
        <v>100</v>
      </c>
      <c r="D2206" s="626">
        <v>16.28</v>
      </c>
      <c r="E2206" s="622"/>
      <c r="F2206" s="334"/>
      <c r="G2206" s="334"/>
      <c r="H2206" s="602"/>
      <c r="I2206" s="334"/>
      <c r="J2206" s="334"/>
      <c r="K2206" s="334"/>
      <c r="L2206" s="334"/>
      <c r="M2206" s="334"/>
      <c r="N2206" s="334"/>
      <c r="O2206" s="334"/>
    </row>
    <row r="2207" spans="1:15" ht="12.75" hidden="1" customHeight="1" outlineLevel="1" x14ac:dyDescent="0.2">
      <c r="A2207" s="627" t="s">
        <v>3122</v>
      </c>
      <c r="B2207" s="628" t="s">
        <v>1330</v>
      </c>
      <c r="C2207" s="629" t="s">
        <v>100</v>
      </c>
      <c r="D2207" s="630">
        <v>114.47</v>
      </c>
      <c r="E2207" s="622"/>
      <c r="F2207" s="334"/>
      <c r="G2207" s="334"/>
      <c r="H2207" s="602"/>
      <c r="I2207" s="334"/>
      <c r="J2207" s="334"/>
      <c r="K2207" s="334"/>
      <c r="L2207" s="334"/>
      <c r="M2207" s="334"/>
      <c r="N2207" s="334"/>
      <c r="O2207" s="334"/>
    </row>
    <row r="2208" spans="1:15" ht="12.75" hidden="1" customHeight="1" outlineLevel="1" x14ac:dyDescent="0.2">
      <c r="A2208" s="623" t="s">
        <v>3123</v>
      </c>
      <c r="B2208" s="624" t="s">
        <v>1324</v>
      </c>
      <c r="C2208" s="625" t="s">
        <v>100</v>
      </c>
      <c r="D2208" s="626">
        <v>114.47</v>
      </c>
      <c r="E2208" s="622"/>
      <c r="F2208" s="334"/>
      <c r="G2208" s="334"/>
      <c r="H2208" s="602"/>
      <c r="I2208" s="334"/>
      <c r="J2208" s="334"/>
      <c r="K2208" s="334"/>
      <c r="L2208" s="334"/>
      <c r="M2208" s="334"/>
      <c r="N2208" s="334"/>
      <c r="O2208" s="334"/>
    </row>
    <row r="2209" spans="1:15" ht="12.75" hidden="1" customHeight="1" outlineLevel="1" x14ac:dyDescent="0.2">
      <c r="A2209" s="627" t="s">
        <v>3124</v>
      </c>
      <c r="B2209" s="628" t="s">
        <v>1326</v>
      </c>
      <c r="C2209" s="629" t="s">
        <v>100</v>
      </c>
      <c r="D2209" s="630">
        <v>114.47</v>
      </c>
      <c r="E2209" s="622"/>
      <c r="F2209" s="334"/>
      <c r="G2209" s="334"/>
      <c r="H2209" s="602"/>
      <c r="I2209" s="334"/>
      <c r="J2209" s="334"/>
      <c r="K2209" s="334"/>
      <c r="L2209" s="334"/>
      <c r="M2209" s="334"/>
      <c r="N2209" s="334"/>
      <c r="O2209" s="334"/>
    </row>
    <row r="2210" spans="1:15" ht="12.75" hidden="1" customHeight="1" outlineLevel="1" x14ac:dyDescent="0.2">
      <c r="A2210" s="623" t="s">
        <v>3125</v>
      </c>
      <c r="B2210" s="628" t="s">
        <v>1330</v>
      </c>
      <c r="C2210" s="625" t="s">
        <v>100</v>
      </c>
      <c r="D2210" s="626">
        <v>494.13</v>
      </c>
      <c r="E2210" s="622"/>
      <c r="F2210" s="334"/>
      <c r="G2210" s="334"/>
      <c r="H2210" s="602"/>
      <c r="I2210" s="334"/>
      <c r="J2210" s="334"/>
      <c r="K2210" s="334"/>
      <c r="L2210" s="334"/>
      <c r="M2210" s="334"/>
      <c r="N2210" s="334"/>
      <c r="O2210" s="334"/>
    </row>
    <row r="2211" spans="1:15" ht="12.75" hidden="1" customHeight="1" outlineLevel="1" x14ac:dyDescent="0.2">
      <c r="A2211" s="627" t="s">
        <v>3126</v>
      </c>
      <c r="B2211" s="624" t="s">
        <v>1324</v>
      </c>
      <c r="C2211" s="629" t="s">
        <v>100</v>
      </c>
      <c r="D2211" s="630">
        <v>494.13</v>
      </c>
      <c r="E2211" s="622"/>
      <c r="F2211" s="334"/>
      <c r="G2211" s="334"/>
      <c r="H2211" s="602"/>
      <c r="I2211" s="334"/>
      <c r="J2211" s="334"/>
      <c r="K2211" s="334"/>
      <c r="L2211" s="334"/>
      <c r="M2211" s="334"/>
      <c r="N2211" s="334"/>
      <c r="O2211" s="334"/>
    </row>
    <row r="2212" spans="1:15" ht="12.75" hidden="1" customHeight="1" outlineLevel="1" x14ac:dyDescent="0.2">
      <c r="A2212" s="623" t="s">
        <v>3127</v>
      </c>
      <c r="B2212" s="628" t="s">
        <v>1326</v>
      </c>
      <c r="C2212" s="625" t="s">
        <v>100</v>
      </c>
      <c r="D2212" s="626">
        <v>494.13</v>
      </c>
      <c r="E2212" s="622"/>
      <c r="F2212" s="334"/>
      <c r="G2212" s="334"/>
      <c r="H2212" s="602"/>
      <c r="I2212" s="334"/>
      <c r="J2212" s="334"/>
      <c r="K2212" s="334"/>
      <c r="L2212" s="334"/>
      <c r="M2212" s="334"/>
      <c r="N2212" s="334"/>
      <c r="O2212" s="334"/>
    </row>
    <row r="2213" spans="1:15" ht="12.75" hidden="1" customHeight="1" outlineLevel="1" x14ac:dyDescent="0.2">
      <c r="A2213" s="627" t="s">
        <v>3128</v>
      </c>
      <c r="B2213" s="628" t="s">
        <v>1330</v>
      </c>
      <c r="C2213" s="629" t="s">
        <v>100</v>
      </c>
      <c r="D2213" s="630">
        <v>135.16</v>
      </c>
      <c r="E2213" s="622"/>
      <c r="F2213" s="334"/>
      <c r="G2213" s="334"/>
      <c r="H2213" s="602"/>
      <c r="I2213" s="334"/>
      <c r="J2213" s="334"/>
      <c r="K2213" s="334"/>
      <c r="L2213" s="334"/>
      <c r="M2213" s="334"/>
      <c r="N2213" s="334"/>
      <c r="O2213" s="334"/>
    </row>
    <row r="2214" spans="1:15" ht="12.75" hidden="1" customHeight="1" outlineLevel="1" x14ac:dyDescent="0.2">
      <c r="A2214" s="623" t="s">
        <v>3129</v>
      </c>
      <c r="B2214" s="624" t="s">
        <v>1324</v>
      </c>
      <c r="C2214" s="625" t="s">
        <v>100</v>
      </c>
      <c r="D2214" s="626">
        <v>135.16</v>
      </c>
      <c r="E2214" s="622"/>
      <c r="F2214" s="334"/>
      <c r="G2214" s="334"/>
      <c r="H2214" s="602"/>
      <c r="I2214" s="334"/>
      <c r="J2214" s="334"/>
      <c r="K2214" s="334"/>
      <c r="L2214" s="334"/>
      <c r="M2214" s="334"/>
      <c r="N2214" s="334"/>
      <c r="O2214" s="334"/>
    </row>
    <row r="2215" spans="1:15" ht="12.75" hidden="1" customHeight="1" outlineLevel="1" x14ac:dyDescent="0.2">
      <c r="A2215" s="627" t="s">
        <v>3130</v>
      </c>
      <c r="B2215" s="628" t="s">
        <v>1326</v>
      </c>
      <c r="C2215" s="629" t="s">
        <v>100</v>
      </c>
      <c r="D2215" s="630">
        <v>135.16</v>
      </c>
      <c r="E2215" s="622"/>
      <c r="F2215" s="334"/>
      <c r="G2215" s="334"/>
      <c r="H2215" s="602"/>
      <c r="I2215" s="334"/>
      <c r="J2215" s="334"/>
      <c r="K2215" s="334"/>
      <c r="L2215" s="334"/>
      <c r="M2215" s="334"/>
      <c r="N2215" s="334"/>
      <c r="O2215" s="334"/>
    </row>
    <row r="2216" spans="1:15" ht="12.75" hidden="1" customHeight="1" outlineLevel="1" x14ac:dyDescent="0.2">
      <c r="A2216" s="623" t="s">
        <v>3131</v>
      </c>
      <c r="B2216" s="628" t="s">
        <v>1330</v>
      </c>
      <c r="C2216" s="625" t="s">
        <v>100</v>
      </c>
      <c r="D2216" s="626">
        <v>14.44</v>
      </c>
      <c r="E2216" s="622"/>
      <c r="F2216" s="334"/>
      <c r="G2216" s="334"/>
      <c r="H2216" s="602"/>
      <c r="I2216" s="334"/>
      <c r="J2216" s="334"/>
      <c r="K2216" s="334"/>
      <c r="L2216" s="334"/>
      <c r="M2216" s="334"/>
      <c r="N2216" s="334"/>
      <c r="O2216" s="334"/>
    </row>
    <row r="2217" spans="1:15" ht="12.75" hidden="1" customHeight="1" outlineLevel="1" x14ac:dyDescent="0.2">
      <c r="A2217" s="627" t="s">
        <v>3132</v>
      </c>
      <c r="B2217" s="624" t="s">
        <v>1324</v>
      </c>
      <c r="C2217" s="629" t="s">
        <v>100</v>
      </c>
      <c r="D2217" s="630">
        <v>14.44</v>
      </c>
      <c r="E2217" s="622"/>
      <c r="F2217" s="334"/>
      <c r="G2217" s="334"/>
      <c r="H2217" s="602"/>
      <c r="I2217" s="334"/>
      <c r="J2217" s="334"/>
      <c r="K2217" s="334"/>
      <c r="L2217" s="334"/>
      <c r="M2217" s="334"/>
      <c r="N2217" s="334"/>
      <c r="O2217" s="334"/>
    </row>
    <row r="2218" spans="1:15" ht="12.75" hidden="1" customHeight="1" outlineLevel="1" x14ac:dyDescent="0.2">
      <c r="A2218" s="623" t="s">
        <v>3133</v>
      </c>
      <c r="B2218" s="628" t="s">
        <v>1326</v>
      </c>
      <c r="C2218" s="625" t="s">
        <v>100</v>
      </c>
      <c r="D2218" s="626">
        <v>14.44</v>
      </c>
      <c r="E2218" s="622"/>
      <c r="F2218" s="334"/>
      <c r="G2218" s="334"/>
      <c r="H2218" s="602"/>
      <c r="I2218" s="334"/>
      <c r="J2218" s="334"/>
      <c r="K2218" s="334"/>
      <c r="L2218" s="334"/>
      <c r="M2218" s="334"/>
      <c r="N2218" s="334"/>
      <c r="O2218" s="334"/>
    </row>
    <row r="2219" spans="1:15" ht="12.75" hidden="1" customHeight="1" outlineLevel="1" x14ac:dyDescent="0.2">
      <c r="A2219" s="627" t="s">
        <v>3134</v>
      </c>
      <c r="B2219" s="628" t="s">
        <v>1330</v>
      </c>
      <c r="C2219" s="629" t="s">
        <v>100</v>
      </c>
      <c r="D2219" s="630">
        <v>13.78</v>
      </c>
      <c r="E2219" s="622"/>
      <c r="F2219" s="334"/>
      <c r="G2219" s="334"/>
      <c r="H2219" s="602"/>
      <c r="I2219" s="334"/>
      <c r="J2219" s="334"/>
      <c r="K2219" s="334"/>
      <c r="L2219" s="334"/>
      <c r="M2219" s="334"/>
      <c r="N2219" s="334"/>
      <c r="O2219" s="334"/>
    </row>
    <row r="2220" spans="1:15" ht="12.75" hidden="1" customHeight="1" outlineLevel="1" x14ac:dyDescent="0.2">
      <c r="A2220" s="623" t="s">
        <v>3135</v>
      </c>
      <c r="B2220" s="624" t="s">
        <v>1324</v>
      </c>
      <c r="C2220" s="625" t="s">
        <v>100</v>
      </c>
      <c r="D2220" s="626">
        <v>13.78</v>
      </c>
      <c r="E2220" s="622"/>
      <c r="F2220" s="334"/>
      <c r="G2220" s="334"/>
      <c r="H2220" s="602"/>
      <c r="I2220" s="334"/>
      <c r="J2220" s="334"/>
      <c r="K2220" s="334"/>
      <c r="L2220" s="334"/>
      <c r="M2220" s="334"/>
      <c r="N2220" s="334"/>
      <c r="O2220" s="334"/>
    </row>
    <row r="2221" spans="1:15" ht="12.75" hidden="1" customHeight="1" outlineLevel="1" x14ac:dyDescent="0.2">
      <c r="A2221" s="627" t="s">
        <v>3136</v>
      </c>
      <c r="B2221" s="628" t="s">
        <v>1326</v>
      </c>
      <c r="C2221" s="629" t="s">
        <v>100</v>
      </c>
      <c r="D2221" s="630">
        <v>13.78</v>
      </c>
      <c r="E2221" s="622"/>
      <c r="F2221" s="334"/>
      <c r="G2221" s="334"/>
      <c r="H2221" s="602"/>
      <c r="I2221" s="334"/>
      <c r="J2221" s="334"/>
      <c r="K2221" s="334"/>
      <c r="L2221" s="334"/>
      <c r="M2221" s="334"/>
      <c r="N2221" s="334"/>
      <c r="O2221" s="334"/>
    </row>
    <row r="2222" spans="1:15" ht="12.75" hidden="1" customHeight="1" outlineLevel="1" x14ac:dyDescent="0.2">
      <c r="A2222" s="623" t="s">
        <v>3137</v>
      </c>
      <c r="B2222" s="628" t="s">
        <v>1330</v>
      </c>
      <c r="C2222" s="625" t="s">
        <v>100</v>
      </c>
      <c r="D2222" s="626">
        <v>65.11</v>
      </c>
      <c r="E2222" s="622"/>
      <c r="F2222" s="334"/>
      <c r="G2222" s="334"/>
      <c r="H2222" s="602"/>
      <c r="I2222" s="334"/>
      <c r="J2222" s="334"/>
      <c r="K2222" s="334"/>
      <c r="L2222" s="334"/>
      <c r="M2222" s="334"/>
      <c r="N2222" s="334"/>
      <c r="O2222" s="334"/>
    </row>
    <row r="2223" spans="1:15" ht="12.75" hidden="1" customHeight="1" outlineLevel="1" x14ac:dyDescent="0.2">
      <c r="A2223" s="627" t="s">
        <v>3138</v>
      </c>
      <c r="B2223" s="624" t="s">
        <v>1324</v>
      </c>
      <c r="C2223" s="629" t="s">
        <v>100</v>
      </c>
      <c r="D2223" s="630">
        <v>65.11</v>
      </c>
      <c r="E2223" s="622"/>
      <c r="F2223" s="334"/>
      <c r="G2223" s="334"/>
      <c r="H2223" s="602"/>
      <c r="I2223" s="334"/>
      <c r="J2223" s="334"/>
      <c r="K2223" s="334"/>
      <c r="L2223" s="334"/>
      <c r="M2223" s="334"/>
      <c r="N2223" s="334"/>
      <c r="O2223" s="334"/>
    </row>
    <row r="2224" spans="1:15" ht="12.75" hidden="1" customHeight="1" outlineLevel="1" x14ac:dyDescent="0.2">
      <c r="A2224" s="623" t="s">
        <v>3139</v>
      </c>
      <c r="B2224" s="628" t="s">
        <v>1326</v>
      </c>
      <c r="C2224" s="625" t="s">
        <v>100</v>
      </c>
      <c r="D2224" s="626">
        <v>65.11</v>
      </c>
      <c r="E2224" s="622"/>
      <c r="F2224" s="334"/>
      <c r="G2224" s="334"/>
      <c r="H2224" s="602"/>
      <c r="I2224" s="334"/>
      <c r="J2224" s="334"/>
      <c r="K2224" s="334"/>
      <c r="L2224" s="334"/>
      <c r="M2224" s="334"/>
      <c r="N2224" s="334"/>
      <c r="O2224" s="334"/>
    </row>
    <row r="2225" spans="1:15" ht="12.75" hidden="1" customHeight="1" outlineLevel="1" x14ac:dyDescent="0.2">
      <c r="A2225" s="627" t="s">
        <v>3140</v>
      </c>
      <c r="B2225" s="628" t="s">
        <v>1330</v>
      </c>
      <c r="C2225" s="629" t="s">
        <v>100</v>
      </c>
      <c r="D2225" s="630">
        <v>10.47</v>
      </c>
      <c r="E2225" s="622"/>
      <c r="F2225" s="334"/>
      <c r="G2225" s="334"/>
      <c r="H2225" s="602"/>
      <c r="I2225" s="334"/>
      <c r="J2225" s="334"/>
      <c r="K2225" s="334"/>
      <c r="L2225" s="334"/>
      <c r="M2225" s="334"/>
      <c r="N2225" s="334"/>
      <c r="O2225" s="334"/>
    </row>
    <row r="2226" spans="1:15" ht="12.75" hidden="1" customHeight="1" outlineLevel="1" x14ac:dyDescent="0.2">
      <c r="A2226" s="623" t="s">
        <v>3141</v>
      </c>
      <c r="B2226" s="624" t="s">
        <v>1324</v>
      </c>
      <c r="C2226" s="625" t="s">
        <v>100</v>
      </c>
      <c r="D2226" s="626">
        <v>10.47</v>
      </c>
      <c r="E2226" s="622"/>
      <c r="F2226" s="334"/>
      <c r="G2226" s="334"/>
      <c r="H2226" s="602"/>
      <c r="I2226" s="334"/>
      <c r="J2226" s="334"/>
      <c r="K2226" s="334"/>
      <c r="L2226" s="334"/>
      <c r="M2226" s="334"/>
      <c r="N2226" s="334"/>
      <c r="O2226" s="334"/>
    </row>
    <row r="2227" spans="1:15" ht="12.75" hidden="1" customHeight="1" outlineLevel="1" x14ac:dyDescent="0.2">
      <c r="A2227" s="627" t="s">
        <v>3142</v>
      </c>
      <c r="B2227" s="628" t="s">
        <v>1326</v>
      </c>
      <c r="C2227" s="629" t="s">
        <v>100</v>
      </c>
      <c r="D2227" s="630">
        <v>10.47</v>
      </c>
      <c r="E2227" s="622"/>
      <c r="F2227" s="334"/>
      <c r="G2227" s="334"/>
      <c r="H2227" s="602"/>
      <c r="I2227" s="334"/>
      <c r="J2227" s="334"/>
      <c r="K2227" s="334"/>
      <c r="L2227" s="334"/>
      <c r="M2227" s="334"/>
      <c r="N2227" s="334"/>
      <c r="O2227" s="334"/>
    </row>
    <row r="2228" spans="1:15" ht="12.75" hidden="1" customHeight="1" outlineLevel="1" x14ac:dyDescent="0.2">
      <c r="A2228" s="623" t="s">
        <v>3143</v>
      </c>
      <c r="B2228" s="624" t="s">
        <v>1324</v>
      </c>
      <c r="C2228" s="625" t="s">
        <v>100</v>
      </c>
      <c r="D2228" s="626">
        <v>46.4</v>
      </c>
      <c r="E2228" s="622"/>
      <c r="F2228" s="334"/>
      <c r="G2228" s="334"/>
      <c r="H2228" s="602"/>
      <c r="I2228" s="334"/>
      <c r="J2228" s="334"/>
      <c r="K2228" s="334"/>
      <c r="L2228" s="334"/>
      <c r="M2228" s="334"/>
      <c r="N2228" s="334"/>
      <c r="O2228" s="334"/>
    </row>
    <row r="2229" spans="1:15" ht="12.75" hidden="1" customHeight="1" outlineLevel="1" x14ac:dyDescent="0.2">
      <c r="A2229" s="627" t="s">
        <v>3144</v>
      </c>
      <c r="B2229" s="628" t="s">
        <v>1324</v>
      </c>
      <c r="C2229" s="629" t="s">
        <v>100</v>
      </c>
      <c r="D2229" s="630">
        <v>61.2</v>
      </c>
      <c r="E2229" s="622"/>
      <c r="F2229" s="334"/>
      <c r="G2229" s="334"/>
      <c r="H2229" s="602"/>
      <c r="I2229" s="334"/>
      <c r="J2229" s="334"/>
      <c r="K2229" s="334"/>
      <c r="L2229" s="334"/>
      <c r="M2229" s="334"/>
      <c r="N2229" s="334"/>
      <c r="O2229" s="334"/>
    </row>
    <row r="2230" spans="1:15" ht="12.75" hidden="1" customHeight="1" outlineLevel="1" x14ac:dyDescent="0.2">
      <c r="A2230" s="623" t="s">
        <v>3145</v>
      </c>
      <c r="B2230" s="624" t="s">
        <v>1326</v>
      </c>
      <c r="C2230" s="625" t="s">
        <v>100</v>
      </c>
      <c r="D2230" s="626">
        <v>61.2</v>
      </c>
      <c r="E2230" s="622"/>
      <c r="F2230" s="334"/>
      <c r="G2230" s="334"/>
      <c r="H2230" s="602"/>
      <c r="I2230" s="334"/>
      <c r="J2230" s="334"/>
      <c r="K2230" s="334"/>
      <c r="L2230" s="334"/>
      <c r="M2230" s="334"/>
      <c r="N2230" s="334"/>
      <c r="O2230" s="334"/>
    </row>
    <row r="2231" spans="1:15" ht="12.75" hidden="1" customHeight="1" outlineLevel="1" x14ac:dyDescent="0.2">
      <c r="A2231" s="627" t="s">
        <v>3146</v>
      </c>
      <c r="B2231" s="628" t="s">
        <v>1328</v>
      </c>
      <c r="C2231" s="629" t="s">
        <v>100</v>
      </c>
      <c r="D2231" s="630">
        <v>61.2</v>
      </c>
      <c r="E2231" s="622"/>
      <c r="F2231" s="334"/>
      <c r="G2231" s="334"/>
      <c r="H2231" s="602"/>
      <c r="I2231" s="334"/>
      <c r="J2231" s="334"/>
      <c r="K2231" s="334"/>
      <c r="L2231" s="334"/>
      <c r="M2231" s="334"/>
      <c r="N2231" s="334"/>
      <c r="O2231" s="334"/>
    </row>
    <row r="2232" spans="1:15" ht="12.75" hidden="1" customHeight="1" outlineLevel="1" x14ac:dyDescent="0.2">
      <c r="A2232" s="618" t="s">
        <v>3147</v>
      </c>
      <c r="B2232" s="619" t="s">
        <v>1102</v>
      </c>
      <c r="C2232" s="620"/>
      <c r="D2232" s="621"/>
      <c r="E2232" s="622"/>
      <c r="F2232" s="334"/>
      <c r="G2232" s="334"/>
      <c r="H2232" s="602"/>
      <c r="I2232" s="334"/>
      <c r="J2232" s="334"/>
      <c r="K2232" s="334"/>
      <c r="L2232" s="334"/>
      <c r="M2232" s="334"/>
      <c r="N2232" s="334"/>
      <c r="O2232" s="334"/>
    </row>
    <row r="2233" spans="1:15" ht="12.75" hidden="1" customHeight="1" outlineLevel="1" x14ac:dyDescent="0.2">
      <c r="A2233" s="623" t="s">
        <v>3148</v>
      </c>
      <c r="B2233" s="624" t="s">
        <v>1324</v>
      </c>
      <c r="C2233" s="625" t="s">
        <v>100</v>
      </c>
      <c r="D2233" s="626">
        <v>15.41</v>
      </c>
      <c r="E2233" s="622"/>
      <c r="F2233" s="334"/>
      <c r="G2233" s="334"/>
      <c r="H2233" s="602"/>
      <c r="I2233" s="334"/>
      <c r="J2233" s="334"/>
      <c r="K2233" s="334"/>
      <c r="L2233" s="334"/>
      <c r="M2233" s="334"/>
      <c r="N2233" s="334"/>
      <c r="O2233" s="334"/>
    </row>
    <row r="2234" spans="1:15" ht="12.75" hidden="1" customHeight="1" outlineLevel="1" x14ac:dyDescent="0.2">
      <c r="A2234" s="627" t="s">
        <v>3149</v>
      </c>
      <c r="B2234" s="628" t="s">
        <v>1326</v>
      </c>
      <c r="C2234" s="629" t="s">
        <v>100</v>
      </c>
      <c r="D2234" s="630">
        <v>15.41</v>
      </c>
      <c r="E2234" s="622"/>
      <c r="F2234" s="334"/>
      <c r="G2234" s="334"/>
      <c r="H2234" s="602"/>
      <c r="I2234" s="334"/>
      <c r="J2234" s="334"/>
      <c r="K2234" s="334"/>
      <c r="L2234" s="334"/>
      <c r="M2234" s="334"/>
      <c r="N2234" s="334"/>
      <c r="O2234" s="334"/>
    </row>
    <row r="2235" spans="1:15" ht="12.75" hidden="1" customHeight="1" outlineLevel="1" x14ac:dyDescent="0.2">
      <c r="A2235" s="623" t="s">
        <v>3150</v>
      </c>
      <c r="B2235" s="624" t="s">
        <v>1328</v>
      </c>
      <c r="C2235" s="625" t="s">
        <v>100</v>
      </c>
      <c r="D2235" s="626">
        <v>15.41</v>
      </c>
      <c r="E2235" s="622"/>
      <c r="F2235" s="334"/>
      <c r="G2235" s="334"/>
      <c r="H2235" s="602"/>
      <c r="I2235" s="334"/>
      <c r="J2235" s="334"/>
      <c r="K2235" s="334"/>
      <c r="L2235" s="334"/>
      <c r="M2235" s="334"/>
      <c r="N2235" s="334"/>
      <c r="O2235" s="334"/>
    </row>
    <row r="2236" spans="1:15" ht="12.75" hidden="1" customHeight="1" outlineLevel="1" x14ac:dyDescent="0.2">
      <c r="A2236" s="627" t="s">
        <v>3151</v>
      </c>
      <c r="B2236" s="628" t="s">
        <v>1330</v>
      </c>
      <c r="C2236" s="629" t="s">
        <v>100</v>
      </c>
      <c r="D2236" s="630">
        <v>286.35000000000002</v>
      </c>
      <c r="E2236" s="622"/>
      <c r="F2236" s="334"/>
      <c r="G2236" s="334"/>
      <c r="H2236" s="602"/>
      <c r="I2236" s="334"/>
      <c r="J2236" s="334"/>
      <c r="K2236" s="334"/>
      <c r="L2236" s="334"/>
      <c r="M2236" s="334"/>
      <c r="N2236" s="334"/>
      <c r="O2236" s="334"/>
    </row>
    <row r="2237" spans="1:15" ht="12.75" hidden="1" customHeight="1" outlineLevel="1" x14ac:dyDescent="0.2">
      <c r="A2237" s="623" t="s">
        <v>3152</v>
      </c>
      <c r="B2237" s="624" t="s">
        <v>1324</v>
      </c>
      <c r="C2237" s="625" t="s">
        <v>100</v>
      </c>
      <c r="D2237" s="626">
        <v>286.35000000000002</v>
      </c>
      <c r="E2237" s="622"/>
      <c r="F2237" s="334"/>
      <c r="G2237" s="334"/>
      <c r="H2237" s="602"/>
      <c r="I2237" s="334"/>
      <c r="J2237" s="334"/>
      <c r="K2237" s="334"/>
      <c r="L2237" s="334"/>
      <c r="M2237" s="334"/>
      <c r="N2237" s="334"/>
      <c r="O2237" s="334"/>
    </row>
    <row r="2238" spans="1:15" ht="12.75" hidden="1" customHeight="1" outlineLevel="1" x14ac:dyDescent="0.2">
      <c r="A2238" s="627" t="s">
        <v>3153</v>
      </c>
      <c r="B2238" s="628" t="s">
        <v>1326</v>
      </c>
      <c r="C2238" s="629" t="s">
        <v>100</v>
      </c>
      <c r="D2238" s="630">
        <v>286.35000000000002</v>
      </c>
      <c r="E2238" s="622"/>
      <c r="F2238" s="334"/>
      <c r="G2238" s="334"/>
      <c r="H2238" s="602"/>
      <c r="I2238" s="334"/>
      <c r="J2238" s="334"/>
      <c r="K2238" s="334"/>
      <c r="L2238" s="334"/>
      <c r="M2238" s="334"/>
      <c r="N2238" s="334"/>
      <c r="O2238" s="334"/>
    </row>
    <row r="2239" spans="1:15" ht="12.75" hidden="1" customHeight="1" outlineLevel="1" x14ac:dyDescent="0.2">
      <c r="A2239" s="623" t="s">
        <v>3154</v>
      </c>
      <c r="B2239" s="624" t="s">
        <v>1330</v>
      </c>
      <c r="C2239" s="625" t="s">
        <v>100</v>
      </c>
      <c r="D2239" s="626">
        <v>78.44</v>
      </c>
      <c r="E2239" s="622"/>
      <c r="F2239" s="334"/>
      <c r="G2239" s="334"/>
      <c r="H2239" s="602"/>
      <c r="I2239" s="334"/>
      <c r="J2239" s="334"/>
      <c r="K2239" s="334"/>
      <c r="L2239" s="334"/>
      <c r="M2239" s="334"/>
      <c r="N2239" s="334"/>
      <c r="O2239" s="334"/>
    </row>
    <row r="2240" spans="1:15" ht="12.75" hidden="1" customHeight="1" outlineLevel="1" x14ac:dyDescent="0.2">
      <c r="A2240" s="627" t="s">
        <v>3155</v>
      </c>
      <c r="B2240" s="624" t="s">
        <v>1324</v>
      </c>
      <c r="C2240" s="629" t="s">
        <v>100</v>
      </c>
      <c r="D2240" s="630">
        <v>78.44</v>
      </c>
      <c r="E2240" s="622"/>
      <c r="F2240" s="334"/>
      <c r="G2240" s="334"/>
      <c r="H2240" s="602"/>
      <c r="I2240" s="334"/>
      <c r="J2240" s="334"/>
      <c r="K2240" s="334"/>
      <c r="L2240" s="334"/>
      <c r="M2240" s="334"/>
      <c r="N2240" s="334"/>
      <c r="O2240" s="334"/>
    </row>
    <row r="2241" spans="1:15" ht="12.75" hidden="1" customHeight="1" outlineLevel="1" x14ac:dyDescent="0.2">
      <c r="A2241" s="623" t="s">
        <v>3156</v>
      </c>
      <c r="B2241" s="628" t="s">
        <v>1326</v>
      </c>
      <c r="C2241" s="625" t="s">
        <v>100</v>
      </c>
      <c r="D2241" s="626">
        <v>78.44</v>
      </c>
      <c r="E2241" s="622"/>
      <c r="F2241" s="334"/>
      <c r="G2241" s="334"/>
      <c r="H2241" s="602"/>
      <c r="I2241" s="334"/>
      <c r="J2241" s="334"/>
      <c r="K2241" s="334"/>
      <c r="L2241" s="334"/>
      <c r="M2241" s="334"/>
      <c r="N2241" s="334"/>
      <c r="O2241" s="334"/>
    </row>
    <row r="2242" spans="1:15" ht="12.75" hidden="1" customHeight="1" outlineLevel="1" x14ac:dyDescent="0.2">
      <c r="A2242" s="627" t="s">
        <v>3157</v>
      </c>
      <c r="B2242" s="624" t="s">
        <v>1330</v>
      </c>
      <c r="C2242" s="629" t="s">
        <v>100</v>
      </c>
      <c r="D2242" s="630">
        <v>12.68</v>
      </c>
      <c r="E2242" s="622"/>
      <c r="F2242" s="334"/>
      <c r="G2242" s="334"/>
      <c r="H2242" s="602"/>
      <c r="I2242" s="334"/>
      <c r="J2242" s="334"/>
      <c r="K2242" s="334"/>
      <c r="L2242" s="334"/>
      <c r="M2242" s="334"/>
      <c r="N2242" s="334"/>
      <c r="O2242" s="334"/>
    </row>
    <row r="2243" spans="1:15" ht="12.75" hidden="1" customHeight="1" outlineLevel="1" x14ac:dyDescent="0.2">
      <c r="A2243" s="623" t="s">
        <v>3158</v>
      </c>
      <c r="B2243" s="624" t="s">
        <v>1324</v>
      </c>
      <c r="C2243" s="625" t="s">
        <v>100</v>
      </c>
      <c r="D2243" s="626">
        <v>12.68</v>
      </c>
      <c r="E2243" s="622"/>
      <c r="F2243" s="334"/>
      <c r="G2243" s="334"/>
      <c r="H2243" s="602"/>
      <c r="I2243" s="334"/>
      <c r="J2243" s="334"/>
      <c r="K2243" s="334"/>
      <c r="L2243" s="334"/>
      <c r="M2243" s="334"/>
      <c r="N2243" s="334"/>
      <c r="O2243" s="334"/>
    </row>
    <row r="2244" spans="1:15" ht="12.75" hidden="1" customHeight="1" outlineLevel="1" x14ac:dyDescent="0.2">
      <c r="A2244" s="627" t="s">
        <v>3159</v>
      </c>
      <c r="B2244" s="628" t="s">
        <v>1326</v>
      </c>
      <c r="C2244" s="629" t="s">
        <v>100</v>
      </c>
      <c r="D2244" s="630">
        <v>12.68</v>
      </c>
      <c r="E2244" s="622"/>
      <c r="F2244" s="334"/>
      <c r="G2244" s="334"/>
      <c r="H2244" s="602"/>
      <c r="I2244" s="334"/>
      <c r="J2244" s="334"/>
      <c r="K2244" s="334"/>
      <c r="L2244" s="334"/>
      <c r="M2244" s="334"/>
      <c r="N2244" s="334"/>
      <c r="O2244" s="334"/>
    </row>
    <row r="2245" spans="1:15" ht="12.75" hidden="1" customHeight="1" outlineLevel="1" x14ac:dyDescent="0.2">
      <c r="A2245" s="623" t="s">
        <v>3160</v>
      </c>
      <c r="B2245" s="624" t="s">
        <v>1330</v>
      </c>
      <c r="C2245" s="625" t="s">
        <v>100</v>
      </c>
      <c r="D2245" s="626">
        <v>12.91</v>
      </c>
      <c r="E2245" s="622"/>
      <c r="F2245" s="334"/>
      <c r="G2245" s="334"/>
      <c r="H2245" s="602"/>
      <c r="I2245" s="334"/>
      <c r="J2245" s="334"/>
      <c r="K2245" s="334"/>
      <c r="L2245" s="334"/>
      <c r="M2245" s="334"/>
      <c r="N2245" s="334"/>
      <c r="O2245" s="334"/>
    </row>
    <row r="2246" spans="1:15" ht="12.75" hidden="1" customHeight="1" outlineLevel="1" x14ac:dyDescent="0.2">
      <c r="A2246" s="627" t="s">
        <v>3161</v>
      </c>
      <c r="B2246" s="624" t="s">
        <v>1324</v>
      </c>
      <c r="C2246" s="629" t="s">
        <v>100</v>
      </c>
      <c r="D2246" s="630">
        <v>12.91</v>
      </c>
      <c r="E2246" s="622"/>
      <c r="F2246" s="334"/>
      <c r="G2246" s="334"/>
      <c r="H2246" s="602"/>
      <c r="I2246" s="334"/>
      <c r="J2246" s="334"/>
      <c r="K2246" s="334"/>
      <c r="L2246" s="334"/>
      <c r="M2246" s="334"/>
      <c r="N2246" s="334"/>
      <c r="O2246" s="334"/>
    </row>
    <row r="2247" spans="1:15" ht="12.75" hidden="1" customHeight="1" outlineLevel="1" x14ac:dyDescent="0.2">
      <c r="A2247" s="623" t="s">
        <v>3162</v>
      </c>
      <c r="B2247" s="628" t="s">
        <v>1326</v>
      </c>
      <c r="C2247" s="625" t="s">
        <v>100</v>
      </c>
      <c r="D2247" s="626">
        <v>12.91</v>
      </c>
      <c r="E2247" s="622"/>
      <c r="F2247" s="334"/>
      <c r="G2247" s="334"/>
      <c r="H2247" s="602"/>
      <c r="I2247" s="334"/>
      <c r="J2247" s="334"/>
      <c r="K2247" s="334"/>
      <c r="L2247" s="334"/>
      <c r="M2247" s="334"/>
      <c r="N2247" s="334"/>
      <c r="O2247" s="334"/>
    </row>
    <row r="2248" spans="1:15" ht="12.75" hidden="1" customHeight="1" outlineLevel="1" x14ac:dyDescent="0.2">
      <c r="A2248" s="627" t="s">
        <v>3163</v>
      </c>
      <c r="B2248" s="624" t="s">
        <v>1330</v>
      </c>
      <c r="C2248" s="629" t="s">
        <v>100</v>
      </c>
      <c r="D2248" s="630">
        <v>33.11</v>
      </c>
      <c r="E2248" s="622"/>
      <c r="F2248" s="334"/>
      <c r="G2248" s="334"/>
      <c r="H2248" s="602"/>
      <c r="I2248" s="334"/>
      <c r="J2248" s="334"/>
      <c r="K2248" s="334"/>
      <c r="L2248" s="334"/>
      <c r="M2248" s="334"/>
      <c r="N2248" s="334"/>
      <c r="O2248" s="334"/>
    </row>
    <row r="2249" spans="1:15" ht="12.75" hidden="1" customHeight="1" outlineLevel="1" x14ac:dyDescent="0.2">
      <c r="A2249" s="623" t="s">
        <v>3164</v>
      </c>
      <c r="B2249" s="624" t="s">
        <v>1324</v>
      </c>
      <c r="C2249" s="625" t="s">
        <v>100</v>
      </c>
      <c r="D2249" s="626">
        <v>33.11</v>
      </c>
      <c r="E2249" s="622"/>
      <c r="F2249" s="334"/>
      <c r="G2249" s="334"/>
      <c r="H2249" s="602"/>
      <c r="I2249" s="334"/>
      <c r="J2249" s="334"/>
      <c r="K2249" s="334"/>
      <c r="L2249" s="334"/>
      <c r="M2249" s="334"/>
      <c r="N2249" s="334"/>
      <c r="O2249" s="334"/>
    </row>
    <row r="2250" spans="1:15" ht="12.75" hidden="1" customHeight="1" outlineLevel="1" x14ac:dyDescent="0.2">
      <c r="A2250" s="627" t="s">
        <v>3165</v>
      </c>
      <c r="B2250" s="628" t="s">
        <v>1326</v>
      </c>
      <c r="C2250" s="629" t="s">
        <v>100</v>
      </c>
      <c r="D2250" s="630">
        <v>33.11</v>
      </c>
      <c r="E2250" s="622"/>
      <c r="F2250" s="334"/>
      <c r="G2250" s="334"/>
      <c r="H2250" s="602"/>
      <c r="I2250" s="334"/>
      <c r="J2250" s="334"/>
      <c r="K2250" s="334"/>
      <c r="L2250" s="334"/>
      <c r="M2250" s="334"/>
      <c r="N2250" s="334"/>
      <c r="O2250" s="334"/>
    </row>
    <row r="2251" spans="1:15" ht="12.75" hidden="1" customHeight="1" outlineLevel="1" x14ac:dyDescent="0.2">
      <c r="A2251" s="623" t="s">
        <v>3166</v>
      </c>
      <c r="B2251" s="624" t="s">
        <v>1330</v>
      </c>
      <c r="C2251" s="625" t="s">
        <v>100</v>
      </c>
      <c r="D2251" s="626">
        <v>9.34</v>
      </c>
      <c r="E2251" s="622"/>
      <c r="F2251" s="334"/>
      <c r="G2251" s="334"/>
      <c r="H2251" s="602"/>
      <c r="I2251" s="334"/>
      <c r="J2251" s="334"/>
      <c r="K2251" s="334"/>
      <c r="L2251" s="334"/>
      <c r="M2251" s="334"/>
      <c r="N2251" s="334"/>
      <c r="O2251" s="334"/>
    </row>
    <row r="2252" spans="1:15" ht="12.75" hidden="1" customHeight="1" outlineLevel="1" x14ac:dyDescent="0.2">
      <c r="A2252" s="627" t="s">
        <v>3167</v>
      </c>
      <c r="B2252" s="628" t="s">
        <v>1324</v>
      </c>
      <c r="C2252" s="629" t="s">
        <v>100</v>
      </c>
      <c r="D2252" s="630">
        <v>9.34</v>
      </c>
      <c r="E2252" s="622"/>
      <c r="F2252" s="334"/>
      <c r="G2252" s="334"/>
      <c r="H2252" s="602"/>
      <c r="I2252" s="334"/>
      <c r="J2252" s="334"/>
      <c r="K2252" s="334"/>
      <c r="L2252" s="334"/>
      <c r="M2252" s="334"/>
      <c r="N2252" s="334"/>
      <c r="O2252" s="334"/>
    </row>
    <row r="2253" spans="1:15" ht="12.75" hidden="1" customHeight="1" outlineLevel="1" x14ac:dyDescent="0.2">
      <c r="A2253" s="623" t="s">
        <v>3168</v>
      </c>
      <c r="B2253" s="624" t="s">
        <v>1326</v>
      </c>
      <c r="C2253" s="625" t="s">
        <v>100</v>
      </c>
      <c r="D2253" s="626">
        <v>9.34</v>
      </c>
      <c r="E2253" s="622"/>
      <c r="F2253" s="334"/>
      <c r="G2253" s="334"/>
      <c r="H2253" s="602"/>
      <c r="I2253" s="334"/>
      <c r="J2253" s="334"/>
      <c r="K2253" s="334"/>
      <c r="L2253" s="334"/>
      <c r="M2253" s="334"/>
      <c r="N2253" s="334"/>
      <c r="O2253" s="334"/>
    </row>
    <row r="2254" spans="1:15" ht="12.75" hidden="1" customHeight="1" outlineLevel="1" x14ac:dyDescent="0.2">
      <c r="A2254" s="627" t="s">
        <v>3169</v>
      </c>
      <c r="B2254" s="628" t="s">
        <v>1324</v>
      </c>
      <c r="C2254" s="629" t="s">
        <v>100</v>
      </c>
      <c r="D2254" s="630">
        <v>38.29</v>
      </c>
      <c r="E2254" s="622"/>
      <c r="F2254" s="334"/>
      <c r="G2254" s="334"/>
      <c r="H2254" s="602"/>
      <c r="I2254" s="334"/>
      <c r="J2254" s="334"/>
      <c r="K2254" s="334"/>
      <c r="L2254" s="334"/>
      <c r="M2254" s="334"/>
      <c r="N2254" s="334"/>
      <c r="O2254" s="334"/>
    </row>
    <row r="2255" spans="1:15" ht="12.75" hidden="1" customHeight="1" outlineLevel="1" x14ac:dyDescent="0.2">
      <c r="A2255" s="623" t="s">
        <v>3170</v>
      </c>
      <c r="B2255" s="624" t="s">
        <v>1324</v>
      </c>
      <c r="C2255" s="625" t="s">
        <v>100</v>
      </c>
      <c r="D2255" s="626">
        <v>52.58</v>
      </c>
      <c r="E2255" s="622"/>
      <c r="F2255" s="334"/>
      <c r="G2255" s="334"/>
      <c r="H2255" s="602"/>
      <c r="I2255" s="334"/>
      <c r="J2255" s="334"/>
      <c r="K2255" s="334"/>
      <c r="L2255" s="334"/>
      <c r="M2255" s="334"/>
      <c r="N2255" s="334"/>
      <c r="O2255" s="334"/>
    </row>
    <row r="2256" spans="1:15" ht="12.75" hidden="1" customHeight="1" outlineLevel="1" x14ac:dyDescent="0.2">
      <c r="A2256" s="627" t="s">
        <v>3171</v>
      </c>
      <c r="B2256" s="628" t="s">
        <v>1326</v>
      </c>
      <c r="C2256" s="629" t="s">
        <v>100</v>
      </c>
      <c r="D2256" s="630">
        <v>52.58</v>
      </c>
      <c r="E2256" s="622"/>
      <c r="F2256" s="334"/>
      <c r="G2256" s="334"/>
      <c r="H2256" s="602"/>
      <c r="I2256" s="334"/>
      <c r="J2256" s="334"/>
      <c r="K2256" s="334"/>
      <c r="L2256" s="334"/>
      <c r="M2256" s="334"/>
      <c r="N2256" s="334"/>
      <c r="O2256" s="334"/>
    </row>
    <row r="2257" spans="1:15" ht="12.75" hidden="1" customHeight="1" outlineLevel="1" x14ac:dyDescent="0.2">
      <c r="A2257" s="623" t="s">
        <v>3172</v>
      </c>
      <c r="B2257" s="624" t="s">
        <v>1328</v>
      </c>
      <c r="C2257" s="625" t="s">
        <v>100</v>
      </c>
      <c r="D2257" s="626">
        <v>52.58</v>
      </c>
      <c r="E2257" s="622"/>
      <c r="F2257" s="334"/>
      <c r="G2257" s="334"/>
      <c r="H2257" s="602"/>
      <c r="I2257" s="334"/>
      <c r="J2257" s="334"/>
      <c r="K2257" s="334"/>
      <c r="L2257" s="334"/>
      <c r="M2257" s="334"/>
      <c r="N2257" s="334"/>
      <c r="O2257" s="334"/>
    </row>
    <row r="2258" spans="1:15" ht="12.75" hidden="1" customHeight="1" outlineLevel="1" x14ac:dyDescent="0.2">
      <c r="A2258" s="627" t="s">
        <v>3173</v>
      </c>
      <c r="B2258" s="628" t="s">
        <v>1330</v>
      </c>
      <c r="C2258" s="629" t="s">
        <v>100</v>
      </c>
      <c r="D2258" s="630">
        <v>67.28</v>
      </c>
      <c r="E2258" s="622"/>
      <c r="F2258" s="334"/>
      <c r="G2258" s="334"/>
      <c r="H2258" s="602"/>
      <c r="I2258" s="334"/>
      <c r="J2258" s="334"/>
      <c r="K2258" s="334"/>
      <c r="L2258" s="334"/>
      <c r="M2258" s="334"/>
      <c r="N2258" s="334"/>
      <c r="O2258" s="334"/>
    </row>
    <row r="2259" spans="1:15" ht="12.75" hidden="1" customHeight="1" outlineLevel="1" x14ac:dyDescent="0.2">
      <c r="A2259" s="623" t="s">
        <v>3174</v>
      </c>
      <c r="B2259" s="624" t="s">
        <v>1324</v>
      </c>
      <c r="C2259" s="625" t="s">
        <v>100</v>
      </c>
      <c r="D2259" s="626">
        <v>67.28</v>
      </c>
      <c r="E2259" s="622"/>
      <c r="F2259" s="334"/>
      <c r="G2259" s="334"/>
      <c r="H2259" s="602"/>
      <c r="I2259" s="334"/>
      <c r="J2259" s="334"/>
      <c r="K2259" s="334"/>
      <c r="L2259" s="334"/>
      <c r="M2259" s="334"/>
      <c r="N2259" s="334"/>
      <c r="O2259" s="334"/>
    </row>
    <row r="2260" spans="1:15" ht="12.75" hidden="1" customHeight="1" outlineLevel="1" x14ac:dyDescent="0.2">
      <c r="A2260" s="627" t="s">
        <v>3175</v>
      </c>
      <c r="B2260" s="628" t="s">
        <v>1326</v>
      </c>
      <c r="C2260" s="629" t="s">
        <v>100</v>
      </c>
      <c r="D2260" s="630">
        <v>67.28</v>
      </c>
      <c r="E2260" s="622"/>
      <c r="F2260" s="334"/>
      <c r="G2260" s="334"/>
      <c r="H2260" s="602"/>
      <c r="I2260" s="334"/>
      <c r="J2260" s="334"/>
      <c r="K2260" s="334"/>
      <c r="L2260" s="334"/>
      <c r="M2260" s="334"/>
      <c r="N2260" s="334"/>
      <c r="O2260" s="334"/>
    </row>
    <row r="2261" spans="1:15" ht="12.75" hidden="1" customHeight="1" outlineLevel="1" x14ac:dyDescent="0.2">
      <c r="A2261" s="623" t="s">
        <v>3176</v>
      </c>
      <c r="B2261" s="624" t="s">
        <v>1330</v>
      </c>
      <c r="C2261" s="625" t="s">
        <v>100</v>
      </c>
      <c r="D2261" s="626">
        <v>28.53</v>
      </c>
      <c r="E2261" s="622"/>
      <c r="F2261" s="334"/>
      <c r="G2261" s="334"/>
      <c r="H2261" s="602"/>
      <c r="I2261" s="334"/>
      <c r="J2261" s="334"/>
      <c r="K2261" s="334"/>
      <c r="L2261" s="334"/>
      <c r="M2261" s="334"/>
      <c r="N2261" s="334"/>
      <c r="O2261" s="334"/>
    </row>
    <row r="2262" spans="1:15" ht="12.75" hidden="1" customHeight="1" outlineLevel="1" x14ac:dyDescent="0.2">
      <c r="A2262" s="627" t="s">
        <v>3177</v>
      </c>
      <c r="B2262" s="628" t="s">
        <v>1330</v>
      </c>
      <c r="C2262" s="629" t="s">
        <v>100</v>
      </c>
      <c r="D2262" s="630">
        <v>134.47</v>
      </c>
      <c r="E2262" s="622"/>
      <c r="F2262" s="334"/>
      <c r="G2262" s="334"/>
      <c r="H2262" s="602"/>
      <c r="I2262" s="334"/>
      <c r="J2262" s="334"/>
      <c r="K2262" s="334"/>
      <c r="L2262" s="334"/>
      <c r="M2262" s="334"/>
      <c r="N2262" s="334"/>
      <c r="O2262" s="334"/>
    </row>
    <row r="2263" spans="1:15" ht="12.75" hidden="1" customHeight="1" outlineLevel="1" x14ac:dyDescent="0.2">
      <c r="A2263" s="623" t="s">
        <v>3178</v>
      </c>
      <c r="B2263" s="624" t="s">
        <v>1324</v>
      </c>
      <c r="C2263" s="625" t="s">
        <v>100</v>
      </c>
      <c r="D2263" s="626">
        <v>28.53</v>
      </c>
      <c r="E2263" s="622"/>
      <c r="F2263" s="334"/>
      <c r="G2263" s="334"/>
      <c r="H2263" s="602"/>
      <c r="I2263" s="334"/>
      <c r="J2263" s="334"/>
      <c r="K2263" s="334"/>
      <c r="L2263" s="334"/>
      <c r="M2263" s="334"/>
      <c r="N2263" s="334"/>
      <c r="O2263" s="334"/>
    </row>
    <row r="2264" spans="1:15" ht="12.75" hidden="1" customHeight="1" outlineLevel="1" x14ac:dyDescent="0.2">
      <c r="A2264" s="627" t="s">
        <v>3179</v>
      </c>
      <c r="B2264" s="628" t="s">
        <v>1324</v>
      </c>
      <c r="C2264" s="629" t="s">
        <v>100</v>
      </c>
      <c r="D2264" s="630">
        <v>134.47</v>
      </c>
      <c r="E2264" s="622"/>
      <c r="F2264" s="334"/>
      <c r="G2264" s="334"/>
      <c r="H2264" s="602"/>
      <c r="I2264" s="334"/>
      <c r="J2264" s="334"/>
      <c r="K2264" s="334"/>
      <c r="L2264" s="334"/>
      <c r="M2264" s="334"/>
      <c r="N2264" s="334"/>
      <c r="O2264" s="334"/>
    </row>
    <row r="2265" spans="1:15" ht="12.75" hidden="1" customHeight="1" outlineLevel="1" x14ac:dyDescent="0.2">
      <c r="A2265" s="623" t="s">
        <v>3180</v>
      </c>
      <c r="B2265" s="624" t="s">
        <v>1326</v>
      </c>
      <c r="C2265" s="625" t="s">
        <v>100</v>
      </c>
      <c r="D2265" s="626">
        <v>28.53</v>
      </c>
      <c r="E2265" s="622"/>
      <c r="F2265" s="334"/>
      <c r="G2265" s="334"/>
      <c r="H2265" s="602"/>
      <c r="I2265" s="334"/>
      <c r="J2265" s="334"/>
      <c r="K2265" s="334"/>
      <c r="L2265" s="334"/>
      <c r="M2265" s="334"/>
      <c r="N2265" s="334"/>
      <c r="O2265" s="334"/>
    </row>
    <row r="2266" spans="1:15" ht="12.75" hidden="1" customHeight="1" outlineLevel="1" x14ac:dyDescent="0.2">
      <c r="A2266" s="627" t="s">
        <v>3181</v>
      </c>
      <c r="B2266" s="628" t="s">
        <v>1326</v>
      </c>
      <c r="C2266" s="629" t="s">
        <v>100</v>
      </c>
      <c r="D2266" s="630">
        <v>134.47</v>
      </c>
      <c r="E2266" s="622"/>
      <c r="F2266" s="334"/>
      <c r="G2266" s="334"/>
      <c r="H2266" s="602"/>
      <c r="I2266" s="334"/>
      <c r="J2266" s="334"/>
      <c r="K2266" s="334"/>
      <c r="L2266" s="334"/>
      <c r="M2266" s="334"/>
      <c r="N2266" s="334"/>
      <c r="O2266" s="334"/>
    </row>
    <row r="2267" spans="1:15" ht="12.75" hidden="1" customHeight="1" outlineLevel="1" x14ac:dyDescent="0.2">
      <c r="A2267" s="618" t="s">
        <v>3182</v>
      </c>
      <c r="B2267" s="619" t="s">
        <v>1112</v>
      </c>
      <c r="C2267" s="620"/>
      <c r="D2267" s="621"/>
      <c r="E2267" s="622"/>
      <c r="F2267" s="334"/>
      <c r="G2267" s="334"/>
      <c r="H2267" s="602"/>
      <c r="I2267" s="334"/>
      <c r="J2267" s="334"/>
      <c r="K2267" s="334"/>
      <c r="L2267" s="334"/>
      <c r="M2267" s="334"/>
      <c r="N2267" s="334"/>
      <c r="O2267" s="334"/>
    </row>
    <row r="2268" spans="1:15" ht="12.75" hidden="1" customHeight="1" outlineLevel="1" x14ac:dyDescent="0.2">
      <c r="A2268" s="623" t="s">
        <v>3183</v>
      </c>
      <c r="B2268" s="624" t="s">
        <v>1330</v>
      </c>
      <c r="C2268" s="625" t="s">
        <v>100</v>
      </c>
      <c r="D2268" s="626">
        <v>146.72999999999999</v>
      </c>
      <c r="E2268" s="622"/>
      <c r="F2268" s="334"/>
      <c r="G2268" s="334"/>
      <c r="H2268" s="602"/>
      <c r="I2268" s="334"/>
      <c r="J2268" s="334"/>
      <c r="K2268" s="334"/>
      <c r="L2268" s="334"/>
      <c r="M2268" s="334"/>
      <c r="N2268" s="334"/>
      <c r="O2268" s="334"/>
    </row>
    <row r="2269" spans="1:15" ht="12.75" hidden="1" customHeight="1" outlineLevel="1" x14ac:dyDescent="0.2">
      <c r="A2269" s="627" t="s">
        <v>3184</v>
      </c>
      <c r="B2269" s="628" t="s">
        <v>1324</v>
      </c>
      <c r="C2269" s="629" t="s">
        <v>100</v>
      </c>
      <c r="D2269" s="630">
        <v>146.72999999999999</v>
      </c>
      <c r="E2269" s="622"/>
      <c r="F2269" s="334"/>
      <c r="G2269" s="334"/>
      <c r="H2269" s="602"/>
      <c r="I2269" s="334"/>
      <c r="J2269" s="334"/>
      <c r="K2269" s="334"/>
      <c r="L2269" s="334"/>
      <c r="M2269" s="334"/>
      <c r="N2269" s="334"/>
      <c r="O2269" s="334"/>
    </row>
    <row r="2270" spans="1:15" ht="12.75" hidden="1" customHeight="1" outlineLevel="1" x14ac:dyDescent="0.2">
      <c r="A2270" s="623" t="s">
        <v>3185</v>
      </c>
      <c r="B2270" s="624" t="s">
        <v>1326</v>
      </c>
      <c r="C2270" s="625" t="s">
        <v>100</v>
      </c>
      <c r="D2270" s="626">
        <v>146.72999999999999</v>
      </c>
      <c r="E2270" s="622"/>
      <c r="F2270" s="334"/>
      <c r="G2270" s="334"/>
      <c r="H2270" s="602"/>
      <c r="I2270" s="334"/>
      <c r="J2270" s="334"/>
      <c r="K2270" s="334"/>
      <c r="L2270" s="334"/>
      <c r="M2270" s="334"/>
      <c r="N2270" s="334"/>
      <c r="O2270" s="334"/>
    </row>
    <row r="2271" spans="1:15" ht="12.75" hidden="1" customHeight="1" outlineLevel="1" x14ac:dyDescent="0.2">
      <c r="A2271" s="627" t="s">
        <v>3186</v>
      </c>
      <c r="B2271" s="624" t="s">
        <v>1330</v>
      </c>
      <c r="C2271" s="629" t="s">
        <v>100</v>
      </c>
      <c r="D2271" s="630">
        <v>67.47</v>
      </c>
      <c r="E2271" s="622"/>
      <c r="F2271" s="334"/>
      <c r="G2271" s="334"/>
      <c r="H2271" s="602"/>
      <c r="I2271" s="334"/>
      <c r="J2271" s="334"/>
      <c r="K2271" s="334"/>
      <c r="L2271" s="334"/>
      <c r="M2271" s="334"/>
      <c r="N2271" s="334"/>
      <c r="O2271" s="334"/>
    </row>
    <row r="2272" spans="1:15" ht="12.75" hidden="1" customHeight="1" outlineLevel="1" x14ac:dyDescent="0.2">
      <c r="A2272" s="623" t="s">
        <v>3187</v>
      </c>
      <c r="B2272" s="628" t="s">
        <v>1324</v>
      </c>
      <c r="C2272" s="625" t="s">
        <v>100</v>
      </c>
      <c r="D2272" s="626">
        <v>67.47</v>
      </c>
      <c r="E2272" s="622"/>
      <c r="F2272" s="334"/>
      <c r="G2272" s="334"/>
      <c r="H2272" s="602"/>
      <c r="I2272" s="334"/>
      <c r="J2272" s="334"/>
      <c r="K2272" s="334"/>
      <c r="L2272" s="334"/>
      <c r="M2272" s="334"/>
      <c r="N2272" s="334"/>
      <c r="O2272" s="334"/>
    </row>
    <row r="2273" spans="1:15" ht="12.75" hidden="1" customHeight="1" outlineLevel="1" x14ac:dyDescent="0.2">
      <c r="A2273" s="627" t="s">
        <v>3188</v>
      </c>
      <c r="B2273" s="624" t="s">
        <v>1326</v>
      </c>
      <c r="C2273" s="629" t="s">
        <v>100</v>
      </c>
      <c r="D2273" s="630">
        <v>67.47</v>
      </c>
      <c r="E2273" s="622"/>
      <c r="F2273" s="334"/>
      <c r="G2273" s="334"/>
      <c r="H2273" s="602"/>
      <c r="I2273" s="334"/>
      <c r="J2273" s="334"/>
      <c r="K2273" s="334"/>
      <c r="L2273" s="334"/>
      <c r="M2273" s="334"/>
      <c r="N2273" s="334"/>
      <c r="O2273" s="334"/>
    </row>
    <row r="2274" spans="1:15" ht="12.75" hidden="1" customHeight="1" outlineLevel="1" x14ac:dyDescent="0.2">
      <c r="A2274" s="623" t="s">
        <v>3189</v>
      </c>
      <c r="B2274" s="624" t="s">
        <v>1330</v>
      </c>
      <c r="C2274" s="625" t="s">
        <v>100</v>
      </c>
      <c r="D2274" s="626">
        <v>13.94</v>
      </c>
      <c r="E2274" s="622"/>
      <c r="F2274" s="334"/>
      <c r="G2274" s="334"/>
      <c r="H2274" s="602"/>
      <c r="I2274" s="334"/>
      <c r="J2274" s="334"/>
      <c r="K2274" s="334"/>
      <c r="L2274" s="334"/>
      <c r="M2274" s="334"/>
      <c r="N2274" s="334"/>
      <c r="O2274" s="334"/>
    </row>
    <row r="2275" spans="1:15" ht="12.75" hidden="1" customHeight="1" outlineLevel="1" x14ac:dyDescent="0.2">
      <c r="A2275" s="627" t="s">
        <v>3190</v>
      </c>
      <c r="B2275" s="628" t="s">
        <v>1324</v>
      </c>
      <c r="C2275" s="629" t="s">
        <v>100</v>
      </c>
      <c r="D2275" s="630">
        <v>13.94</v>
      </c>
      <c r="E2275" s="622"/>
      <c r="F2275" s="334"/>
      <c r="G2275" s="334"/>
      <c r="H2275" s="602"/>
      <c r="I2275" s="334"/>
      <c r="J2275" s="334"/>
      <c r="K2275" s="334"/>
      <c r="L2275" s="334"/>
      <c r="M2275" s="334"/>
      <c r="N2275" s="334"/>
      <c r="O2275" s="334"/>
    </row>
    <row r="2276" spans="1:15" ht="12.75" hidden="1" customHeight="1" outlineLevel="1" x14ac:dyDescent="0.2">
      <c r="A2276" s="623" t="s">
        <v>3191</v>
      </c>
      <c r="B2276" s="624" t="s">
        <v>1326</v>
      </c>
      <c r="C2276" s="625" t="s">
        <v>100</v>
      </c>
      <c r="D2276" s="626">
        <v>13.94</v>
      </c>
      <c r="E2276" s="622"/>
      <c r="F2276" s="334"/>
      <c r="G2276" s="334"/>
      <c r="H2276" s="602"/>
      <c r="I2276" s="334"/>
      <c r="J2276" s="334"/>
      <c r="K2276" s="334"/>
      <c r="L2276" s="334"/>
      <c r="M2276" s="334"/>
      <c r="N2276" s="334"/>
      <c r="O2276" s="334"/>
    </row>
    <row r="2277" spans="1:15" ht="12.75" hidden="1" customHeight="1" outlineLevel="1" x14ac:dyDescent="0.2">
      <c r="A2277" s="627" t="s">
        <v>3192</v>
      </c>
      <c r="B2277" s="624" t="s">
        <v>1330</v>
      </c>
      <c r="C2277" s="629" t="s">
        <v>100</v>
      </c>
      <c r="D2277" s="630">
        <v>13.61</v>
      </c>
      <c r="E2277" s="622"/>
      <c r="F2277" s="334"/>
      <c r="G2277" s="334"/>
      <c r="H2277" s="602"/>
      <c r="I2277" s="334"/>
      <c r="J2277" s="334"/>
      <c r="K2277" s="334"/>
      <c r="L2277" s="334"/>
      <c r="M2277" s="334"/>
      <c r="N2277" s="334"/>
      <c r="O2277" s="334"/>
    </row>
    <row r="2278" spans="1:15" ht="12.75" hidden="1" customHeight="1" outlineLevel="1" x14ac:dyDescent="0.2">
      <c r="A2278" s="623" t="s">
        <v>3193</v>
      </c>
      <c r="B2278" s="628" t="s">
        <v>1324</v>
      </c>
      <c r="C2278" s="625" t="s">
        <v>100</v>
      </c>
      <c r="D2278" s="626">
        <v>13.61</v>
      </c>
      <c r="E2278" s="622"/>
      <c r="F2278" s="334"/>
      <c r="G2278" s="334"/>
      <c r="H2278" s="602"/>
      <c r="I2278" s="334"/>
      <c r="J2278" s="334"/>
      <c r="K2278" s="334"/>
      <c r="L2278" s="334"/>
      <c r="M2278" s="334"/>
      <c r="N2278" s="334"/>
      <c r="O2278" s="334"/>
    </row>
    <row r="2279" spans="1:15" ht="12.75" hidden="1" customHeight="1" outlineLevel="1" x14ac:dyDescent="0.2">
      <c r="A2279" s="627" t="s">
        <v>3194</v>
      </c>
      <c r="B2279" s="624" t="s">
        <v>1326</v>
      </c>
      <c r="C2279" s="629" t="s">
        <v>100</v>
      </c>
      <c r="D2279" s="630">
        <v>13.61</v>
      </c>
      <c r="E2279" s="622"/>
      <c r="F2279" s="334"/>
      <c r="G2279" s="334"/>
      <c r="H2279" s="602"/>
      <c r="I2279" s="334"/>
      <c r="J2279" s="334"/>
      <c r="K2279" s="334"/>
      <c r="L2279" s="334"/>
      <c r="M2279" s="334"/>
      <c r="N2279" s="334"/>
      <c r="O2279" s="334"/>
    </row>
    <row r="2280" spans="1:15" ht="12.75" hidden="1" customHeight="1" outlineLevel="1" x14ac:dyDescent="0.2">
      <c r="A2280" s="623" t="s">
        <v>3195</v>
      </c>
      <c r="B2280" s="624" t="s">
        <v>1330</v>
      </c>
      <c r="C2280" s="625" t="s">
        <v>100</v>
      </c>
      <c r="D2280" s="626">
        <v>262.83999999999997</v>
      </c>
      <c r="E2280" s="622"/>
      <c r="F2280" s="334"/>
      <c r="G2280" s="334"/>
      <c r="H2280" s="602"/>
      <c r="I2280" s="334"/>
      <c r="J2280" s="334"/>
      <c r="K2280" s="334"/>
      <c r="L2280" s="334"/>
      <c r="M2280" s="334"/>
      <c r="N2280" s="334"/>
      <c r="O2280" s="334"/>
    </row>
    <row r="2281" spans="1:15" ht="12.75" hidden="1" customHeight="1" outlineLevel="1" x14ac:dyDescent="0.2">
      <c r="A2281" s="627" t="s">
        <v>3196</v>
      </c>
      <c r="B2281" s="628" t="s">
        <v>1324</v>
      </c>
      <c r="C2281" s="629" t="s">
        <v>100</v>
      </c>
      <c r="D2281" s="630">
        <v>262.83999999999997</v>
      </c>
      <c r="E2281" s="622"/>
      <c r="F2281" s="334"/>
      <c r="G2281" s="334"/>
      <c r="H2281" s="602"/>
      <c r="I2281" s="334"/>
      <c r="J2281" s="334"/>
      <c r="K2281" s="334"/>
      <c r="L2281" s="334"/>
      <c r="M2281" s="334"/>
      <c r="N2281" s="334"/>
      <c r="O2281" s="334"/>
    </row>
    <row r="2282" spans="1:15" ht="12.75" hidden="1" customHeight="1" outlineLevel="1" x14ac:dyDescent="0.2">
      <c r="A2282" s="623" t="s">
        <v>3197</v>
      </c>
      <c r="B2282" s="624" t="s">
        <v>1326</v>
      </c>
      <c r="C2282" s="625" t="s">
        <v>100</v>
      </c>
      <c r="D2282" s="626">
        <v>262.83999999999997</v>
      </c>
      <c r="E2282" s="622"/>
      <c r="F2282" s="334"/>
      <c r="G2282" s="334"/>
      <c r="H2282" s="602"/>
      <c r="I2282" s="334"/>
      <c r="J2282" s="334"/>
      <c r="K2282" s="334"/>
      <c r="L2282" s="334"/>
      <c r="M2282" s="334"/>
      <c r="N2282" s="334"/>
      <c r="O2282" s="334"/>
    </row>
    <row r="2283" spans="1:15" ht="12.75" hidden="1" customHeight="1" outlineLevel="1" x14ac:dyDescent="0.2">
      <c r="A2283" s="627" t="s">
        <v>3198</v>
      </c>
      <c r="B2283" s="624" t="s">
        <v>1330</v>
      </c>
      <c r="C2283" s="629" t="s">
        <v>100</v>
      </c>
      <c r="D2283" s="630">
        <v>9.7899999999999991</v>
      </c>
      <c r="E2283" s="622"/>
      <c r="F2283" s="334"/>
      <c r="G2283" s="334"/>
      <c r="H2283" s="602"/>
      <c r="I2283" s="334"/>
      <c r="J2283" s="334"/>
      <c r="K2283" s="334"/>
      <c r="L2283" s="334"/>
      <c r="M2283" s="334"/>
      <c r="N2283" s="334"/>
      <c r="O2283" s="334"/>
    </row>
    <row r="2284" spans="1:15" ht="12.75" hidden="1" customHeight="1" outlineLevel="1" x14ac:dyDescent="0.2">
      <c r="A2284" s="623" t="s">
        <v>3199</v>
      </c>
      <c r="B2284" s="628" t="s">
        <v>1324</v>
      </c>
      <c r="C2284" s="625" t="s">
        <v>100</v>
      </c>
      <c r="D2284" s="626">
        <v>9.7899999999999991</v>
      </c>
      <c r="E2284" s="622"/>
      <c r="F2284" s="334"/>
      <c r="G2284" s="334"/>
      <c r="H2284" s="602"/>
      <c r="I2284" s="334"/>
      <c r="J2284" s="334"/>
      <c r="K2284" s="334"/>
      <c r="L2284" s="334"/>
      <c r="M2284" s="334"/>
      <c r="N2284" s="334"/>
      <c r="O2284" s="334"/>
    </row>
    <row r="2285" spans="1:15" ht="12.75" hidden="1" customHeight="1" outlineLevel="1" x14ac:dyDescent="0.2">
      <c r="A2285" s="627" t="s">
        <v>3200</v>
      </c>
      <c r="B2285" s="624" t="s">
        <v>1326</v>
      </c>
      <c r="C2285" s="629" t="s">
        <v>100</v>
      </c>
      <c r="D2285" s="630">
        <v>9.7899999999999991</v>
      </c>
      <c r="E2285" s="622"/>
      <c r="F2285" s="334"/>
      <c r="G2285" s="334"/>
      <c r="H2285" s="602"/>
      <c r="I2285" s="334"/>
      <c r="J2285" s="334"/>
      <c r="K2285" s="334"/>
      <c r="L2285" s="334"/>
      <c r="M2285" s="334"/>
      <c r="N2285" s="334"/>
      <c r="O2285" s="334"/>
    </row>
    <row r="2286" spans="1:15" ht="12.75" hidden="1" customHeight="1" outlineLevel="1" x14ac:dyDescent="0.2">
      <c r="A2286" s="623" t="s">
        <v>3201</v>
      </c>
      <c r="B2286" s="624" t="s">
        <v>1324</v>
      </c>
      <c r="C2286" s="625" t="s">
        <v>100</v>
      </c>
      <c r="D2286" s="626">
        <v>38.01</v>
      </c>
      <c r="E2286" s="622"/>
      <c r="F2286" s="334"/>
      <c r="G2286" s="334"/>
      <c r="H2286" s="602"/>
      <c r="I2286" s="334"/>
      <c r="J2286" s="334"/>
      <c r="K2286" s="334"/>
      <c r="L2286" s="334"/>
      <c r="M2286" s="334"/>
      <c r="N2286" s="334"/>
      <c r="O2286" s="334"/>
    </row>
    <row r="2287" spans="1:15" ht="12.75" hidden="1" customHeight="1" outlineLevel="1" x14ac:dyDescent="0.2">
      <c r="A2287" s="627" t="s">
        <v>3202</v>
      </c>
      <c r="B2287" s="628" t="s">
        <v>1324</v>
      </c>
      <c r="C2287" s="629" t="s">
        <v>100</v>
      </c>
      <c r="D2287" s="630">
        <v>53.37</v>
      </c>
      <c r="E2287" s="622"/>
      <c r="F2287" s="334"/>
      <c r="G2287" s="334"/>
      <c r="H2287" s="602"/>
      <c r="I2287" s="334"/>
      <c r="J2287" s="334"/>
      <c r="K2287" s="334"/>
      <c r="L2287" s="334"/>
      <c r="M2287" s="334"/>
      <c r="N2287" s="334"/>
      <c r="O2287" s="334"/>
    </row>
    <row r="2288" spans="1:15" ht="12.75" hidden="1" customHeight="1" outlineLevel="1" x14ac:dyDescent="0.2">
      <c r="A2288" s="623" t="s">
        <v>3203</v>
      </c>
      <c r="B2288" s="624" t="s">
        <v>1326</v>
      </c>
      <c r="C2288" s="625" t="s">
        <v>100</v>
      </c>
      <c r="D2288" s="626">
        <v>53.37</v>
      </c>
      <c r="E2288" s="622"/>
      <c r="F2288" s="334"/>
      <c r="G2288" s="334"/>
      <c r="H2288" s="602"/>
      <c r="I2288" s="334"/>
      <c r="J2288" s="334"/>
      <c r="K2288" s="334"/>
      <c r="L2288" s="334"/>
      <c r="M2288" s="334"/>
      <c r="N2288" s="334"/>
      <c r="O2288" s="334"/>
    </row>
    <row r="2289" spans="1:15" ht="12.75" hidden="1" customHeight="1" outlineLevel="1" x14ac:dyDescent="0.2">
      <c r="A2289" s="627" t="s">
        <v>3204</v>
      </c>
      <c r="B2289" s="628" t="s">
        <v>1328</v>
      </c>
      <c r="C2289" s="629" t="s">
        <v>100</v>
      </c>
      <c r="D2289" s="630">
        <v>53.37</v>
      </c>
      <c r="E2289" s="622"/>
      <c r="F2289" s="334"/>
      <c r="G2289" s="334"/>
      <c r="H2289" s="602"/>
      <c r="I2289" s="334"/>
      <c r="J2289" s="334"/>
      <c r="K2289" s="334"/>
      <c r="L2289" s="334"/>
      <c r="M2289" s="334"/>
      <c r="N2289" s="334"/>
      <c r="O2289" s="334"/>
    </row>
    <row r="2290" spans="1:15" ht="12.75" hidden="1" customHeight="1" outlineLevel="1" x14ac:dyDescent="0.2">
      <c r="A2290" s="623" t="s">
        <v>3205</v>
      </c>
      <c r="B2290" s="624" t="s">
        <v>1330</v>
      </c>
      <c r="C2290" s="625" t="s">
        <v>100</v>
      </c>
      <c r="D2290" s="626">
        <v>48.09</v>
      </c>
      <c r="E2290" s="622"/>
      <c r="F2290" s="334"/>
      <c r="G2290" s="334"/>
      <c r="H2290" s="602"/>
      <c r="I2290" s="334"/>
      <c r="J2290" s="334"/>
      <c r="K2290" s="334"/>
      <c r="L2290" s="334"/>
      <c r="M2290" s="334"/>
      <c r="N2290" s="334"/>
      <c r="O2290" s="334"/>
    </row>
    <row r="2291" spans="1:15" ht="12.75" hidden="1" customHeight="1" outlineLevel="1" x14ac:dyDescent="0.2">
      <c r="A2291" s="627" t="s">
        <v>3206</v>
      </c>
      <c r="B2291" s="628" t="s">
        <v>1324</v>
      </c>
      <c r="C2291" s="629" t="s">
        <v>100</v>
      </c>
      <c r="D2291" s="630">
        <v>48.09</v>
      </c>
      <c r="E2291" s="622"/>
      <c r="F2291" s="334"/>
      <c r="G2291" s="334"/>
      <c r="H2291" s="602"/>
      <c r="I2291" s="334"/>
      <c r="J2291" s="334"/>
      <c r="K2291" s="334"/>
      <c r="L2291" s="334"/>
      <c r="M2291" s="334"/>
      <c r="N2291" s="334"/>
      <c r="O2291" s="334"/>
    </row>
    <row r="2292" spans="1:15" ht="12.75" hidden="1" customHeight="1" outlineLevel="1" x14ac:dyDescent="0.2">
      <c r="A2292" s="623" t="s">
        <v>3207</v>
      </c>
      <c r="B2292" s="624" t="s">
        <v>1326</v>
      </c>
      <c r="C2292" s="625" t="s">
        <v>100</v>
      </c>
      <c r="D2292" s="626">
        <v>48.09</v>
      </c>
      <c r="E2292" s="622"/>
      <c r="F2292" s="334"/>
      <c r="G2292" s="334"/>
      <c r="H2292" s="602"/>
      <c r="I2292" s="334"/>
      <c r="J2292" s="334"/>
      <c r="K2292" s="334"/>
      <c r="L2292" s="334"/>
      <c r="M2292" s="334"/>
      <c r="N2292" s="334"/>
      <c r="O2292" s="334"/>
    </row>
    <row r="2293" spans="1:15" ht="12.75" hidden="1" customHeight="1" outlineLevel="1" x14ac:dyDescent="0.2">
      <c r="A2293" s="627" t="s">
        <v>3208</v>
      </c>
      <c r="B2293" s="628" t="s">
        <v>1330</v>
      </c>
      <c r="C2293" s="629" t="s">
        <v>100</v>
      </c>
      <c r="D2293" s="630">
        <v>70.42</v>
      </c>
      <c r="E2293" s="622"/>
      <c r="F2293" s="334"/>
      <c r="G2293" s="334"/>
      <c r="H2293" s="602"/>
      <c r="I2293" s="334"/>
      <c r="J2293" s="334"/>
      <c r="K2293" s="334"/>
      <c r="L2293" s="334"/>
      <c r="M2293" s="334"/>
      <c r="N2293" s="334"/>
      <c r="O2293" s="334"/>
    </row>
    <row r="2294" spans="1:15" ht="12.75" hidden="1" customHeight="1" outlineLevel="1" x14ac:dyDescent="0.2">
      <c r="A2294" s="623" t="s">
        <v>3209</v>
      </c>
      <c r="B2294" s="624" t="s">
        <v>1324</v>
      </c>
      <c r="C2294" s="625" t="s">
        <v>100</v>
      </c>
      <c r="D2294" s="626">
        <v>70.42</v>
      </c>
      <c r="E2294" s="622"/>
      <c r="F2294" s="334"/>
      <c r="G2294" s="334"/>
      <c r="H2294" s="602"/>
      <c r="I2294" s="334"/>
      <c r="J2294" s="334"/>
      <c r="K2294" s="334"/>
      <c r="L2294" s="334"/>
      <c r="M2294" s="334"/>
      <c r="N2294" s="334"/>
      <c r="O2294" s="334"/>
    </row>
    <row r="2295" spans="1:15" ht="12.75" hidden="1" customHeight="1" outlineLevel="1" x14ac:dyDescent="0.2">
      <c r="A2295" s="627" t="s">
        <v>3210</v>
      </c>
      <c r="B2295" s="628" t="s">
        <v>1326</v>
      </c>
      <c r="C2295" s="629" t="s">
        <v>100</v>
      </c>
      <c r="D2295" s="630">
        <v>70.42</v>
      </c>
      <c r="E2295" s="622"/>
      <c r="F2295" s="334"/>
      <c r="G2295" s="334"/>
      <c r="H2295" s="602"/>
      <c r="I2295" s="334"/>
      <c r="J2295" s="334"/>
      <c r="K2295" s="334"/>
      <c r="L2295" s="334"/>
      <c r="M2295" s="334"/>
      <c r="N2295" s="334"/>
      <c r="O2295" s="334"/>
    </row>
    <row r="2296" spans="1:15" ht="12.75" hidden="1" customHeight="1" outlineLevel="1" x14ac:dyDescent="0.2">
      <c r="A2296" s="623" t="s">
        <v>3211</v>
      </c>
      <c r="B2296" s="624" t="s">
        <v>1330</v>
      </c>
      <c r="C2296" s="625" t="s">
        <v>100</v>
      </c>
      <c r="D2296" s="626">
        <v>28.46</v>
      </c>
      <c r="E2296" s="622"/>
      <c r="F2296" s="334"/>
      <c r="G2296" s="334"/>
      <c r="H2296" s="602"/>
      <c r="I2296" s="334"/>
      <c r="J2296" s="334"/>
      <c r="K2296" s="334"/>
      <c r="L2296" s="334"/>
      <c r="M2296" s="334"/>
      <c r="N2296" s="334"/>
      <c r="O2296" s="334"/>
    </row>
    <row r="2297" spans="1:15" ht="12.75" hidden="1" customHeight="1" outlineLevel="1" x14ac:dyDescent="0.2">
      <c r="A2297" s="627" t="s">
        <v>3212</v>
      </c>
      <c r="B2297" s="628" t="s">
        <v>1324</v>
      </c>
      <c r="C2297" s="629" t="s">
        <v>100</v>
      </c>
      <c r="D2297" s="630">
        <v>28.46</v>
      </c>
      <c r="E2297" s="622"/>
      <c r="F2297" s="334"/>
      <c r="G2297" s="334"/>
      <c r="H2297" s="602"/>
      <c r="I2297" s="334"/>
      <c r="J2297" s="334"/>
      <c r="K2297" s="334"/>
      <c r="L2297" s="334"/>
      <c r="M2297" s="334"/>
      <c r="N2297" s="334"/>
      <c r="O2297" s="334"/>
    </row>
    <row r="2298" spans="1:15" ht="12.75" hidden="1" customHeight="1" outlineLevel="1" x14ac:dyDescent="0.2">
      <c r="A2298" s="623" t="s">
        <v>3213</v>
      </c>
      <c r="B2298" s="624" t="s">
        <v>1326</v>
      </c>
      <c r="C2298" s="625" t="s">
        <v>100</v>
      </c>
      <c r="D2298" s="626">
        <v>28.46</v>
      </c>
      <c r="E2298" s="622"/>
      <c r="F2298" s="334"/>
      <c r="G2298" s="334"/>
      <c r="H2298" s="602"/>
      <c r="I2298" s="334"/>
      <c r="J2298" s="334"/>
      <c r="K2298" s="334"/>
      <c r="L2298" s="334"/>
      <c r="M2298" s="334"/>
      <c r="N2298" s="334"/>
      <c r="O2298" s="334"/>
    </row>
    <row r="2299" spans="1:15" ht="12.75" hidden="1" customHeight="1" outlineLevel="1" x14ac:dyDescent="0.2">
      <c r="A2299" s="618" t="s">
        <v>3214</v>
      </c>
      <c r="B2299" s="619" t="s">
        <v>1120</v>
      </c>
      <c r="C2299" s="620"/>
      <c r="D2299" s="621"/>
      <c r="E2299" s="622"/>
      <c r="F2299" s="334"/>
      <c r="G2299" s="334"/>
      <c r="H2299" s="602"/>
      <c r="I2299" s="334"/>
      <c r="J2299" s="334"/>
      <c r="K2299" s="334"/>
      <c r="L2299" s="334"/>
      <c r="M2299" s="334"/>
      <c r="N2299" s="334"/>
      <c r="O2299" s="334"/>
    </row>
    <row r="2300" spans="1:15" ht="12.75" hidden="1" customHeight="1" outlineLevel="1" x14ac:dyDescent="0.2">
      <c r="A2300" s="627" t="s">
        <v>3215</v>
      </c>
      <c r="B2300" s="624" t="s">
        <v>1330</v>
      </c>
      <c r="C2300" s="629" t="s">
        <v>100</v>
      </c>
      <c r="D2300" s="630">
        <v>5.71</v>
      </c>
      <c r="E2300" s="622"/>
      <c r="F2300" s="334"/>
      <c r="G2300" s="334"/>
      <c r="H2300" s="602"/>
      <c r="I2300" s="334"/>
      <c r="J2300" s="334"/>
      <c r="K2300" s="334"/>
      <c r="L2300" s="334"/>
      <c r="M2300" s="334"/>
      <c r="N2300" s="334"/>
      <c r="O2300" s="334"/>
    </row>
    <row r="2301" spans="1:15" ht="12.75" hidden="1" customHeight="1" outlineLevel="1" x14ac:dyDescent="0.2">
      <c r="A2301" s="623" t="s">
        <v>3216</v>
      </c>
      <c r="B2301" s="628" t="s">
        <v>1324</v>
      </c>
      <c r="C2301" s="625" t="s">
        <v>100</v>
      </c>
      <c r="D2301" s="626">
        <v>5.71</v>
      </c>
      <c r="E2301" s="622"/>
      <c r="F2301" s="334"/>
      <c r="G2301" s="334"/>
      <c r="H2301" s="602"/>
      <c r="I2301" s="334"/>
      <c r="J2301" s="334"/>
      <c r="K2301" s="334"/>
      <c r="L2301" s="334"/>
      <c r="M2301" s="334"/>
      <c r="N2301" s="334"/>
      <c r="O2301" s="334"/>
    </row>
    <row r="2302" spans="1:15" ht="12.75" hidden="1" customHeight="1" outlineLevel="1" x14ac:dyDescent="0.2">
      <c r="A2302" s="627" t="s">
        <v>3217</v>
      </c>
      <c r="B2302" s="624" t="s">
        <v>1326</v>
      </c>
      <c r="C2302" s="629" t="s">
        <v>100</v>
      </c>
      <c r="D2302" s="630">
        <v>5.71</v>
      </c>
      <c r="E2302" s="622"/>
      <c r="F2302" s="334"/>
      <c r="G2302" s="334"/>
      <c r="H2302" s="602"/>
      <c r="I2302" s="334"/>
      <c r="J2302" s="334"/>
      <c r="K2302" s="334"/>
      <c r="L2302" s="334"/>
      <c r="M2302" s="334"/>
      <c r="N2302" s="334"/>
      <c r="O2302" s="334"/>
    </row>
    <row r="2303" spans="1:15" ht="12.75" hidden="1" customHeight="1" outlineLevel="1" x14ac:dyDescent="0.2">
      <c r="A2303" s="623" t="s">
        <v>3218</v>
      </c>
      <c r="B2303" s="624" t="s">
        <v>1330</v>
      </c>
      <c r="C2303" s="625" t="s">
        <v>100</v>
      </c>
      <c r="D2303" s="626">
        <v>5.99</v>
      </c>
      <c r="E2303" s="622"/>
      <c r="F2303" s="334"/>
      <c r="G2303" s="334"/>
      <c r="H2303" s="602"/>
      <c r="I2303" s="334"/>
      <c r="J2303" s="334"/>
      <c r="K2303" s="334"/>
      <c r="L2303" s="334"/>
      <c r="M2303" s="334"/>
      <c r="N2303" s="334"/>
      <c r="O2303" s="334"/>
    </row>
    <row r="2304" spans="1:15" ht="12.75" hidden="1" customHeight="1" outlineLevel="1" x14ac:dyDescent="0.2">
      <c r="A2304" s="627" t="s">
        <v>3219</v>
      </c>
      <c r="B2304" s="628" t="s">
        <v>1324</v>
      </c>
      <c r="C2304" s="629" t="s">
        <v>100</v>
      </c>
      <c r="D2304" s="630">
        <v>5.99</v>
      </c>
      <c r="E2304" s="622"/>
      <c r="F2304" s="334"/>
      <c r="G2304" s="334"/>
      <c r="H2304" s="602"/>
      <c r="I2304" s="334"/>
      <c r="J2304" s="334"/>
      <c r="K2304" s="334"/>
      <c r="L2304" s="334"/>
      <c r="M2304" s="334"/>
      <c r="N2304" s="334"/>
      <c r="O2304" s="334"/>
    </row>
    <row r="2305" spans="1:15" ht="12.75" hidden="1" customHeight="1" outlineLevel="1" x14ac:dyDescent="0.2">
      <c r="A2305" s="623" t="s">
        <v>3220</v>
      </c>
      <c r="B2305" s="624" t="s">
        <v>1326</v>
      </c>
      <c r="C2305" s="625" t="s">
        <v>100</v>
      </c>
      <c r="D2305" s="626">
        <v>5.99</v>
      </c>
      <c r="E2305" s="622"/>
      <c r="F2305" s="334"/>
      <c r="G2305" s="334"/>
      <c r="H2305" s="602"/>
      <c r="I2305" s="334"/>
      <c r="J2305" s="334"/>
      <c r="K2305" s="334"/>
      <c r="L2305" s="334"/>
      <c r="M2305" s="334"/>
      <c r="N2305" s="334"/>
      <c r="O2305" s="334"/>
    </row>
    <row r="2306" spans="1:15" ht="12.75" hidden="1" customHeight="1" outlineLevel="1" x14ac:dyDescent="0.2">
      <c r="A2306" s="627" t="s">
        <v>3221</v>
      </c>
      <c r="B2306" s="624" t="s">
        <v>1330</v>
      </c>
      <c r="C2306" s="629" t="s">
        <v>100</v>
      </c>
      <c r="D2306" s="630">
        <v>3.62</v>
      </c>
      <c r="E2306" s="622"/>
      <c r="F2306" s="334"/>
      <c r="G2306" s="334"/>
      <c r="H2306" s="602"/>
      <c r="I2306" s="334"/>
      <c r="J2306" s="334"/>
      <c r="K2306" s="334"/>
      <c r="L2306" s="334"/>
      <c r="M2306" s="334"/>
      <c r="N2306" s="334"/>
      <c r="O2306" s="334"/>
    </row>
    <row r="2307" spans="1:15" ht="12.75" hidden="1" customHeight="1" outlineLevel="1" x14ac:dyDescent="0.2">
      <c r="A2307" s="623" t="s">
        <v>3222</v>
      </c>
      <c r="B2307" s="628" t="s">
        <v>1324</v>
      </c>
      <c r="C2307" s="625" t="s">
        <v>100</v>
      </c>
      <c r="D2307" s="626">
        <v>3.62</v>
      </c>
      <c r="E2307" s="622"/>
      <c r="F2307" s="334"/>
      <c r="G2307" s="334"/>
      <c r="H2307" s="602"/>
      <c r="I2307" s="334"/>
      <c r="J2307" s="334"/>
      <c r="K2307" s="334"/>
      <c r="L2307" s="334"/>
      <c r="M2307" s="334"/>
      <c r="N2307" s="334"/>
      <c r="O2307" s="334"/>
    </row>
    <row r="2308" spans="1:15" ht="12.75" hidden="1" customHeight="1" outlineLevel="1" x14ac:dyDescent="0.2">
      <c r="A2308" s="627" t="s">
        <v>3223</v>
      </c>
      <c r="B2308" s="624" t="s">
        <v>1326</v>
      </c>
      <c r="C2308" s="629" t="s">
        <v>100</v>
      </c>
      <c r="D2308" s="630">
        <v>3.62</v>
      </c>
      <c r="E2308" s="622"/>
      <c r="F2308" s="334"/>
      <c r="G2308" s="334"/>
      <c r="H2308" s="602"/>
      <c r="I2308" s="334"/>
      <c r="J2308" s="334"/>
      <c r="K2308" s="334"/>
      <c r="L2308" s="334"/>
      <c r="M2308" s="334"/>
      <c r="N2308" s="334"/>
      <c r="O2308" s="334"/>
    </row>
    <row r="2309" spans="1:15" ht="12.75" hidden="1" customHeight="1" outlineLevel="1" x14ac:dyDescent="0.2">
      <c r="A2309" s="623" t="s">
        <v>3224</v>
      </c>
      <c r="B2309" s="624" t="s">
        <v>1324</v>
      </c>
      <c r="C2309" s="625" t="s">
        <v>100</v>
      </c>
      <c r="D2309" s="626">
        <v>18.05</v>
      </c>
      <c r="E2309" s="622"/>
      <c r="F2309" s="334"/>
      <c r="G2309" s="334"/>
      <c r="H2309" s="602"/>
      <c r="I2309" s="334"/>
      <c r="J2309" s="334"/>
      <c r="K2309" s="334"/>
      <c r="L2309" s="334"/>
      <c r="M2309" s="334"/>
      <c r="N2309" s="334"/>
      <c r="O2309" s="334"/>
    </row>
    <row r="2310" spans="1:15" ht="12.75" hidden="1" customHeight="1" outlineLevel="1" x14ac:dyDescent="0.2">
      <c r="A2310" s="627" t="s">
        <v>3225</v>
      </c>
      <c r="B2310" s="628" t="s">
        <v>1324</v>
      </c>
      <c r="C2310" s="629" t="s">
        <v>100</v>
      </c>
      <c r="D2310" s="630">
        <v>26.46</v>
      </c>
      <c r="E2310" s="622"/>
      <c r="F2310" s="334"/>
      <c r="G2310" s="334"/>
      <c r="H2310" s="602"/>
      <c r="I2310" s="334"/>
      <c r="J2310" s="334"/>
      <c r="K2310" s="334"/>
      <c r="L2310" s="334"/>
      <c r="M2310" s="334"/>
      <c r="N2310" s="334"/>
      <c r="O2310" s="334"/>
    </row>
    <row r="2311" spans="1:15" ht="12.75" hidden="1" customHeight="1" outlineLevel="1" x14ac:dyDescent="0.2">
      <c r="A2311" s="623" t="s">
        <v>3226</v>
      </c>
      <c r="B2311" s="624" t="s">
        <v>1326</v>
      </c>
      <c r="C2311" s="625" t="s">
        <v>100</v>
      </c>
      <c r="D2311" s="626">
        <v>26.46</v>
      </c>
      <c r="E2311" s="622"/>
      <c r="F2311" s="334"/>
      <c r="G2311" s="334"/>
      <c r="H2311" s="602"/>
      <c r="I2311" s="334"/>
      <c r="J2311" s="334"/>
      <c r="K2311" s="334"/>
      <c r="L2311" s="334"/>
      <c r="M2311" s="334"/>
      <c r="N2311" s="334"/>
      <c r="O2311" s="334"/>
    </row>
    <row r="2312" spans="1:15" ht="12.75" hidden="1" customHeight="1" outlineLevel="1" x14ac:dyDescent="0.2">
      <c r="A2312" s="627" t="s">
        <v>3227</v>
      </c>
      <c r="B2312" s="628" t="s">
        <v>1328</v>
      </c>
      <c r="C2312" s="629" t="s">
        <v>100</v>
      </c>
      <c r="D2312" s="630">
        <v>26.46</v>
      </c>
      <c r="E2312" s="622"/>
      <c r="F2312" s="334"/>
      <c r="G2312" s="334"/>
      <c r="H2312" s="602"/>
      <c r="I2312" s="334"/>
      <c r="J2312" s="334"/>
      <c r="K2312" s="334"/>
      <c r="L2312" s="334"/>
      <c r="M2312" s="334"/>
      <c r="N2312" s="334"/>
      <c r="O2312" s="334"/>
    </row>
    <row r="2313" spans="1:15" ht="12.75" hidden="1" customHeight="1" outlineLevel="1" x14ac:dyDescent="0.2">
      <c r="A2313" s="623" t="s">
        <v>3228</v>
      </c>
      <c r="B2313" s="624" t="s">
        <v>1330</v>
      </c>
      <c r="C2313" s="625" t="s">
        <v>100</v>
      </c>
      <c r="D2313" s="626">
        <v>19.98</v>
      </c>
      <c r="E2313" s="622"/>
      <c r="F2313" s="334"/>
      <c r="G2313" s="334"/>
      <c r="H2313" s="602"/>
      <c r="I2313" s="334"/>
      <c r="J2313" s="334"/>
      <c r="K2313" s="334"/>
      <c r="L2313" s="334"/>
      <c r="M2313" s="334"/>
      <c r="N2313" s="334"/>
      <c r="O2313" s="334"/>
    </row>
    <row r="2314" spans="1:15" ht="12.75" hidden="1" customHeight="1" outlineLevel="1" x14ac:dyDescent="0.2">
      <c r="A2314" s="627" t="s">
        <v>3229</v>
      </c>
      <c r="B2314" s="628" t="s">
        <v>1324</v>
      </c>
      <c r="C2314" s="629" t="s">
        <v>100</v>
      </c>
      <c r="D2314" s="630">
        <v>19.98</v>
      </c>
      <c r="E2314" s="622"/>
      <c r="F2314" s="334"/>
      <c r="G2314" s="334"/>
      <c r="H2314" s="602"/>
      <c r="I2314" s="334"/>
      <c r="J2314" s="334"/>
      <c r="K2314" s="334"/>
      <c r="L2314" s="334"/>
      <c r="M2314" s="334"/>
      <c r="N2314" s="334"/>
      <c r="O2314" s="334"/>
    </row>
    <row r="2315" spans="1:15" ht="12.75" hidden="1" customHeight="1" outlineLevel="1" x14ac:dyDescent="0.2">
      <c r="A2315" s="623" t="s">
        <v>3230</v>
      </c>
      <c r="B2315" s="624" t="s">
        <v>1326</v>
      </c>
      <c r="C2315" s="625" t="s">
        <v>100</v>
      </c>
      <c r="D2315" s="626">
        <v>19.98</v>
      </c>
      <c r="E2315" s="622"/>
      <c r="F2315" s="334"/>
      <c r="G2315" s="334"/>
      <c r="H2315" s="602"/>
      <c r="I2315" s="334"/>
      <c r="J2315" s="334"/>
      <c r="K2315" s="334"/>
      <c r="L2315" s="334"/>
      <c r="M2315" s="334"/>
      <c r="N2315" s="334"/>
      <c r="O2315" s="334"/>
    </row>
    <row r="2316" spans="1:15" ht="12.75" hidden="1" customHeight="1" outlineLevel="1" x14ac:dyDescent="0.2">
      <c r="A2316" s="627" t="s">
        <v>3231</v>
      </c>
      <c r="B2316" s="628" t="s">
        <v>1324</v>
      </c>
      <c r="C2316" s="629" t="s">
        <v>100</v>
      </c>
      <c r="D2316" s="630">
        <v>174.4</v>
      </c>
      <c r="E2316" s="622"/>
      <c r="F2316" s="334"/>
      <c r="G2316" s="334"/>
      <c r="H2316" s="602"/>
      <c r="I2316" s="334"/>
      <c r="J2316" s="334"/>
      <c r="K2316" s="334"/>
      <c r="L2316" s="334"/>
      <c r="M2316" s="334"/>
      <c r="N2316" s="334"/>
      <c r="O2316" s="334"/>
    </row>
    <row r="2317" spans="1:15" ht="12.75" hidden="1" customHeight="1" outlineLevel="1" x14ac:dyDescent="0.2">
      <c r="A2317" s="618" t="s">
        <v>3232</v>
      </c>
      <c r="B2317" s="619" t="s">
        <v>1127</v>
      </c>
      <c r="C2317" s="620"/>
      <c r="D2317" s="621"/>
      <c r="E2317" s="622"/>
      <c r="F2317" s="334"/>
      <c r="G2317" s="334"/>
      <c r="H2317" s="602"/>
      <c r="I2317" s="334"/>
      <c r="J2317" s="334"/>
      <c r="K2317" s="334"/>
      <c r="L2317" s="334"/>
      <c r="M2317" s="334"/>
      <c r="N2317" s="334"/>
      <c r="O2317" s="334"/>
    </row>
    <row r="2318" spans="1:15" ht="12.75" hidden="1" customHeight="1" outlineLevel="1" x14ac:dyDescent="0.2">
      <c r="A2318" s="623" t="s">
        <v>3233</v>
      </c>
      <c r="B2318" s="624" t="s">
        <v>1324</v>
      </c>
      <c r="C2318" s="625" t="s">
        <v>100</v>
      </c>
      <c r="D2318" s="626">
        <v>14.47</v>
      </c>
      <c r="E2318" s="622"/>
      <c r="F2318" s="334"/>
      <c r="G2318" s="334"/>
      <c r="H2318" s="602"/>
      <c r="I2318" s="334"/>
      <c r="J2318" s="334"/>
      <c r="K2318" s="334"/>
      <c r="L2318" s="334"/>
      <c r="M2318" s="334"/>
      <c r="N2318" s="334"/>
      <c r="O2318" s="334"/>
    </row>
    <row r="2319" spans="1:15" ht="12.75" hidden="1" customHeight="1" outlineLevel="1" x14ac:dyDescent="0.2">
      <c r="A2319" s="627" t="s">
        <v>3234</v>
      </c>
      <c r="B2319" s="628" t="s">
        <v>1326</v>
      </c>
      <c r="C2319" s="629" t="s">
        <v>100</v>
      </c>
      <c r="D2319" s="630">
        <v>14.47</v>
      </c>
      <c r="E2319" s="622"/>
      <c r="F2319" s="334"/>
      <c r="G2319" s="334"/>
      <c r="H2319" s="602"/>
      <c r="I2319" s="334"/>
      <c r="J2319" s="334"/>
      <c r="K2319" s="334"/>
      <c r="L2319" s="334"/>
      <c r="M2319" s="334"/>
      <c r="N2319" s="334"/>
      <c r="O2319" s="334"/>
    </row>
    <row r="2320" spans="1:15" ht="12.75" hidden="1" customHeight="1" outlineLevel="1" x14ac:dyDescent="0.2">
      <c r="A2320" s="623" t="s">
        <v>3235</v>
      </c>
      <c r="B2320" s="624" t="s">
        <v>1328</v>
      </c>
      <c r="C2320" s="625" t="s">
        <v>100</v>
      </c>
      <c r="D2320" s="626">
        <v>14.47</v>
      </c>
      <c r="E2320" s="622"/>
      <c r="F2320" s="334"/>
      <c r="G2320" s="334"/>
      <c r="H2320" s="602"/>
      <c r="I2320" s="334"/>
      <c r="J2320" s="334"/>
      <c r="K2320" s="334"/>
      <c r="L2320" s="334"/>
      <c r="M2320" s="334"/>
      <c r="N2320" s="334"/>
      <c r="O2320" s="334"/>
    </row>
    <row r="2321" spans="1:15" ht="12.75" hidden="1" customHeight="1" outlineLevel="1" x14ac:dyDescent="0.2">
      <c r="A2321" s="627" t="s">
        <v>3236</v>
      </c>
      <c r="B2321" s="628" t="s">
        <v>1330</v>
      </c>
      <c r="C2321" s="629" t="s">
        <v>100</v>
      </c>
      <c r="D2321" s="630">
        <v>9.42</v>
      </c>
      <c r="E2321" s="622"/>
      <c r="F2321" s="334"/>
      <c r="G2321" s="334"/>
      <c r="H2321" s="602"/>
      <c r="I2321" s="334"/>
      <c r="J2321" s="334"/>
      <c r="K2321" s="334"/>
      <c r="L2321" s="334"/>
      <c r="M2321" s="334"/>
      <c r="N2321" s="334"/>
      <c r="O2321" s="334"/>
    </row>
    <row r="2322" spans="1:15" ht="12.75" hidden="1" customHeight="1" outlineLevel="1" x14ac:dyDescent="0.2">
      <c r="A2322" s="623" t="s">
        <v>3237</v>
      </c>
      <c r="B2322" s="624" t="s">
        <v>1324</v>
      </c>
      <c r="C2322" s="625" t="s">
        <v>100</v>
      </c>
      <c r="D2322" s="626">
        <v>9.42</v>
      </c>
      <c r="E2322" s="622"/>
      <c r="F2322" s="334"/>
      <c r="G2322" s="334"/>
      <c r="H2322" s="602"/>
      <c r="I2322" s="334"/>
      <c r="J2322" s="334"/>
      <c r="K2322" s="334"/>
      <c r="L2322" s="334"/>
      <c r="M2322" s="334"/>
      <c r="N2322" s="334"/>
      <c r="O2322" s="334"/>
    </row>
    <row r="2323" spans="1:15" ht="12.75" hidden="1" customHeight="1" outlineLevel="1" x14ac:dyDescent="0.2">
      <c r="A2323" s="627" t="s">
        <v>3238</v>
      </c>
      <c r="B2323" s="628" t="s">
        <v>1326</v>
      </c>
      <c r="C2323" s="629" t="s">
        <v>100</v>
      </c>
      <c r="D2323" s="630">
        <v>9.42</v>
      </c>
      <c r="E2323" s="622"/>
      <c r="F2323" s="334"/>
      <c r="G2323" s="334"/>
      <c r="H2323" s="602"/>
      <c r="I2323" s="334"/>
      <c r="J2323" s="334"/>
      <c r="K2323" s="334"/>
      <c r="L2323" s="334"/>
      <c r="M2323" s="334"/>
      <c r="N2323" s="334"/>
      <c r="O2323" s="334"/>
    </row>
    <row r="2324" spans="1:15" ht="12.75" hidden="1" customHeight="1" outlineLevel="1" x14ac:dyDescent="0.2">
      <c r="A2324" s="623" t="s">
        <v>3239</v>
      </c>
      <c r="B2324" s="628" t="s">
        <v>1330</v>
      </c>
      <c r="C2324" s="625" t="s">
        <v>100</v>
      </c>
      <c r="D2324" s="626">
        <v>14.08</v>
      </c>
      <c r="E2324" s="622"/>
      <c r="F2324" s="334"/>
      <c r="G2324" s="334"/>
      <c r="H2324" s="602"/>
      <c r="I2324" s="334"/>
      <c r="J2324" s="334"/>
      <c r="K2324" s="334"/>
      <c r="L2324" s="334"/>
      <c r="M2324" s="334"/>
      <c r="N2324" s="334"/>
      <c r="O2324" s="334"/>
    </row>
    <row r="2325" spans="1:15" ht="12.75" hidden="1" customHeight="1" outlineLevel="1" x14ac:dyDescent="0.2">
      <c r="A2325" s="627" t="s">
        <v>3240</v>
      </c>
      <c r="B2325" s="624" t="s">
        <v>1324</v>
      </c>
      <c r="C2325" s="629" t="s">
        <v>100</v>
      </c>
      <c r="D2325" s="630">
        <v>14.08</v>
      </c>
      <c r="E2325" s="622"/>
      <c r="F2325" s="334"/>
      <c r="G2325" s="334"/>
      <c r="H2325" s="602"/>
      <c r="I2325" s="334"/>
      <c r="J2325" s="334"/>
      <c r="K2325" s="334"/>
      <c r="L2325" s="334"/>
      <c r="M2325" s="334"/>
      <c r="N2325" s="334"/>
      <c r="O2325" s="334"/>
    </row>
    <row r="2326" spans="1:15" ht="12.75" hidden="1" customHeight="1" outlineLevel="1" x14ac:dyDescent="0.2">
      <c r="A2326" s="623" t="s">
        <v>3241</v>
      </c>
      <c r="B2326" s="628" t="s">
        <v>1326</v>
      </c>
      <c r="C2326" s="625" t="s">
        <v>100</v>
      </c>
      <c r="D2326" s="626">
        <v>14.08</v>
      </c>
      <c r="E2326" s="622"/>
      <c r="F2326" s="334"/>
      <c r="G2326" s="334"/>
      <c r="H2326" s="602"/>
      <c r="I2326" s="334"/>
      <c r="J2326" s="334"/>
      <c r="K2326" s="334"/>
      <c r="L2326" s="334"/>
      <c r="M2326" s="334"/>
      <c r="N2326" s="334"/>
      <c r="O2326" s="334"/>
    </row>
    <row r="2327" spans="1:15" ht="12.75" hidden="1" customHeight="1" outlineLevel="1" x14ac:dyDescent="0.2">
      <c r="A2327" s="627" t="s">
        <v>3242</v>
      </c>
      <c r="B2327" s="628" t="s">
        <v>1330</v>
      </c>
      <c r="C2327" s="629" t="s">
        <v>100</v>
      </c>
      <c r="D2327" s="630">
        <v>42.76</v>
      </c>
      <c r="E2327" s="622"/>
      <c r="F2327" s="334"/>
      <c r="G2327" s="334"/>
      <c r="H2327" s="602"/>
      <c r="I2327" s="334"/>
      <c r="J2327" s="334"/>
      <c r="K2327" s="334"/>
      <c r="L2327" s="334"/>
      <c r="M2327" s="334"/>
      <c r="N2327" s="334"/>
      <c r="O2327" s="334"/>
    </row>
    <row r="2328" spans="1:15" ht="12.75" hidden="1" customHeight="1" outlineLevel="1" x14ac:dyDescent="0.2">
      <c r="A2328" s="623" t="s">
        <v>3243</v>
      </c>
      <c r="B2328" s="624" t="s">
        <v>1324</v>
      </c>
      <c r="C2328" s="625" t="s">
        <v>100</v>
      </c>
      <c r="D2328" s="626">
        <v>42.76</v>
      </c>
      <c r="E2328" s="622"/>
      <c r="F2328" s="334"/>
      <c r="G2328" s="334"/>
      <c r="H2328" s="602"/>
      <c r="I2328" s="334"/>
      <c r="J2328" s="334"/>
      <c r="K2328" s="334"/>
      <c r="L2328" s="334"/>
      <c r="M2328" s="334"/>
      <c r="N2328" s="334"/>
      <c r="O2328" s="334"/>
    </row>
    <row r="2329" spans="1:15" ht="12.75" hidden="1" customHeight="1" outlineLevel="1" x14ac:dyDescent="0.2">
      <c r="A2329" s="627" t="s">
        <v>3244</v>
      </c>
      <c r="B2329" s="628" t="s">
        <v>1326</v>
      </c>
      <c r="C2329" s="629" t="s">
        <v>100</v>
      </c>
      <c r="D2329" s="630">
        <v>42.76</v>
      </c>
      <c r="E2329" s="622"/>
      <c r="F2329" s="334"/>
      <c r="G2329" s="334"/>
      <c r="H2329" s="602"/>
      <c r="I2329" s="334"/>
      <c r="J2329" s="334"/>
      <c r="K2329" s="334"/>
      <c r="L2329" s="334"/>
      <c r="M2329" s="334"/>
      <c r="N2329" s="334"/>
      <c r="O2329" s="334"/>
    </row>
    <row r="2330" spans="1:15" ht="12.75" hidden="1" customHeight="1" outlineLevel="1" x14ac:dyDescent="0.2">
      <c r="A2330" s="623" t="s">
        <v>3245</v>
      </c>
      <c r="B2330" s="628" t="s">
        <v>1330</v>
      </c>
      <c r="C2330" s="625" t="s">
        <v>100</v>
      </c>
      <c r="D2330" s="626">
        <v>12.22</v>
      </c>
      <c r="E2330" s="622"/>
      <c r="F2330" s="334"/>
      <c r="G2330" s="334"/>
      <c r="H2330" s="602"/>
      <c r="I2330" s="334"/>
      <c r="J2330" s="334"/>
      <c r="K2330" s="334"/>
      <c r="L2330" s="334"/>
      <c r="M2330" s="334"/>
      <c r="N2330" s="334"/>
      <c r="O2330" s="334"/>
    </row>
    <row r="2331" spans="1:15" ht="12.75" hidden="1" customHeight="1" outlineLevel="1" x14ac:dyDescent="0.2">
      <c r="A2331" s="627" t="s">
        <v>3246</v>
      </c>
      <c r="B2331" s="624" t="s">
        <v>1324</v>
      </c>
      <c r="C2331" s="629" t="s">
        <v>100</v>
      </c>
      <c r="D2331" s="630">
        <v>12.22</v>
      </c>
      <c r="E2331" s="622"/>
      <c r="F2331" s="334"/>
      <c r="G2331" s="334"/>
      <c r="H2331" s="602"/>
      <c r="I2331" s="334"/>
      <c r="J2331" s="334"/>
      <c r="K2331" s="334"/>
      <c r="L2331" s="334"/>
      <c r="M2331" s="334"/>
      <c r="N2331" s="334"/>
      <c r="O2331" s="334"/>
    </row>
    <row r="2332" spans="1:15" ht="12.75" hidden="1" customHeight="1" outlineLevel="1" x14ac:dyDescent="0.2">
      <c r="A2332" s="623" t="s">
        <v>3247</v>
      </c>
      <c r="B2332" s="628" t="s">
        <v>1326</v>
      </c>
      <c r="C2332" s="625" t="s">
        <v>100</v>
      </c>
      <c r="D2332" s="626">
        <v>12.22</v>
      </c>
      <c r="E2332" s="622"/>
      <c r="F2332" s="334"/>
      <c r="G2332" s="334"/>
      <c r="H2332" s="602"/>
      <c r="I2332" s="334"/>
      <c r="J2332" s="334"/>
      <c r="K2332" s="334"/>
      <c r="L2332" s="334"/>
      <c r="M2332" s="334"/>
      <c r="N2332" s="334"/>
      <c r="O2332" s="334"/>
    </row>
    <row r="2333" spans="1:15" ht="12.75" hidden="1" customHeight="1" outlineLevel="1" x14ac:dyDescent="0.2">
      <c r="A2333" s="627" t="s">
        <v>3248</v>
      </c>
      <c r="B2333" s="628" t="s">
        <v>1330</v>
      </c>
      <c r="C2333" s="629" t="s">
        <v>100</v>
      </c>
      <c r="D2333" s="630">
        <v>11.99</v>
      </c>
      <c r="E2333" s="622"/>
      <c r="F2333" s="334"/>
      <c r="G2333" s="334"/>
      <c r="H2333" s="602"/>
      <c r="I2333" s="334"/>
      <c r="J2333" s="334"/>
      <c r="K2333" s="334"/>
      <c r="L2333" s="334"/>
      <c r="M2333" s="334"/>
      <c r="N2333" s="334"/>
      <c r="O2333" s="334"/>
    </row>
    <row r="2334" spans="1:15" ht="12.75" hidden="1" customHeight="1" outlineLevel="1" x14ac:dyDescent="0.2">
      <c r="A2334" s="623" t="s">
        <v>3249</v>
      </c>
      <c r="B2334" s="624" t="s">
        <v>1324</v>
      </c>
      <c r="C2334" s="625" t="s">
        <v>100</v>
      </c>
      <c r="D2334" s="626">
        <v>11.99</v>
      </c>
      <c r="E2334" s="622"/>
      <c r="F2334" s="334"/>
      <c r="G2334" s="334"/>
      <c r="H2334" s="602"/>
      <c r="I2334" s="334"/>
      <c r="J2334" s="334"/>
      <c r="K2334" s="334"/>
      <c r="L2334" s="334"/>
      <c r="M2334" s="334"/>
      <c r="N2334" s="334"/>
      <c r="O2334" s="334"/>
    </row>
    <row r="2335" spans="1:15" ht="12.75" hidden="1" customHeight="1" outlineLevel="1" x14ac:dyDescent="0.2">
      <c r="A2335" s="627" t="s">
        <v>3250</v>
      </c>
      <c r="B2335" s="628" t="s">
        <v>1326</v>
      </c>
      <c r="C2335" s="629" t="s">
        <v>100</v>
      </c>
      <c r="D2335" s="630">
        <v>11.99</v>
      </c>
      <c r="E2335" s="622"/>
      <c r="F2335" s="334"/>
      <c r="G2335" s="334"/>
      <c r="H2335" s="602"/>
      <c r="I2335" s="334"/>
      <c r="J2335" s="334"/>
      <c r="K2335" s="334"/>
      <c r="L2335" s="334"/>
      <c r="M2335" s="334"/>
      <c r="N2335" s="334"/>
      <c r="O2335" s="334"/>
    </row>
    <row r="2336" spans="1:15" ht="12.75" hidden="1" customHeight="1" outlineLevel="1" x14ac:dyDescent="0.2">
      <c r="A2336" s="623" t="s">
        <v>3251</v>
      </c>
      <c r="B2336" s="628" t="s">
        <v>1330</v>
      </c>
      <c r="C2336" s="625" t="s">
        <v>100</v>
      </c>
      <c r="D2336" s="626">
        <v>19.739999999999998</v>
      </c>
      <c r="E2336" s="622"/>
      <c r="F2336" s="334"/>
      <c r="G2336" s="334"/>
      <c r="H2336" s="602"/>
      <c r="I2336" s="334"/>
      <c r="J2336" s="334"/>
      <c r="K2336" s="334"/>
      <c r="L2336" s="334"/>
      <c r="M2336" s="334"/>
      <c r="N2336" s="334"/>
      <c r="O2336" s="334"/>
    </row>
    <row r="2337" spans="1:15" ht="12.75" hidden="1" customHeight="1" outlineLevel="1" x14ac:dyDescent="0.2">
      <c r="A2337" s="627" t="s">
        <v>3252</v>
      </c>
      <c r="B2337" s="624" t="s">
        <v>1324</v>
      </c>
      <c r="C2337" s="629" t="s">
        <v>100</v>
      </c>
      <c r="D2337" s="630">
        <v>19.739999999999998</v>
      </c>
      <c r="E2337" s="622"/>
      <c r="F2337" s="334"/>
      <c r="G2337" s="334"/>
      <c r="H2337" s="602"/>
      <c r="I2337" s="334"/>
      <c r="J2337" s="334"/>
      <c r="K2337" s="334"/>
      <c r="L2337" s="334"/>
      <c r="M2337" s="334"/>
      <c r="N2337" s="334"/>
      <c r="O2337" s="334"/>
    </row>
    <row r="2338" spans="1:15" ht="12.75" hidden="1" customHeight="1" outlineLevel="1" x14ac:dyDescent="0.2">
      <c r="A2338" s="623" t="s">
        <v>3253</v>
      </c>
      <c r="B2338" s="628" t="s">
        <v>1326</v>
      </c>
      <c r="C2338" s="625" t="s">
        <v>100</v>
      </c>
      <c r="D2338" s="626">
        <v>19.739999999999998</v>
      </c>
      <c r="E2338" s="622"/>
      <c r="F2338" s="334"/>
      <c r="G2338" s="334"/>
      <c r="H2338" s="602"/>
      <c r="I2338" s="334"/>
      <c r="J2338" s="334"/>
      <c r="K2338" s="334"/>
      <c r="L2338" s="334"/>
      <c r="M2338" s="334"/>
      <c r="N2338" s="334"/>
      <c r="O2338" s="334"/>
    </row>
    <row r="2339" spans="1:15" ht="12.75" hidden="1" customHeight="1" outlineLevel="1" x14ac:dyDescent="0.2">
      <c r="A2339" s="627" t="s">
        <v>3254</v>
      </c>
      <c r="B2339" s="628" t="s">
        <v>1330</v>
      </c>
      <c r="C2339" s="629" t="s">
        <v>100</v>
      </c>
      <c r="D2339" s="630">
        <v>10.220000000000001</v>
      </c>
      <c r="E2339" s="622"/>
      <c r="F2339" s="334"/>
      <c r="G2339" s="334"/>
      <c r="H2339" s="602"/>
      <c r="I2339" s="334"/>
      <c r="J2339" s="334"/>
      <c r="K2339" s="334"/>
      <c r="L2339" s="334"/>
      <c r="M2339" s="334"/>
      <c r="N2339" s="334"/>
      <c r="O2339" s="334"/>
    </row>
    <row r="2340" spans="1:15" ht="12.75" hidden="1" customHeight="1" outlineLevel="1" x14ac:dyDescent="0.2">
      <c r="A2340" s="623" t="s">
        <v>3255</v>
      </c>
      <c r="B2340" s="624" t="s">
        <v>1324</v>
      </c>
      <c r="C2340" s="625" t="s">
        <v>100</v>
      </c>
      <c r="D2340" s="626">
        <v>10.220000000000001</v>
      </c>
      <c r="E2340" s="622"/>
      <c r="F2340" s="334"/>
      <c r="G2340" s="334"/>
      <c r="H2340" s="602"/>
      <c r="I2340" s="334"/>
      <c r="J2340" s="334"/>
      <c r="K2340" s="334"/>
      <c r="L2340" s="334"/>
      <c r="M2340" s="334"/>
      <c r="N2340" s="334"/>
      <c r="O2340" s="334"/>
    </row>
    <row r="2341" spans="1:15" ht="12.75" hidden="1" customHeight="1" outlineLevel="1" x14ac:dyDescent="0.2">
      <c r="A2341" s="627" t="s">
        <v>3256</v>
      </c>
      <c r="B2341" s="628" t="s">
        <v>1326</v>
      </c>
      <c r="C2341" s="629" t="s">
        <v>100</v>
      </c>
      <c r="D2341" s="630">
        <v>10.220000000000001</v>
      </c>
      <c r="E2341" s="622"/>
      <c r="F2341" s="334"/>
      <c r="G2341" s="334"/>
      <c r="H2341" s="602"/>
      <c r="I2341" s="334"/>
      <c r="J2341" s="334"/>
      <c r="K2341" s="334"/>
      <c r="L2341" s="334"/>
      <c r="M2341" s="334"/>
      <c r="N2341" s="334"/>
      <c r="O2341" s="334"/>
    </row>
    <row r="2342" spans="1:15" ht="12.75" hidden="1" customHeight="1" outlineLevel="1" x14ac:dyDescent="0.2">
      <c r="A2342" s="623" t="s">
        <v>3257</v>
      </c>
      <c r="B2342" s="624" t="s">
        <v>1324</v>
      </c>
      <c r="C2342" s="625" t="s">
        <v>100</v>
      </c>
      <c r="D2342" s="626">
        <v>39.56</v>
      </c>
      <c r="E2342" s="622"/>
      <c r="F2342" s="334"/>
      <c r="G2342" s="334"/>
      <c r="H2342" s="602"/>
      <c r="I2342" s="334"/>
      <c r="J2342" s="334"/>
      <c r="K2342" s="334"/>
      <c r="L2342" s="334"/>
      <c r="M2342" s="334"/>
      <c r="N2342" s="334"/>
      <c r="O2342" s="334"/>
    </row>
    <row r="2343" spans="1:15" ht="12.75" hidden="1" customHeight="1" outlineLevel="1" x14ac:dyDescent="0.2">
      <c r="A2343" s="627" t="s">
        <v>3258</v>
      </c>
      <c r="B2343" s="628" t="s">
        <v>1324</v>
      </c>
      <c r="C2343" s="629" t="s">
        <v>100</v>
      </c>
      <c r="D2343" s="630">
        <v>53.06</v>
      </c>
      <c r="E2343" s="622"/>
      <c r="F2343" s="334"/>
      <c r="G2343" s="334"/>
      <c r="H2343" s="602"/>
      <c r="I2343" s="334"/>
      <c r="J2343" s="334"/>
      <c r="K2343" s="334"/>
      <c r="L2343" s="334"/>
      <c r="M2343" s="334"/>
      <c r="N2343" s="334"/>
      <c r="O2343" s="334"/>
    </row>
    <row r="2344" spans="1:15" ht="12.75" hidden="1" customHeight="1" outlineLevel="1" x14ac:dyDescent="0.2">
      <c r="A2344" s="623" t="s">
        <v>3259</v>
      </c>
      <c r="B2344" s="624" t="s">
        <v>1326</v>
      </c>
      <c r="C2344" s="625" t="s">
        <v>100</v>
      </c>
      <c r="D2344" s="626">
        <v>53.06</v>
      </c>
      <c r="E2344" s="622"/>
      <c r="F2344" s="334"/>
      <c r="G2344" s="334"/>
      <c r="H2344" s="602"/>
      <c r="I2344" s="334"/>
      <c r="J2344" s="334"/>
      <c r="K2344" s="334"/>
      <c r="L2344" s="334"/>
      <c r="M2344" s="334"/>
      <c r="N2344" s="334"/>
      <c r="O2344" s="334"/>
    </row>
    <row r="2345" spans="1:15" ht="12.75" hidden="1" customHeight="1" outlineLevel="1" x14ac:dyDescent="0.2">
      <c r="A2345" s="627" t="s">
        <v>3260</v>
      </c>
      <c r="B2345" s="628" t="s">
        <v>1328</v>
      </c>
      <c r="C2345" s="629" t="s">
        <v>100</v>
      </c>
      <c r="D2345" s="630">
        <v>53.06</v>
      </c>
      <c r="E2345" s="622"/>
      <c r="F2345" s="334"/>
      <c r="G2345" s="334"/>
      <c r="H2345" s="602"/>
      <c r="I2345" s="334"/>
      <c r="J2345" s="334"/>
      <c r="K2345" s="334"/>
      <c r="L2345" s="334"/>
      <c r="M2345" s="334"/>
      <c r="N2345" s="334"/>
      <c r="O2345" s="334"/>
    </row>
    <row r="2346" spans="1:15" ht="12.75" hidden="1" customHeight="1" outlineLevel="1" x14ac:dyDescent="0.2">
      <c r="A2346" s="623" t="s">
        <v>3261</v>
      </c>
      <c r="B2346" s="628" t="s">
        <v>1330</v>
      </c>
      <c r="C2346" s="625" t="s">
        <v>100</v>
      </c>
      <c r="D2346" s="626">
        <v>47.78</v>
      </c>
      <c r="E2346" s="622"/>
      <c r="F2346" s="334"/>
      <c r="G2346" s="334"/>
      <c r="H2346" s="602"/>
      <c r="I2346" s="334"/>
      <c r="J2346" s="334"/>
      <c r="K2346" s="334"/>
      <c r="L2346" s="334"/>
      <c r="M2346" s="334"/>
      <c r="N2346" s="334"/>
      <c r="O2346" s="334"/>
    </row>
    <row r="2347" spans="1:15" ht="12.75" hidden="1" customHeight="1" outlineLevel="1" x14ac:dyDescent="0.2">
      <c r="A2347" s="627" t="s">
        <v>3262</v>
      </c>
      <c r="B2347" s="624" t="s">
        <v>1324</v>
      </c>
      <c r="C2347" s="629" t="s">
        <v>100</v>
      </c>
      <c r="D2347" s="630">
        <v>47.78</v>
      </c>
      <c r="E2347" s="622"/>
      <c r="F2347" s="334"/>
      <c r="G2347" s="334"/>
      <c r="H2347" s="602"/>
      <c r="I2347" s="334"/>
      <c r="J2347" s="334"/>
      <c r="K2347" s="334"/>
      <c r="L2347" s="334"/>
      <c r="M2347" s="334"/>
      <c r="N2347" s="334"/>
      <c r="O2347" s="334"/>
    </row>
    <row r="2348" spans="1:15" ht="12.75" hidden="1" customHeight="1" outlineLevel="1" x14ac:dyDescent="0.2">
      <c r="A2348" s="623" t="s">
        <v>3263</v>
      </c>
      <c r="B2348" s="628" t="s">
        <v>1326</v>
      </c>
      <c r="C2348" s="625" t="s">
        <v>100</v>
      </c>
      <c r="D2348" s="626">
        <v>47.78</v>
      </c>
      <c r="E2348" s="622"/>
      <c r="F2348" s="334"/>
      <c r="G2348" s="334"/>
      <c r="H2348" s="602"/>
      <c r="I2348" s="334"/>
      <c r="J2348" s="334"/>
      <c r="K2348" s="334"/>
      <c r="L2348" s="334"/>
      <c r="M2348" s="334"/>
      <c r="N2348" s="334"/>
      <c r="O2348" s="334"/>
    </row>
    <row r="2349" spans="1:15" ht="12.75" hidden="1" customHeight="1" outlineLevel="1" x14ac:dyDescent="0.2">
      <c r="A2349" s="627" t="s">
        <v>3264</v>
      </c>
      <c r="B2349" s="628" t="s">
        <v>1330</v>
      </c>
      <c r="C2349" s="629" t="s">
        <v>100</v>
      </c>
      <c r="D2349" s="630">
        <v>56.83</v>
      </c>
      <c r="E2349" s="622"/>
      <c r="F2349" s="334"/>
      <c r="G2349" s="334"/>
      <c r="H2349" s="602"/>
      <c r="I2349" s="334"/>
      <c r="J2349" s="334"/>
      <c r="K2349" s="334"/>
      <c r="L2349" s="334"/>
      <c r="M2349" s="334"/>
      <c r="N2349" s="334"/>
      <c r="O2349" s="334"/>
    </row>
    <row r="2350" spans="1:15" ht="12.75" hidden="1" customHeight="1" outlineLevel="1" x14ac:dyDescent="0.2">
      <c r="A2350" s="623" t="s">
        <v>3265</v>
      </c>
      <c r="B2350" s="624" t="s">
        <v>1324</v>
      </c>
      <c r="C2350" s="625" t="s">
        <v>100</v>
      </c>
      <c r="D2350" s="626">
        <v>56.83</v>
      </c>
      <c r="E2350" s="622"/>
      <c r="F2350" s="334"/>
      <c r="G2350" s="334"/>
      <c r="H2350" s="602"/>
      <c r="I2350" s="334"/>
      <c r="J2350" s="334"/>
      <c r="K2350" s="334"/>
      <c r="L2350" s="334"/>
      <c r="M2350" s="334"/>
      <c r="N2350" s="334"/>
      <c r="O2350" s="334"/>
    </row>
    <row r="2351" spans="1:15" ht="12.75" hidden="1" customHeight="1" outlineLevel="1" x14ac:dyDescent="0.2">
      <c r="A2351" s="627" t="s">
        <v>3266</v>
      </c>
      <c r="B2351" s="628" t="s">
        <v>1326</v>
      </c>
      <c r="C2351" s="629" t="s">
        <v>100</v>
      </c>
      <c r="D2351" s="630">
        <v>56.83</v>
      </c>
      <c r="E2351" s="622"/>
      <c r="F2351" s="334"/>
      <c r="G2351" s="334"/>
      <c r="H2351" s="602"/>
      <c r="I2351" s="334"/>
      <c r="J2351" s="334"/>
      <c r="K2351" s="334"/>
      <c r="L2351" s="334"/>
      <c r="M2351" s="334"/>
      <c r="N2351" s="334"/>
      <c r="O2351" s="334"/>
    </row>
    <row r="2352" spans="1:15" ht="12.75" hidden="1" customHeight="1" outlineLevel="1" x14ac:dyDescent="0.2">
      <c r="A2352" s="623" t="s">
        <v>3267</v>
      </c>
      <c r="B2352" s="628" t="s">
        <v>1330</v>
      </c>
      <c r="C2352" s="625" t="s">
        <v>100</v>
      </c>
      <c r="D2352" s="626">
        <v>14.22</v>
      </c>
      <c r="E2352" s="622"/>
      <c r="F2352" s="334"/>
      <c r="G2352" s="334"/>
      <c r="H2352" s="602"/>
      <c r="I2352" s="334"/>
      <c r="J2352" s="334"/>
      <c r="K2352" s="334"/>
      <c r="L2352" s="334"/>
      <c r="M2352" s="334"/>
      <c r="N2352" s="334"/>
      <c r="O2352" s="334"/>
    </row>
    <row r="2353" spans="1:15" ht="12.75" hidden="1" customHeight="1" outlineLevel="1" x14ac:dyDescent="0.2">
      <c r="A2353" s="627" t="s">
        <v>3268</v>
      </c>
      <c r="B2353" s="624" t="s">
        <v>1324</v>
      </c>
      <c r="C2353" s="629" t="s">
        <v>100</v>
      </c>
      <c r="D2353" s="630">
        <v>14.22</v>
      </c>
      <c r="E2353" s="622"/>
      <c r="F2353" s="334"/>
      <c r="G2353" s="334"/>
      <c r="H2353" s="602"/>
      <c r="I2353" s="334"/>
      <c r="J2353" s="334"/>
      <c r="K2353" s="334"/>
      <c r="L2353" s="334"/>
      <c r="M2353" s="334"/>
      <c r="N2353" s="334"/>
      <c r="O2353" s="334"/>
    </row>
    <row r="2354" spans="1:15" ht="12.75" hidden="1" customHeight="1" outlineLevel="1" x14ac:dyDescent="0.2">
      <c r="A2354" s="623" t="s">
        <v>3269</v>
      </c>
      <c r="B2354" s="628" t="s">
        <v>1326</v>
      </c>
      <c r="C2354" s="625" t="s">
        <v>100</v>
      </c>
      <c r="D2354" s="626">
        <v>14.22</v>
      </c>
      <c r="E2354" s="622"/>
      <c r="F2354" s="334"/>
      <c r="G2354" s="334"/>
      <c r="H2354" s="602"/>
      <c r="I2354" s="334"/>
      <c r="J2354" s="334"/>
      <c r="K2354" s="334"/>
      <c r="L2354" s="334"/>
      <c r="M2354" s="334"/>
      <c r="N2354" s="334"/>
      <c r="O2354" s="334"/>
    </row>
    <row r="2355" spans="1:15" ht="12.75" hidden="1" customHeight="1" outlineLevel="1" x14ac:dyDescent="0.2">
      <c r="A2355" s="627" t="s">
        <v>3270</v>
      </c>
      <c r="B2355" s="628" t="s">
        <v>1330</v>
      </c>
      <c r="C2355" s="629" t="s">
        <v>100</v>
      </c>
      <c r="D2355" s="630">
        <v>104.05</v>
      </c>
      <c r="E2355" s="622"/>
      <c r="F2355" s="334"/>
      <c r="G2355" s="334"/>
      <c r="H2355" s="602"/>
      <c r="I2355" s="334"/>
      <c r="J2355" s="334"/>
      <c r="K2355" s="334"/>
      <c r="L2355" s="334"/>
      <c r="M2355" s="334"/>
      <c r="N2355" s="334"/>
      <c r="O2355" s="334"/>
    </row>
    <row r="2356" spans="1:15" ht="12.75" hidden="1" customHeight="1" outlineLevel="1" x14ac:dyDescent="0.2">
      <c r="A2356" s="623" t="s">
        <v>3271</v>
      </c>
      <c r="B2356" s="624" t="s">
        <v>1324</v>
      </c>
      <c r="C2356" s="625" t="s">
        <v>100</v>
      </c>
      <c r="D2356" s="626">
        <v>104.05</v>
      </c>
      <c r="E2356" s="622"/>
      <c r="F2356" s="334"/>
      <c r="G2356" s="334"/>
      <c r="H2356" s="602"/>
      <c r="I2356" s="334"/>
      <c r="J2356" s="334"/>
      <c r="K2356" s="334"/>
      <c r="L2356" s="334"/>
      <c r="M2356" s="334"/>
      <c r="N2356" s="334"/>
      <c r="O2356" s="334"/>
    </row>
    <row r="2357" spans="1:15" ht="12.75" hidden="1" customHeight="1" outlineLevel="1" x14ac:dyDescent="0.2">
      <c r="A2357" s="627" t="s">
        <v>3272</v>
      </c>
      <c r="B2357" s="628" t="s">
        <v>1326</v>
      </c>
      <c r="C2357" s="629" t="s">
        <v>100</v>
      </c>
      <c r="D2357" s="630">
        <v>104.05</v>
      </c>
      <c r="E2357" s="622"/>
      <c r="F2357" s="334"/>
      <c r="G2357" s="334"/>
      <c r="H2357" s="602"/>
      <c r="I2357" s="334"/>
      <c r="J2357" s="334"/>
      <c r="K2357" s="334"/>
      <c r="L2357" s="334"/>
      <c r="M2357" s="334"/>
      <c r="N2357" s="334"/>
      <c r="O2357" s="334"/>
    </row>
    <row r="2358" spans="1:15" ht="12.75" hidden="1" customHeight="1" outlineLevel="1" x14ac:dyDescent="0.2">
      <c r="A2358" s="618" t="s">
        <v>3273</v>
      </c>
      <c r="B2358" s="619" t="s">
        <v>1137</v>
      </c>
      <c r="C2358" s="620"/>
      <c r="D2358" s="621"/>
      <c r="E2358" s="622"/>
      <c r="F2358" s="334"/>
      <c r="G2358" s="334"/>
      <c r="H2358" s="602"/>
      <c r="I2358" s="334"/>
      <c r="J2358" s="334"/>
      <c r="K2358" s="334"/>
      <c r="L2358" s="334"/>
      <c r="M2358" s="334"/>
      <c r="N2358" s="334"/>
      <c r="O2358" s="334"/>
    </row>
    <row r="2359" spans="1:15" ht="12.75" hidden="1" customHeight="1" outlineLevel="1" x14ac:dyDescent="0.2">
      <c r="A2359" s="623" t="s">
        <v>3274</v>
      </c>
      <c r="B2359" s="628" t="s">
        <v>1324</v>
      </c>
      <c r="C2359" s="625" t="s">
        <v>100</v>
      </c>
      <c r="D2359" s="626">
        <v>6.56</v>
      </c>
      <c r="E2359" s="622"/>
      <c r="F2359" s="334"/>
      <c r="G2359" s="334"/>
      <c r="H2359" s="602"/>
      <c r="I2359" s="334"/>
      <c r="J2359" s="334"/>
      <c r="K2359" s="334"/>
      <c r="L2359" s="334"/>
      <c r="M2359" s="334"/>
      <c r="N2359" s="334"/>
      <c r="O2359" s="334"/>
    </row>
    <row r="2360" spans="1:15" ht="12.75" hidden="1" customHeight="1" outlineLevel="1" x14ac:dyDescent="0.2">
      <c r="A2360" s="627" t="s">
        <v>3275</v>
      </c>
      <c r="B2360" s="624" t="s">
        <v>1326</v>
      </c>
      <c r="C2360" s="629" t="s">
        <v>100</v>
      </c>
      <c r="D2360" s="630">
        <v>6.56</v>
      </c>
      <c r="E2360" s="622"/>
      <c r="F2360" s="334"/>
      <c r="G2360" s="334"/>
      <c r="H2360" s="602"/>
      <c r="I2360" s="334"/>
      <c r="J2360" s="334"/>
      <c r="K2360" s="334"/>
      <c r="L2360" s="334"/>
      <c r="M2360" s="334"/>
      <c r="N2360" s="334"/>
      <c r="O2360" s="334"/>
    </row>
    <row r="2361" spans="1:15" ht="12.75" hidden="1" customHeight="1" outlineLevel="1" x14ac:dyDescent="0.2">
      <c r="A2361" s="623" t="s">
        <v>3276</v>
      </c>
      <c r="B2361" s="628" t="s">
        <v>1328</v>
      </c>
      <c r="C2361" s="625" t="s">
        <v>100</v>
      </c>
      <c r="D2361" s="626">
        <v>6.56</v>
      </c>
      <c r="E2361" s="622"/>
      <c r="F2361" s="334"/>
      <c r="G2361" s="334"/>
      <c r="H2361" s="602"/>
      <c r="I2361" s="334"/>
      <c r="J2361" s="334"/>
      <c r="K2361" s="334"/>
      <c r="L2361" s="334"/>
      <c r="M2361" s="334"/>
      <c r="N2361" s="334"/>
      <c r="O2361" s="334"/>
    </row>
    <row r="2362" spans="1:15" ht="12.75" hidden="1" customHeight="1" outlineLevel="1" x14ac:dyDescent="0.2">
      <c r="A2362" s="627" t="s">
        <v>3277</v>
      </c>
      <c r="B2362" s="628" t="s">
        <v>1324</v>
      </c>
      <c r="C2362" s="629" t="s">
        <v>100</v>
      </c>
      <c r="D2362" s="630">
        <v>30.85</v>
      </c>
      <c r="E2362" s="622"/>
      <c r="F2362" s="334"/>
      <c r="G2362" s="334"/>
      <c r="H2362" s="602"/>
      <c r="I2362" s="334"/>
      <c r="J2362" s="334"/>
      <c r="K2362" s="334"/>
      <c r="L2362" s="334"/>
      <c r="M2362" s="334"/>
      <c r="N2362" s="334"/>
      <c r="O2362" s="334"/>
    </row>
    <row r="2363" spans="1:15" ht="12.75" hidden="1" customHeight="1" outlineLevel="1" x14ac:dyDescent="0.2">
      <c r="A2363" s="623" t="s">
        <v>3278</v>
      </c>
      <c r="B2363" s="624" t="s">
        <v>1326</v>
      </c>
      <c r="C2363" s="625" t="s">
        <v>100</v>
      </c>
      <c r="D2363" s="626">
        <v>30.85</v>
      </c>
      <c r="E2363" s="622"/>
      <c r="F2363" s="334"/>
      <c r="G2363" s="334"/>
      <c r="H2363" s="602"/>
      <c r="I2363" s="334"/>
      <c r="J2363" s="334"/>
      <c r="K2363" s="334"/>
      <c r="L2363" s="334"/>
      <c r="M2363" s="334"/>
      <c r="N2363" s="334"/>
      <c r="O2363" s="334"/>
    </row>
    <row r="2364" spans="1:15" ht="12.75" hidden="1" customHeight="1" outlineLevel="1" x14ac:dyDescent="0.2">
      <c r="A2364" s="627" t="s">
        <v>3279</v>
      </c>
      <c r="B2364" s="628" t="s">
        <v>1328</v>
      </c>
      <c r="C2364" s="629" t="s">
        <v>100</v>
      </c>
      <c r="D2364" s="630">
        <v>30.85</v>
      </c>
      <c r="E2364" s="622"/>
      <c r="F2364" s="334"/>
      <c r="G2364" s="334"/>
      <c r="H2364" s="602"/>
      <c r="I2364" s="334"/>
      <c r="J2364" s="334"/>
      <c r="K2364" s="334"/>
      <c r="L2364" s="334"/>
      <c r="M2364" s="334"/>
      <c r="N2364" s="334"/>
      <c r="O2364" s="334"/>
    </row>
    <row r="2365" spans="1:15" ht="12.75" hidden="1" customHeight="1" outlineLevel="1" x14ac:dyDescent="0.2">
      <c r="A2365" s="623" t="s">
        <v>3280</v>
      </c>
      <c r="B2365" s="624" t="s">
        <v>1330</v>
      </c>
      <c r="C2365" s="625" t="s">
        <v>100</v>
      </c>
      <c r="D2365" s="626">
        <v>5.18</v>
      </c>
      <c r="E2365" s="622"/>
      <c r="F2365" s="334"/>
      <c r="G2365" s="334"/>
      <c r="H2365" s="602"/>
      <c r="I2365" s="334"/>
      <c r="J2365" s="334"/>
      <c r="K2365" s="334"/>
      <c r="L2365" s="334"/>
      <c r="M2365" s="334"/>
      <c r="N2365" s="334"/>
      <c r="O2365" s="334"/>
    </row>
    <row r="2366" spans="1:15" ht="12.75" hidden="1" customHeight="1" outlineLevel="1" x14ac:dyDescent="0.2">
      <c r="A2366" s="627" t="s">
        <v>3281</v>
      </c>
      <c r="B2366" s="628" t="s">
        <v>1324</v>
      </c>
      <c r="C2366" s="629" t="s">
        <v>100</v>
      </c>
      <c r="D2366" s="630">
        <v>5.18</v>
      </c>
      <c r="E2366" s="622"/>
      <c r="F2366" s="334"/>
      <c r="G2366" s="334"/>
      <c r="H2366" s="602"/>
      <c r="I2366" s="334"/>
      <c r="J2366" s="334"/>
      <c r="K2366" s="334"/>
      <c r="L2366" s="334"/>
      <c r="M2366" s="334"/>
      <c r="N2366" s="334"/>
      <c r="O2366" s="334"/>
    </row>
    <row r="2367" spans="1:15" ht="12.75" hidden="1" customHeight="1" outlineLevel="1" x14ac:dyDescent="0.2">
      <c r="A2367" s="623" t="s">
        <v>3282</v>
      </c>
      <c r="B2367" s="624" t="s">
        <v>1326</v>
      </c>
      <c r="C2367" s="625" t="s">
        <v>100</v>
      </c>
      <c r="D2367" s="626">
        <v>5.18</v>
      </c>
      <c r="E2367" s="622"/>
      <c r="F2367" s="334"/>
      <c r="G2367" s="334"/>
      <c r="H2367" s="602"/>
      <c r="I2367" s="334"/>
      <c r="J2367" s="334"/>
      <c r="K2367" s="334"/>
      <c r="L2367" s="334"/>
      <c r="M2367" s="334"/>
      <c r="N2367" s="334"/>
      <c r="O2367" s="334"/>
    </row>
    <row r="2368" spans="1:15" ht="12.75" hidden="1" customHeight="1" outlineLevel="1" x14ac:dyDescent="0.2">
      <c r="A2368" s="627" t="s">
        <v>3283</v>
      </c>
      <c r="B2368" s="628" t="s">
        <v>1330</v>
      </c>
      <c r="C2368" s="629" t="s">
        <v>100</v>
      </c>
      <c r="D2368" s="630">
        <v>5.14</v>
      </c>
      <c r="E2368" s="622"/>
      <c r="F2368" s="334"/>
      <c r="G2368" s="334"/>
      <c r="J2368" s="334"/>
      <c r="K2368" s="334"/>
      <c r="L2368" s="334"/>
      <c r="M2368" s="334"/>
      <c r="N2368" s="334"/>
      <c r="O2368" s="334"/>
    </row>
    <row r="2369" spans="1:16" ht="12.75" hidden="1" customHeight="1" outlineLevel="1" x14ac:dyDescent="0.2">
      <c r="A2369" s="623" t="s">
        <v>3284</v>
      </c>
      <c r="B2369" s="624" t="s">
        <v>1324</v>
      </c>
      <c r="C2369" s="625" t="s">
        <v>100</v>
      </c>
      <c r="D2369" s="626">
        <v>5.14</v>
      </c>
      <c r="E2369" s="622"/>
      <c r="F2369" s="334"/>
      <c r="G2369" s="334"/>
      <c r="J2369" s="334"/>
      <c r="K2369" s="334"/>
      <c r="L2369" s="334"/>
      <c r="M2369" s="334"/>
      <c r="N2369" s="334"/>
      <c r="O2369" s="334"/>
    </row>
    <row r="2370" spans="1:16" ht="12.75" hidden="1" customHeight="1" outlineLevel="1" x14ac:dyDescent="0.2">
      <c r="A2370" s="627" t="s">
        <v>3285</v>
      </c>
      <c r="B2370" s="628" t="s">
        <v>1326</v>
      </c>
      <c r="C2370" s="629" t="s">
        <v>100</v>
      </c>
      <c r="D2370" s="630">
        <v>5.14</v>
      </c>
      <c r="E2370" s="622"/>
      <c r="F2370" s="334"/>
      <c r="G2370" s="334"/>
      <c r="J2370" s="334"/>
      <c r="K2370" s="334"/>
      <c r="L2370" s="334"/>
      <c r="M2370" s="334"/>
      <c r="N2370" s="334"/>
      <c r="O2370" s="334"/>
    </row>
    <row r="2371" spans="1:16" ht="12.75" hidden="1" customHeight="1" outlineLevel="1" x14ac:dyDescent="0.2">
      <c r="A2371" s="623" t="s">
        <v>3286</v>
      </c>
      <c r="B2371" s="628" t="s">
        <v>1324</v>
      </c>
      <c r="C2371" s="625" t="s">
        <v>100</v>
      </c>
      <c r="D2371" s="626">
        <v>26.73</v>
      </c>
      <c r="E2371" s="622"/>
      <c r="F2371" s="334"/>
      <c r="G2371" s="334"/>
      <c r="J2371" s="334"/>
      <c r="K2371" s="334"/>
      <c r="L2371" s="334"/>
      <c r="M2371" s="334"/>
      <c r="N2371" s="334"/>
      <c r="O2371" s="334"/>
    </row>
    <row r="2372" spans="1:16" ht="12.75" hidden="1" customHeight="1" outlineLevel="1" x14ac:dyDescent="0.2">
      <c r="A2372" s="627" t="s">
        <v>3287</v>
      </c>
      <c r="B2372" s="624" t="s">
        <v>1326</v>
      </c>
      <c r="C2372" s="629" t="s">
        <v>100</v>
      </c>
      <c r="D2372" s="630">
        <v>26.73</v>
      </c>
      <c r="E2372" s="622"/>
      <c r="F2372" s="334"/>
      <c r="G2372" s="334"/>
      <c r="J2372" s="334"/>
      <c r="K2372" s="334"/>
      <c r="L2372" s="334"/>
      <c r="M2372" s="334"/>
      <c r="N2372" s="334"/>
      <c r="O2372" s="334"/>
    </row>
    <row r="2373" spans="1:16" ht="12.75" hidden="1" customHeight="1" outlineLevel="1" x14ac:dyDescent="0.2">
      <c r="A2373" s="623" t="s">
        <v>3288</v>
      </c>
      <c r="B2373" s="628" t="s">
        <v>1328</v>
      </c>
      <c r="C2373" s="625" t="s">
        <v>100</v>
      </c>
      <c r="D2373" s="626">
        <v>26.73</v>
      </c>
      <c r="E2373" s="622"/>
      <c r="F2373" s="334"/>
      <c r="G2373" s="334"/>
      <c r="H2373" s="602"/>
      <c r="I2373" s="334"/>
      <c r="J2373" s="334"/>
      <c r="K2373" s="334"/>
      <c r="L2373" s="334"/>
      <c r="M2373" s="334"/>
      <c r="N2373" s="334"/>
      <c r="O2373" s="334"/>
    </row>
    <row r="2374" spans="1:16" ht="12.75" hidden="1" customHeight="1" outlineLevel="1" x14ac:dyDescent="0.2">
      <c r="A2374" s="618" t="s">
        <v>3289</v>
      </c>
      <c r="B2374" s="619" t="s">
        <v>1140</v>
      </c>
      <c r="C2374" s="620"/>
      <c r="D2374" s="621"/>
      <c r="E2374" s="622"/>
      <c r="F2374" s="334"/>
      <c r="G2374" s="334"/>
      <c r="H2374" s="602"/>
      <c r="I2374" s="334"/>
      <c r="J2374" s="334"/>
      <c r="K2374" s="334"/>
      <c r="L2374" s="334"/>
      <c r="M2374" s="334"/>
      <c r="N2374" s="334"/>
      <c r="O2374" s="334"/>
    </row>
    <row r="2375" spans="1:16" ht="12.75" hidden="1" customHeight="1" outlineLevel="1" x14ac:dyDescent="0.2">
      <c r="A2375" s="627" t="s">
        <v>3290</v>
      </c>
      <c r="B2375" s="628" t="s">
        <v>1324</v>
      </c>
      <c r="C2375" s="629" t="s">
        <v>100</v>
      </c>
      <c r="D2375" s="630">
        <v>84.75</v>
      </c>
      <c r="E2375" s="334"/>
      <c r="F2375" s="638"/>
      <c r="G2375" s="334"/>
      <c r="H2375" s="334"/>
      <c r="I2375" s="334"/>
      <c r="J2375" s="334"/>
      <c r="K2375" s="334"/>
      <c r="L2375" s="334"/>
      <c r="M2375" s="334"/>
      <c r="N2375" s="334"/>
      <c r="O2375" s="334"/>
    </row>
    <row r="2376" spans="1:16" ht="12.75" hidden="1" customHeight="1" outlineLevel="1" x14ac:dyDescent="0.2">
      <c r="A2376" s="623" t="s">
        <v>3295</v>
      </c>
      <c r="B2376" s="624" t="s">
        <v>1326</v>
      </c>
      <c r="C2376" s="625" t="s">
        <v>100</v>
      </c>
      <c r="D2376" s="626">
        <v>84.75</v>
      </c>
      <c r="E2376" s="334"/>
      <c r="F2376" s="334"/>
      <c r="G2376" s="334"/>
      <c r="H2376" s="334"/>
      <c r="I2376" s="334"/>
      <c r="J2376" s="334"/>
      <c r="K2376" s="334"/>
      <c r="L2376" s="334"/>
      <c r="M2376" s="334"/>
      <c r="N2376" s="334"/>
      <c r="O2376" s="334"/>
      <c r="P2376" s="334"/>
    </row>
    <row r="2377" spans="1:16" ht="12.75" hidden="1" customHeight="1" outlineLevel="1" x14ac:dyDescent="0.2">
      <c r="A2377" s="627" t="s">
        <v>3296</v>
      </c>
      <c r="B2377" s="628" t="s">
        <v>1328</v>
      </c>
      <c r="C2377" s="629" t="s">
        <v>100</v>
      </c>
      <c r="D2377" s="630">
        <v>84.75</v>
      </c>
      <c r="E2377" s="334"/>
      <c r="F2377" s="334"/>
      <c r="G2377" s="334"/>
      <c r="H2377" s="334"/>
      <c r="I2377" s="334"/>
      <c r="J2377" s="334"/>
      <c r="K2377" s="334"/>
      <c r="L2377" s="334"/>
      <c r="M2377" s="334"/>
      <c r="N2377" s="334"/>
      <c r="O2377" s="334"/>
      <c r="P2377" s="334"/>
    </row>
    <row r="2378" spans="1:16" ht="12.75" hidden="1" customHeight="1" outlineLevel="1" x14ac:dyDescent="0.2">
      <c r="A2378" s="618" t="s">
        <v>3297</v>
      </c>
      <c r="B2378" s="619" t="s">
        <v>1462</v>
      </c>
      <c r="C2378" s="620"/>
      <c r="D2378" s="621"/>
      <c r="E2378" s="334"/>
      <c r="F2378" s="334"/>
      <c r="G2378" s="334"/>
      <c r="H2378" s="334"/>
      <c r="I2378" s="334"/>
      <c r="J2378" s="334"/>
      <c r="K2378" s="334"/>
      <c r="L2378" s="334"/>
      <c r="M2378" s="334"/>
      <c r="N2378" s="334"/>
      <c r="O2378" s="334"/>
      <c r="P2378" s="334"/>
    </row>
    <row r="2379" spans="1:16" ht="12.75" hidden="1" customHeight="1" outlineLevel="1" x14ac:dyDescent="0.2">
      <c r="A2379" s="623" t="s">
        <v>3298</v>
      </c>
      <c r="B2379" s="628" t="s">
        <v>1324</v>
      </c>
      <c r="C2379" s="625" t="s">
        <v>100</v>
      </c>
      <c r="D2379" s="626">
        <v>109.28</v>
      </c>
      <c r="E2379" s="334"/>
      <c r="F2379" s="334"/>
      <c r="G2379" s="334"/>
      <c r="H2379" s="334"/>
      <c r="I2379" s="334"/>
      <c r="J2379" s="334"/>
      <c r="K2379" s="334"/>
      <c r="L2379" s="334"/>
      <c r="M2379" s="334"/>
      <c r="N2379" s="334"/>
      <c r="O2379" s="334"/>
      <c r="P2379" s="334"/>
    </row>
    <row r="2380" spans="1:16" ht="12.75" hidden="1" customHeight="1" outlineLevel="1" x14ac:dyDescent="0.2">
      <c r="A2380" s="627" t="s">
        <v>3299</v>
      </c>
      <c r="B2380" s="624" t="s">
        <v>1326</v>
      </c>
      <c r="C2380" s="629" t="s">
        <v>100</v>
      </c>
      <c r="D2380" s="630">
        <v>109.28</v>
      </c>
      <c r="E2380" s="334"/>
      <c r="F2380" s="334"/>
      <c r="G2380" s="334"/>
      <c r="H2380" s="334"/>
      <c r="I2380" s="334"/>
      <c r="J2380" s="334"/>
      <c r="K2380" s="334"/>
      <c r="L2380" s="334"/>
      <c r="M2380" s="334"/>
      <c r="N2380" s="334"/>
      <c r="O2380" s="334"/>
      <c r="P2380" s="334"/>
    </row>
    <row r="2381" spans="1:16" ht="12.75" hidden="1" customHeight="1" outlineLevel="1" x14ac:dyDescent="0.2">
      <c r="A2381" s="623" t="s">
        <v>3300</v>
      </c>
      <c r="B2381" s="628" t="s">
        <v>1328</v>
      </c>
      <c r="C2381" s="625" t="s">
        <v>100</v>
      </c>
      <c r="D2381" s="626">
        <v>109.28</v>
      </c>
      <c r="E2381" s="334"/>
      <c r="F2381" s="334"/>
      <c r="G2381" s="334"/>
      <c r="H2381" s="334"/>
      <c r="I2381" s="334">
        <f>SUM(I2383:I2413)</f>
        <v>18490.130000000026</v>
      </c>
      <c r="J2381" s="334"/>
      <c r="K2381" s="334"/>
      <c r="L2381" s="334"/>
      <c r="M2381" s="334"/>
      <c r="N2381" s="334"/>
      <c r="O2381" s="334"/>
      <c r="P2381" s="334"/>
    </row>
    <row r="2382" spans="1:16" ht="12.75" customHeight="1" collapsed="1" x14ac:dyDescent="0.2">
      <c r="A2382" s="614" t="s">
        <v>3301</v>
      </c>
      <c r="B2382" s="615" t="s">
        <v>512</v>
      </c>
      <c r="C2382" s="616"/>
      <c r="D2382" s="617"/>
      <c r="E2382" s="334"/>
      <c r="F2382" s="334"/>
      <c r="G2382" s="334"/>
      <c r="H2382" s="631" t="s">
        <v>696</v>
      </c>
      <c r="I2382" s="632" t="s">
        <v>59</v>
      </c>
      <c r="J2382" s="334"/>
      <c r="K2382" s="334"/>
      <c r="L2382" s="334"/>
      <c r="M2382" s="334"/>
      <c r="N2382" s="334"/>
      <c r="O2382" s="334"/>
      <c r="P2382" s="334"/>
    </row>
    <row r="2383" spans="1:16" ht="12.75" hidden="1" customHeight="1" outlineLevel="1" x14ac:dyDescent="0.2">
      <c r="A2383" s="618" t="s">
        <v>3302</v>
      </c>
      <c r="B2383" s="619" t="s">
        <v>1009</v>
      </c>
      <c r="C2383" s="620"/>
      <c r="D2383" s="621"/>
      <c r="E2383" s="334"/>
      <c r="F2383" s="334"/>
      <c r="G2383" s="334"/>
      <c r="H2383" s="633" t="s">
        <v>1128</v>
      </c>
      <c r="I2383" s="634">
        <f t="shared" ref="I2383:I2413" si="11">SUMIF($B$14:$B$4106,H2383,$D$14:$D$4106)</f>
        <v>5966.8400000000029</v>
      </c>
      <c r="J2383" s="334"/>
      <c r="K2383" s="334"/>
      <c r="L2383" s="334"/>
      <c r="M2383" s="334"/>
      <c r="N2383" s="334"/>
      <c r="O2383" s="334"/>
      <c r="P2383" s="334"/>
    </row>
    <row r="2384" spans="1:16" ht="12.75" hidden="1" customHeight="1" outlineLevel="1" x14ac:dyDescent="0.2">
      <c r="A2384" s="627" t="s">
        <v>3303</v>
      </c>
      <c r="B2384" s="628" t="s">
        <v>1128</v>
      </c>
      <c r="C2384" s="629" t="s">
        <v>100</v>
      </c>
      <c r="D2384" s="630">
        <v>3.62</v>
      </c>
      <c r="E2384" s="335">
        <f>SUM(D2384:D2838)</f>
        <v>18490.129999999968</v>
      </c>
      <c r="F2384" s="334"/>
      <c r="G2384" s="334"/>
      <c r="H2384" s="633" t="s">
        <v>1130</v>
      </c>
      <c r="I2384" s="634">
        <f t="shared" si="11"/>
        <v>5660.8000000000029</v>
      </c>
      <c r="J2384" s="334"/>
      <c r="K2384" s="334"/>
      <c r="L2384" s="334"/>
      <c r="M2384" s="334"/>
      <c r="N2384" s="334"/>
      <c r="O2384" s="334"/>
      <c r="P2384" s="334"/>
    </row>
    <row r="2385" spans="1:16" ht="12.75" hidden="1" customHeight="1" outlineLevel="1" x14ac:dyDescent="0.2">
      <c r="A2385" s="623" t="s">
        <v>3304</v>
      </c>
      <c r="B2385" s="624" t="s">
        <v>1130</v>
      </c>
      <c r="C2385" s="625" t="s">
        <v>100</v>
      </c>
      <c r="D2385" s="626">
        <v>3.62</v>
      </c>
      <c r="E2385" s="334"/>
      <c r="F2385" s="334"/>
      <c r="G2385" s="334"/>
      <c r="H2385" s="633" t="s">
        <v>1132</v>
      </c>
      <c r="I2385" s="634">
        <f t="shared" si="11"/>
        <v>1803.2600000000016</v>
      </c>
      <c r="J2385" s="334"/>
      <c r="K2385" s="334"/>
      <c r="L2385" s="334"/>
      <c r="M2385" s="334"/>
      <c r="N2385" s="334"/>
      <c r="O2385" s="334"/>
      <c r="P2385" s="334"/>
    </row>
    <row r="2386" spans="1:16" ht="12.75" hidden="1" customHeight="1" outlineLevel="1" x14ac:dyDescent="0.2">
      <c r="A2386" s="627" t="s">
        <v>3305</v>
      </c>
      <c r="B2386" s="628" t="s">
        <v>1132</v>
      </c>
      <c r="C2386" s="629" t="s">
        <v>100</v>
      </c>
      <c r="D2386" s="630">
        <v>3.62</v>
      </c>
      <c r="E2386" s="334"/>
      <c r="F2386" s="334"/>
      <c r="G2386" s="334"/>
      <c r="H2386" s="624" t="s">
        <v>1134</v>
      </c>
      <c r="I2386" s="634">
        <f t="shared" si="11"/>
        <v>3838.139999999999</v>
      </c>
      <c r="J2386" s="334"/>
      <c r="K2386" s="334"/>
      <c r="L2386" s="334"/>
      <c r="M2386" s="334"/>
      <c r="N2386" s="334"/>
      <c r="O2386" s="334"/>
      <c r="P2386" s="334"/>
    </row>
    <row r="2387" spans="1:16" ht="12.75" hidden="1" customHeight="1" outlineLevel="1" x14ac:dyDescent="0.2">
      <c r="A2387" s="623" t="s">
        <v>3306</v>
      </c>
      <c r="B2387" s="628" t="s">
        <v>1128</v>
      </c>
      <c r="C2387" s="625" t="s">
        <v>100</v>
      </c>
      <c r="D2387" s="626">
        <v>25.74</v>
      </c>
      <c r="E2387" s="334"/>
      <c r="F2387" s="334"/>
      <c r="G2387" s="334"/>
      <c r="H2387" s="628" t="s">
        <v>3414</v>
      </c>
      <c r="I2387" s="634">
        <f t="shared" si="11"/>
        <v>36.130000000000003</v>
      </c>
      <c r="J2387" s="334"/>
      <c r="K2387" s="334"/>
      <c r="L2387" s="334"/>
      <c r="M2387" s="334"/>
      <c r="N2387" s="334"/>
      <c r="O2387" s="334"/>
      <c r="P2387" s="334"/>
    </row>
    <row r="2388" spans="1:16" ht="12.75" hidden="1" customHeight="1" outlineLevel="1" x14ac:dyDescent="0.2">
      <c r="A2388" s="627" t="s">
        <v>3309</v>
      </c>
      <c r="B2388" s="624" t="s">
        <v>1130</v>
      </c>
      <c r="C2388" s="629" t="s">
        <v>100</v>
      </c>
      <c r="D2388" s="630">
        <v>25.74</v>
      </c>
      <c r="E2388" s="334"/>
      <c r="F2388" s="334"/>
      <c r="G2388" s="334"/>
      <c r="H2388" s="624" t="s">
        <v>3416</v>
      </c>
      <c r="I2388" s="634">
        <f t="shared" si="11"/>
        <v>36.130000000000003</v>
      </c>
      <c r="J2388" s="334"/>
      <c r="K2388" s="334"/>
      <c r="L2388" s="334"/>
      <c r="M2388" s="334"/>
      <c r="N2388" s="334"/>
      <c r="O2388" s="334"/>
      <c r="P2388" s="334"/>
    </row>
    <row r="2389" spans="1:16" ht="12.75" hidden="1" customHeight="1" outlineLevel="1" x14ac:dyDescent="0.2">
      <c r="A2389" s="623" t="s">
        <v>3310</v>
      </c>
      <c r="B2389" s="628" t="s">
        <v>1132</v>
      </c>
      <c r="C2389" s="625" t="s">
        <v>100</v>
      </c>
      <c r="D2389" s="626">
        <v>25.74</v>
      </c>
      <c r="E2389" s="334"/>
      <c r="F2389" s="334"/>
      <c r="G2389" s="334"/>
      <c r="H2389" s="628" t="s">
        <v>3418</v>
      </c>
      <c r="I2389" s="634">
        <f t="shared" si="11"/>
        <v>36.130000000000003</v>
      </c>
      <c r="J2389" s="334"/>
      <c r="K2389" s="334"/>
      <c r="L2389" s="334"/>
      <c r="M2389" s="334"/>
      <c r="N2389" s="334"/>
      <c r="O2389" s="334"/>
      <c r="P2389" s="334"/>
    </row>
    <row r="2390" spans="1:16" ht="12.75" hidden="1" customHeight="1" outlineLevel="1" x14ac:dyDescent="0.2">
      <c r="A2390" s="627" t="s">
        <v>3311</v>
      </c>
      <c r="B2390" s="628" t="s">
        <v>1134</v>
      </c>
      <c r="C2390" s="629" t="s">
        <v>100</v>
      </c>
      <c r="D2390" s="630">
        <v>3.66</v>
      </c>
      <c r="E2390" s="334"/>
      <c r="F2390" s="334"/>
      <c r="G2390" s="334"/>
      <c r="H2390" s="624" t="s">
        <v>3420</v>
      </c>
      <c r="I2390" s="634">
        <f t="shared" si="11"/>
        <v>9.34</v>
      </c>
      <c r="J2390" s="334"/>
      <c r="K2390" s="334"/>
      <c r="L2390" s="334"/>
      <c r="M2390" s="334"/>
      <c r="N2390" s="334"/>
      <c r="O2390" s="334"/>
      <c r="P2390" s="334"/>
    </row>
    <row r="2391" spans="1:16" ht="12.75" hidden="1" customHeight="1" outlineLevel="1" x14ac:dyDescent="0.2">
      <c r="A2391" s="623" t="s">
        <v>3312</v>
      </c>
      <c r="B2391" s="624" t="s">
        <v>1128</v>
      </c>
      <c r="C2391" s="625" t="s">
        <v>100</v>
      </c>
      <c r="D2391" s="626">
        <v>3.66</v>
      </c>
      <c r="E2391" s="334"/>
      <c r="F2391" s="334"/>
      <c r="G2391" s="334"/>
      <c r="H2391" s="628" t="s">
        <v>3422</v>
      </c>
      <c r="I2391" s="634">
        <f t="shared" si="11"/>
        <v>9.34</v>
      </c>
      <c r="J2391" s="334"/>
      <c r="K2391" s="334"/>
      <c r="L2391" s="334"/>
      <c r="M2391" s="334"/>
      <c r="N2391" s="334"/>
      <c r="O2391" s="334"/>
      <c r="P2391" s="334"/>
    </row>
    <row r="2392" spans="1:16" ht="12.75" hidden="1" customHeight="1" outlineLevel="1" x14ac:dyDescent="0.2">
      <c r="A2392" s="627" t="s">
        <v>3313</v>
      </c>
      <c r="B2392" s="628" t="s">
        <v>1130</v>
      </c>
      <c r="C2392" s="629" t="s">
        <v>100</v>
      </c>
      <c r="D2392" s="630">
        <v>3.66</v>
      </c>
      <c r="E2392" s="334"/>
      <c r="F2392" s="334"/>
      <c r="G2392" s="334"/>
      <c r="H2392" s="624" t="s">
        <v>3424</v>
      </c>
      <c r="I2392" s="634">
        <f t="shared" si="11"/>
        <v>9.34</v>
      </c>
      <c r="J2392" s="334"/>
      <c r="K2392" s="334"/>
      <c r="L2392" s="334"/>
      <c r="M2392" s="334"/>
      <c r="N2392" s="334"/>
      <c r="O2392" s="334"/>
      <c r="P2392" s="334"/>
    </row>
    <row r="2393" spans="1:16" ht="12.75" hidden="1" customHeight="1" outlineLevel="1" x14ac:dyDescent="0.2">
      <c r="A2393" s="623" t="s">
        <v>3314</v>
      </c>
      <c r="B2393" s="624" t="s">
        <v>1128</v>
      </c>
      <c r="C2393" s="625" t="s">
        <v>100</v>
      </c>
      <c r="D2393" s="626">
        <v>1.17</v>
      </c>
      <c r="E2393" s="334"/>
      <c r="F2393" s="334"/>
      <c r="G2393" s="334"/>
      <c r="H2393" s="628" t="s">
        <v>3426</v>
      </c>
      <c r="I2393" s="634">
        <f t="shared" si="11"/>
        <v>49.08</v>
      </c>
      <c r="J2393" s="334"/>
      <c r="K2393" s="334"/>
      <c r="L2393" s="334"/>
      <c r="M2393" s="334"/>
      <c r="N2393" s="334"/>
      <c r="O2393" s="334"/>
      <c r="P2393" s="334"/>
    </row>
    <row r="2394" spans="1:16" ht="12.75" hidden="1" customHeight="1" outlineLevel="1" x14ac:dyDescent="0.2">
      <c r="A2394" s="627" t="s">
        <v>3315</v>
      </c>
      <c r="B2394" s="628" t="s">
        <v>1130</v>
      </c>
      <c r="C2394" s="629" t="s">
        <v>100</v>
      </c>
      <c r="D2394" s="630">
        <v>1.17</v>
      </c>
      <c r="E2394" s="334"/>
      <c r="F2394" s="334"/>
      <c r="G2394" s="334"/>
      <c r="H2394" s="624" t="s">
        <v>3428</v>
      </c>
      <c r="I2394" s="634">
        <f t="shared" si="11"/>
        <v>49.08</v>
      </c>
      <c r="J2394" s="334"/>
      <c r="K2394" s="334"/>
      <c r="L2394" s="334"/>
      <c r="M2394" s="334"/>
      <c r="N2394" s="334"/>
      <c r="O2394" s="334"/>
      <c r="P2394" s="334"/>
    </row>
    <row r="2395" spans="1:16" ht="12.75" hidden="1" customHeight="1" outlineLevel="1" x14ac:dyDescent="0.2">
      <c r="A2395" s="623" t="s">
        <v>3316</v>
      </c>
      <c r="B2395" s="624" t="s">
        <v>1132</v>
      </c>
      <c r="C2395" s="625" t="s">
        <v>100</v>
      </c>
      <c r="D2395" s="626">
        <v>1.17</v>
      </c>
      <c r="E2395" s="334"/>
      <c r="F2395" s="334"/>
      <c r="G2395" s="334"/>
      <c r="H2395" s="628" t="s">
        <v>3430</v>
      </c>
      <c r="I2395" s="634">
        <f t="shared" si="11"/>
        <v>49.08</v>
      </c>
      <c r="J2395" s="334"/>
      <c r="K2395" s="334"/>
      <c r="L2395" s="334"/>
      <c r="M2395" s="334"/>
      <c r="N2395" s="334"/>
      <c r="O2395" s="334"/>
      <c r="P2395" s="334"/>
    </row>
    <row r="2396" spans="1:16" ht="12.75" hidden="1" customHeight="1" outlineLevel="1" x14ac:dyDescent="0.2">
      <c r="A2396" s="627" t="s">
        <v>3317</v>
      </c>
      <c r="B2396" s="628" t="s">
        <v>1128</v>
      </c>
      <c r="C2396" s="629" t="s">
        <v>100</v>
      </c>
      <c r="D2396" s="630">
        <v>5.0599999999999996</v>
      </c>
      <c r="E2396" s="334"/>
      <c r="F2396" s="334"/>
      <c r="G2396" s="334"/>
      <c r="H2396" s="624" t="s">
        <v>3432</v>
      </c>
      <c r="I2396" s="634">
        <f t="shared" si="11"/>
        <v>232.05</v>
      </c>
      <c r="J2396" s="334"/>
      <c r="K2396" s="334"/>
      <c r="L2396" s="334"/>
      <c r="M2396" s="334"/>
      <c r="N2396" s="334"/>
      <c r="O2396" s="334"/>
      <c r="P2396" s="334"/>
    </row>
    <row r="2397" spans="1:16" ht="12.75" hidden="1" customHeight="1" outlineLevel="1" x14ac:dyDescent="0.2">
      <c r="A2397" s="623" t="s">
        <v>3318</v>
      </c>
      <c r="B2397" s="624" t="s">
        <v>1130</v>
      </c>
      <c r="C2397" s="625" t="s">
        <v>100</v>
      </c>
      <c r="D2397" s="626">
        <v>5.0599999999999996</v>
      </c>
      <c r="E2397" s="334"/>
      <c r="F2397" s="334"/>
      <c r="G2397" s="334"/>
      <c r="H2397" s="628" t="s">
        <v>3434</v>
      </c>
      <c r="I2397" s="634">
        <f t="shared" si="11"/>
        <v>232.05</v>
      </c>
      <c r="J2397" s="334"/>
      <c r="K2397" s="334"/>
      <c r="L2397" s="334"/>
      <c r="M2397" s="334"/>
      <c r="N2397" s="334"/>
      <c r="O2397" s="334"/>
      <c r="P2397" s="334"/>
    </row>
    <row r="2398" spans="1:16" ht="12.75" hidden="1" customHeight="1" outlineLevel="1" x14ac:dyDescent="0.2">
      <c r="A2398" s="627" t="s">
        <v>3319</v>
      </c>
      <c r="B2398" s="628" t="s">
        <v>1132</v>
      </c>
      <c r="C2398" s="629" t="s">
        <v>100</v>
      </c>
      <c r="D2398" s="630">
        <v>5.0599999999999996</v>
      </c>
      <c r="E2398" s="334"/>
      <c r="F2398" s="334"/>
      <c r="G2398" s="334"/>
      <c r="H2398" s="624" t="s">
        <v>3436</v>
      </c>
      <c r="I2398" s="634">
        <f t="shared" si="11"/>
        <v>232.05</v>
      </c>
      <c r="J2398" s="334"/>
      <c r="K2398" s="334"/>
      <c r="L2398" s="334"/>
      <c r="M2398" s="334"/>
      <c r="N2398" s="334"/>
      <c r="O2398" s="334"/>
      <c r="P2398" s="334"/>
    </row>
    <row r="2399" spans="1:16" ht="12.75" hidden="1" customHeight="1" outlineLevel="1" x14ac:dyDescent="0.2">
      <c r="A2399" s="623" t="s">
        <v>3320</v>
      </c>
      <c r="B2399" s="624" t="s">
        <v>1134</v>
      </c>
      <c r="C2399" s="625" t="s">
        <v>100</v>
      </c>
      <c r="D2399" s="626">
        <v>4.16</v>
      </c>
      <c r="E2399" s="334"/>
      <c r="F2399" s="334"/>
      <c r="G2399" s="334"/>
      <c r="H2399" s="628" t="s">
        <v>3438</v>
      </c>
      <c r="I2399" s="634">
        <f t="shared" si="11"/>
        <v>42.22</v>
      </c>
      <c r="J2399" s="334"/>
      <c r="K2399" s="334"/>
      <c r="L2399" s="334"/>
      <c r="M2399" s="334"/>
      <c r="N2399" s="334"/>
      <c r="O2399" s="334"/>
      <c r="P2399" s="334"/>
    </row>
    <row r="2400" spans="1:16" ht="12.75" hidden="1" customHeight="1" outlineLevel="1" x14ac:dyDescent="0.2">
      <c r="A2400" s="627" t="s">
        <v>3321</v>
      </c>
      <c r="B2400" s="628" t="s">
        <v>1128</v>
      </c>
      <c r="C2400" s="629" t="s">
        <v>100</v>
      </c>
      <c r="D2400" s="630">
        <v>4.16</v>
      </c>
      <c r="E2400" s="334"/>
      <c r="F2400" s="334"/>
      <c r="G2400" s="334"/>
      <c r="H2400" s="624" t="s">
        <v>3440</v>
      </c>
      <c r="I2400" s="634">
        <f t="shared" si="11"/>
        <v>42.22</v>
      </c>
      <c r="J2400" s="334"/>
      <c r="K2400" s="334"/>
      <c r="L2400" s="334"/>
      <c r="M2400" s="334"/>
      <c r="N2400" s="334"/>
      <c r="O2400" s="334"/>
      <c r="P2400" s="334"/>
    </row>
    <row r="2401" spans="1:16" ht="12.75" hidden="1" customHeight="1" outlineLevel="1" x14ac:dyDescent="0.2">
      <c r="A2401" s="623" t="s">
        <v>3322</v>
      </c>
      <c r="B2401" s="624" t="s">
        <v>1130</v>
      </c>
      <c r="C2401" s="625" t="s">
        <v>100</v>
      </c>
      <c r="D2401" s="626">
        <v>4.16</v>
      </c>
      <c r="E2401" s="334"/>
      <c r="F2401" s="334"/>
      <c r="G2401" s="334"/>
      <c r="H2401" s="628" t="s">
        <v>3442</v>
      </c>
      <c r="I2401" s="634">
        <f t="shared" si="11"/>
        <v>42.22</v>
      </c>
      <c r="J2401" s="334"/>
      <c r="K2401" s="334"/>
      <c r="L2401" s="334"/>
      <c r="M2401" s="334"/>
      <c r="N2401" s="334"/>
      <c r="O2401" s="334"/>
      <c r="P2401" s="334"/>
    </row>
    <row r="2402" spans="1:16" ht="12.75" hidden="1" customHeight="1" outlineLevel="1" x14ac:dyDescent="0.2">
      <c r="A2402" s="627" t="s">
        <v>3323</v>
      </c>
      <c r="B2402" s="628" t="s">
        <v>1128</v>
      </c>
      <c r="C2402" s="629" t="s">
        <v>100</v>
      </c>
      <c r="D2402" s="630">
        <v>432.64</v>
      </c>
      <c r="E2402" s="334"/>
      <c r="F2402" s="334"/>
      <c r="G2402" s="334"/>
      <c r="H2402" s="624" t="s">
        <v>3444</v>
      </c>
      <c r="I2402" s="634">
        <f t="shared" si="11"/>
        <v>18.25</v>
      </c>
      <c r="J2402" s="334"/>
      <c r="K2402" s="334"/>
      <c r="L2402" s="334"/>
      <c r="M2402" s="334"/>
      <c r="N2402" s="334"/>
      <c r="O2402" s="334"/>
      <c r="P2402" s="334"/>
    </row>
    <row r="2403" spans="1:16" ht="12.75" hidden="1" customHeight="1" outlineLevel="1" x14ac:dyDescent="0.2">
      <c r="A2403" s="623" t="s">
        <v>3324</v>
      </c>
      <c r="B2403" s="624" t="s">
        <v>1130</v>
      </c>
      <c r="C2403" s="625" t="s">
        <v>100</v>
      </c>
      <c r="D2403" s="626">
        <v>432.64</v>
      </c>
      <c r="E2403" s="334"/>
      <c r="F2403" s="334"/>
      <c r="G2403" s="334"/>
      <c r="H2403" s="628" t="s">
        <v>3446</v>
      </c>
      <c r="I2403" s="634">
        <f t="shared" si="11"/>
        <v>18.25</v>
      </c>
      <c r="J2403" s="334"/>
      <c r="K2403" s="334"/>
      <c r="L2403" s="334"/>
      <c r="M2403" s="334"/>
      <c r="N2403" s="334"/>
      <c r="O2403" s="334"/>
      <c r="P2403" s="334"/>
    </row>
    <row r="2404" spans="1:16" ht="12.75" hidden="1" customHeight="1" outlineLevel="1" x14ac:dyDescent="0.2">
      <c r="A2404" s="627" t="s">
        <v>3325</v>
      </c>
      <c r="B2404" s="628" t="s">
        <v>1132</v>
      </c>
      <c r="C2404" s="629" t="s">
        <v>100</v>
      </c>
      <c r="D2404" s="630">
        <v>432.64</v>
      </c>
      <c r="E2404" s="334"/>
      <c r="F2404" s="334"/>
      <c r="G2404" s="334"/>
      <c r="H2404" s="624" t="s">
        <v>3448</v>
      </c>
      <c r="I2404" s="634">
        <f t="shared" si="11"/>
        <v>18.25</v>
      </c>
      <c r="J2404" s="334"/>
      <c r="K2404" s="334"/>
      <c r="L2404" s="334"/>
      <c r="M2404" s="334"/>
      <c r="N2404" s="334"/>
      <c r="O2404" s="334"/>
      <c r="P2404" s="334"/>
    </row>
    <row r="2405" spans="1:16" ht="12.75" hidden="1" customHeight="1" outlineLevel="1" x14ac:dyDescent="0.2">
      <c r="A2405" s="623" t="s">
        <v>3326</v>
      </c>
      <c r="B2405" s="628" t="s">
        <v>1128</v>
      </c>
      <c r="C2405" s="625" t="s">
        <v>100</v>
      </c>
      <c r="D2405" s="626">
        <v>1.34</v>
      </c>
      <c r="E2405" s="334"/>
      <c r="F2405" s="334"/>
      <c r="G2405" s="334"/>
      <c r="H2405" s="628" t="s">
        <v>3450</v>
      </c>
      <c r="I2405" s="634">
        <f t="shared" si="11"/>
        <v>6.63</v>
      </c>
      <c r="J2405" s="334"/>
      <c r="K2405" s="334"/>
      <c r="L2405" s="334"/>
      <c r="M2405" s="334"/>
      <c r="N2405" s="334"/>
      <c r="O2405" s="334"/>
      <c r="P2405" s="334"/>
    </row>
    <row r="2406" spans="1:16" ht="12.75" hidden="1" customHeight="1" outlineLevel="1" x14ac:dyDescent="0.2">
      <c r="A2406" s="627" t="s">
        <v>3327</v>
      </c>
      <c r="B2406" s="624" t="s">
        <v>1130</v>
      </c>
      <c r="C2406" s="629" t="s">
        <v>100</v>
      </c>
      <c r="D2406" s="630">
        <v>1.34</v>
      </c>
      <c r="E2406" s="334"/>
      <c r="F2406" s="334"/>
      <c r="G2406" s="334"/>
      <c r="H2406" s="624" t="s">
        <v>3452</v>
      </c>
      <c r="I2406" s="634">
        <f t="shared" si="11"/>
        <v>6.63</v>
      </c>
      <c r="J2406" s="334"/>
      <c r="K2406" s="334"/>
      <c r="L2406" s="334"/>
      <c r="M2406" s="334"/>
      <c r="N2406" s="334"/>
      <c r="O2406" s="334"/>
      <c r="P2406" s="334"/>
    </row>
    <row r="2407" spans="1:16" ht="12.75" hidden="1" customHeight="1" outlineLevel="1" x14ac:dyDescent="0.2">
      <c r="A2407" s="623" t="s">
        <v>3328</v>
      </c>
      <c r="B2407" s="628" t="s">
        <v>1132</v>
      </c>
      <c r="C2407" s="625" t="s">
        <v>100</v>
      </c>
      <c r="D2407" s="626">
        <v>1.34</v>
      </c>
      <c r="E2407" s="334"/>
      <c r="F2407" s="334"/>
      <c r="G2407" s="334"/>
      <c r="H2407" s="628" t="s">
        <v>3454</v>
      </c>
      <c r="I2407" s="634">
        <f t="shared" si="11"/>
        <v>6.63</v>
      </c>
      <c r="J2407" s="334"/>
      <c r="K2407" s="334"/>
      <c r="L2407" s="334"/>
      <c r="M2407" s="334"/>
      <c r="N2407" s="334"/>
      <c r="O2407" s="334"/>
      <c r="P2407" s="334"/>
    </row>
    <row r="2408" spans="1:16" ht="12.75" hidden="1" customHeight="1" outlineLevel="1" x14ac:dyDescent="0.2">
      <c r="A2408" s="627" t="s">
        <v>3329</v>
      </c>
      <c r="B2408" s="628" t="s">
        <v>1134</v>
      </c>
      <c r="C2408" s="629" t="s">
        <v>100</v>
      </c>
      <c r="D2408" s="630">
        <v>54.55</v>
      </c>
      <c r="E2408" s="334"/>
      <c r="F2408" s="334"/>
      <c r="G2408" s="334"/>
      <c r="H2408" s="1004" t="s">
        <v>3460</v>
      </c>
      <c r="I2408" s="634">
        <f t="shared" si="11"/>
        <v>2.9</v>
      </c>
      <c r="J2408" s="334"/>
      <c r="K2408" s="334"/>
      <c r="L2408" s="334"/>
      <c r="M2408" s="334"/>
      <c r="N2408" s="334"/>
      <c r="O2408" s="334"/>
      <c r="P2408" s="334"/>
    </row>
    <row r="2409" spans="1:16" ht="12.75" hidden="1" customHeight="1" outlineLevel="1" x14ac:dyDescent="0.2">
      <c r="A2409" s="623" t="s">
        <v>3330</v>
      </c>
      <c r="B2409" s="624" t="s">
        <v>1128</v>
      </c>
      <c r="C2409" s="625" t="s">
        <v>100</v>
      </c>
      <c r="D2409" s="626">
        <v>54.55</v>
      </c>
      <c r="E2409" s="334"/>
      <c r="F2409" s="334"/>
      <c r="G2409" s="334"/>
      <c r="H2409" s="628" t="s">
        <v>3462</v>
      </c>
      <c r="I2409" s="634">
        <f t="shared" si="11"/>
        <v>2.9</v>
      </c>
      <c r="J2409" s="334"/>
      <c r="K2409" s="334"/>
      <c r="L2409" s="334"/>
      <c r="M2409" s="334"/>
      <c r="N2409" s="334"/>
      <c r="O2409" s="334"/>
      <c r="P2409" s="334"/>
    </row>
    <row r="2410" spans="1:16" ht="12.75" hidden="1" customHeight="1" outlineLevel="1" x14ac:dyDescent="0.2">
      <c r="A2410" s="627" t="s">
        <v>3331</v>
      </c>
      <c r="B2410" s="628" t="s">
        <v>1130</v>
      </c>
      <c r="C2410" s="629" t="s">
        <v>100</v>
      </c>
      <c r="D2410" s="630">
        <v>54.55</v>
      </c>
      <c r="E2410" s="334"/>
      <c r="F2410" s="334"/>
      <c r="G2410" s="334"/>
      <c r="H2410" s="628" t="s">
        <v>3464</v>
      </c>
      <c r="I2410" s="634">
        <f t="shared" si="11"/>
        <v>2.9</v>
      </c>
      <c r="J2410" s="334"/>
      <c r="K2410" s="334"/>
      <c r="L2410" s="334"/>
      <c r="M2410" s="334"/>
      <c r="N2410" s="334"/>
      <c r="O2410" s="334"/>
      <c r="P2410" s="334"/>
    </row>
    <row r="2411" spans="1:16" ht="12.75" hidden="1" customHeight="1" outlineLevel="1" x14ac:dyDescent="0.2">
      <c r="A2411" s="623" t="s">
        <v>3332</v>
      </c>
      <c r="B2411" s="624" t="s">
        <v>1134</v>
      </c>
      <c r="C2411" s="625" t="s">
        <v>100</v>
      </c>
      <c r="D2411" s="626">
        <v>3.11</v>
      </c>
      <c r="E2411" s="334"/>
      <c r="F2411" s="334"/>
      <c r="G2411" s="334"/>
      <c r="H2411" s="628" t="s">
        <v>3472</v>
      </c>
      <c r="I2411" s="634">
        <f t="shared" si="11"/>
        <v>14.18</v>
      </c>
      <c r="J2411" s="334"/>
      <c r="K2411" s="334"/>
      <c r="L2411" s="334"/>
      <c r="M2411" s="334"/>
      <c r="N2411" s="334"/>
      <c r="O2411" s="334"/>
      <c r="P2411" s="334"/>
    </row>
    <row r="2412" spans="1:16" ht="12.75" hidden="1" customHeight="1" outlineLevel="1" x14ac:dyDescent="0.2">
      <c r="A2412" s="627" t="s">
        <v>3333</v>
      </c>
      <c r="B2412" s="628" t="s">
        <v>1128</v>
      </c>
      <c r="C2412" s="629" t="s">
        <v>100</v>
      </c>
      <c r="D2412" s="630">
        <v>3.11</v>
      </c>
      <c r="E2412" s="334"/>
      <c r="F2412" s="334"/>
      <c r="G2412" s="334"/>
      <c r="H2412" s="628" t="s">
        <v>3474</v>
      </c>
      <c r="I2412" s="634">
        <f t="shared" si="11"/>
        <v>14.18</v>
      </c>
      <c r="J2412" s="334"/>
      <c r="K2412" s="334"/>
      <c r="L2412" s="334"/>
      <c r="M2412" s="334"/>
      <c r="N2412" s="334"/>
      <c r="O2412" s="334"/>
      <c r="P2412" s="334"/>
    </row>
    <row r="2413" spans="1:16" ht="12.75" hidden="1" customHeight="1" outlineLevel="1" x14ac:dyDescent="0.2">
      <c r="A2413" s="623" t="s">
        <v>3334</v>
      </c>
      <c r="B2413" s="624" t="s">
        <v>1130</v>
      </c>
      <c r="C2413" s="625" t="s">
        <v>100</v>
      </c>
      <c r="D2413" s="626">
        <v>3.11</v>
      </c>
      <c r="E2413" s="334"/>
      <c r="F2413" s="334"/>
      <c r="G2413" s="334"/>
      <c r="H2413" s="628" t="s">
        <v>3678</v>
      </c>
      <c r="I2413" s="634">
        <f t="shared" si="11"/>
        <v>2.93</v>
      </c>
      <c r="J2413" s="334"/>
      <c r="K2413" s="334"/>
      <c r="L2413" s="334"/>
      <c r="M2413" s="334"/>
      <c r="N2413" s="334"/>
      <c r="O2413" s="334"/>
      <c r="P2413" s="334"/>
    </row>
    <row r="2414" spans="1:16" ht="12.75" hidden="1" customHeight="1" outlineLevel="1" x14ac:dyDescent="0.2">
      <c r="A2414" s="627" t="s">
        <v>3335</v>
      </c>
      <c r="B2414" s="628" t="s">
        <v>1134</v>
      </c>
      <c r="C2414" s="629" t="s">
        <v>100</v>
      </c>
      <c r="D2414" s="630">
        <v>3.15</v>
      </c>
      <c r="E2414" s="334"/>
      <c r="F2414" s="334"/>
      <c r="G2414" s="334"/>
      <c r="J2414" s="334"/>
      <c r="K2414" s="334"/>
      <c r="L2414" s="334"/>
      <c r="M2414" s="334"/>
      <c r="N2414" s="334"/>
      <c r="O2414" s="334"/>
      <c r="P2414" s="334"/>
    </row>
    <row r="2415" spans="1:16" ht="12.75" hidden="1" customHeight="1" outlineLevel="1" x14ac:dyDescent="0.2">
      <c r="A2415" s="623" t="s">
        <v>3336</v>
      </c>
      <c r="B2415" s="624" t="s">
        <v>1128</v>
      </c>
      <c r="C2415" s="625" t="s">
        <v>100</v>
      </c>
      <c r="D2415" s="626">
        <v>3.15</v>
      </c>
      <c r="E2415" s="334"/>
      <c r="F2415" s="334"/>
      <c r="G2415" s="334"/>
      <c r="H2415" t="s">
        <v>1130</v>
      </c>
      <c r="I2415" s="1006">
        <f>I2384+I2389+I2392+I2395+I2398+I2401+I2404+I2406+I2409</f>
        <v>6057.4000000000033</v>
      </c>
      <c r="J2415" s="334"/>
      <c r="K2415" s="334"/>
      <c r="L2415" s="334"/>
      <c r="M2415" s="334"/>
      <c r="N2415" s="334"/>
      <c r="O2415" s="334"/>
      <c r="P2415" s="334"/>
    </row>
    <row r="2416" spans="1:16" ht="12.75" hidden="1" customHeight="1" outlineLevel="1" x14ac:dyDescent="0.2">
      <c r="A2416" s="627" t="s">
        <v>3337</v>
      </c>
      <c r="B2416" s="628" t="s">
        <v>1130</v>
      </c>
      <c r="C2416" s="629" t="s">
        <v>100</v>
      </c>
      <c r="D2416" s="630">
        <v>3.15</v>
      </c>
      <c r="E2416" s="334"/>
      <c r="F2416" s="334"/>
      <c r="G2416" s="334"/>
      <c r="H2416" s="624" t="s">
        <v>1134</v>
      </c>
      <c r="I2416">
        <f>I2386+I2387+I2390+I2393+I2396+I2399+I2402+I2411</f>
        <v>4239.3899999999994</v>
      </c>
      <c r="J2416" s="334"/>
      <c r="K2416" s="334"/>
      <c r="L2416" s="334"/>
      <c r="M2416" s="334"/>
      <c r="N2416" s="334"/>
      <c r="O2416" s="334"/>
      <c r="P2416" s="334"/>
    </row>
    <row r="2417" spans="1:16" ht="12.75" hidden="1" customHeight="1" outlineLevel="1" x14ac:dyDescent="0.2">
      <c r="A2417" s="623" t="s">
        <v>3338</v>
      </c>
      <c r="B2417" s="624" t="s">
        <v>1134</v>
      </c>
      <c r="C2417" s="625" t="s">
        <v>100</v>
      </c>
      <c r="D2417" s="626">
        <v>10.68</v>
      </c>
      <c r="E2417" s="334"/>
      <c r="F2417" s="334"/>
      <c r="G2417" s="334"/>
      <c r="H2417" s="633" t="s">
        <v>1128</v>
      </c>
      <c r="I2417">
        <f>I2383+I2388+I2391+I2394+I2397+I2400+I2403+I2405+I2408+I2412</f>
        <v>6377.6200000000035</v>
      </c>
      <c r="J2417" s="334"/>
      <c r="K2417" s="334"/>
      <c r="L2417" s="334"/>
      <c r="M2417" s="334"/>
      <c r="N2417" s="334"/>
      <c r="O2417" s="334"/>
      <c r="P2417" s="334"/>
    </row>
    <row r="2418" spans="1:16" ht="12.75" hidden="1" customHeight="1" outlineLevel="1" x14ac:dyDescent="0.2">
      <c r="A2418" s="627" t="s">
        <v>3339</v>
      </c>
      <c r="B2418" s="624" t="s">
        <v>1128</v>
      </c>
      <c r="C2418" s="629" t="s">
        <v>100</v>
      </c>
      <c r="D2418" s="630">
        <v>10.68</v>
      </c>
      <c r="E2418" s="334"/>
      <c r="F2418" s="334"/>
      <c r="G2418" s="334"/>
      <c r="H2418" s="633" t="s">
        <v>1132</v>
      </c>
      <c r="I2418">
        <f>I2385+I2407+I2410+I2413</f>
        <v>1815.7200000000018</v>
      </c>
      <c r="J2418" s="334"/>
      <c r="K2418" s="334"/>
      <c r="L2418" s="334"/>
      <c r="M2418" s="334"/>
      <c r="N2418" s="334"/>
      <c r="O2418" s="334"/>
      <c r="P2418" s="334"/>
    </row>
    <row r="2419" spans="1:16" ht="12.75" hidden="1" customHeight="1" outlineLevel="1" x14ac:dyDescent="0.2">
      <c r="A2419" s="623" t="s">
        <v>3340</v>
      </c>
      <c r="B2419" s="628" t="s">
        <v>1130</v>
      </c>
      <c r="C2419" s="625" t="s">
        <v>100</v>
      </c>
      <c r="D2419" s="626">
        <v>10.68</v>
      </c>
      <c r="E2419" s="334"/>
      <c r="F2419" s="334"/>
      <c r="G2419" s="334"/>
      <c r="H2419" s="334"/>
      <c r="I2419" s="334"/>
      <c r="J2419" s="334"/>
      <c r="K2419" s="334"/>
      <c r="L2419" s="334"/>
      <c r="M2419" s="334"/>
      <c r="N2419" s="334"/>
      <c r="O2419" s="334"/>
      <c r="P2419" s="334"/>
    </row>
    <row r="2420" spans="1:16" ht="12.75" hidden="1" customHeight="1" outlineLevel="1" x14ac:dyDescent="0.2">
      <c r="A2420" s="627" t="s">
        <v>3341</v>
      </c>
      <c r="B2420" s="624" t="s">
        <v>1128</v>
      </c>
      <c r="C2420" s="629" t="s">
        <v>100</v>
      </c>
      <c r="D2420" s="630">
        <v>13.75</v>
      </c>
      <c r="E2420" s="334"/>
      <c r="F2420" s="334"/>
      <c r="G2420" s="334"/>
      <c r="H2420" s="602"/>
      <c r="I2420" s="334"/>
      <c r="J2420" s="334"/>
      <c r="K2420" s="334"/>
      <c r="L2420" s="334"/>
      <c r="M2420" s="334"/>
      <c r="N2420" s="334"/>
      <c r="O2420" s="334"/>
    </row>
    <row r="2421" spans="1:16" ht="12.75" hidden="1" customHeight="1" outlineLevel="1" x14ac:dyDescent="0.2">
      <c r="A2421" s="623" t="s">
        <v>3342</v>
      </c>
      <c r="B2421" s="628" t="s">
        <v>1130</v>
      </c>
      <c r="C2421" s="625" t="s">
        <v>100</v>
      </c>
      <c r="D2421" s="626">
        <v>13.75</v>
      </c>
      <c r="E2421" s="334"/>
      <c r="F2421" s="334"/>
      <c r="G2421" s="334"/>
      <c r="H2421" s="602"/>
      <c r="I2421" s="334"/>
      <c r="J2421" s="334"/>
      <c r="K2421" s="334"/>
      <c r="L2421" s="334"/>
      <c r="M2421" s="334"/>
      <c r="N2421" s="334"/>
      <c r="O2421" s="334"/>
    </row>
    <row r="2422" spans="1:16" ht="12.75" hidden="1" customHeight="1" outlineLevel="1" x14ac:dyDescent="0.2">
      <c r="A2422" s="627" t="s">
        <v>3343</v>
      </c>
      <c r="B2422" s="628" t="s">
        <v>1132</v>
      </c>
      <c r="C2422" s="629" t="s">
        <v>100</v>
      </c>
      <c r="D2422" s="630">
        <v>13.75</v>
      </c>
      <c r="E2422" s="334"/>
      <c r="F2422" s="334"/>
      <c r="G2422" s="334"/>
      <c r="H2422" s="602"/>
      <c r="I2422" s="334"/>
      <c r="J2422" s="334"/>
      <c r="K2422" s="334"/>
      <c r="L2422" s="334"/>
      <c r="M2422" s="334"/>
      <c r="N2422" s="334"/>
      <c r="O2422" s="334"/>
    </row>
    <row r="2423" spans="1:16" ht="12.75" hidden="1" customHeight="1" outlineLevel="1" x14ac:dyDescent="0.2">
      <c r="A2423" s="623" t="s">
        <v>3344</v>
      </c>
      <c r="B2423" s="624" t="s">
        <v>1128</v>
      </c>
      <c r="C2423" s="625" t="s">
        <v>100</v>
      </c>
      <c r="D2423" s="626">
        <v>5.68</v>
      </c>
      <c r="E2423" s="334" t="s">
        <v>3345</v>
      </c>
      <c r="F2423" s="334"/>
      <c r="G2423" s="334">
        <f>D2423*(0.9+2*2.1)</f>
        <v>28.968</v>
      </c>
      <c r="H2423" s="602"/>
      <c r="I2423" s="334"/>
      <c r="J2423" s="334"/>
      <c r="K2423" s="334"/>
      <c r="L2423" s="334"/>
      <c r="M2423" s="334"/>
      <c r="N2423" s="334"/>
      <c r="O2423" s="334"/>
    </row>
    <row r="2424" spans="1:16" ht="12.75" hidden="1" customHeight="1" outlineLevel="1" x14ac:dyDescent="0.2">
      <c r="A2424" s="627" t="s">
        <v>3346</v>
      </c>
      <c r="B2424" s="628" t="s">
        <v>1130</v>
      </c>
      <c r="C2424" s="629" t="s">
        <v>100</v>
      </c>
      <c r="D2424" s="630">
        <v>5.68</v>
      </c>
      <c r="E2424" s="622"/>
      <c r="F2424" s="334"/>
      <c r="G2424" s="334"/>
      <c r="H2424" s="602"/>
      <c r="I2424" s="334"/>
      <c r="J2424" s="334"/>
      <c r="K2424" s="334"/>
      <c r="L2424" s="334"/>
      <c r="M2424" s="334"/>
      <c r="N2424" s="334"/>
      <c r="O2424" s="334"/>
    </row>
    <row r="2425" spans="1:16" ht="12.75" hidden="1" customHeight="1" outlineLevel="1" x14ac:dyDescent="0.2">
      <c r="A2425" s="623" t="s">
        <v>3347</v>
      </c>
      <c r="B2425" s="628" t="s">
        <v>1132</v>
      </c>
      <c r="C2425" s="625" t="s">
        <v>100</v>
      </c>
      <c r="D2425" s="626">
        <v>5.68</v>
      </c>
      <c r="E2425" s="622"/>
      <c r="F2425" s="334"/>
      <c r="G2425" s="334"/>
      <c r="H2425" s="602"/>
      <c r="I2425" s="334"/>
      <c r="J2425" s="334"/>
      <c r="K2425" s="334"/>
      <c r="L2425" s="334"/>
      <c r="M2425" s="334"/>
      <c r="N2425" s="334"/>
      <c r="O2425" s="334"/>
    </row>
    <row r="2426" spans="1:16" ht="12.75" hidden="1" customHeight="1" outlineLevel="1" x14ac:dyDescent="0.2">
      <c r="A2426" s="627" t="s">
        <v>3348</v>
      </c>
      <c r="B2426" s="628" t="s">
        <v>1134</v>
      </c>
      <c r="C2426" s="629" t="s">
        <v>100</v>
      </c>
      <c r="D2426" s="630">
        <v>67.14</v>
      </c>
      <c r="E2426" s="622"/>
      <c r="F2426" s="334"/>
      <c r="G2426" s="334"/>
      <c r="H2426" s="602"/>
      <c r="I2426" s="334"/>
      <c r="J2426" s="334"/>
      <c r="K2426" s="334"/>
      <c r="L2426" s="334"/>
      <c r="M2426" s="334"/>
      <c r="N2426" s="334"/>
      <c r="O2426" s="334"/>
    </row>
    <row r="2427" spans="1:16" ht="12.75" hidden="1" customHeight="1" outlineLevel="1" x14ac:dyDescent="0.2">
      <c r="A2427" s="623" t="s">
        <v>3349</v>
      </c>
      <c r="B2427" s="624" t="s">
        <v>1128</v>
      </c>
      <c r="C2427" s="625" t="s">
        <v>100</v>
      </c>
      <c r="D2427" s="626">
        <v>67.14</v>
      </c>
      <c r="E2427" s="622"/>
      <c r="F2427" s="334"/>
      <c r="G2427" s="334"/>
      <c r="H2427" s="602"/>
      <c r="I2427" s="334"/>
      <c r="J2427" s="334"/>
      <c r="K2427" s="334"/>
      <c r="L2427" s="334"/>
      <c r="M2427" s="334"/>
      <c r="N2427" s="334"/>
      <c r="O2427" s="334"/>
    </row>
    <row r="2428" spans="1:16" ht="12.75" hidden="1" customHeight="1" outlineLevel="1" x14ac:dyDescent="0.2">
      <c r="A2428" s="627" t="s">
        <v>3350</v>
      </c>
      <c r="B2428" s="628" t="s">
        <v>1130</v>
      </c>
      <c r="C2428" s="629" t="s">
        <v>100</v>
      </c>
      <c r="D2428" s="630">
        <v>67.14</v>
      </c>
      <c r="E2428" s="622"/>
      <c r="F2428" s="334"/>
      <c r="G2428" s="334"/>
      <c r="H2428" s="602"/>
      <c r="I2428" s="334"/>
      <c r="J2428" s="334"/>
      <c r="K2428" s="334"/>
      <c r="L2428" s="334"/>
      <c r="M2428" s="334"/>
      <c r="N2428" s="334"/>
      <c r="O2428" s="334"/>
    </row>
    <row r="2429" spans="1:16" ht="12.75" hidden="1" customHeight="1" outlineLevel="1" x14ac:dyDescent="0.2">
      <c r="A2429" s="623" t="s">
        <v>3351</v>
      </c>
      <c r="B2429" s="624" t="s">
        <v>1134</v>
      </c>
      <c r="C2429" s="625" t="s">
        <v>100</v>
      </c>
      <c r="D2429" s="626">
        <v>80.819999999999993</v>
      </c>
      <c r="E2429" s="622"/>
      <c r="F2429" s="334"/>
      <c r="G2429" s="334"/>
      <c r="H2429" s="602"/>
      <c r="I2429" s="334"/>
      <c r="J2429" s="334"/>
      <c r="K2429" s="334"/>
      <c r="L2429" s="334"/>
      <c r="M2429" s="334"/>
      <c r="N2429" s="334"/>
      <c r="O2429" s="334"/>
    </row>
    <row r="2430" spans="1:16" ht="12.75" hidden="1" customHeight="1" outlineLevel="1" x14ac:dyDescent="0.2">
      <c r="A2430" s="627" t="s">
        <v>3352</v>
      </c>
      <c r="B2430" s="628" t="s">
        <v>1128</v>
      </c>
      <c r="C2430" s="629" t="s">
        <v>100</v>
      </c>
      <c r="D2430" s="630">
        <v>80.819999999999993</v>
      </c>
      <c r="E2430" s="622"/>
      <c r="F2430" s="334"/>
      <c r="G2430" s="334"/>
      <c r="H2430" s="602"/>
      <c r="I2430" s="334"/>
      <c r="J2430" s="334"/>
      <c r="K2430" s="334"/>
      <c r="L2430" s="334"/>
      <c r="M2430" s="334"/>
      <c r="N2430" s="334"/>
      <c r="O2430" s="334"/>
    </row>
    <row r="2431" spans="1:16" ht="12.75" hidden="1" customHeight="1" outlineLevel="1" x14ac:dyDescent="0.2">
      <c r="A2431" s="623" t="s">
        <v>3353</v>
      </c>
      <c r="B2431" s="624" t="s">
        <v>1130</v>
      </c>
      <c r="C2431" s="625" t="s">
        <v>100</v>
      </c>
      <c r="D2431" s="626">
        <v>80.819999999999993</v>
      </c>
      <c r="E2431" s="622"/>
      <c r="F2431" s="334"/>
      <c r="G2431" s="334"/>
      <c r="H2431" s="602"/>
      <c r="I2431" s="334"/>
      <c r="J2431" s="334"/>
      <c r="K2431" s="334"/>
      <c r="L2431" s="334"/>
      <c r="M2431" s="334"/>
      <c r="N2431" s="334"/>
      <c r="O2431" s="334"/>
    </row>
    <row r="2432" spans="1:16" ht="12.75" hidden="1" customHeight="1" outlineLevel="1" x14ac:dyDescent="0.2">
      <c r="A2432" s="627" t="s">
        <v>3354</v>
      </c>
      <c r="B2432" s="628" t="s">
        <v>1128</v>
      </c>
      <c r="C2432" s="629" t="s">
        <v>100</v>
      </c>
      <c r="D2432" s="630">
        <v>6.16</v>
      </c>
      <c r="E2432" s="622"/>
      <c r="F2432" s="334"/>
      <c r="G2432" s="334"/>
      <c r="H2432" s="602"/>
      <c r="I2432" s="334"/>
      <c r="J2432" s="334"/>
      <c r="K2432" s="334"/>
      <c r="L2432" s="334"/>
      <c r="M2432" s="334"/>
      <c r="N2432" s="334"/>
      <c r="O2432" s="334"/>
    </row>
    <row r="2433" spans="1:15" ht="12.75" hidden="1" customHeight="1" outlineLevel="1" x14ac:dyDescent="0.2">
      <c r="A2433" s="623" t="s">
        <v>3355</v>
      </c>
      <c r="B2433" s="624" t="s">
        <v>1130</v>
      </c>
      <c r="C2433" s="625" t="s">
        <v>100</v>
      </c>
      <c r="D2433" s="626">
        <v>6.16</v>
      </c>
      <c r="E2433" s="622"/>
      <c r="F2433" s="334"/>
      <c r="G2433" s="334"/>
      <c r="H2433" s="602"/>
      <c r="I2433" s="334"/>
      <c r="J2433" s="334"/>
      <c r="K2433" s="334"/>
      <c r="L2433" s="334"/>
      <c r="M2433" s="334"/>
      <c r="N2433" s="334"/>
      <c r="O2433" s="334"/>
    </row>
    <row r="2434" spans="1:15" ht="12.75" hidden="1" customHeight="1" outlineLevel="1" x14ac:dyDescent="0.2">
      <c r="A2434" s="627" t="s">
        <v>3356</v>
      </c>
      <c r="B2434" s="628" t="s">
        <v>1132</v>
      </c>
      <c r="C2434" s="629" t="s">
        <v>100</v>
      </c>
      <c r="D2434" s="630">
        <v>6.16</v>
      </c>
      <c r="E2434" s="622"/>
      <c r="F2434" s="334"/>
      <c r="G2434" s="334"/>
      <c r="H2434" s="602"/>
      <c r="I2434" s="334"/>
      <c r="J2434" s="334"/>
      <c r="K2434" s="334"/>
      <c r="L2434" s="334"/>
      <c r="M2434" s="334"/>
      <c r="N2434" s="334"/>
      <c r="O2434" s="334"/>
    </row>
    <row r="2435" spans="1:15" ht="12.75" hidden="1" customHeight="1" outlineLevel="1" x14ac:dyDescent="0.2">
      <c r="A2435" s="623" t="s">
        <v>3357</v>
      </c>
      <c r="B2435" s="624" t="s">
        <v>1128</v>
      </c>
      <c r="C2435" s="625" t="s">
        <v>100</v>
      </c>
      <c r="D2435" s="626">
        <v>22.27</v>
      </c>
      <c r="E2435" s="622"/>
      <c r="F2435" s="334"/>
      <c r="G2435" s="334"/>
      <c r="H2435" s="602"/>
      <c r="I2435" s="334"/>
      <c r="J2435" s="334"/>
      <c r="K2435" s="334"/>
      <c r="L2435" s="334"/>
      <c r="M2435" s="334"/>
      <c r="N2435" s="334"/>
      <c r="O2435" s="334"/>
    </row>
    <row r="2436" spans="1:15" ht="12.75" hidden="1" customHeight="1" outlineLevel="1" x14ac:dyDescent="0.2">
      <c r="A2436" s="627" t="s">
        <v>3358</v>
      </c>
      <c r="B2436" s="628" t="s">
        <v>1134</v>
      </c>
      <c r="C2436" s="629" t="s">
        <v>100</v>
      </c>
      <c r="D2436" s="630">
        <v>3.75</v>
      </c>
      <c r="E2436" s="622"/>
      <c r="F2436" s="334"/>
      <c r="G2436" s="334"/>
      <c r="H2436" s="602"/>
      <c r="I2436" s="334"/>
      <c r="J2436" s="334"/>
      <c r="K2436" s="334"/>
      <c r="L2436" s="334"/>
      <c r="M2436" s="334"/>
      <c r="N2436" s="334"/>
      <c r="O2436" s="334"/>
    </row>
    <row r="2437" spans="1:15" ht="12.75" hidden="1" customHeight="1" outlineLevel="1" x14ac:dyDescent="0.2">
      <c r="A2437" s="623" t="s">
        <v>3359</v>
      </c>
      <c r="B2437" s="624" t="s">
        <v>1128</v>
      </c>
      <c r="C2437" s="625" t="s">
        <v>100</v>
      </c>
      <c r="D2437" s="626">
        <v>3.75</v>
      </c>
      <c r="E2437" s="622"/>
      <c r="F2437" s="334"/>
      <c r="G2437" s="334"/>
      <c r="H2437" s="602"/>
      <c r="I2437" s="334"/>
      <c r="J2437" s="334"/>
      <c r="K2437" s="334"/>
      <c r="L2437" s="334"/>
      <c r="M2437" s="334"/>
      <c r="N2437" s="334"/>
      <c r="O2437" s="334"/>
    </row>
    <row r="2438" spans="1:15" ht="12.75" hidden="1" customHeight="1" outlineLevel="1" x14ac:dyDescent="0.2">
      <c r="A2438" s="627" t="s">
        <v>3360</v>
      </c>
      <c r="B2438" s="628" t="s">
        <v>1130</v>
      </c>
      <c r="C2438" s="629" t="s">
        <v>100</v>
      </c>
      <c r="D2438" s="630">
        <v>3.75</v>
      </c>
      <c r="E2438" s="622"/>
      <c r="F2438" s="334"/>
      <c r="G2438" s="334"/>
      <c r="H2438" s="602"/>
      <c r="I2438" s="334"/>
      <c r="J2438" s="334"/>
      <c r="K2438" s="334"/>
      <c r="L2438" s="334"/>
      <c r="M2438" s="334"/>
      <c r="N2438" s="334"/>
      <c r="O2438" s="334"/>
    </row>
    <row r="2439" spans="1:15" ht="12.75" hidden="1" customHeight="1" outlineLevel="1" x14ac:dyDescent="0.2">
      <c r="A2439" s="623" t="s">
        <v>3361</v>
      </c>
      <c r="B2439" s="624" t="s">
        <v>1130</v>
      </c>
      <c r="C2439" s="625" t="s">
        <v>100</v>
      </c>
      <c r="D2439" s="626">
        <v>22.27</v>
      </c>
      <c r="E2439" s="622"/>
      <c r="F2439" s="334"/>
      <c r="G2439" s="334"/>
      <c r="H2439" s="602"/>
      <c r="I2439" s="334"/>
      <c r="J2439" s="334"/>
      <c r="K2439" s="334"/>
      <c r="L2439" s="334"/>
      <c r="M2439" s="334"/>
      <c r="N2439" s="334"/>
      <c r="O2439" s="334"/>
    </row>
    <row r="2440" spans="1:15" ht="12.75" hidden="1" customHeight="1" outlineLevel="1" x14ac:dyDescent="0.2">
      <c r="A2440" s="627" t="s">
        <v>3362</v>
      </c>
      <c r="B2440" s="628" t="s">
        <v>1132</v>
      </c>
      <c r="C2440" s="629" t="s">
        <v>100</v>
      </c>
      <c r="D2440" s="630">
        <v>22.27</v>
      </c>
      <c r="E2440" s="622"/>
      <c r="F2440" s="334"/>
      <c r="G2440" s="334"/>
      <c r="H2440" s="602"/>
      <c r="I2440" s="334"/>
      <c r="J2440" s="334"/>
      <c r="K2440" s="334"/>
      <c r="L2440" s="334"/>
      <c r="M2440" s="334"/>
      <c r="N2440" s="334"/>
      <c r="O2440" s="334"/>
    </row>
    <row r="2441" spans="1:15" ht="12.75" hidden="1" customHeight="1" outlineLevel="1" x14ac:dyDescent="0.2">
      <c r="A2441" s="618" t="s">
        <v>3363</v>
      </c>
      <c r="B2441" s="619" t="s">
        <v>1017</v>
      </c>
      <c r="C2441" s="620"/>
      <c r="D2441" s="621"/>
      <c r="E2441" s="622"/>
      <c r="F2441" s="334"/>
      <c r="G2441" s="334"/>
      <c r="H2441" s="602"/>
      <c r="I2441" s="334"/>
      <c r="J2441" s="334"/>
      <c r="K2441" s="334"/>
      <c r="L2441" s="334"/>
      <c r="M2441" s="334"/>
      <c r="N2441" s="334"/>
      <c r="O2441" s="334"/>
    </row>
    <row r="2442" spans="1:15" ht="12.75" hidden="1" customHeight="1" outlineLevel="1" x14ac:dyDescent="0.2">
      <c r="A2442" s="623" t="s">
        <v>3364</v>
      </c>
      <c r="B2442" s="628" t="s">
        <v>1128</v>
      </c>
      <c r="C2442" s="625" t="s">
        <v>100</v>
      </c>
      <c r="D2442" s="626">
        <v>3.02</v>
      </c>
      <c r="E2442" s="622"/>
      <c r="F2442" s="334"/>
      <c r="G2442" s="334"/>
      <c r="H2442" s="602"/>
      <c r="I2442" s="334"/>
      <c r="J2442" s="334"/>
      <c r="K2442" s="334"/>
      <c r="L2442" s="334"/>
      <c r="M2442" s="334"/>
      <c r="N2442" s="334"/>
      <c r="O2442" s="334"/>
    </row>
    <row r="2443" spans="1:15" ht="12.75" hidden="1" customHeight="1" outlineLevel="1" x14ac:dyDescent="0.2">
      <c r="A2443" s="627" t="s">
        <v>3365</v>
      </c>
      <c r="B2443" s="624" t="s">
        <v>1130</v>
      </c>
      <c r="C2443" s="629" t="s">
        <v>100</v>
      </c>
      <c r="D2443" s="630">
        <v>3.02</v>
      </c>
      <c r="E2443" s="622"/>
      <c r="F2443" s="334"/>
      <c r="G2443" s="334"/>
      <c r="H2443" s="602"/>
      <c r="I2443" s="334"/>
      <c r="J2443" s="334"/>
      <c r="K2443" s="334"/>
      <c r="L2443" s="334"/>
      <c r="M2443" s="334"/>
      <c r="N2443" s="334"/>
      <c r="O2443" s="334"/>
    </row>
    <row r="2444" spans="1:15" ht="12.75" hidden="1" customHeight="1" outlineLevel="1" x14ac:dyDescent="0.2">
      <c r="A2444" s="623" t="s">
        <v>3366</v>
      </c>
      <c r="B2444" s="628" t="s">
        <v>1132</v>
      </c>
      <c r="C2444" s="625" t="s">
        <v>100</v>
      </c>
      <c r="D2444" s="626">
        <v>3.02</v>
      </c>
      <c r="E2444" s="622"/>
      <c r="F2444" s="334"/>
      <c r="G2444" s="334"/>
      <c r="H2444" s="602"/>
      <c r="I2444" s="334"/>
      <c r="J2444" s="334"/>
      <c r="K2444" s="334"/>
      <c r="L2444" s="334"/>
      <c r="M2444" s="334"/>
      <c r="N2444" s="334"/>
      <c r="O2444" s="334"/>
    </row>
    <row r="2445" spans="1:15" ht="12.75" hidden="1" customHeight="1" outlineLevel="1" x14ac:dyDescent="0.2">
      <c r="A2445" s="627" t="s">
        <v>3367</v>
      </c>
      <c r="B2445" s="628" t="s">
        <v>1128</v>
      </c>
      <c r="C2445" s="629" t="s">
        <v>100</v>
      </c>
      <c r="D2445" s="630">
        <v>6.86</v>
      </c>
      <c r="E2445" s="622"/>
      <c r="F2445" s="334"/>
      <c r="G2445" s="334"/>
      <c r="H2445" s="602"/>
      <c r="I2445" s="334"/>
      <c r="J2445" s="334"/>
      <c r="K2445" s="334"/>
      <c r="L2445" s="334"/>
      <c r="M2445" s="334"/>
      <c r="N2445" s="334"/>
      <c r="O2445" s="334"/>
    </row>
    <row r="2446" spans="1:15" ht="12.75" hidden="1" customHeight="1" outlineLevel="1" x14ac:dyDescent="0.2">
      <c r="A2446" s="623" t="s">
        <v>3368</v>
      </c>
      <c r="B2446" s="624" t="s">
        <v>1130</v>
      </c>
      <c r="C2446" s="625" t="s">
        <v>100</v>
      </c>
      <c r="D2446" s="626">
        <v>6.86</v>
      </c>
      <c r="E2446" s="622"/>
      <c r="F2446" s="334"/>
      <c r="G2446" s="334"/>
      <c r="H2446" s="602"/>
      <c r="I2446" s="334"/>
      <c r="J2446" s="334"/>
      <c r="K2446" s="334"/>
      <c r="L2446" s="334"/>
      <c r="M2446" s="334"/>
      <c r="N2446" s="334"/>
      <c r="O2446" s="334"/>
    </row>
    <row r="2447" spans="1:15" ht="12.75" hidden="1" customHeight="1" outlineLevel="1" x14ac:dyDescent="0.2">
      <c r="A2447" s="627" t="s">
        <v>3369</v>
      </c>
      <c r="B2447" s="628" t="s">
        <v>1132</v>
      </c>
      <c r="C2447" s="629" t="s">
        <v>100</v>
      </c>
      <c r="D2447" s="630">
        <v>6.86</v>
      </c>
      <c r="E2447" s="622"/>
      <c r="F2447" s="334"/>
      <c r="G2447" s="334"/>
      <c r="H2447" s="602"/>
      <c r="I2447" s="334"/>
      <c r="J2447" s="334"/>
      <c r="K2447" s="334"/>
      <c r="L2447" s="334"/>
      <c r="M2447" s="334"/>
      <c r="N2447" s="334"/>
      <c r="O2447" s="334"/>
    </row>
    <row r="2448" spans="1:15" ht="12.75" hidden="1" customHeight="1" outlineLevel="1" x14ac:dyDescent="0.2">
      <c r="A2448" s="623" t="s">
        <v>3370</v>
      </c>
      <c r="B2448" s="628" t="s">
        <v>1128</v>
      </c>
      <c r="C2448" s="625" t="s">
        <v>100</v>
      </c>
      <c r="D2448" s="626">
        <v>790.36</v>
      </c>
      <c r="E2448" s="622"/>
      <c r="F2448" s="334"/>
      <c r="G2448" s="334"/>
      <c r="H2448" s="602"/>
      <c r="I2448" s="334"/>
      <c r="J2448" s="334"/>
      <c r="K2448" s="334"/>
      <c r="L2448" s="334"/>
      <c r="M2448" s="334"/>
      <c r="N2448" s="334"/>
      <c r="O2448" s="334"/>
    </row>
    <row r="2449" spans="1:15" ht="12.75" hidden="1" customHeight="1" outlineLevel="1" x14ac:dyDescent="0.2">
      <c r="A2449" s="627" t="s">
        <v>3371</v>
      </c>
      <c r="B2449" s="624" t="s">
        <v>1130</v>
      </c>
      <c r="C2449" s="629" t="s">
        <v>100</v>
      </c>
      <c r="D2449" s="630">
        <v>790.36</v>
      </c>
      <c r="E2449" s="622"/>
      <c r="F2449" s="334"/>
      <c r="G2449" s="334"/>
      <c r="H2449" s="602"/>
      <c r="I2449" s="334"/>
      <c r="J2449" s="334"/>
      <c r="K2449" s="334"/>
      <c r="L2449" s="334"/>
      <c r="M2449" s="334"/>
      <c r="N2449" s="334"/>
      <c r="O2449" s="334"/>
    </row>
    <row r="2450" spans="1:15" ht="12.75" hidden="1" customHeight="1" outlineLevel="1" x14ac:dyDescent="0.2">
      <c r="A2450" s="623" t="s">
        <v>3372</v>
      </c>
      <c r="B2450" s="628" t="s">
        <v>1132</v>
      </c>
      <c r="C2450" s="625" t="s">
        <v>100</v>
      </c>
      <c r="D2450" s="626">
        <v>790.36</v>
      </c>
      <c r="E2450" s="622"/>
      <c r="F2450" s="334"/>
      <c r="G2450" s="334"/>
      <c r="H2450" s="602"/>
      <c r="I2450" s="334"/>
      <c r="J2450" s="334"/>
      <c r="K2450" s="334"/>
      <c r="L2450" s="334"/>
      <c r="M2450" s="334"/>
      <c r="N2450" s="334"/>
      <c r="O2450" s="334"/>
    </row>
    <row r="2451" spans="1:15" ht="12.75" hidden="1" customHeight="1" outlineLevel="1" x14ac:dyDescent="0.2">
      <c r="A2451" s="627" t="s">
        <v>3373</v>
      </c>
      <c r="B2451" s="628" t="s">
        <v>1128</v>
      </c>
      <c r="C2451" s="629" t="s">
        <v>100</v>
      </c>
      <c r="D2451" s="630">
        <v>23.5</v>
      </c>
      <c r="E2451" s="622"/>
      <c r="F2451" s="334"/>
      <c r="G2451" s="334"/>
      <c r="H2451" s="602"/>
      <c r="I2451" s="334"/>
      <c r="J2451" s="334"/>
      <c r="K2451" s="334"/>
      <c r="L2451" s="334"/>
      <c r="M2451" s="334"/>
      <c r="N2451" s="334"/>
      <c r="O2451" s="334"/>
    </row>
    <row r="2452" spans="1:15" ht="12.75" hidden="1" customHeight="1" outlineLevel="1" x14ac:dyDescent="0.2">
      <c r="A2452" s="623" t="s">
        <v>3374</v>
      </c>
      <c r="B2452" s="624" t="s">
        <v>1130</v>
      </c>
      <c r="C2452" s="625" t="s">
        <v>100</v>
      </c>
      <c r="D2452" s="626">
        <v>23.5</v>
      </c>
      <c r="E2452" s="622"/>
      <c r="F2452" s="334"/>
      <c r="G2452" s="334"/>
      <c r="H2452" s="602"/>
      <c r="I2452" s="334"/>
      <c r="J2452" s="334"/>
      <c r="K2452" s="334"/>
      <c r="L2452" s="334"/>
      <c r="M2452" s="334"/>
      <c r="N2452" s="334"/>
      <c r="O2452" s="334"/>
    </row>
    <row r="2453" spans="1:15" ht="12.75" hidden="1" customHeight="1" outlineLevel="1" x14ac:dyDescent="0.2">
      <c r="A2453" s="627" t="s">
        <v>3375</v>
      </c>
      <c r="B2453" s="628" t="s">
        <v>1132</v>
      </c>
      <c r="C2453" s="629" t="s">
        <v>100</v>
      </c>
      <c r="D2453" s="630">
        <v>23.5</v>
      </c>
      <c r="E2453" s="622"/>
      <c r="F2453" s="334"/>
      <c r="G2453" s="334"/>
      <c r="H2453" s="602"/>
      <c r="I2453" s="334"/>
      <c r="J2453" s="334"/>
      <c r="K2453" s="334"/>
      <c r="L2453" s="334"/>
      <c r="M2453" s="334"/>
      <c r="N2453" s="334"/>
      <c r="O2453" s="334"/>
    </row>
    <row r="2454" spans="1:15" ht="12.75" hidden="1" customHeight="1" outlineLevel="1" x14ac:dyDescent="0.2">
      <c r="A2454" s="618" t="s">
        <v>3376</v>
      </c>
      <c r="B2454" s="619" t="s">
        <v>1021</v>
      </c>
      <c r="C2454" s="620"/>
      <c r="D2454" s="621"/>
      <c r="E2454" s="622"/>
      <c r="F2454" s="334"/>
      <c r="G2454" s="334"/>
      <c r="H2454" s="602"/>
      <c r="I2454" s="334"/>
      <c r="J2454" s="334"/>
      <c r="K2454" s="334"/>
      <c r="L2454" s="334"/>
      <c r="M2454" s="334"/>
      <c r="N2454" s="334"/>
      <c r="O2454" s="334"/>
    </row>
    <row r="2455" spans="1:15" ht="12.75" hidden="1" customHeight="1" outlineLevel="1" x14ac:dyDescent="0.2">
      <c r="A2455" s="623" t="s">
        <v>3377</v>
      </c>
      <c r="B2455" s="628" t="s">
        <v>1128</v>
      </c>
      <c r="C2455" s="625" t="s">
        <v>100</v>
      </c>
      <c r="D2455" s="626">
        <v>2.89</v>
      </c>
      <c r="E2455" s="622"/>
      <c r="F2455" s="334"/>
      <c r="G2455" s="334"/>
      <c r="H2455" s="602"/>
      <c r="I2455" s="334"/>
      <c r="J2455" s="334"/>
      <c r="K2455" s="334"/>
      <c r="L2455" s="334"/>
      <c r="M2455" s="334"/>
      <c r="N2455" s="334"/>
      <c r="O2455" s="334"/>
    </row>
    <row r="2456" spans="1:15" ht="12.75" hidden="1" customHeight="1" outlineLevel="1" x14ac:dyDescent="0.2">
      <c r="A2456" s="627" t="s">
        <v>3378</v>
      </c>
      <c r="B2456" s="624" t="s">
        <v>1130</v>
      </c>
      <c r="C2456" s="629" t="s">
        <v>100</v>
      </c>
      <c r="D2456" s="630">
        <v>2.89</v>
      </c>
      <c r="E2456" s="622"/>
      <c r="F2456" s="334"/>
      <c r="G2456" s="334"/>
      <c r="H2456" s="602"/>
      <c r="I2456" s="334"/>
      <c r="J2456" s="334"/>
      <c r="K2456" s="334"/>
      <c r="L2456" s="334"/>
      <c r="M2456" s="334"/>
      <c r="N2456" s="334"/>
      <c r="O2456" s="334"/>
    </row>
    <row r="2457" spans="1:15" ht="12.75" hidden="1" customHeight="1" outlineLevel="1" x14ac:dyDescent="0.2">
      <c r="A2457" s="623" t="s">
        <v>3379</v>
      </c>
      <c r="B2457" s="628" t="s">
        <v>1132</v>
      </c>
      <c r="C2457" s="625" t="s">
        <v>100</v>
      </c>
      <c r="D2457" s="626">
        <v>2.89</v>
      </c>
      <c r="E2457" s="622"/>
      <c r="F2457" s="334"/>
      <c r="G2457" s="334"/>
      <c r="H2457" s="602"/>
      <c r="I2457" s="334"/>
      <c r="J2457" s="334"/>
      <c r="K2457" s="334"/>
      <c r="L2457" s="334"/>
      <c r="M2457" s="334"/>
      <c r="N2457" s="334"/>
      <c r="O2457" s="334"/>
    </row>
    <row r="2458" spans="1:15" ht="12.75" hidden="1" customHeight="1" outlineLevel="1" x14ac:dyDescent="0.2">
      <c r="A2458" s="627" t="s">
        <v>3380</v>
      </c>
      <c r="B2458" s="628" t="s">
        <v>1134</v>
      </c>
      <c r="C2458" s="629" t="s">
        <v>100</v>
      </c>
      <c r="D2458" s="630">
        <v>12.48</v>
      </c>
      <c r="E2458" s="622"/>
      <c r="F2458" s="334"/>
      <c r="G2458" s="334"/>
      <c r="H2458" s="602"/>
      <c r="I2458" s="334"/>
      <c r="J2458" s="334"/>
      <c r="K2458" s="334"/>
      <c r="L2458" s="334"/>
      <c r="M2458" s="334"/>
      <c r="N2458" s="334"/>
      <c r="O2458" s="334"/>
    </row>
    <row r="2459" spans="1:15" ht="12.75" hidden="1" customHeight="1" outlineLevel="1" x14ac:dyDescent="0.2">
      <c r="A2459" s="623" t="s">
        <v>3381</v>
      </c>
      <c r="B2459" s="624" t="s">
        <v>1128</v>
      </c>
      <c r="C2459" s="625" t="s">
        <v>100</v>
      </c>
      <c r="D2459" s="626">
        <v>12.48</v>
      </c>
      <c r="E2459" s="622"/>
      <c r="F2459" s="334"/>
      <c r="G2459" s="334"/>
      <c r="H2459" s="602"/>
      <c r="I2459" s="334"/>
      <c r="J2459" s="334"/>
      <c r="K2459" s="334"/>
      <c r="L2459" s="334"/>
      <c r="M2459" s="334"/>
      <c r="N2459" s="334"/>
      <c r="O2459" s="334"/>
    </row>
    <row r="2460" spans="1:15" ht="12.75" hidden="1" customHeight="1" outlineLevel="1" x14ac:dyDescent="0.2">
      <c r="A2460" s="627" t="s">
        <v>3382</v>
      </c>
      <c r="B2460" s="628" t="s">
        <v>1130</v>
      </c>
      <c r="C2460" s="629" t="s">
        <v>100</v>
      </c>
      <c r="D2460" s="630">
        <v>12.48</v>
      </c>
      <c r="E2460" s="622"/>
      <c r="F2460" s="334"/>
      <c r="G2460" s="334"/>
      <c r="H2460" s="602"/>
      <c r="I2460" s="334"/>
      <c r="J2460" s="334"/>
      <c r="K2460" s="334"/>
      <c r="L2460" s="334"/>
      <c r="M2460" s="334"/>
      <c r="N2460" s="334"/>
      <c r="O2460" s="334"/>
    </row>
    <row r="2461" spans="1:15" ht="12.75" hidden="1" customHeight="1" outlineLevel="1" x14ac:dyDescent="0.2">
      <c r="A2461" s="623" t="s">
        <v>3383</v>
      </c>
      <c r="B2461" s="624" t="s">
        <v>1134</v>
      </c>
      <c r="C2461" s="625" t="s">
        <v>100</v>
      </c>
      <c r="D2461" s="626">
        <v>32.619999999999997</v>
      </c>
      <c r="E2461" s="622"/>
      <c r="F2461" s="334"/>
      <c r="G2461" s="334"/>
      <c r="H2461" s="602"/>
      <c r="I2461" s="334"/>
      <c r="J2461" s="334"/>
      <c r="K2461" s="334"/>
      <c r="L2461" s="334"/>
      <c r="M2461" s="334"/>
      <c r="N2461" s="334"/>
      <c r="O2461" s="334"/>
    </row>
    <row r="2462" spans="1:15" ht="12.75" hidden="1" customHeight="1" outlineLevel="1" x14ac:dyDescent="0.2">
      <c r="A2462" s="627" t="s">
        <v>3384</v>
      </c>
      <c r="B2462" s="624" t="s">
        <v>1128</v>
      </c>
      <c r="C2462" s="629" t="s">
        <v>100</v>
      </c>
      <c r="D2462" s="630">
        <v>32.619999999999997</v>
      </c>
      <c r="E2462" s="622"/>
      <c r="F2462" s="334"/>
      <c r="G2462" s="334"/>
      <c r="H2462" s="602"/>
      <c r="I2462" s="334"/>
      <c r="J2462" s="334"/>
      <c r="K2462" s="334"/>
      <c r="L2462" s="334"/>
      <c r="M2462" s="334"/>
      <c r="N2462" s="334"/>
      <c r="O2462" s="334"/>
    </row>
    <row r="2463" spans="1:15" ht="12.75" hidden="1" customHeight="1" outlineLevel="1" x14ac:dyDescent="0.2">
      <c r="A2463" s="623" t="s">
        <v>3385</v>
      </c>
      <c r="B2463" s="628" t="s">
        <v>1130</v>
      </c>
      <c r="C2463" s="625" t="s">
        <v>100</v>
      </c>
      <c r="D2463" s="626">
        <v>32.619999999999997</v>
      </c>
      <c r="E2463" s="622"/>
      <c r="F2463" s="334"/>
      <c r="G2463" s="334"/>
      <c r="H2463" s="602"/>
      <c r="I2463" s="334"/>
      <c r="J2463" s="334"/>
      <c r="K2463" s="334"/>
      <c r="L2463" s="334"/>
      <c r="M2463" s="334"/>
      <c r="N2463" s="334"/>
      <c r="O2463" s="334"/>
    </row>
    <row r="2464" spans="1:15" ht="12.75" hidden="1" customHeight="1" outlineLevel="1" x14ac:dyDescent="0.2">
      <c r="A2464" s="627" t="s">
        <v>3386</v>
      </c>
      <c r="B2464" s="624" t="s">
        <v>1134</v>
      </c>
      <c r="C2464" s="629" t="s">
        <v>100</v>
      </c>
      <c r="D2464" s="630">
        <v>98.62</v>
      </c>
      <c r="E2464" s="622"/>
      <c r="F2464" s="334"/>
      <c r="G2464" s="334"/>
      <c r="H2464" s="602"/>
      <c r="I2464" s="334"/>
      <c r="J2464" s="334"/>
      <c r="K2464" s="334"/>
      <c r="L2464" s="334"/>
      <c r="M2464" s="334"/>
      <c r="N2464" s="334"/>
      <c r="O2464" s="334"/>
    </row>
    <row r="2465" spans="1:15" ht="12.75" hidden="1" customHeight="1" outlineLevel="1" x14ac:dyDescent="0.2">
      <c r="A2465" s="623" t="s">
        <v>3387</v>
      </c>
      <c r="B2465" s="624" t="s">
        <v>1128</v>
      </c>
      <c r="C2465" s="625" t="s">
        <v>100</v>
      </c>
      <c r="D2465" s="626">
        <v>98.62</v>
      </c>
      <c r="E2465" s="622"/>
      <c r="F2465" s="334"/>
      <c r="G2465" s="334"/>
      <c r="H2465" s="602"/>
      <c r="I2465" s="334"/>
      <c r="J2465" s="334"/>
      <c r="K2465" s="334"/>
      <c r="L2465" s="334"/>
      <c r="M2465" s="334"/>
      <c r="N2465" s="334"/>
      <c r="O2465" s="334"/>
    </row>
    <row r="2466" spans="1:15" ht="12.75" hidden="1" customHeight="1" outlineLevel="1" x14ac:dyDescent="0.2">
      <c r="A2466" s="627" t="s">
        <v>3388</v>
      </c>
      <c r="B2466" s="628" t="s">
        <v>1130</v>
      </c>
      <c r="C2466" s="629" t="s">
        <v>100</v>
      </c>
      <c r="D2466" s="630">
        <v>98.62</v>
      </c>
      <c r="E2466" s="622"/>
      <c r="F2466" s="334"/>
      <c r="G2466" s="334"/>
      <c r="H2466" s="602"/>
      <c r="I2466" s="334"/>
      <c r="J2466" s="334"/>
      <c r="K2466" s="334"/>
      <c r="L2466" s="334"/>
      <c r="M2466" s="334"/>
      <c r="N2466" s="334"/>
      <c r="O2466" s="334"/>
    </row>
    <row r="2467" spans="1:15" ht="12.75" hidden="1" customHeight="1" outlineLevel="1" x14ac:dyDescent="0.2">
      <c r="A2467" s="623" t="s">
        <v>3389</v>
      </c>
      <c r="B2467" s="624" t="s">
        <v>1134</v>
      </c>
      <c r="C2467" s="625" t="s">
        <v>100</v>
      </c>
      <c r="D2467" s="626">
        <v>147.09</v>
      </c>
      <c r="E2467" s="622"/>
      <c r="F2467" s="334"/>
      <c r="G2467" s="334"/>
      <c r="H2467" s="602"/>
      <c r="I2467" s="334"/>
      <c r="J2467" s="334"/>
      <c r="K2467" s="334"/>
      <c r="L2467" s="334"/>
      <c r="M2467" s="334"/>
      <c r="N2467" s="334"/>
      <c r="O2467" s="334"/>
    </row>
    <row r="2468" spans="1:15" ht="12.75" hidden="1" customHeight="1" outlineLevel="1" x14ac:dyDescent="0.2">
      <c r="A2468" s="627" t="s">
        <v>3390</v>
      </c>
      <c r="B2468" s="624" t="s">
        <v>1128</v>
      </c>
      <c r="C2468" s="629" t="s">
        <v>100</v>
      </c>
      <c r="D2468" s="630">
        <v>147.09</v>
      </c>
      <c r="E2468" s="622"/>
      <c r="F2468" s="334"/>
      <c r="G2468" s="334"/>
      <c r="H2468" s="602"/>
      <c r="I2468" s="334"/>
      <c r="J2468" s="334"/>
      <c r="K2468" s="334"/>
      <c r="L2468" s="334"/>
      <c r="M2468" s="334"/>
      <c r="N2468" s="334"/>
      <c r="O2468" s="334"/>
    </row>
    <row r="2469" spans="1:15" ht="12.75" hidden="1" customHeight="1" outlineLevel="1" x14ac:dyDescent="0.2">
      <c r="A2469" s="623" t="s">
        <v>3391</v>
      </c>
      <c r="B2469" s="628" t="s">
        <v>1130</v>
      </c>
      <c r="C2469" s="625" t="s">
        <v>100</v>
      </c>
      <c r="D2469" s="626">
        <v>147.09</v>
      </c>
      <c r="E2469" s="622"/>
      <c r="F2469" s="334"/>
      <c r="G2469" s="334"/>
      <c r="H2469" s="602"/>
      <c r="I2469" s="334"/>
      <c r="J2469" s="334"/>
      <c r="K2469" s="334"/>
      <c r="L2469" s="334"/>
      <c r="M2469" s="334"/>
      <c r="N2469" s="334"/>
      <c r="O2469" s="334"/>
    </row>
    <row r="2470" spans="1:15" ht="12.75" hidden="1" customHeight="1" outlineLevel="1" x14ac:dyDescent="0.2">
      <c r="A2470" s="627" t="s">
        <v>3392</v>
      </c>
      <c r="B2470" s="624" t="s">
        <v>1134</v>
      </c>
      <c r="C2470" s="629" t="s">
        <v>100</v>
      </c>
      <c r="D2470" s="630">
        <v>38.450000000000003</v>
      </c>
      <c r="E2470" s="622"/>
      <c r="F2470" s="334"/>
      <c r="G2470" s="334"/>
      <c r="H2470" s="602"/>
      <c r="I2470" s="334"/>
      <c r="J2470" s="334"/>
      <c r="K2470" s="334"/>
      <c r="L2470" s="334"/>
      <c r="M2470" s="334"/>
      <c r="N2470" s="334"/>
      <c r="O2470" s="334"/>
    </row>
    <row r="2471" spans="1:15" ht="12.75" hidden="1" customHeight="1" outlineLevel="1" x14ac:dyDescent="0.2">
      <c r="A2471" s="623" t="s">
        <v>3393</v>
      </c>
      <c r="B2471" s="624" t="s">
        <v>1128</v>
      </c>
      <c r="C2471" s="625" t="s">
        <v>100</v>
      </c>
      <c r="D2471" s="626">
        <v>38.450000000000003</v>
      </c>
      <c r="E2471" s="622"/>
      <c r="F2471" s="334"/>
      <c r="G2471" s="334"/>
      <c r="H2471" s="602"/>
      <c r="I2471" s="334"/>
      <c r="J2471" s="334"/>
      <c r="K2471" s="334"/>
      <c r="L2471" s="334"/>
      <c r="M2471" s="334"/>
      <c r="N2471" s="334"/>
      <c r="O2471" s="334"/>
    </row>
    <row r="2472" spans="1:15" ht="12.75" hidden="1" customHeight="1" outlineLevel="1" x14ac:dyDescent="0.2">
      <c r="A2472" s="627" t="s">
        <v>3394</v>
      </c>
      <c r="B2472" s="628" t="s">
        <v>1130</v>
      </c>
      <c r="C2472" s="629" t="s">
        <v>100</v>
      </c>
      <c r="D2472" s="630">
        <v>38.450000000000003</v>
      </c>
      <c r="E2472" s="622"/>
      <c r="F2472" s="334"/>
      <c r="G2472" s="334"/>
      <c r="H2472" s="602"/>
      <c r="I2472" s="334"/>
      <c r="J2472" s="334"/>
      <c r="K2472" s="334"/>
      <c r="L2472" s="334"/>
      <c r="M2472" s="334"/>
      <c r="N2472" s="334"/>
      <c r="O2472" s="334"/>
    </row>
    <row r="2473" spans="1:15" ht="12.75" hidden="1" customHeight="1" outlineLevel="1" x14ac:dyDescent="0.2">
      <c r="A2473" s="623" t="s">
        <v>3395</v>
      </c>
      <c r="B2473" s="624" t="s">
        <v>1134</v>
      </c>
      <c r="C2473" s="625" t="s">
        <v>100</v>
      </c>
      <c r="D2473" s="626">
        <v>46.89</v>
      </c>
      <c r="E2473" s="622"/>
      <c r="F2473" s="334"/>
      <c r="G2473" s="334"/>
      <c r="H2473" s="602"/>
      <c r="I2473" s="334"/>
      <c r="J2473" s="334"/>
      <c r="K2473" s="334"/>
      <c r="L2473" s="334"/>
      <c r="M2473" s="334"/>
      <c r="N2473" s="334"/>
      <c r="O2473" s="334"/>
    </row>
    <row r="2474" spans="1:15" ht="12.75" hidden="1" customHeight="1" outlineLevel="1" x14ac:dyDescent="0.2">
      <c r="A2474" s="627" t="s">
        <v>3396</v>
      </c>
      <c r="B2474" s="628" t="s">
        <v>1128</v>
      </c>
      <c r="C2474" s="629" t="s">
        <v>100</v>
      </c>
      <c r="D2474" s="630">
        <v>46.89</v>
      </c>
      <c r="E2474" s="622"/>
      <c r="F2474" s="334"/>
      <c r="G2474" s="334"/>
      <c r="H2474" s="602"/>
      <c r="I2474" s="334"/>
      <c r="J2474" s="334"/>
      <c r="K2474" s="334"/>
      <c r="L2474" s="334"/>
      <c r="M2474" s="334"/>
      <c r="N2474" s="334"/>
      <c r="O2474" s="334"/>
    </row>
    <row r="2475" spans="1:15" ht="12.75" hidden="1" customHeight="1" outlineLevel="1" x14ac:dyDescent="0.2">
      <c r="A2475" s="623" t="s">
        <v>3397</v>
      </c>
      <c r="B2475" s="624" t="s">
        <v>1130</v>
      </c>
      <c r="C2475" s="625" t="s">
        <v>100</v>
      </c>
      <c r="D2475" s="626">
        <v>46.89</v>
      </c>
      <c r="E2475" s="622"/>
      <c r="F2475" s="334"/>
      <c r="G2475" s="334"/>
      <c r="H2475" s="602"/>
      <c r="I2475" s="334"/>
      <c r="J2475" s="334"/>
      <c r="K2475" s="334"/>
      <c r="L2475" s="334"/>
      <c r="M2475" s="334"/>
      <c r="N2475" s="334"/>
      <c r="O2475" s="334"/>
    </row>
    <row r="2476" spans="1:15" ht="12.75" hidden="1" customHeight="1" outlineLevel="1" x14ac:dyDescent="0.2">
      <c r="A2476" s="627" t="s">
        <v>3398</v>
      </c>
      <c r="B2476" s="628" t="s">
        <v>1128</v>
      </c>
      <c r="C2476" s="629" t="s">
        <v>100</v>
      </c>
      <c r="D2476" s="630">
        <v>6.63</v>
      </c>
      <c r="E2476" s="622"/>
      <c r="F2476" s="334"/>
      <c r="G2476" s="334"/>
      <c r="H2476" s="602"/>
      <c r="I2476" s="334"/>
      <c r="J2476" s="334"/>
      <c r="K2476" s="334"/>
      <c r="L2476" s="334"/>
      <c r="M2476" s="334"/>
      <c r="N2476" s="334"/>
      <c r="O2476" s="334"/>
    </row>
    <row r="2477" spans="1:15" ht="12.75" hidden="1" customHeight="1" outlineLevel="1" x14ac:dyDescent="0.2">
      <c r="A2477" s="623" t="s">
        <v>3399</v>
      </c>
      <c r="B2477" s="624" t="s">
        <v>1130</v>
      </c>
      <c r="C2477" s="625" t="s">
        <v>100</v>
      </c>
      <c r="D2477" s="626">
        <v>6.63</v>
      </c>
      <c r="E2477" s="622"/>
      <c r="F2477" s="334"/>
      <c r="G2477" s="334"/>
      <c r="H2477" s="602"/>
      <c r="I2477" s="334"/>
      <c r="J2477" s="334"/>
      <c r="K2477" s="334"/>
      <c r="L2477" s="334"/>
      <c r="M2477" s="334"/>
      <c r="N2477" s="334"/>
      <c r="O2477" s="334"/>
    </row>
    <row r="2478" spans="1:15" ht="12.75" hidden="1" customHeight="1" outlineLevel="1" x14ac:dyDescent="0.2">
      <c r="A2478" s="627" t="s">
        <v>3400</v>
      </c>
      <c r="B2478" s="628" t="s">
        <v>1132</v>
      </c>
      <c r="C2478" s="629" t="s">
        <v>100</v>
      </c>
      <c r="D2478" s="630">
        <v>6.63</v>
      </c>
      <c r="E2478" s="622"/>
      <c r="F2478" s="334"/>
      <c r="G2478" s="334"/>
      <c r="H2478" s="602"/>
      <c r="I2478" s="334"/>
      <c r="J2478" s="334"/>
      <c r="K2478" s="334"/>
      <c r="L2478" s="334"/>
      <c r="M2478" s="334"/>
      <c r="N2478" s="334"/>
      <c r="O2478" s="334"/>
    </row>
    <row r="2479" spans="1:15" ht="12.75" hidden="1" customHeight="1" outlineLevel="1" x14ac:dyDescent="0.2">
      <c r="A2479" s="623" t="s">
        <v>3401</v>
      </c>
      <c r="B2479" s="624" t="s">
        <v>1128</v>
      </c>
      <c r="C2479" s="625" t="s">
        <v>100</v>
      </c>
      <c r="D2479" s="626">
        <v>2.29</v>
      </c>
      <c r="E2479" s="622"/>
      <c r="F2479" s="334"/>
      <c r="G2479" s="334"/>
      <c r="H2479" s="602"/>
      <c r="I2479" s="334"/>
      <c r="J2479" s="334"/>
      <c r="K2479" s="334"/>
      <c r="L2479" s="334"/>
      <c r="M2479" s="334"/>
      <c r="N2479" s="334"/>
      <c r="O2479" s="334"/>
    </row>
    <row r="2480" spans="1:15" ht="12.75" hidden="1" customHeight="1" outlineLevel="1" x14ac:dyDescent="0.2">
      <c r="A2480" s="627" t="s">
        <v>3402</v>
      </c>
      <c r="B2480" s="628" t="s">
        <v>1130</v>
      </c>
      <c r="C2480" s="629" t="s">
        <v>100</v>
      </c>
      <c r="D2480" s="630">
        <v>2.29</v>
      </c>
      <c r="E2480" s="622"/>
      <c r="F2480" s="334"/>
      <c r="G2480" s="334"/>
      <c r="H2480" s="602"/>
      <c r="I2480" s="334"/>
      <c r="J2480" s="334"/>
      <c r="K2480" s="334"/>
      <c r="L2480" s="334"/>
      <c r="M2480" s="334"/>
      <c r="N2480" s="334"/>
      <c r="O2480" s="334"/>
    </row>
    <row r="2481" spans="1:15" ht="12.75" hidden="1" customHeight="1" outlineLevel="1" x14ac:dyDescent="0.2">
      <c r="A2481" s="623" t="s">
        <v>3403</v>
      </c>
      <c r="B2481" s="624" t="s">
        <v>1128</v>
      </c>
      <c r="C2481" s="625" t="s">
        <v>100</v>
      </c>
      <c r="D2481" s="626">
        <v>22.56</v>
      </c>
      <c r="E2481" s="622"/>
      <c r="F2481" s="334"/>
      <c r="G2481" s="334"/>
      <c r="H2481" s="602"/>
      <c r="I2481" s="334"/>
      <c r="J2481" s="334"/>
      <c r="K2481" s="334"/>
      <c r="L2481" s="334"/>
      <c r="M2481" s="334"/>
      <c r="N2481" s="334"/>
      <c r="O2481" s="334"/>
    </row>
    <row r="2482" spans="1:15" ht="12.75" hidden="1" customHeight="1" outlineLevel="1" x14ac:dyDescent="0.2">
      <c r="A2482" s="627" t="s">
        <v>3404</v>
      </c>
      <c r="B2482" s="628" t="s">
        <v>1130</v>
      </c>
      <c r="C2482" s="629" t="s">
        <v>100</v>
      </c>
      <c r="D2482" s="630">
        <v>22.56</v>
      </c>
      <c r="E2482" s="622"/>
      <c r="F2482" s="334"/>
      <c r="G2482" s="334"/>
      <c r="H2482" s="602"/>
      <c r="I2482" s="334"/>
      <c r="J2482" s="334"/>
      <c r="K2482" s="334"/>
      <c r="L2482" s="334"/>
      <c r="M2482" s="334"/>
      <c r="N2482" s="334"/>
      <c r="O2482" s="334"/>
    </row>
    <row r="2483" spans="1:15" ht="12.75" hidden="1" customHeight="1" outlineLevel="1" x14ac:dyDescent="0.2">
      <c r="A2483" s="623" t="s">
        <v>3405</v>
      </c>
      <c r="B2483" s="624" t="s">
        <v>1134</v>
      </c>
      <c r="C2483" s="625" t="s">
        <v>100</v>
      </c>
      <c r="D2483" s="626">
        <v>10.75</v>
      </c>
      <c r="E2483" s="622"/>
      <c r="F2483" s="334"/>
      <c r="G2483" s="334"/>
      <c r="H2483" s="602"/>
      <c r="I2483" s="334"/>
      <c r="J2483" s="334"/>
      <c r="K2483" s="334"/>
      <c r="L2483" s="334"/>
      <c r="M2483" s="334"/>
      <c r="N2483" s="334"/>
      <c r="O2483" s="334"/>
    </row>
    <row r="2484" spans="1:15" ht="12.75" hidden="1" customHeight="1" outlineLevel="1" x14ac:dyDescent="0.2">
      <c r="A2484" s="627" t="s">
        <v>3406</v>
      </c>
      <c r="B2484" s="628" t="s">
        <v>1128</v>
      </c>
      <c r="C2484" s="629" t="s">
        <v>100</v>
      </c>
      <c r="D2484" s="630">
        <v>10.75</v>
      </c>
      <c r="E2484" s="622"/>
      <c r="F2484" s="334"/>
      <c r="G2484" s="334"/>
      <c r="H2484" s="602"/>
      <c r="I2484" s="334"/>
      <c r="J2484" s="334"/>
      <c r="K2484" s="334"/>
      <c r="L2484" s="334"/>
      <c r="M2484" s="334"/>
      <c r="N2484" s="334"/>
      <c r="O2484" s="334"/>
    </row>
    <row r="2485" spans="1:15" ht="12.75" hidden="1" customHeight="1" outlineLevel="1" x14ac:dyDescent="0.2">
      <c r="A2485" s="623" t="s">
        <v>3407</v>
      </c>
      <c r="B2485" s="624" t="s">
        <v>1130</v>
      </c>
      <c r="C2485" s="625" t="s">
        <v>100</v>
      </c>
      <c r="D2485" s="626">
        <v>10.75</v>
      </c>
      <c r="E2485" s="622"/>
      <c r="F2485" s="334"/>
      <c r="G2485" s="334"/>
      <c r="H2485" s="602"/>
      <c r="I2485" s="334"/>
      <c r="J2485" s="334"/>
      <c r="K2485" s="334"/>
      <c r="L2485" s="334"/>
      <c r="M2485" s="334"/>
      <c r="N2485" s="334"/>
      <c r="O2485" s="334"/>
    </row>
    <row r="2486" spans="1:15" ht="12.75" hidden="1" customHeight="1" outlineLevel="1" x14ac:dyDescent="0.2">
      <c r="A2486" s="627" t="s">
        <v>3408</v>
      </c>
      <c r="B2486" s="628" t="s">
        <v>1132</v>
      </c>
      <c r="C2486" s="629" t="s">
        <v>100</v>
      </c>
      <c r="D2486" s="630">
        <v>22.56</v>
      </c>
      <c r="E2486" s="622"/>
      <c r="F2486" s="334"/>
      <c r="G2486" s="334"/>
      <c r="H2486" s="602"/>
      <c r="I2486" s="334"/>
      <c r="J2486" s="334"/>
      <c r="K2486" s="334"/>
      <c r="L2486" s="334"/>
      <c r="M2486" s="334"/>
      <c r="N2486" s="334"/>
      <c r="O2486" s="334"/>
    </row>
    <row r="2487" spans="1:15" ht="12.75" hidden="1" customHeight="1" outlineLevel="1" x14ac:dyDescent="0.2">
      <c r="A2487" s="618" t="s">
        <v>3409</v>
      </c>
      <c r="B2487" s="619" t="s">
        <v>1030</v>
      </c>
      <c r="C2487" s="620"/>
      <c r="D2487" s="621"/>
      <c r="E2487" s="622"/>
      <c r="F2487" s="334"/>
      <c r="G2487" s="334"/>
      <c r="H2487" s="602"/>
      <c r="I2487" s="334"/>
      <c r="J2487" s="334"/>
      <c r="K2487" s="334"/>
      <c r="L2487" s="334"/>
      <c r="M2487" s="334"/>
      <c r="N2487" s="334"/>
      <c r="O2487" s="334"/>
    </row>
    <row r="2488" spans="1:15" ht="12.75" hidden="1" customHeight="1" outlineLevel="1" x14ac:dyDescent="0.2">
      <c r="A2488" s="623" t="s">
        <v>3410</v>
      </c>
      <c r="B2488" s="624" t="s">
        <v>1128</v>
      </c>
      <c r="C2488" s="625" t="s">
        <v>100</v>
      </c>
      <c r="D2488" s="626">
        <v>2.9</v>
      </c>
      <c r="E2488" s="622"/>
      <c r="F2488" s="334"/>
      <c r="G2488" s="334"/>
      <c r="H2488" s="602"/>
      <c r="I2488" s="334"/>
      <c r="J2488" s="334"/>
      <c r="K2488" s="334"/>
      <c r="L2488" s="334"/>
      <c r="M2488" s="334"/>
      <c r="N2488" s="334"/>
      <c r="O2488" s="334"/>
    </row>
    <row r="2489" spans="1:15" ht="12.75" hidden="1" customHeight="1" outlineLevel="1" x14ac:dyDescent="0.2">
      <c r="A2489" s="627" t="s">
        <v>3411</v>
      </c>
      <c r="B2489" s="628" t="s">
        <v>1130</v>
      </c>
      <c r="C2489" s="629" t="s">
        <v>100</v>
      </c>
      <c r="D2489" s="630">
        <v>2.9</v>
      </c>
      <c r="E2489" s="622"/>
      <c r="F2489" s="334"/>
      <c r="G2489" s="334"/>
      <c r="H2489" s="602"/>
      <c r="I2489" s="334"/>
      <c r="J2489" s="334"/>
      <c r="K2489" s="334"/>
      <c r="L2489" s="334"/>
      <c r="M2489" s="334"/>
      <c r="N2489" s="334"/>
      <c r="O2489" s="334"/>
    </row>
    <row r="2490" spans="1:15" ht="12.75" hidden="1" customHeight="1" outlineLevel="1" x14ac:dyDescent="0.2">
      <c r="A2490" s="623" t="s">
        <v>3412</v>
      </c>
      <c r="B2490" s="624" t="s">
        <v>1132</v>
      </c>
      <c r="C2490" s="625" t="s">
        <v>100</v>
      </c>
      <c r="D2490" s="626">
        <v>2.9</v>
      </c>
      <c r="E2490" s="1005">
        <f>SUM(D2491:D2511)</f>
        <v>1146.6900000000003</v>
      </c>
      <c r="F2490" s="334"/>
      <c r="G2490" s="334"/>
      <c r="H2490" s="602"/>
      <c r="I2490" s="334"/>
      <c r="J2490" s="334"/>
      <c r="K2490" s="334"/>
      <c r="L2490" s="334"/>
      <c r="M2490" s="334"/>
      <c r="N2490" s="334"/>
      <c r="O2490" s="334"/>
    </row>
    <row r="2491" spans="1:15" ht="12.75" hidden="1" customHeight="1" outlineLevel="1" x14ac:dyDescent="0.2">
      <c r="A2491" s="627" t="s">
        <v>3413</v>
      </c>
      <c r="B2491" s="628" t="s">
        <v>3414</v>
      </c>
      <c r="C2491" s="629" t="s">
        <v>100</v>
      </c>
      <c r="D2491" s="630">
        <v>29.89</v>
      </c>
      <c r="E2491" s="1005">
        <f>SUM(D2516:D2526)</f>
        <v>71.470000000000013</v>
      </c>
      <c r="F2491" s="334"/>
      <c r="G2491" s="334"/>
      <c r="H2491" s="602"/>
      <c r="I2491" s="334"/>
      <c r="J2491" s="334"/>
      <c r="K2491" s="334"/>
      <c r="L2491" s="334"/>
      <c r="M2491" s="334"/>
      <c r="N2491" s="334"/>
      <c r="O2491" s="334"/>
    </row>
    <row r="2492" spans="1:15" ht="12.75" hidden="1" customHeight="1" outlineLevel="1" x14ac:dyDescent="0.2">
      <c r="A2492" s="623" t="s">
        <v>3415</v>
      </c>
      <c r="B2492" s="624" t="s">
        <v>3416</v>
      </c>
      <c r="C2492" s="625" t="s">
        <v>100</v>
      </c>
      <c r="D2492" s="626">
        <v>29.89</v>
      </c>
      <c r="E2492" s="622"/>
      <c r="F2492" s="334"/>
      <c r="G2492" s="334"/>
      <c r="H2492" s="602"/>
      <c r="I2492" s="334"/>
      <c r="J2492" s="334"/>
      <c r="K2492" s="334"/>
      <c r="L2492" s="334"/>
      <c r="M2492" s="334"/>
      <c r="N2492" s="334"/>
      <c r="O2492" s="334"/>
    </row>
    <row r="2493" spans="1:15" ht="12.75" hidden="1" customHeight="1" outlineLevel="1" x14ac:dyDescent="0.2">
      <c r="A2493" s="627" t="s">
        <v>3417</v>
      </c>
      <c r="B2493" s="628" t="s">
        <v>3418</v>
      </c>
      <c r="C2493" s="629" t="s">
        <v>100</v>
      </c>
      <c r="D2493" s="630">
        <v>29.89</v>
      </c>
      <c r="E2493" s="622"/>
      <c r="F2493" s="334"/>
      <c r="G2493" s="334"/>
      <c r="H2493" s="602"/>
      <c r="I2493" s="334"/>
      <c r="J2493" s="334"/>
      <c r="K2493" s="334"/>
      <c r="L2493" s="334"/>
      <c r="M2493" s="334"/>
      <c r="N2493" s="334"/>
      <c r="O2493" s="334"/>
    </row>
    <row r="2494" spans="1:15" ht="12.75" hidden="1" customHeight="1" outlineLevel="1" x14ac:dyDescent="0.2">
      <c r="A2494" s="623" t="s">
        <v>3419</v>
      </c>
      <c r="B2494" s="624" t="s">
        <v>3420</v>
      </c>
      <c r="C2494" s="625" t="s">
        <v>100</v>
      </c>
      <c r="D2494" s="626">
        <v>4.1100000000000003</v>
      </c>
      <c r="E2494" s="622"/>
      <c r="F2494" s="334"/>
      <c r="G2494" s="334"/>
      <c r="H2494" s="602"/>
      <c r="I2494" s="334"/>
      <c r="J2494" s="334"/>
      <c r="K2494" s="334"/>
      <c r="L2494" s="334"/>
      <c r="M2494" s="334"/>
      <c r="N2494" s="334"/>
      <c r="O2494" s="334"/>
    </row>
    <row r="2495" spans="1:15" ht="12.75" hidden="1" customHeight="1" outlineLevel="1" x14ac:dyDescent="0.2">
      <c r="A2495" s="627" t="s">
        <v>3421</v>
      </c>
      <c r="B2495" s="628" t="s">
        <v>3422</v>
      </c>
      <c r="C2495" s="629" t="s">
        <v>100</v>
      </c>
      <c r="D2495" s="630">
        <v>4.1100000000000003</v>
      </c>
      <c r="E2495" s="622"/>
      <c r="F2495" s="334"/>
      <c r="G2495" s="334"/>
      <c r="H2495" s="602"/>
      <c r="I2495" s="334"/>
      <c r="J2495" s="334"/>
      <c r="K2495" s="334"/>
      <c r="L2495" s="334"/>
      <c r="M2495" s="334"/>
      <c r="N2495" s="334"/>
      <c r="O2495" s="334"/>
    </row>
    <row r="2496" spans="1:15" ht="12.75" hidden="1" customHeight="1" outlineLevel="1" x14ac:dyDescent="0.2">
      <c r="A2496" s="623" t="s">
        <v>3423</v>
      </c>
      <c r="B2496" s="624" t="s">
        <v>3424</v>
      </c>
      <c r="C2496" s="625" t="s">
        <v>100</v>
      </c>
      <c r="D2496" s="626">
        <v>4.1100000000000003</v>
      </c>
      <c r="E2496" s="622"/>
      <c r="F2496" s="334"/>
      <c r="G2496" s="334"/>
      <c r="H2496" s="602"/>
      <c r="I2496" s="334"/>
      <c r="J2496" s="334"/>
      <c r="K2496" s="334"/>
      <c r="L2496" s="334"/>
      <c r="M2496" s="334"/>
      <c r="N2496" s="334"/>
      <c r="O2496" s="334"/>
    </row>
    <row r="2497" spans="1:15" ht="12.75" hidden="1" customHeight="1" outlineLevel="1" x14ac:dyDescent="0.2">
      <c r="A2497" s="627" t="s">
        <v>3425</v>
      </c>
      <c r="B2497" s="628" t="s">
        <v>3426</v>
      </c>
      <c r="C2497" s="629" t="s">
        <v>100</v>
      </c>
      <c r="D2497" s="630">
        <v>49.08</v>
      </c>
      <c r="E2497" s="622"/>
      <c r="F2497" s="334"/>
      <c r="G2497" s="334"/>
      <c r="H2497" s="602"/>
      <c r="I2497" s="334"/>
      <c r="J2497" s="334"/>
      <c r="K2497" s="334"/>
      <c r="L2497" s="334"/>
      <c r="M2497" s="334"/>
      <c r="N2497" s="334"/>
      <c r="O2497" s="334"/>
    </row>
    <row r="2498" spans="1:15" ht="12.75" hidden="1" customHeight="1" outlineLevel="1" x14ac:dyDescent="0.2">
      <c r="A2498" s="623" t="s">
        <v>3427</v>
      </c>
      <c r="B2498" s="624" t="s">
        <v>3428</v>
      </c>
      <c r="C2498" s="625" t="s">
        <v>100</v>
      </c>
      <c r="D2498" s="626">
        <v>49.08</v>
      </c>
      <c r="E2498" s="622"/>
      <c r="F2498" s="334"/>
      <c r="G2498" s="334"/>
      <c r="H2498" s="602"/>
      <c r="I2498" s="334"/>
      <c r="J2498" s="334"/>
      <c r="K2498" s="334"/>
      <c r="L2498" s="334"/>
      <c r="M2498" s="334"/>
      <c r="N2498" s="334"/>
      <c r="O2498" s="334"/>
    </row>
    <row r="2499" spans="1:15" ht="12.75" hidden="1" customHeight="1" outlineLevel="1" x14ac:dyDescent="0.2">
      <c r="A2499" s="627" t="s">
        <v>3429</v>
      </c>
      <c r="B2499" s="628" t="s">
        <v>3430</v>
      </c>
      <c r="C2499" s="629" t="s">
        <v>100</v>
      </c>
      <c r="D2499" s="630">
        <v>49.08</v>
      </c>
      <c r="E2499" s="622"/>
      <c r="F2499" s="334"/>
      <c r="G2499" s="334"/>
      <c r="H2499" s="602"/>
      <c r="I2499" s="334"/>
      <c r="J2499" s="334"/>
      <c r="K2499" s="334"/>
      <c r="L2499" s="334"/>
      <c r="M2499" s="334"/>
      <c r="N2499" s="334"/>
      <c r="O2499" s="334"/>
    </row>
    <row r="2500" spans="1:15" ht="12.75" hidden="1" customHeight="1" outlineLevel="1" x14ac:dyDescent="0.2">
      <c r="A2500" s="623" t="s">
        <v>3431</v>
      </c>
      <c r="B2500" s="624" t="s">
        <v>3432</v>
      </c>
      <c r="C2500" s="625" t="s">
        <v>100</v>
      </c>
      <c r="D2500" s="626">
        <v>232.05</v>
      </c>
      <c r="E2500" s="622"/>
      <c r="F2500" s="334"/>
      <c r="G2500" s="334"/>
      <c r="H2500" s="602"/>
      <c r="I2500" s="334"/>
      <c r="J2500" s="334"/>
      <c r="K2500" s="334"/>
      <c r="L2500" s="334"/>
      <c r="M2500" s="334"/>
      <c r="N2500" s="334"/>
      <c r="O2500" s="334"/>
    </row>
    <row r="2501" spans="1:15" ht="12.75" hidden="1" customHeight="1" outlineLevel="1" x14ac:dyDescent="0.2">
      <c r="A2501" s="627" t="s">
        <v>3433</v>
      </c>
      <c r="B2501" s="628" t="s">
        <v>3434</v>
      </c>
      <c r="C2501" s="629" t="s">
        <v>100</v>
      </c>
      <c r="D2501" s="630">
        <v>232.05</v>
      </c>
      <c r="E2501" s="622"/>
      <c r="F2501" s="334"/>
      <c r="G2501" s="334"/>
      <c r="H2501" s="602"/>
      <c r="I2501" s="334"/>
      <c r="J2501" s="334"/>
      <c r="K2501" s="334"/>
      <c r="L2501" s="334"/>
      <c r="M2501" s="334"/>
      <c r="N2501" s="334"/>
      <c r="O2501" s="334"/>
    </row>
    <row r="2502" spans="1:15" ht="12.75" hidden="1" customHeight="1" outlineLevel="1" x14ac:dyDescent="0.2">
      <c r="A2502" s="623" t="s">
        <v>3435</v>
      </c>
      <c r="B2502" s="624" t="s">
        <v>3436</v>
      </c>
      <c r="C2502" s="625" t="s">
        <v>100</v>
      </c>
      <c r="D2502" s="626">
        <v>232.05</v>
      </c>
      <c r="E2502" s="622"/>
      <c r="F2502" s="334"/>
      <c r="G2502" s="334"/>
      <c r="H2502" s="602"/>
      <c r="I2502" s="334"/>
      <c r="J2502" s="334"/>
      <c r="K2502" s="334"/>
      <c r="L2502" s="334"/>
      <c r="M2502" s="334"/>
      <c r="N2502" s="334"/>
      <c r="O2502" s="334"/>
    </row>
    <row r="2503" spans="1:15" ht="12.75" hidden="1" customHeight="1" outlineLevel="1" x14ac:dyDescent="0.2">
      <c r="A2503" s="627" t="s">
        <v>3437</v>
      </c>
      <c r="B2503" s="628" t="s">
        <v>3438</v>
      </c>
      <c r="C2503" s="629" t="s">
        <v>100</v>
      </c>
      <c r="D2503" s="630">
        <v>42.22</v>
      </c>
      <c r="E2503" s="622"/>
      <c r="F2503" s="334"/>
      <c r="G2503" s="334"/>
      <c r="H2503" s="602"/>
      <c r="I2503" s="334"/>
      <c r="J2503" s="334"/>
      <c r="K2503" s="334"/>
      <c r="L2503" s="334"/>
      <c r="M2503" s="334"/>
      <c r="N2503" s="334"/>
      <c r="O2503" s="334"/>
    </row>
    <row r="2504" spans="1:15" ht="12.75" hidden="1" customHeight="1" outlineLevel="1" x14ac:dyDescent="0.2">
      <c r="A2504" s="623" t="s">
        <v>3439</v>
      </c>
      <c r="B2504" s="624" t="s">
        <v>3440</v>
      </c>
      <c r="C2504" s="625" t="s">
        <v>100</v>
      </c>
      <c r="D2504" s="626">
        <v>42.22</v>
      </c>
      <c r="E2504" s="622"/>
      <c r="F2504" s="334"/>
      <c r="G2504" s="334"/>
      <c r="H2504" s="602"/>
      <c r="I2504" s="334"/>
      <c r="J2504" s="334"/>
      <c r="K2504" s="334"/>
      <c r="L2504" s="334"/>
      <c r="M2504" s="334"/>
      <c r="N2504" s="334"/>
      <c r="O2504" s="334"/>
    </row>
    <row r="2505" spans="1:15" ht="12.75" hidden="1" customHeight="1" outlineLevel="1" x14ac:dyDescent="0.2">
      <c r="A2505" s="627" t="s">
        <v>3441</v>
      </c>
      <c r="B2505" s="628" t="s">
        <v>3442</v>
      </c>
      <c r="C2505" s="629" t="s">
        <v>100</v>
      </c>
      <c r="D2505" s="630">
        <v>42.22</v>
      </c>
      <c r="E2505" s="622"/>
      <c r="F2505" s="334"/>
      <c r="G2505" s="334"/>
      <c r="H2505" s="602"/>
      <c r="I2505" s="334"/>
      <c r="J2505" s="334"/>
      <c r="K2505" s="334"/>
      <c r="L2505" s="334"/>
      <c r="M2505" s="334"/>
      <c r="N2505" s="334"/>
      <c r="O2505" s="334"/>
    </row>
    <row r="2506" spans="1:15" ht="12.75" hidden="1" customHeight="1" outlineLevel="1" x14ac:dyDescent="0.2">
      <c r="A2506" s="623" t="s">
        <v>3443</v>
      </c>
      <c r="B2506" s="624" t="s">
        <v>3444</v>
      </c>
      <c r="C2506" s="625" t="s">
        <v>100</v>
      </c>
      <c r="D2506" s="626">
        <v>18.25</v>
      </c>
      <c r="E2506" s="622"/>
      <c r="F2506" s="334"/>
      <c r="G2506" s="334"/>
      <c r="H2506" s="602"/>
      <c r="I2506" s="334"/>
      <c r="J2506" s="334"/>
      <c r="K2506" s="334"/>
      <c r="L2506" s="334"/>
      <c r="M2506" s="334"/>
      <c r="N2506" s="334"/>
      <c r="O2506" s="334"/>
    </row>
    <row r="2507" spans="1:15" ht="12.75" hidden="1" customHeight="1" outlineLevel="1" x14ac:dyDescent="0.2">
      <c r="A2507" s="627" t="s">
        <v>3445</v>
      </c>
      <c r="B2507" s="628" t="s">
        <v>3446</v>
      </c>
      <c r="C2507" s="629" t="s">
        <v>100</v>
      </c>
      <c r="D2507" s="630">
        <v>18.25</v>
      </c>
      <c r="E2507" s="622"/>
      <c r="F2507" s="334"/>
      <c r="G2507" s="334"/>
      <c r="H2507" s="602"/>
      <c r="I2507" s="334"/>
      <c r="J2507" s="334"/>
      <c r="K2507" s="334"/>
      <c r="L2507" s="334"/>
      <c r="M2507" s="334"/>
      <c r="N2507" s="334"/>
      <c r="O2507" s="334"/>
    </row>
    <row r="2508" spans="1:15" ht="12.75" hidden="1" customHeight="1" outlineLevel="1" x14ac:dyDescent="0.2">
      <c r="A2508" s="623" t="s">
        <v>3447</v>
      </c>
      <c r="B2508" s="624" t="s">
        <v>3448</v>
      </c>
      <c r="C2508" s="625" t="s">
        <v>100</v>
      </c>
      <c r="D2508" s="626">
        <v>18.25</v>
      </c>
      <c r="E2508" s="622"/>
      <c r="F2508" s="334"/>
      <c r="G2508" s="334"/>
      <c r="H2508" s="602"/>
      <c r="I2508" s="334"/>
      <c r="J2508" s="334"/>
      <c r="K2508" s="334"/>
      <c r="L2508" s="334"/>
      <c r="M2508" s="334"/>
      <c r="N2508" s="334"/>
      <c r="O2508" s="334"/>
    </row>
    <row r="2509" spans="1:15" ht="12.75" hidden="1" customHeight="1" outlineLevel="1" x14ac:dyDescent="0.2">
      <c r="A2509" s="627" t="s">
        <v>3449</v>
      </c>
      <c r="B2509" s="628" t="s">
        <v>3450</v>
      </c>
      <c r="C2509" s="629" t="s">
        <v>100</v>
      </c>
      <c r="D2509" s="630">
        <v>6.63</v>
      </c>
      <c r="E2509" s="622"/>
      <c r="F2509" s="334"/>
      <c r="G2509" s="334"/>
      <c r="H2509" s="602"/>
      <c r="I2509" s="334"/>
      <c r="J2509" s="334"/>
      <c r="K2509" s="334"/>
      <c r="L2509" s="334"/>
      <c r="M2509" s="334"/>
      <c r="N2509" s="334"/>
      <c r="O2509" s="334"/>
    </row>
    <row r="2510" spans="1:15" ht="12.75" hidden="1" customHeight="1" outlineLevel="1" x14ac:dyDescent="0.2">
      <c r="A2510" s="623" t="s">
        <v>3451</v>
      </c>
      <c r="B2510" s="624" t="s">
        <v>3452</v>
      </c>
      <c r="C2510" s="625" t="s">
        <v>100</v>
      </c>
      <c r="D2510" s="626">
        <v>6.63</v>
      </c>
      <c r="E2510" s="622"/>
      <c r="F2510" s="334"/>
      <c r="G2510" s="334"/>
      <c r="H2510" s="602"/>
      <c r="I2510" s="334"/>
      <c r="J2510" s="334"/>
      <c r="K2510" s="334"/>
      <c r="L2510" s="334"/>
      <c r="M2510" s="334"/>
      <c r="N2510" s="334"/>
      <c r="O2510" s="334"/>
    </row>
    <row r="2511" spans="1:15" ht="12.75" hidden="1" customHeight="1" outlineLevel="1" x14ac:dyDescent="0.2">
      <c r="A2511" s="627" t="s">
        <v>3453</v>
      </c>
      <c r="B2511" s="628" t="s">
        <v>3454</v>
      </c>
      <c r="C2511" s="629" t="s">
        <v>100</v>
      </c>
      <c r="D2511" s="630">
        <v>6.63</v>
      </c>
      <c r="E2511" s="622"/>
      <c r="F2511" s="334"/>
      <c r="G2511" s="334"/>
      <c r="H2511" s="602"/>
      <c r="I2511" s="334"/>
      <c r="J2511" s="334"/>
      <c r="K2511" s="334"/>
      <c r="L2511" s="334"/>
      <c r="M2511" s="334"/>
      <c r="N2511" s="334"/>
      <c r="O2511" s="334"/>
    </row>
    <row r="2512" spans="1:15" ht="12.75" hidden="1" customHeight="1" outlineLevel="1" x14ac:dyDescent="0.2">
      <c r="A2512" s="623" t="s">
        <v>3455</v>
      </c>
      <c r="B2512" s="624" t="s">
        <v>1128</v>
      </c>
      <c r="C2512" s="625" t="s">
        <v>100</v>
      </c>
      <c r="D2512" s="626">
        <v>22.27</v>
      </c>
      <c r="E2512" s="622"/>
      <c r="F2512" s="334"/>
      <c r="G2512" s="334"/>
      <c r="H2512" s="602"/>
      <c r="I2512" s="334"/>
      <c r="J2512" s="334"/>
      <c r="K2512" s="334"/>
      <c r="L2512" s="334"/>
      <c r="M2512" s="334"/>
      <c r="N2512" s="334"/>
      <c r="O2512" s="334"/>
    </row>
    <row r="2513" spans="1:15" ht="12.75" hidden="1" customHeight="1" outlineLevel="1" x14ac:dyDescent="0.2">
      <c r="A2513" s="627" t="s">
        <v>3456</v>
      </c>
      <c r="B2513" s="628" t="s">
        <v>1130</v>
      </c>
      <c r="C2513" s="629" t="s">
        <v>100</v>
      </c>
      <c r="D2513" s="630">
        <v>22.27</v>
      </c>
      <c r="E2513" s="622"/>
      <c r="F2513" s="334"/>
      <c r="G2513" s="334"/>
      <c r="H2513" s="602"/>
      <c r="I2513" s="334"/>
      <c r="J2513" s="334"/>
      <c r="K2513" s="334"/>
      <c r="L2513" s="334"/>
      <c r="M2513" s="334"/>
      <c r="N2513" s="334"/>
      <c r="O2513" s="334"/>
    </row>
    <row r="2514" spans="1:15" ht="12.75" hidden="1" customHeight="1" outlineLevel="1" x14ac:dyDescent="0.2">
      <c r="A2514" s="623" t="s">
        <v>3457</v>
      </c>
      <c r="B2514" s="624" t="s">
        <v>1132</v>
      </c>
      <c r="C2514" s="625" t="s">
        <v>100</v>
      </c>
      <c r="D2514" s="626">
        <v>22.27</v>
      </c>
      <c r="E2514" s="622"/>
      <c r="F2514" s="334"/>
      <c r="G2514" s="334"/>
      <c r="H2514" s="602"/>
      <c r="I2514" s="334"/>
      <c r="J2514" s="334"/>
      <c r="K2514" s="334"/>
      <c r="L2514" s="334"/>
      <c r="M2514" s="334"/>
      <c r="N2514" s="334"/>
      <c r="O2514" s="334"/>
    </row>
    <row r="2515" spans="1:15" ht="12.75" hidden="1" customHeight="1" outlineLevel="1" x14ac:dyDescent="0.2">
      <c r="A2515" s="618" t="s">
        <v>3458</v>
      </c>
      <c r="B2515" s="619" t="s">
        <v>1039</v>
      </c>
      <c r="C2515" s="620"/>
      <c r="D2515" s="621"/>
      <c r="E2515" s="622"/>
      <c r="F2515" s="334"/>
      <c r="G2515" s="334"/>
      <c r="H2515" s="602"/>
      <c r="I2515" s="334"/>
      <c r="J2515" s="334"/>
      <c r="K2515" s="334"/>
      <c r="L2515" s="334"/>
      <c r="M2515" s="334"/>
      <c r="N2515" s="334"/>
      <c r="O2515" s="334"/>
    </row>
    <row r="2516" spans="1:15" ht="12.75" hidden="1" customHeight="1" outlineLevel="1" x14ac:dyDescent="0.2">
      <c r="A2516" s="627" t="s">
        <v>3459</v>
      </c>
      <c r="B2516" s="628" t="s">
        <v>3460</v>
      </c>
      <c r="C2516" s="629" t="s">
        <v>100</v>
      </c>
      <c r="D2516" s="630">
        <v>2.9</v>
      </c>
      <c r="E2516" s="622"/>
      <c r="F2516" s="334"/>
      <c r="G2516" s="334"/>
      <c r="H2516" s="602"/>
      <c r="I2516" s="334"/>
      <c r="J2516" s="334"/>
      <c r="K2516" s="334"/>
      <c r="L2516" s="334"/>
      <c r="M2516" s="334"/>
      <c r="N2516" s="334"/>
      <c r="O2516" s="334"/>
    </row>
    <row r="2517" spans="1:15" ht="12.75" hidden="1" customHeight="1" outlineLevel="1" x14ac:dyDescent="0.2">
      <c r="A2517" s="623" t="s">
        <v>3461</v>
      </c>
      <c r="B2517" s="624" t="s">
        <v>3462</v>
      </c>
      <c r="C2517" s="625" t="s">
        <v>100</v>
      </c>
      <c r="D2517" s="626">
        <v>2.9</v>
      </c>
      <c r="E2517" s="622"/>
      <c r="F2517" s="334"/>
      <c r="G2517" s="334"/>
      <c r="H2517" s="602"/>
      <c r="I2517" s="334"/>
      <c r="J2517" s="334"/>
      <c r="K2517" s="334"/>
      <c r="L2517" s="334"/>
      <c r="M2517" s="334"/>
      <c r="N2517" s="334"/>
      <c r="O2517" s="334"/>
    </row>
    <row r="2518" spans="1:15" ht="12.75" hidden="1" customHeight="1" outlineLevel="1" x14ac:dyDescent="0.2">
      <c r="A2518" s="627" t="s">
        <v>3463</v>
      </c>
      <c r="B2518" s="628" t="s">
        <v>3464</v>
      </c>
      <c r="C2518" s="629" t="s">
        <v>100</v>
      </c>
      <c r="D2518" s="630">
        <v>2.9</v>
      </c>
      <c r="E2518" s="622"/>
      <c r="F2518" s="334"/>
      <c r="G2518" s="334"/>
      <c r="H2518" s="602"/>
      <c r="I2518" s="334"/>
      <c r="J2518" s="334"/>
      <c r="K2518" s="334"/>
      <c r="L2518" s="334"/>
      <c r="M2518" s="334"/>
      <c r="N2518" s="334"/>
      <c r="O2518" s="334"/>
    </row>
    <row r="2519" spans="1:15" ht="12.75" hidden="1" customHeight="1" outlineLevel="1" x14ac:dyDescent="0.2">
      <c r="A2519" s="623" t="s">
        <v>3465</v>
      </c>
      <c r="B2519" s="624" t="s">
        <v>3414</v>
      </c>
      <c r="C2519" s="625" t="s">
        <v>100</v>
      </c>
      <c r="D2519" s="626">
        <v>6.24</v>
      </c>
      <c r="E2519" s="622"/>
      <c r="F2519" s="334"/>
      <c r="G2519" s="334"/>
      <c r="H2519" s="602"/>
      <c r="I2519" s="334"/>
      <c r="J2519" s="334"/>
      <c r="K2519" s="334"/>
      <c r="L2519" s="334"/>
      <c r="M2519" s="334"/>
      <c r="N2519" s="334"/>
      <c r="O2519" s="334"/>
    </row>
    <row r="2520" spans="1:15" ht="12.75" hidden="1" customHeight="1" outlineLevel="1" x14ac:dyDescent="0.2">
      <c r="A2520" s="627" t="s">
        <v>3466</v>
      </c>
      <c r="B2520" s="628" t="s">
        <v>3416</v>
      </c>
      <c r="C2520" s="629" t="s">
        <v>100</v>
      </c>
      <c r="D2520" s="630">
        <v>6.24</v>
      </c>
      <c r="E2520" s="622"/>
      <c r="F2520" s="334"/>
      <c r="G2520" s="334"/>
      <c r="H2520" s="602"/>
      <c r="I2520" s="334"/>
      <c r="J2520" s="334"/>
      <c r="K2520" s="334"/>
      <c r="L2520" s="334"/>
      <c r="M2520" s="334"/>
      <c r="N2520" s="334"/>
      <c r="O2520" s="334"/>
    </row>
    <row r="2521" spans="1:15" ht="12.75" hidden="1" customHeight="1" outlineLevel="1" x14ac:dyDescent="0.2">
      <c r="A2521" s="623" t="s">
        <v>3467</v>
      </c>
      <c r="B2521" s="624" t="s">
        <v>3418</v>
      </c>
      <c r="C2521" s="625" t="s">
        <v>100</v>
      </c>
      <c r="D2521" s="626">
        <v>6.24</v>
      </c>
      <c r="E2521" s="622"/>
      <c r="F2521" s="334"/>
      <c r="G2521" s="334"/>
      <c r="H2521" s="602"/>
      <c r="I2521" s="334"/>
      <c r="J2521" s="334"/>
      <c r="K2521" s="334"/>
      <c r="L2521" s="334"/>
      <c r="M2521" s="334"/>
      <c r="N2521" s="334"/>
      <c r="O2521" s="334"/>
    </row>
    <row r="2522" spans="1:15" ht="12.75" hidden="1" customHeight="1" outlineLevel="1" x14ac:dyDescent="0.2">
      <c r="A2522" s="627" t="s">
        <v>3468</v>
      </c>
      <c r="B2522" s="628" t="s">
        <v>3420</v>
      </c>
      <c r="C2522" s="629" t="s">
        <v>100</v>
      </c>
      <c r="D2522" s="630">
        <v>5.23</v>
      </c>
      <c r="E2522" s="622"/>
      <c r="F2522" s="334"/>
      <c r="G2522" s="334"/>
      <c r="H2522" s="602"/>
      <c r="I2522" s="334"/>
      <c r="J2522" s="334"/>
      <c r="K2522" s="334"/>
      <c r="L2522" s="334"/>
      <c r="M2522" s="334"/>
      <c r="N2522" s="334"/>
      <c r="O2522" s="334"/>
    </row>
    <row r="2523" spans="1:15" ht="12.75" hidden="1" customHeight="1" outlineLevel="1" x14ac:dyDescent="0.2">
      <c r="A2523" s="623" t="s">
        <v>3469</v>
      </c>
      <c r="B2523" s="624" t="s">
        <v>3422</v>
      </c>
      <c r="C2523" s="625" t="s">
        <v>100</v>
      </c>
      <c r="D2523" s="626">
        <v>5.23</v>
      </c>
      <c r="E2523" s="622"/>
      <c r="F2523" s="334"/>
      <c r="G2523" s="334"/>
      <c r="H2523" s="602"/>
      <c r="I2523" s="334"/>
      <c r="J2523" s="334"/>
      <c r="K2523" s="334"/>
      <c r="L2523" s="334"/>
      <c r="M2523" s="334"/>
      <c r="N2523" s="334"/>
      <c r="O2523" s="334"/>
    </row>
    <row r="2524" spans="1:15" ht="12.75" hidden="1" customHeight="1" outlineLevel="1" x14ac:dyDescent="0.2">
      <c r="A2524" s="627" t="s">
        <v>3470</v>
      </c>
      <c r="B2524" s="628" t="s">
        <v>3424</v>
      </c>
      <c r="C2524" s="629" t="s">
        <v>100</v>
      </c>
      <c r="D2524" s="630">
        <v>5.23</v>
      </c>
      <c r="E2524" s="622"/>
      <c r="F2524" s="334"/>
      <c r="G2524" s="334"/>
      <c r="H2524" s="602"/>
      <c r="I2524" s="334"/>
      <c r="J2524" s="334"/>
      <c r="K2524" s="334"/>
      <c r="L2524" s="334"/>
      <c r="M2524" s="334"/>
      <c r="N2524" s="334"/>
      <c r="O2524" s="334"/>
    </row>
    <row r="2525" spans="1:15" ht="12.75" hidden="1" customHeight="1" outlineLevel="1" x14ac:dyDescent="0.2">
      <c r="A2525" s="623" t="s">
        <v>3471</v>
      </c>
      <c r="B2525" s="624" t="s">
        <v>3472</v>
      </c>
      <c r="C2525" s="625" t="s">
        <v>100</v>
      </c>
      <c r="D2525" s="626">
        <v>14.18</v>
      </c>
      <c r="E2525" s="622"/>
      <c r="F2525" s="334"/>
      <c r="G2525" s="334"/>
      <c r="H2525" s="602"/>
      <c r="I2525" s="334"/>
      <c r="J2525" s="334"/>
      <c r="K2525" s="334"/>
      <c r="L2525" s="334"/>
      <c r="M2525" s="334"/>
      <c r="N2525" s="334"/>
      <c r="O2525" s="334"/>
    </row>
    <row r="2526" spans="1:15" ht="12.75" hidden="1" customHeight="1" outlineLevel="1" x14ac:dyDescent="0.2">
      <c r="A2526" s="627" t="s">
        <v>3473</v>
      </c>
      <c r="B2526" s="628" t="s">
        <v>3474</v>
      </c>
      <c r="C2526" s="629" t="s">
        <v>100</v>
      </c>
      <c r="D2526" s="630">
        <v>14.18</v>
      </c>
      <c r="E2526" s="622"/>
      <c r="F2526" s="334"/>
      <c r="G2526" s="334"/>
      <c r="H2526" s="602"/>
      <c r="I2526" s="334"/>
      <c r="J2526" s="334"/>
      <c r="K2526" s="334"/>
      <c r="L2526" s="334"/>
      <c r="M2526" s="334"/>
      <c r="N2526" s="334"/>
      <c r="O2526" s="334"/>
    </row>
    <row r="2527" spans="1:15" ht="12.75" hidden="1" customHeight="1" outlineLevel="1" x14ac:dyDescent="0.2">
      <c r="A2527" s="623" t="s">
        <v>3475</v>
      </c>
      <c r="B2527" s="624" t="s">
        <v>1130</v>
      </c>
      <c r="C2527" s="625" t="s">
        <v>100</v>
      </c>
      <c r="D2527" s="626">
        <v>14.18</v>
      </c>
      <c r="E2527" s="622"/>
      <c r="F2527" s="334"/>
      <c r="G2527" s="334"/>
      <c r="H2527" s="602"/>
      <c r="I2527" s="334"/>
      <c r="J2527" s="334"/>
      <c r="K2527" s="334"/>
      <c r="L2527" s="334"/>
      <c r="M2527" s="334"/>
      <c r="N2527" s="334"/>
      <c r="O2527" s="334"/>
    </row>
    <row r="2528" spans="1:15" ht="12.75" hidden="1" customHeight="1" outlineLevel="1" x14ac:dyDescent="0.2">
      <c r="A2528" s="627" t="s">
        <v>3476</v>
      </c>
      <c r="B2528" s="628" t="s">
        <v>1134</v>
      </c>
      <c r="C2528" s="629" t="s">
        <v>100</v>
      </c>
      <c r="D2528" s="630">
        <v>6.55</v>
      </c>
      <c r="E2528" s="622"/>
      <c r="F2528" s="334"/>
      <c r="G2528" s="334"/>
      <c r="H2528" s="602"/>
      <c r="I2528" s="334"/>
      <c r="J2528" s="334"/>
      <c r="K2528" s="334"/>
      <c r="L2528" s="334"/>
      <c r="M2528" s="334"/>
      <c r="N2528" s="334"/>
      <c r="O2528" s="334"/>
    </row>
    <row r="2529" spans="1:15" ht="12.75" hidden="1" customHeight="1" outlineLevel="1" x14ac:dyDescent="0.2">
      <c r="A2529" s="623" t="s">
        <v>3477</v>
      </c>
      <c r="B2529" s="624" t="s">
        <v>1128</v>
      </c>
      <c r="C2529" s="625" t="s">
        <v>100</v>
      </c>
      <c r="D2529" s="626">
        <v>6.55</v>
      </c>
      <c r="E2529" s="622"/>
      <c r="F2529" s="334"/>
      <c r="G2529" s="334"/>
      <c r="H2529" s="602"/>
      <c r="I2529" s="334"/>
      <c r="J2529" s="334"/>
      <c r="K2529" s="334"/>
      <c r="L2529" s="334"/>
      <c r="M2529" s="334"/>
      <c r="N2529" s="334"/>
      <c r="O2529" s="334"/>
    </row>
    <row r="2530" spans="1:15" ht="12.75" hidden="1" customHeight="1" outlineLevel="1" x14ac:dyDescent="0.2">
      <c r="A2530" s="627" t="s">
        <v>3478</v>
      </c>
      <c r="B2530" s="628" t="s">
        <v>1130</v>
      </c>
      <c r="C2530" s="629" t="s">
        <v>100</v>
      </c>
      <c r="D2530" s="630">
        <v>6.55</v>
      </c>
      <c r="E2530" s="622"/>
      <c r="F2530" s="334"/>
      <c r="G2530" s="334"/>
      <c r="H2530" s="602"/>
      <c r="I2530" s="334"/>
      <c r="J2530" s="334"/>
      <c r="K2530" s="334"/>
      <c r="L2530" s="334"/>
      <c r="M2530" s="334"/>
      <c r="N2530" s="334"/>
      <c r="O2530" s="334"/>
    </row>
    <row r="2531" spans="1:15" ht="12.75" hidden="1" customHeight="1" outlineLevel="1" x14ac:dyDescent="0.2">
      <c r="A2531" s="623" t="s">
        <v>3479</v>
      </c>
      <c r="B2531" s="628" t="s">
        <v>1134</v>
      </c>
      <c r="C2531" s="625" t="s">
        <v>100</v>
      </c>
      <c r="D2531" s="626">
        <v>155.62</v>
      </c>
      <c r="E2531" s="622"/>
      <c r="F2531" s="334"/>
      <c r="G2531" s="334"/>
      <c r="H2531" s="602"/>
      <c r="I2531" s="334"/>
      <c r="J2531" s="334"/>
      <c r="K2531" s="334"/>
      <c r="L2531" s="334"/>
      <c r="M2531" s="334"/>
      <c r="N2531" s="334"/>
      <c r="O2531" s="334"/>
    </row>
    <row r="2532" spans="1:15" ht="12.75" hidden="1" customHeight="1" outlineLevel="1" x14ac:dyDescent="0.2">
      <c r="A2532" s="627" t="s">
        <v>3480</v>
      </c>
      <c r="B2532" s="624" t="s">
        <v>1128</v>
      </c>
      <c r="C2532" s="629" t="s">
        <v>100</v>
      </c>
      <c r="D2532" s="630">
        <v>155.62</v>
      </c>
      <c r="E2532" s="622"/>
      <c r="F2532" s="334"/>
      <c r="G2532" s="334"/>
      <c r="H2532" s="602"/>
      <c r="I2532" s="334"/>
      <c r="J2532" s="334"/>
      <c r="K2532" s="334"/>
      <c r="L2532" s="334"/>
      <c r="M2532" s="334"/>
      <c r="N2532" s="334"/>
      <c r="O2532" s="334"/>
    </row>
    <row r="2533" spans="1:15" ht="12.75" hidden="1" customHeight="1" outlineLevel="1" x14ac:dyDescent="0.2">
      <c r="A2533" s="623" t="s">
        <v>3481</v>
      </c>
      <c r="B2533" s="628" t="s">
        <v>1130</v>
      </c>
      <c r="C2533" s="625" t="s">
        <v>100</v>
      </c>
      <c r="D2533" s="626">
        <v>155.62</v>
      </c>
      <c r="E2533" s="622"/>
      <c r="F2533" s="334"/>
      <c r="G2533" s="334"/>
      <c r="H2533" s="602"/>
      <c r="I2533" s="334"/>
      <c r="J2533" s="334"/>
      <c r="K2533" s="334"/>
      <c r="L2533" s="334"/>
      <c r="M2533" s="334"/>
      <c r="N2533" s="334"/>
      <c r="O2533" s="334"/>
    </row>
    <row r="2534" spans="1:15" ht="12.75" hidden="1" customHeight="1" outlineLevel="1" x14ac:dyDescent="0.2">
      <c r="A2534" s="627" t="s">
        <v>3482</v>
      </c>
      <c r="B2534" s="628" t="s">
        <v>1134</v>
      </c>
      <c r="C2534" s="629" t="s">
        <v>100</v>
      </c>
      <c r="D2534" s="630">
        <v>60.49</v>
      </c>
      <c r="E2534" s="622"/>
      <c r="F2534" s="334"/>
      <c r="G2534" s="334"/>
      <c r="H2534" s="602"/>
      <c r="I2534" s="334"/>
      <c r="J2534" s="334"/>
      <c r="K2534" s="334"/>
      <c r="L2534" s="334"/>
      <c r="M2534" s="334"/>
      <c r="N2534" s="334"/>
      <c r="O2534" s="334"/>
    </row>
    <row r="2535" spans="1:15" ht="12.75" hidden="1" customHeight="1" outlineLevel="1" x14ac:dyDescent="0.2">
      <c r="A2535" s="623" t="s">
        <v>3483</v>
      </c>
      <c r="B2535" s="624" t="s">
        <v>1128</v>
      </c>
      <c r="C2535" s="625" t="s">
        <v>100</v>
      </c>
      <c r="D2535" s="626">
        <v>60.49</v>
      </c>
      <c r="E2535" s="622"/>
      <c r="F2535" s="334"/>
      <c r="G2535" s="334"/>
      <c r="H2535" s="602"/>
      <c r="I2535" s="334"/>
      <c r="J2535" s="334"/>
      <c r="K2535" s="334"/>
      <c r="L2535" s="334"/>
      <c r="M2535" s="334"/>
      <c r="N2535" s="334"/>
      <c r="O2535" s="334"/>
    </row>
    <row r="2536" spans="1:15" ht="12.75" hidden="1" customHeight="1" outlineLevel="1" x14ac:dyDescent="0.2">
      <c r="A2536" s="627" t="s">
        <v>3484</v>
      </c>
      <c r="B2536" s="628" t="s">
        <v>1130</v>
      </c>
      <c r="C2536" s="629" t="s">
        <v>100</v>
      </c>
      <c r="D2536" s="630">
        <v>60.49</v>
      </c>
      <c r="E2536" s="622"/>
      <c r="F2536" s="334"/>
      <c r="G2536" s="334"/>
      <c r="H2536" s="602"/>
      <c r="I2536" s="334"/>
      <c r="J2536" s="334"/>
      <c r="K2536" s="334"/>
      <c r="L2536" s="334"/>
      <c r="M2536" s="334"/>
      <c r="N2536" s="334"/>
      <c r="O2536" s="334"/>
    </row>
    <row r="2537" spans="1:15" ht="12.75" hidden="1" customHeight="1" outlineLevel="1" x14ac:dyDescent="0.2">
      <c r="A2537" s="623" t="s">
        <v>3485</v>
      </c>
      <c r="B2537" s="628" t="s">
        <v>1134</v>
      </c>
      <c r="C2537" s="625" t="s">
        <v>100</v>
      </c>
      <c r="D2537" s="626">
        <v>24.5</v>
      </c>
      <c r="E2537" s="622"/>
      <c r="F2537" s="334"/>
      <c r="G2537" s="334"/>
      <c r="H2537" s="602"/>
      <c r="I2537" s="334"/>
      <c r="J2537" s="334"/>
      <c r="K2537" s="334"/>
      <c r="L2537" s="334"/>
      <c r="M2537" s="334"/>
      <c r="N2537" s="334"/>
      <c r="O2537" s="334"/>
    </row>
    <row r="2538" spans="1:15" ht="12.75" hidden="1" customHeight="1" outlineLevel="1" x14ac:dyDescent="0.2">
      <c r="A2538" s="627" t="s">
        <v>3486</v>
      </c>
      <c r="B2538" s="624" t="s">
        <v>1128</v>
      </c>
      <c r="C2538" s="629" t="s">
        <v>100</v>
      </c>
      <c r="D2538" s="630">
        <v>24.5</v>
      </c>
      <c r="E2538" s="622"/>
      <c r="F2538" s="334"/>
      <c r="G2538" s="334"/>
      <c r="H2538" s="602"/>
      <c r="I2538" s="334"/>
      <c r="J2538" s="334"/>
      <c r="K2538" s="334"/>
      <c r="L2538" s="334"/>
      <c r="M2538" s="334"/>
      <c r="N2538" s="334"/>
      <c r="O2538" s="334"/>
    </row>
    <row r="2539" spans="1:15" ht="12.75" hidden="1" customHeight="1" outlineLevel="1" x14ac:dyDescent="0.2">
      <c r="A2539" s="623" t="s">
        <v>3487</v>
      </c>
      <c r="B2539" s="628" t="s">
        <v>1130</v>
      </c>
      <c r="C2539" s="625" t="s">
        <v>100</v>
      </c>
      <c r="D2539" s="626">
        <v>24.5</v>
      </c>
      <c r="E2539" s="622"/>
      <c r="F2539" s="334"/>
      <c r="G2539" s="334"/>
      <c r="H2539" s="602"/>
      <c r="I2539" s="334"/>
      <c r="J2539" s="334"/>
      <c r="K2539" s="334"/>
      <c r="L2539" s="334"/>
      <c r="M2539" s="334"/>
      <c r="N2539" s="334"/>
      <c r="O2539" s="334"/>
    </row>
    <row r="2540" spans="1:15" ht="12.75" hidden="1" customHeight="1" outlineLevel="1" x14ac:dyDescent="0.2">
      <c r="A2540" s="627" t="s">
        <v>3488</v>
      </c>
      <c r="B2540" s="628" t="s">
        <v>1134</v>
      </c>
      <c r="C2540" s="629" t="s">
        <v>100</v>
      </c>
      <c r="D2540" s="630">
        <v>16.96</v>
      </c>
      <c r="E2540" s="622"/>
      <c r="F2540" s="334"/>
      <c r="G2540" s="334"/>
      <c r="H2540" s="602"/>
      <c r="I2540" s="334"/>
      <c r="J2540" s="334"/>
      <c r="K2540" s="334"/>
      <c r="L2540" s="334"/>
      <c r="M2540" s="334"/>
      <c r="N2540" s="334"/>
      <c r="O2540" s="334"/>
    </row>
    <row r="2541" spans="1:15" ht="12.75" hidden="1" customHeight="1" outlineLevel="1" x14ac:dyDescent="0.2">
      <c r="A2541" s="623" t="s">
        <v>3489</v>
      </c>
      <c r="B2541" s="624" t="s">
        <v>1128</v>
      </c>
      <c r="C2541" s="625" t="s">
        <v>100</v>
      </c>
      <c r="D2541" s="626">
        <v>16.96</v>
      </c>
      <c r="E2541" s="622"/>
      <c r="F2541" s="334"/>
      <c r="G2541" s="334"/>
      <c r="H2541" s="602"/>
      <c r="I2541" s="334"/>
      <c r="J2541" s="334"/>
      <c r="K2541" s="334"/>
      <c r="L2541" s="334"/>
      <c r="M2541" s="334"/>
      <c r="N2541" s="334"/>
      <c r="O2541" s="334"/>
    </row>
    <row r="2542" spans="1:15" ht="12.75" hidden="1" customHeight="1" outlineLevel="1" x14ac:dyDescent="0.2">
      <c r="A2542" s="627" t="s">
        <v>3490</v>
      </c>
      <c r="B2542" s="628" t="s">
        <v>1130</v>
      </c>
      <c r="C2542" s="629" t="s">
        <v>100</v>
      </c>
      <c r="D2542" s="630">
        <v>16.96</v>
      </c>
      <c r="E2542" s="622"/>
      <c r="F2542" s="334"/>
      <c r="G2542" s="334"/>
      <c r="H2542" s="602"/>
      <c r="I2542" s="334"/>
      <c r="J2542" s="334"/>
      <c r="K2542" s="334"/>
      <c r="L2542" s="334"/>
      <c r="M2542" s="334"/>
      <c r="N2542" s="334"/>
      <c r="O2542" s="334"/>
    </row>
    <row r="2543" spans="1:15" ht="12.75" hidden="1" customHeight="1" outlineLevel="1" x14ac:dyDescent="0.2">
      <c r="A2543" s="623" t="s">
        <v>3491</v>
      </c>
      <c r="B2543" s="624" t="s">
        <v>1128</v>
      </c>
      <c r="C2543" s="625" t="s">
        <v>100</v>
      </c>
      <c r="D2543" s="626">
        <v>6.78</v>
      </c>
      <c r="E2543" s="622"/>
      <c r="F2543" s="334"/>
      <c r="G2543" s="334"/>
      <c r="H2543" s="602"/>
      <c r="I2543" s="334"/>
      <c r="J2543" s="334"/>
      <c r="K2543" s="334"/>
      <c r="L2543" s="334"/>
      <c r="M2543" s="334"/>
      <c r="N2543" s="334"/>
      <c r="O2543" s="334"/>
    </row>
    <row r="2544" spans="1:15" ht="12.75" hidden="1" customHeight="1" outlineLevel="1" x14ac:dyDescent="0.2">
      <c r="A2544" s="627" t="s">
        <v>3492</v>
      </c>
      <c r="B2544" s="628" t="s">
        <v>1130</v>
      </c>
      <c r="C2544" s="629" t="s">
        <v>100</v>
      </c>
      <c r="D2544" s="630">
        <v>6.78</v>
      </c>
      <c r="E2544" s="622"/>
      <c r="F2544" s="334"/>
      <c r="G2544" s="334"/>
      <c r="H2544" s="602"/>
      <c r="I2544" s="334"/>
      <c r="J2544" s="334"/>
      <c r="K2544" s="334"/>
      <c r="L2544" s="334"/>
      <c r="M2544" s="334"/>
      <c r="N2544" s="334"/>
      <c r="O2544" s="334"/>
    </row>
    <row r="2545" spans="1:15" ht="12.75" hidden="1" customHeight="1" outlineLevel="1" x14ac:dyDescent="0.2">
      <c r="A2545" s="623" t="s">
        <v>3493</v>
      </c>
      <c r="B2545" s="624" t="s">
        <v>1132</v>
      </c>
      <c r="C2545" s="625" t="s">
        <v>100</v>
      </c>
      <c r="D2545" s="626">
        <v>6.78</v>
      </c>
      <c r="E2545" s="622"/>
      <c r="F2545" s="334"/>
      <c r="G2545" s="334"/>
      <c r="H2545" s="602"/>
      <c r="I2545" s="334"/>
      <c r="J2545" s="334"/>
      <c r="K2545" s="334"/>
      <c r="L2545" s="334"/>
      <c r="M2545" s="334"/>
      <c r="N2545" s="334"/>
      <c r="O2545" s="334"/>
    </row>
    <row r="2546" spans="1:15" ht="12.75" hidden="1" customHeight="1" outlineLevel="1" x14ac:dyDescent="0.2">
      <c r="A2546" s="627" t="s">
        <v>3494</v>
      </c>
      <c r="B2546" s="628" t="s">
        <v>1134</v>
      </c>
      <c r="C2546" s="629" t="s">
        <v>100</v>
      </c>
      <c r="D2546" s="630">
        <v>3.84</v>
      </c>
      <c r="E2546" s="622"/>
      <c r="F2546" s="334"/>
      <c r="G2546" s="334"/>
      <c r="H2546" s="602"/>
      <c r="I2546" s="334"/>
      <c r="J2546" s="334"/>
      <c r="K2546" s="334"/>
      <c r="L2546" s="334"/>
      <c r="M2546" s="334"/>
      <c r="N2546" s="334"/>
      <c r="O2546" s="334"/>
    </row>
    <row r="2547" spans="1:15" ht="12.75" hidden="1" customHeight="1" outlineLevel="1" x14ac:dyDescent="0.2">
      <c r="A2547" s="623" t="s">
        <v>3495</v>
      </c>
      <c r="B2547" s="624" t="s">
        <v>1128</v>
      </c>
      <c r="C2547" s="625" t="s">
        <v>100</v>
      </c>
      <c r="D2547" s="626">
        <v>3.84</v>
      </c>
      <c r="E2547" s="622"/>
      <c r="F2547" s="334"/>
      <c r="G2547" s="334"/>
      <c r="H2547" s="602"/>
      <c r="I2547" s="334"/>
      <c r="J2547" s="334"/>
      <c r="K2547" s="334"/>
      <c r="L2547" s="334"/>
      <c r="M2547" s="334"/>
      <c r="N2547" s="334"/>
      <c r="O2547" s="334"/>
    </row>
    <row r="2548" spans="1:15" ht="12.75" hidden="1" customHeight="1" outlineLevel="1" x14ac:dyDescent="0.2">
      <c r="A2548" s="627" t="s">
        <v>3496</v>
      </c>
      <c r="B2548" s="628" t="s">
        <v>1130</v>
      </c>
      <c r="C2548" s="629" t="s">
        <v>100</v>
      </c>
      <c r="D2548" s="630">
        <v>3.84</v>
      </c>
      <c r="E2548" s="622"/>
      <c r="F2548" s="334"/>
      <c r="G2548" s="334"/>
      <c r="H2548" s="602"/>
      <c r="I2548" s="334"/>
      <c r="J2548" s="334"/>
      <c r="K2548" s="334"/>
      <c r="L2548" s="334"/>
      <c r="M2548" s="334"/>
      <c r="N2548" s="334"/>
      <c r="O2548" s="334"/>
    </row>
    <row r="2549" spans="1:15" ht="12.75" hidden="1" customHeight="1" outlineLevel="1" x14ac:dyDescent="0.2">
      <c r="A2549" s="623" t="s">
        <v>3497</v>
      </c>
      <c r="B2549" s="624" t="s">
        <v>1128</v>
      </c>
      <c r="C2549" s="625" t="s">
        <v>100</v>
      </c>
      <c r="D2549" s="626">
        <v>22.27</v>
      </c>
      <c r="E2549" s="622"/>
      <c r="F2549" s="334"/>
      <c r="G2549" s="334"/>
      <c r="H2549" s="602"/>
      <c r="I2549" s="334"/>
      <c r="J2549" s="334"/>
      <c r="K2549" s="334"/>
      <c r="L2549" s="334"/>
      <c r="M2549" s="334"/>
      <c r="N2549" s="334"/>
      <c r="O2549" s="334"/>
    </row>
    <row r="2550" spans="1:15" ht="12.75" hidden="1" customHeight="1" outlineLevel="1" x14ac:dyDescent="0.2">
      <c r="A2550" s="627" t="s">
        <v>3498</v>
      </c>
      <c r="B2550" s="628" t="s">
        <v>1130</v>
      </c>
      <c r="C2550" s="629" t="s">
        <v>100</v>
      </c>
      <c r="D2550" s="630">
        <v>22.27</v>
      </c>
      <c r="E2550" s="622"/>
      <c r="F2550" s="334"/>
      <c r="G2550" s="334"/>
      <c r="H2550" s="602"/>
      <c r="I2550" s="334"/>
      <c r="J2550" s="334"/>
      <c r="K2550" s="334"/>
      <c r="L2550" s="334"/>
      <c r="M2550" s="334"/>
      <c r="N2550" s="334"/>
      <c r="O2550" s="334"/>
    </row>
    <row r="2551" spans="1:15" ht="12.75" hidden="1" customHeight="1" outlineLevel="1" x14ac:dyDescent="0.2">
      <c r="A2551" s="623" t="s">
        <v>3499</v>
      </c>
      <c r="B2551" s="628" t="s">
        <v>1134</v>
      </c>
      <c r="C2551" s="625" t="s">
        <v>100</v>
      </c>
      <c r="D2551" s="626">
        <v>60.54</v>
      </c>
      <c r="E2551" s="622"/>
      <c r="F2551" s="334"/>
      <c r="G2551" s="334"/>
      <c r="H2551" s="602"/>
      <c r="I2551" s="334"/>
      <c r="J2551" s="334"/>
      <c r="K2551" s="334"/>
      <c r="L2551" s="334"/>
      <c r="M2551" s="334"/>
      <c r="N2551" s="334"/>
      <c r="O2551" s="334"/>
    </row>
    <row r="2552" spans="1:15" ht="12.75" hidden="1" customHeight="1" outlineLevel="1" x14ac:dyDescent="0.2">
      <c r="A2552" s="627" t="s">
        <v>3500</v>
      </c>
      <c r="B2552" s="624" t="s">
        <v>1128</v>
      </c>
      <c r="C2552" s="629" t="s">
        <v>100</v>
      </c>
      <c r="D2552" s="630">
        <v>60.54</v>
      </c>
      <c r="E2552" s="622"/>
      <c r="F2552" s="334"/>
      <c r="G2552" s="334"/>
      <c r="H2552" s="602"/>
      <c r="I2552" s="334"/>
      <c r="J2552" s="334"/>
      <c r="K2552" s="334"/>
      <c r="L2552" s="334"/>
      <c r="M2552" s="334"/>
      <c r="N2552" s="334"/>
      <c r="O2552" s="334"/>
    </row>
    <row r="2553" spans="1:15" ht="12.75" hidden="1" customHeight="1" outlineLevel="1" x14ac:dyDescent="0.2">
      <c r="A2553" s="623" t="s">
        <v>3501</v>
      </c>
      <c r="B2553" s="628" t="s">
        <v>1130</v>
      </c>
      <c r="C2553" s="625" t="s">
        <v>100</v>
      </c>
      <c r="D2553" s="626">
        <v>60.54</v>
      </c>
      <c r="E2553" s="622"/>
      <c r="F2553" s="334"/>
      <c r="G2553" s="334"/>
      <c r="H2553" s="602"/>
      <c r="I2553" s="334"/>
      <c r="J2553" s="334"/>
      <c r="K2553" s="334"/>
      <c r="L2553" s="334"/>
      <c r="M2553" s="334"/>
      <c r="N2553" s="334"/>
      <c r="O2553" s="334"/>
    </row>
    <row r="2554" spans="1:15" ht="12.75" hidden="1" customHeight="1" outlineLevel="1" x14ac:dyDescent="0.2">
      <c r="A2554" s="627" t="s">
        <v>3502</v>
      </c>
      <c r="B2554" s="628" t="s">
        <v>1134</v>
      </c>
      <c r="C2554" s="629" t="s">
        <v>100</v>
      </c>
      <c r="D2554" s="630">
        <v>21.82</v>
      </c>
      <c r="E2554" s="622"/>
      <c r="F2554" s="334"/>
      <c r="G2554" s="334"/>
      <c r="H2554" s="602"/>
      <c r="I2554" s="334"/>
      <c r="J2554" s="334"/>
      <c r="K2554" s="334"/>
      <c r="L2554" s="334"/>
      <c r="M2554" s="334"/>
      <c r="N2554" s="334"/>
      <c r="O2554" s="334"/>
    </row>
    <row r="2555" spans="1:15" ht="12.75" hidden="1" customHeight="1" outlineLevel="1" x14ac:dyDescent="0.2">
      <c r="A2555" s="623" t="s">
        <v>3503</v>
      </c>
      <c r="B2555" s="624" t="s">
        <v>1128</v>
      </c>
      <c r="C2555" s="625" t="s">
        <v>100</v>
      </c>
      <c r="D2555" s="626">
        <v>21.82</v>
      </c>
      <c r="E2555" s="622"/>
      <c r="F2555" s="334"/>
      <c r="G2555" s="334"/>
      <c r="H2555" s="602"/>
      <c r="I2555" s="334"/>
      <c r="J2555" s="334"/>
      <c r="K2555" s="334"/>
      <c r="L2555" s="334"/>
      <c r="M2555" s="334"/>
      <c r="N2555" s="334"/>
      <c r="O2555" s="334"/>
    </row>
    <row r="2556" spans="1:15" ht="12.75" hidden="1" customHeight="1" outlineLevel="1" x14ac:dyDescent="0.2">
      <c r="A2556" s="627" t="s">
        <v>3504</v>
      </c>
      <c r="B2556" s="628" t="s">
        <v>1130</v>
      </c>
      <c r="C2556" s="629" t="s">
        <v>100</v>
      </c>
      <c r="D2556" s="630">
        <v>21.82</v>
      </c>
      <c r="E2556" s="622"/>
      <c r="F2556" s="334"/>
      <c r="G2556" s="334"/>
      <c r="H2556" s="602"/>
      <c r="I2556" s="334"/>
      <c r="J2556" s="334"/>
      <c r="K2556" s="334"/>
      <c r="L2556" s="334"/>
      <c r="M2556" s="334"/>
      <c r="N2556" s="334"/>
      <c r="O2556" s="334"/>
    </row>
    <row r="2557" spans="1:15" ht="12.75" hidden="1" customHeight="1" outlineLevel="1" x14ac:dyDescent="0.2">
      <c r="A2557" s="623" t="s">
        <v>3505</v>
      </c>
      <c r="B2557" s="624" t="s">
        <v>1132</v>
      </c>
      <c r="C2557" s="625" t="s">
        <v>100</v>
      </c>
      <c r="D2557" s="626">
        <v>22.27</v>
      </c>
      <c r="E2557" s="622"/>
      <c r="F2557" s="334"/>
      <c r="G2557" s="334"/>
      <c r="H2557" s="602"/>
      <c r="I2557" s="334"/>
      <c r="J2557" s="334"/>
      <c r="K2557" s="334"/>
      <c r="L2557" s="334"/>
      <c r="M2557" s="334"/>
      <c r="N2557" s="334"/>
      <c r="O2557" s="334"/>
    </row>
    <row r="2558" spans="1:15" ht="12.75" hidden="1" customHeight="1" outlineLevel="1" x14ac:dyDescent="0.2">
      <c r="A2558" s="618" t="s">
        <v>3506</v>
      </c>
      <c r="B2558" s="619" t="s">
        <v>1047</v>
      </c>
      <c r="C2558" s="620"/>
      <c r="D2558" s="621"/>
      <c r="E2558" s="622"/>
      <c r="F2558" s="334"/>
      <c r="G2558" s="334"/>
      <c r="H2558" s="602"/>
      <c r="I2558" s="334"/>
      <c r="J2558" s="334"/>
      <c r="K2558" s="334"/>
      <c r="L2558" s="334"/>
      <c r="M2558" s="334"/>
      <c r="N2558" s="334"/>
      <c r="O2558" s="334"/>
    </row>
    <row r="2559" spans="1:15" ht="12.75" hidden="1" customHeight="1" outlineLevel="1" x14ac:dyDescent="0.2">
      <c r="A2559" s="627" t="s">
        <v>3507</v>
      </c>
      <c r="B2559" s="628" t="s">
        <v>1128</v>
      </c>
      <c r="C2559" s="629" t="s">
        <v>100</v>
      </c>
      <c r="D2559" s="630">
        <v>2.9</v>
      </c>
      <c r="E2559" s="622"/>
      <c r="F2559" s="334"/>
      <c r="G2559" s="334"/>
      <c r="H2559" s="602"/>
      <c r="I2559" s="334"/>
      <c r="J2559" s="334"/>
      <c r="K2559" s="334"/>
      <c r="L2559" s="334"/>
      <c r="M2559" s="334"/>
      <c r="N2559" s="334"/>
      <c r="O2559" s="334"/>
    </row>
    <row r="2560" spans="1:15" ht="12.75" hidden="1" customHeight="1" outlineLevel="1" x14ac:dyDescent="0.2">
      <c r="A2560" s="623" t="s">
        <v>3508</v>
      </c>
      <c r="B2560" s="624" t="s">
        <v>1130</v>
      </c>
      <c r="C2560" s="625" t="s">
        <v>100</v>
      </c>
      <c r="D2560" s="626">
        <v>2.9</v>
      </c>
      <c r="E2560" s="622"/>
      <c r="F2560" s="334"/>
      <c r="G2560" s="334"/>
      <c r="H2560" s="602"/>
      <c r="I2560" s="334"/>
      <c r="J2560" s="334"/>
      <c r="K2560" s="334"/>
      <c r="L2560" s="334"/>
      <c r="M2560" s="334"/>
      <c r="N2560" s="334"/>
      <c r="O2560" s="334"/>
    </row>
    <row r="2561" spans="1:15" ht="12.75" hidden="1" customHeight="1" outlineLevel="1" x14ac:dyDescent="0.2">
      <c r="A2561" s="627" t="s">
        <v>3509</v>
      </c>
      <c r="B2561" s="628" t="s">
        <v>1132</v>
      </c>
      <c r="C2561" s="629" t="s">
        <v>100</v>
      </c>
      <c r="D2561" s="630">
        <v>2.9</v>
      </c>
      <c r="E2561" s="622"/>
      <c r="F2561" s="334"/>
      <c r="G2561" s="334"/>
      <c r="H2561" s="602"/>
      <c r="I2561" s="334"/>
      <c r="J2561" s="334"/>
      <c r="K2561" s="334"/>
      <c r="L2561" s="334"/>
      <c r="M2561" s="334"/>
      <c r="N2561" s="334"/>
      <c r="O2561" s="334"/>
    </row>
    <row r="2562" spans="1:15" ht="12.75" hidden="1" customHeight="1" outlineLevel="1" x14ac:dyDescent="0.2">
      <c r="A2562" s="623" t="s">
        <v>3510</v>
      </c>
      <c r="B2562" s="624" t="s">
        <v>1134</v>
      </c>
      <c r="C2562" s="625" t="s">
        <v>100</v>
      </c>
      <c r="D2562" s="626">
        <v>29.89</v>
      </c>
      <c r="E2562" s="622"/>
      <c r="F2562" s="334"/>
      <c r="G2562" s="334"/>
      <c r="H2562" s="602"/>
      <c r="I2562" s="334"/>
      <c r="J2562" s="334"/>
      <c r="K2562" s="334"/>
      <c r="L2562" s="334"/>
      <c r="M2562" s="334"/>
      <c r="N2562" s="334"/>
      <c r="O2562" s="334"/>
    </row>
    <row r="2563" spans="1:15" ht="12.75" hidden="1" customHeight="1" outlineLevel="1" x14ac:dyDescent="0.2">
      <c r="A2563" s="627" t="s">
        <v>3511</v>
      </c>
      <c r="B2563" s="628" t="s">
        <v>1128</v>
      </c>
      <c r="C2563" s="629" t="s">
        <v>100</v>
      </c>
      <c r="D2563" s="630">
        <v>29.89</v>
      </c>
      <c r="E2563" s="622"/>
      <c r="F2563" s="334"/>
      <c r="G2563" s="334"/>
      <c r="H2563" s="602"/>
      <c r="I2563" s="334"/>
      <c r="J2563" s="334"/>
      <c r="K2563" s="334"/>
      <c r="L2563" s="334"/>
      <c r="M2563" s="334"/>
      <c r="N2563" s="334"/>
      <c r="O2563" s="334"/>
    </row>
    <row r="2564" spans="1:15" ht="12.75" hidden="1" customHeight="1" outlineLevel="1" x14ac:dyDescent="0.2">
      <c r="A2564" s="623" t="s">
        <v>3512</v>
      </c>
      <c r="B2564" s="624" t="s">
        <v>1130</v>
      </c>
      <c r="C2564" s="625" t="s">
        <v>100</v>
      </c>
      <c r="D2564" s="626">
        <v>29.89</v>
      </c>
      <c r="E2564" s="622"/>
      <c r="F2564" s="334"/>
      <c r="G2564" s="334"/>
      <c r="H2564" s="602"/>
      <c r="I2564" s="334"/>
      <c r="J2564" s="334"/>
      <c r="K2564" s="334"/>
      <c r="L2564" s="334"/>
      <c r="M2564" s="334"/>
      <c r="N2564" s="334"/>
      <c r="O2564" s="334"/>
    </row>
    <row r="2565" spans="1:15" ht="12.75" hidden="1" customHeight="1" outlineLevel="1" x14ac:dyDescent="0.2">
      <c r="A2565" s="627" t="s">
        <v>3513</v>
      </c>
      <c r="B2565" s="624" t="s">
        <v>1134</v>
      </c>
      <c r="C2565" s="629" t="s">
        <v>100</v>
      </c>
      <c r="D2565" s="630">
        <v>4.1100000000000003</v>
      </c>
      <c r="E2565" s="622"/>
      <c r="F2565" s="334"/>
      <c r="G2565" s="334"/>
      <c r="H2565" s="602"/>
      <c r="I2565" s="334"/>
      <c r="J2565" s="334"/>
      <c r="K2565" s="334"/>
      <c r="L2565" s="334"/>
      <c r="M2565" s="334"/>
      <c r="N2565" s="334"/>
      <c r="O2565" s="334"/>
    </row>
    <row r="2566" spans="1:15" ht="12.75" hidden="1" customHeight="1" outlineLevel="1" x14ac:dyDescent="0.2">
      <c r="A2566" s="623" t="s">
        <v>3514</v>
      </c>
      <c r="B2566" s="628" t="s">
        <v>1128</v>
      </c>
      <c r="C2566" s="625" t="s">
        <v>100</v>
      </c>
      <c r="D2566" s="626">
        <v>4.1100000000000003</v>
      </c>
      <c r="E2566" s="622"/>
      <c r="F2566" s="334"/>
      <c r="G2566" s="334"/>
      <c r="H2566" s="602"/>
      <c r="I2566" s="334"/>
      <c r="J2566" s="334"/>
      <c r="K2566" s="334"/>
      <c r="L2566" s="334"/>
      <c r="M2566" s="334"/>
      <c r="N2566" s="334"/>
      <c r="O2566" s="334"/>
    </row>
    <row r="2567" spans="1:15" ht="12.75" hidden="1" customHeight="1" outlineLevel="1" x14ac:dyDescent="0.2">
      <c r="A2567" s="627" t="s">
        <v>3515</v>
      </c>
      <c r="B2567" s="624" t="s">
        <v>1130</v>
      </c>
      <c r="C2567" s="629" t="s">
        <v>100</v>
      </c>
      <c r="D2567" s="630">
        <v>4.1100000000000003</v>
      </c>
      <c r="E2567" s="622"/>
      <c r="F2567" s="334"/>
      <c r="G2567" s="334"/>
      <c r="H2567" s="602"/>
      <c r="I2567" s="334"/>
      <c r="J2567" s="334"/>
      <c r="K2567" s="334"/>
      <c r="L2567" s="334"/>
      <c r="M2567" s="334"/>
      <c r="N2567" s="334"/>
      <c r="O2567" s="334"/>
    </row>
    <row r="2568" spans="1:15" ht="12.75" hidden="1" customHeight="1" outlineLevel="1" x14ac:dyDescent="0.2">
      <c r="A2568" s="623" t="s">
        <v>3516</v>
      </c>
      <c r="B2568" s="624" t="s">
        <v>1134</v>
      </c>
      <c r="C2568" s="625" t="s">
        <v>100</v>
      </c>
      <c r="D2568" s="626">
        <v>49.08</v>
      </c>
      <c r="E2568" s="622"/>
      <c r="F2568" s="334"/>
      <c r="G2568" s="334"/>
      <c r="H2568" s="602"/>
      <c r="I2568" s="334"/>
      <c r="J2568" s="334"/>
      <c r="K2568" s="334"/>
      <c r="L2568" s="334"/>
      <c r="M2568" s="334"/>
      <c r="N2568" s="334"/>
      <c r="O2568" s="334"/>
    </row>
    <row r="2569" spans="1:15" ht="12.75" hidden="1" customHeight="1" outlineLevel="1" x14ac:dyDescent="0.2">
      <c r="A2569" s="627" t="s">
        <v>3517</v>
      </c>
      <c r="B2569" s="628" t="s">
        <v>1128</v>
      </c>
      <c r="C2569" s="629" t="s">
        <v>100</v>
      </c>
      <c r="D2569" s="630">
        <v>49.08</v>
      </c>
      <c r="E2569" s="622"/>
      <c r="F2569" s="334"/>
      <c r="G2569" s="334"/>
      <c r="H2569" s="602"/>
      <c r="I2569" s="334"/>
      <c r="J2569" s="334"/>
      <c r="K2569" s="334"/>
      <c r="L2569" s="334"/>
      <c r="M2569" s="334"/>
      <c r="N2569" s="334"/>
      <c r="O2569" s="334"/>
    </row>
    <row r="2570" spans="1:15" ht="12.75" hidden="1" customHeight="1" outlineLevel="1" x14ac:dyDescent="0.2">
      <c r="A2570" s="623" t="s">
        <v>3518</v>
      </c>
      <c r="B2570" s="624" t="s">
        <v>1130</v>
      </c>
      <c r="C2570" s="625" t="s">
        <v>100</v>
      </c>
      <c r="D2570" s="626">
        <v>49.08</v>
      </c>
      <c r="E2570" s="622"/>
      <c r="F2570" s="334"/>
      <c r="G2570" s="334"/>
      <c r="H2570" s="602"/>
      <c r="I2570" s="334"/>
      <c r="J2570" s="334"/>
      <c r="K2570" s="334"/>
      <c r="L2570" s="334"/>
      <c r="M2570" s="334"/>
      <c r="N2570" s="334"/>
      <c r="O2570" s="334"/>
    </row>
    <row r="2571" spans="1:15" ht="12.75" hidden="1" customHeight="1" outlineLevel="1" x14ac:dyDescent="0.2">
      <c r="A2571" s="627" t="s">
        <v>3519</v>
      </c>
      <c r="B2571" s="624" t="s">
        <v>1134</v>
      </c>
      <c r="C2571" s="629" t="s">
        <v>100</v>
      </c>
      <c r="D2571" s="630">
        <v>232.05</v>
      </c>
      <c r="E2571" s="622"/>
      <c r="F2571" s="334"/>
      <c r="G2571" s="334"/>
      <c r="H2571" s="602"/>
      <c r="I2571" s="334"/>
      <c r="J2571" s="334"/>
      <c r="K2571" s="334"/>
      <c r="L2571" s="334"/>
      <c r="M2571" s="334"/>
      <c r="N2571" s="334"/>
      <c r="O2571" s="334"/>
    </row>
    <row r="2572" spans="1:15" ht="12.75" hidden="1" customHeight="1" outlineLevel="1" x14ac:dyDescent="0.2">
      <c r="A2572" s="623" t="s">
        <v>3520</v>
      </c>
      <c r="B2572" s="628" t="s">
        <v>1128</v>
      </c>
      <c r="C2572" s="625" t="s">
        <v>100</v>
      </c>
      <c r="D2572" s="626">
        <v>232.05</v>
      </c>
      <c r="E2572" s="622"/>
      <c r="F2572" s="334"/>
      <c r="G2572" s="334"/>
      <c r="H2572" s="602"/>
      <c r="I2572" s="334"/>
      <c r="J2572" s="334"/>
      <c r="K2572" s="334"/>
      <c r="L2572" s="334"/>
      <c r="M2572" s="334"/>
      <c r="N2572" s="334"/>
      <c r="O2572" s="334"/>
    </row>
    <row r="2573" spans="1:15" ht="12.75" hidden="1" customHeight="1" outlineLevel="1" x14ac:dyDescent="0.2">
      <c r="A2573" s="627" t="s">
        <v>3521</v>
      </c>
      <c r="B2573" s="624" t="s">
        <v>1130</v>
      </c>
      <c r="C2573" s="629" t="s">
        <v>100</v>
      </c>
      <c r="D2573" s="630">
        <v>232.05</v>
      </c>
      <c r="E2573" s="622"/>
      <c r="F2573" s="334"/>
      <c r="G2573" s="334"/>
      <c r="H2573" s="602"/>
      <c r="I2573" s="334"/>
      <c r="J2573" s="334"/>
      <c r="K2573" s="334"/>
      <c r="L2573" s="334"/>
      <c r="M2573" s="334"/>
      <c r="N2573" s="334"/>
      <c r="O2573" s="334"/>
    </row>
    <row r="2574" spans="1:15" ht="12.75" hidden="1" customHeight="1" outlineLevel="1" x14ac:dyDescent="0.2">
      <c r="A2574" s="623" t="s">
        <v>3522</v>
      </c>
      <c r="B2574" s="624" t="s">
        <v>1134</v>
      </c>
      <c r="C2574" s="625" t="s">
        <v>100</v>
      </c>
      <c r="D2574" s="626">
        <v>42.22</v>
      </c>
      <c r="E2574" s="622"/>
      <c r="F2574" s="334"/>
      <c r="G2574" s="334"/>
      <c r="H2574" s="602"/>
      <c r="I2574" s="334"/>
      <c r="J2574" s="334"/>
      <c r="K2574" s="334"/>
      <c r="L2574" s="334"/>
      <c r="M2574" s="334"/>
      <c r="N2574" s="334"/>
      <c r="O2574" s="334"/>
    </row>
    <row r="2575" spans="1:15" ht="12.75" hidden="1" customHeight="1" outlineLevel="1" x14ac:dyDescent="0.2">
      <c r="A2575" s="627" t="s">
        <v>3523</v>
      </c>
      <c r="B2575" s="628" t="s">
        <v>1128</v>
      </c>
      <c r="C2575" s="629" t="s">
        <v>100</v>
      </c>
      <c r="D2575" s="630">
        <v>42.22</v>
      </c>
      <c r="E2575" s="622"/>
      <c r="F2575" s="334"/>
      <c r="G2575" s="334"/>
      <c r="H2575" s="602"/>
      <c r="I2575" s="334"/>
      <c r="J2575" s="334"/>
      <c r="K2575" s="334"/>
      <c r="L2575" s="334"/>
      <c r="M2575" s="334"/>
      <c r="N2575" s="334"/>
      <c r="O2575" s="334"/>
    </row>
    <row r="2576" spans="1:15" ht="12.75" hidden="1" customHeight="1" outlineLevel="1" x14ac:dyDescent="0.2">
      <c r="A2576" s="623" t="s">
        <v>3524</v>
      </c>
      <c r="B2576" s="624" t="s">
        <v>1130</v>
      </c>
      <c r="C2576" s="625" t="s">
        <v>100</v>
      </c>
      <c r="D2576" s="626">
        <v>42.22</v>
      </c>
      <c r="E2576" s="622"/>
      <c r="F2576" s="334"/>
      <c r="G2576" s="334"/>
      <c r="H2576" s="602"/>
      <c r="I2576" s="334"/>
      <c r="J2576" s="334"/>
      <c r="K2576" s="334"/>
      <c r="L2576" s="334"/>
      <c r="M2576" s="334"/>
      <c r="N2576" s="334"/>
      <c r="O2576" s="334"/>
    </row>
    <row r="2577" spans="1:15" ht="12.75" hidden="1" customHeight="1" outlineLevel="1" x14ac:dyDescent="0.2">
      <c r="A2577" s="627" t="s">
        <v>3525</v>
      </c>
      <c r="B2577" s="624" t="s">
        <v>1134</v>
      </c>
      <c r="C2577" s="629" t="s">
        <v>100</v>
      </c>
      <c r="D2577" s="630">
        <v>18.25</v>
      </c>
      <c r="E2577" s="622"/>
      <c r="F2577" s="334"/>
      <c r="G2577" s="334"/>
      <c r="H2577" s="602"/>
      <c r="I2577" s="334"/>
      <c r="J2577" s="334"/>
      <c r="K2577" s="334"/>
      <c r="L2577" s="334"/>
      <c r="M2577" s="334"/>
      <c r="N2577" s="334"/>
      <c r="O2577" s="334"/>
    </row>
    <row r="2578" spans="1:15" ht="12.75" hidden="1" customHeight="1" outlineLevel="1" x14ac:dyDescent="0.2">
      <c r="A2578" s="623" t="s">
        <v>3526</v>
      </c>
      <c r="B2578" s="628" t="s">
        <v>1128</v>
      </c>
      <c r="C2578" s="625" t="s">
        <v>100</v>
      </c>
      <c r="D2578" s="626">
        <v>18.25</v>
      </c>
      <c r="E2578" s="622"/>
      <c r="F2578" s="334"/>
      <c r="G2578" s="334"/>
      <c r="H2578" s="602"/>
      <c r="I2578" s="334"/>
      <c r="J2578" s="334"/>
      <c r="K2578" s="334"/>
      <c r="L2578" s="334"/>
      <c r="M2578" s="334"/>
      <c r="N2578" s="334"/>
      <c r="O2578" s="334"/>
    </row>
    <row r="2579" spans="1:15" ht="12.75" hidden="1" customHeight="1" outlineLevel="1" x14ac:dyDescent="0.2">
      <c r="A2579" s="627" t="s">
        <v>3527</v>
      </c>
      <c r="B2579" s="624" t="s">
        <v>1130</v>
      </c>
      <c r="C2579" s="629" t="s">
        <v>100</v>
      </c>
      <c r="D2579" s="630">
        <v>18.25</v>
      </c>
      <c r="E2579" s="622"/>
      <c r="F2579" s="334"/>
      <c r="G2579" s="334"/>
      <c r="H2579" s="602"/>
      <c r="I2579" s="334"/>
      <c r="J2579" s="334"/>
      <c r="K2579" s="334"/>
      <c r="L2579" s="334"/>
      <c r="M2579" s="334"/>
      <c r="N2579" s="334"/>
      <c r="O2579" s="334"/>
    </row>
    <row r="2580" spans="1:15" ht="12.75" hidden="1" customHeight="1" outlineLevel="1" x14ac:dyDescent="0.2">
      <c r="A2580" s="623" t="s">
        <v>3528</v>
      </c>
      <c r="B2580" s="624" t="s">
        <v>1128</v>
      </c>
      <c r="C2580" s="625" t="s">
        <v>100</v>
      </c>
      <c r="D2580" s="626">
        <v>6.63</v>
      </c>
      <c r="E2580" s="622"/>
      <c r="F2580" s="334"/>
      <c r="G2580" s="334"/>
      <c r="H2580" s="602"/>
      <c r="I2580" s="334"/>
      <c r="J2580" s="334"/>
      <c r="K2580" s="334"/>
      <c r="L2580" s="334"/>
      <c r="M2580" s="334"/>
      <c r="N2580" s="334"/>
      <c r="O2580" s="334"/>
    </row>
    <row r="2581" spans="1:15" ht="12.75" hidden="1" customHeight="1" outlineLevel="1" x14ac:dyDescent="0.2">
      <c r="A2581" s="627" t="s">
        <v>3529</v>
      </c>
      <c r="B2581" s="628" t="s">
        <v>1130</v>
      </c>
      <c r="C2581" s="629" t="s">
        <v>100</v>
      </c>
      <c r="D2581" s="630">
        <v>6.63</v>
      </c>
      <c r="E2581" s="622"/>
      <c r="F2581" s="334"/>
      <c r="G2581" s="334"/>
      <c r="H2581" s="602"/>
      <c r="I2581" s="334"/>
      <c r="J2581" s="334"/>
      <c r="K2581" s="334"/>
      <c r="L2581" s="334"/>
      <c r="M2581" s="334"/>
      <c r="N2581" s="334"/>
      <c r="O2581" s="334"/>
    </row>
    <row r="2582" spans="1:15" ht="12.75" hidden="1" customHeight="1" outlineLevel="1" x14ac:dyDescent="0.2">
      <c r="A2582" s="623" t="s">
        <v>3530</v>
      </c>
      <c r="B2582" s="624" t="s">
        <v>1132</v>
      </c>
      <c r="C2582" s="625" t="s">
        <v>100</v>
      </c>
      <c r="D2582" s="626">
        <v>6.63</v>
      </c>
      <c r="E2582" s="622"/>
      <c r="F2582" s="334"/>
      <c r="G2582" s="334"/>
      <c r="H2582" s="602"/>
      <c r="I2582" s="334"/>
      <c r="J2582" s="334"/>
      <c r="K2582" s="334"/>
      <c r="L2582" s="334"/>
      <c r="M2582" s="334"/>
      <c r="N2582" s="334"/>
      <c r="O2582" s="334"/>
    </row>
    <row r="2583" spans="1:15" ht="12.75" hidden="1" customHeight="1" outlineLevel="1" x14ac:dyDescent="0.2">
      <c r="A2583" s="627" t="s">
        <v>3531</v>
      </c>
      <c r="B2583" s="628" t="s">
        <v>1128</v>
      </c>
      <c r="C2583" s="629" t="s">
        <v>100</v>
      </c>
      <c r="D2583" s="630">
        <v>22.27</v>
      </c>
      <c r="E2583" s="622"/>
      <c r="F2583" s="334"/>
      <c r="G2583" s="334"/>
      <c r="H2583" s="602"/>
      <c r="I2583" s="334"/>
      <c r="J2583" s="334"/>
      <c r="K2583" s="334"/>
      <c r="L2583" s="334"/>
      <c r="M2583" s="334"/>
      <c r="N2583" s="334"/>
      <c r="O2583" s="334"/>
    </row>
    <row r="2584" spans="1:15" ht="12.75" hidden="1" customHeight="1" outlineLevel="1" x14ac:dyDescent="0.2">
      <c r="A2584" s="623" t="s">
        <v>3532</v>
      </c>
      <c r="B2584" s="624" t="s">
        <v>1130</v>
      </c>
      <c r="C2584" s="625" t="s">
        <v>100</v>
      </c>
      <c r="D2584" s="626">
        <v>22.27</v>
      </c>
      <c r="E2584" s="622"/>
      <c r="F2584" s="334"/>
      <c r="G2584" s="334"/>
      <c r="H2584" s="602"/>
      <c r="I2584" s="334"/>
      <c r="J2584" s="334"/>
      <c r="K2584" s="334"/>
      <c r="L2584" s="334"/>
      <c r="M2584" s="334"/>
      <c r="N2584" s="334"/>
      <c r="O2584" s="334"/>
    </row>
    <row r="2585" spans="1:15" ht="12.75" hidden="1" customHeight="1" outlineLevel="1" x14ac:dyDescent="0.2">
      <c r="A2585" s="627" t="s">
        <v>3533</v>
      </c>
      <c r="B2585" s="628" t="s">
        <v>1132</v>
      </c>
      <c r="C2585" s="629" t="s">
        <v>100</v>
      </c>
      <c r="D2585" s="630">
        <v>22.27</v>
      </c>
      <c r="E2585" s="622"/>
      <c r="F2585" s="334"/>
      <c r="G2585" s="334"/>
      <c r="H2585" s="602"/>
      <c r="I2585" s="334"/>
      <c r="J2585" s="334"/>
      <c r="K2585" s="334"/>
      <c r="L2585" s="334"/>
      <c r="M2585" s="334"/>
      <c r="N2585" s="334"/>
      <c r="O2585" s="334"/>
    </row>
    <row r="2586" spans="1:15" ht="12.75" hidden="1" customHeight="1" outlineLevel="1" x14ac:dyDescent="0.2">
      <c r="A2586" s="618" t="s">
        <v>3534</v>
      </c>
      <c r="B2586" s="619" t="s">
        <v>1058</v>
      </c>
      <c r="C2586" s="620"/>
      <c r="D2586" s="621"/>
      <c r="E2586" s="622"/>
      <c r="F2586" s="334"/>
      <c r="G2586" s="334"/>
      <c r="H2586" s="602"/>
      <c r="I2586" s="334"/>
      <c r="J2586" s="334"/>
      <c r="K2586" s="334"/>
      <c r="L2586" s="334"/>
      <c r="M2586" s="334"/>
      <c r="N2586" s="334"/>
      <c r="O2586" s="334"/>
    </row>
    <row r="2587" spans="1:15" ht="12.75" hidden="1" customHeight="1" outlineLevel="1" x14ac:dyDescent="0.2">
      <c r="A2587" s="623" t="s">
        <v>3535</v>
      </c>
      <c r="B2587" s="628" t="s">
        <v>1128</v>
      </c>
      <c r="C2587" s="625" t="s">
        <v>100</v>
      </c>
      <c r="D2587" s="626">
        <v>2.9</v>
      </c>
      <c r="E2587" s="622"/>
      <c r="F2587" s="334"/>
      <c r="G2587" s="334"/>
      <c r="H2587" s="602"/>
      <c r="I2587" s="334"/>
      <c r="J2587" s="334"/>
      <c r="K2587" s="334"/>
      <c r="L2587" s="334"/>
      <c r="M2587" s="334"/>
      <c r="N2587" s="334"/>
      <c r="O2587" s="334"/>
    </row>
    <row r="2588" spans="1:15" ht="12.75" hidden="1" customHeight="1" outlineLevel="1" x14ac:dyDescent="0.2">
      <c r="A2588" s="627" t="s">
        <v>3536</v>
      </c>
      <c r="B2588" s="624" t="s">
        <v>1130</v>
      </c>
      <c r="C2588" s="629" t="s">
        <v>100</v>
      </c>
      <c r="D2588" s="630">
        <v>2.9</v>
      </c>
      <c r="E2588" s="622"/>
      <c r="F2588" s="334"/>
      <c r="G2588" s="334"/>
      <c r="H2588" s="602"/>
      <c r="I2588" s="334"/>
      <c r="J2588" s="334"/>
      <c r="K2588" s="334"/>
      <c r="L2588" s="334"/>
      <c r="M2588" s="334"/>
      <c r="N2588" s="334"/>
      <c r="O2588" s="334"/>
    </row>
    <row r="2589" spans="1:15" ht="12.75" hidden="1" customHeight="1" outlineLevel="1" x14ac:dyDescent="0.2">
      <c r="A2589" s="623" t="s">
        <v>3537</v>
      </c>
      <c r="B2589" s="628" t="s">
        <v>1132</v>
      </c>
      <c r="C2589" s="625" t="s">
        <v>100</v>
      </c>
      <c r="D2589" s="626">
        <v>2.9</v>
      </c>
      <c r="E2589" s="622"/>
      <c r="F2589" s="334"/>
      <c r="G2589" s="334"/>
      <c r="H2589" s="602"/>
      <c r="I2589" s="334"/>
      <c r="J2589" s="334"/>
      <c r="K2589" s="334"/>
      <c r="L2589" s="334"/>
      <c r="M2589" s="334"/>
      <c r="N2589" s="334"/>
      <c r="O2589" s="334"/>
    </row>
    <row r="2590" spans="1:15" ht="12.75" hidden="1" customHeight="1" outlineLevel="1" x14ac:dyDescent="0.2">
      <c r="A2590" s="627" t="s">
        <v>3538</v>
      </c>
      <c r="B2590" s="624" t="s">
        <v>1134</v>
      </c>
      <c r="C2590" s="629" t="s">
        <v>100</v>
      </c>
      <c r="D2590" s="630">
        <v>29.89</v>
      </c>
      <c r="E2590" s="622"/>
      <c r="F2590" s="334"/>
      <c r="G2590" s="334"/>
      <c r="H2590" s="602"/>
      <c r="I2590" s="334"/>
      <c r="J2590" s="334"/>
      <c r="K2590" s="334"/>
      <c r="L2590" s="334"/>
      <c r="M2590" s="334"/>
      <c r="N2590" s="334"/>
      <c r="O2590" s="334"/>
    </row>
    <row r="2591" spans="1:15" ht="12.75" hidden="1" customHeight="1" outlineLevel="1" x14ac:dyDescent="0.2">
      <c r="A2591" s="623" t="s">
        <v>3539</v>
      </c>
      <c r="B2591" s="628" t="s">
        <v>1128</v>
      </c>
      <c r="C2591" s="625" t="s">
        <v>100</v>
      </c>
      <c r="D2591" s="626">
        <v>29.89</v>
      </c>
      <c r="E2591" s="622"/>
      <c r="F2591" s="334"/>
      <c r="G2591" s="334"/>
      <c r="H2591" s="602"/>
      <c r="I2591" s="334"/>
      <c r="J2591" s="334"/>
      <c r="K2591" s="334"/>
      <c r="L2591" s="334"/>
      <c r="M2591" s="334"/>
      <c r="N2591" s="334"/>
      <c r="O2591" s="334"/>
    </row>
    <row r="2592" spans="1:15" ht="12.75" hidden="1" customHeight="1" outlineLevel="1" x14ac:dyDescent="0.2">
      <c r="A2592" s="627" t="s">
        <v>3540</v>
      </c>
      <c r="B2592" s="624" t="s">
        <v>1130</v>
      </c>
      <c r="C2592" s="629" t="s">
        <v>100</v>
      </c>
      <c r="D2592" s="630">
        <v>29.89</v>
      </c>
      <c r="E2592" s="622"/>
      <c r="F2592" s="334"/>
      <c r="G2592" s="334"/>
      <c r="H2592" s="602"/>
      <c r="I2592" s="334"/>
      <c r="J2592" s="334"/>
      <c r="K2592" s="334"/>
      <c r="L2592" s="334"/>
      <c r="M2592" s="334"/>
      <c r="N2592" s="334"/>
      <c r="O2592" s="334"/>
    </row>
    <row r="2593" spans="1:15" ht="12.75" hidden="1" customHeight="1" outlineLevel="1" x14ac:dyDescent="0.2">
      <c r="A2593" s="623" t="s">
        <v>3541</v>
      </c>
      <c r="B2593" s="624" t="s">
        <v>1134</v>
      </c>
      <c r="C2593" s="625" t="s">
        <v>100</v>
      </c>
      <c r="D2593" s="626">
        <v>4.1100000000000003</v>
      </c>
      <c r="E2593" s="622"/>
      <c r="F2593" s="334"/>
      <c r="G2593" s="334"/>
      <c r="H2593" s="602"/>
      <c r="I2593" s="334"/>
      <c r="J2593" s="334"/>
      <c r="K2593" s="334"/>
      <c r="L2593" s="334"/>
      <c r="M2593" s="334"/>
      <c r="N2593" s="334"/>
      <c r="O2593" s="334"/>
    </row>
    <row r="2594" spans="1:15" ht="12.75" hidden="1" customHeight="1" outlineLevel="1" x14ac:dyDescent="0.2">
      <c r="A2594" s="627" t="s">
        <v>3542</v>
      </c>
      <c r="B2594" s="628" t="s">
        <v>1128</v>
      </c>
      <c r="C2594" s="629" t="s">
        <v>100</v>
      </c>
      <c r="D2594" s="630">
        <v>4.1100000000000003</v>
      </c>
      <c r="E2594" s="622"/>
      <c r="F2594" s="334"/>
      <c r="G2594" s="334"/>
      <c r="H2594" s="602"/>
      <c r="I2594" s="334"/>
      <c r="J2594" s="334"/>
      <c r="K2594" s="334"/>
      <c r="L2594" s="334"/>
      <c r="M2594" s="334"/>
      <c r="N2594" s="334"/>
      <c r="O2594" s="334"/>
    </row>
    <row r="2595" spans="1:15" ht="12.75" hidden="1" customHeight="1" outlineLevel="1" x14ac:dyDescent="0.2">
      <c r="A2595" s="623" t="s">
        <v>3543</v>
      </c>
      <c r="B2595" s="624" t="s">
        <v>1130</v>
      </c>
      <c r="C2595" s="625" t="s">
        <v>100</v>
      </c>
      <c r="D2595" s="626">
        <v>4.1100000000000003</v>
      </c>
      <c r="E2595" s="622"/>
      <c r="F2595" s="334"/>
      <c r="G2595" s="334"/>
      <c r="H2595" s="602"/>
      <c r="I2595" s="334"/>
      <c r="J2595" s="334"/>
      <c r="K2595" s="334"/>
      <c r="L2595" s="334"/>
      <c r="M2595" s="334"/>
      <c r="N2595" s="334"/>
      <c r="O2595" s="334"/>
    </row>
    <row r="2596" spans="1:15" ht="12.75" hidden="1" customHeight="1" outlineLevel="1" x14ac:dyDescent="0.2">
      <c r="A2596" s="627" t="s">
        <v>3544</v>
      </c>
      <c r="B2596" s="624" t="s">
        <v>1134</v>
      </c>
      <c r="C2596" s="629" t="s">
        <v>100</v>
      </c>
      <c r="D2596" s="630">
        <v>49.08</v>
      </c>
      <c r="E2596" s="622"/>
      <c r="F2596" s="334"/>
      <c r="G2596" s="334"/>
      <c r="H2596" s="602"/>
      <c r="I2596" s="334"/>
      <c r="J2596" s="334"/>
      <c r="K2596" s="334"/>
      <c r="L2596" s="334"/>
      <c r="M2596" s="334"/>
      <c r="N2596" s="334"/>
      <c r="O2596" s="334"/>
    </row>
    <row r="2597" spans="1:15" ht="12.75" hidden="1" customHeight="1" outlineLevel="1" x14ac:dyDescent="0.2">
      <c r="A2597" s="623" t="s">
        <v>3545</v>
      </c>
      <c r="B2597" s="628" t="s">
        <v>1128</v>
      </c>
      <c r="C2597" s="625" t="s">
        <v>100</v>
      </c>
      <c r="D2597" s="626">
        <v>49.08</v>
      </c>
      <c r="E2597" s="622"/>
      <c r="F2597" s="334"/>
      <c r="G2597" s="334"/>
      <c r="H2597" s="602"/>
      <c r="I2597" s="334"/>
      <c r="J2597" s="334"/>
      <c r="K2597" s="334"/>
      <c r="L2597" s="334"/>
      <c r="M2597" s="334"/>
      <c r="N2597" s="334"/>
      <c r="O2597" s="334"/>
    </row>
    <row r="2598" spans="1:15" ht="12.75" hidden="1" customHeight="1" outlineLevel="1" x14ac:dyDescent="0.2">
      <c r="A2598" s="627" t="s">
        <v>3546</v>
      </c>
      <c r="B2598" s="624" t="s">
        <v>1130</v>
      </c>
      <c r="C2598" s="629" t="s">
        <v>100</v>
      </c>
      <c r="D2598" s="630">
        <v>49.08</v>
      </c>
      <c r="E2598" s="622"/>
      <c r="F2598" s="334"/>
      <c r="G2598" s="334"/>
      <c r="H2598" s="602"/>
      <c r="I2598" s="334"/>
      <c r="J2598" s="334"/>
      <c r="K2598" s="334"/>
      <c r="L2598" s="334"/>
      <c r="M2598" s="334"/>
      <c r="N2598" s="334"/>
      <c r="O2598" s="334"/>
    </row>
    <row r="2599" spans="1:15" ht="12.75" hidden="1" customHeight="1" outlineLevel="1" x14ac:dyDescent="0.2">
      <c r="A2599" s="623" t="s">
        <v>3547</v>
      </c>
      <c r="B2599" s="624" t="s">
        <v>1134</v>
      </c>
      <c r="C2599" s="625" t="s">
        <v>100</v>
      </c>
      <c r="D2599" s="626">
        <v>232.05</v>
      </c>
      <c r="E2599" s="622"/>
      <c r="F2599" s="334"/>
      <c r="G2599" s="334"/>
      <c r="H2599" s="602"/>
      <c r="I2599" s="334"/>
      <c r="J2599" s="334"/>
      <c r="K2599" s="334"/>
      <c r="L2599" s="334"/>
      <c r="M2599" s="334"/>
      <c r="N2599" s="334"/>
      <c r="O2599" s="334"/>
    </row>
    <row r="2600" spans="1:15" ht="12.75" hidden="1" customHeight="1" outlineLevel="1" x14ac:dyDescent="0.2">
      <c r="A2600" s="627" t="s">
        <v>3548</v>
      </c>
      <c r="B2600" s="628" t="s">
        <v>1128</v>
      </c>
      <c r="C2600" s="629" t="s">
        <v>100</v>
      </c>
      <c r="D2600" s="630">
        <v>232.05</v>
      </c>
      <c r="E2600" s="622"/>
      <c r="F2600" s="334"/>
      <c r="G2600" s="334"/>
      <c r="H2600" s="602"/>
      <c r="I2600" s="334"/>
      <c r="J2600" s="334"/>
      <c r="K2600" s="334"/>
      <c r="L2600" s="334"/>
      <c r="M2600" s="334"/>
      <c r="N2600" s="334"/>
      <c r="O2600" s="334"/>
    </row>
    <row r="2601" spans="1:15" ht="12.75" hidden="1" customHeight="1" outlineLevel="1" x14ac:dyDescent="0.2">
      <c r="A2601" s="623" t="s">
        <v>3549</v>
      </c>
      <c r="B2601" s="624" t="s">
        <v>1130</v>
      </c>
      <c r="C2601" s="625" t="s">
        <v>100</v>
      </c>
      <c r="D2601" s="626">
        <v>232.05</v>
      </c>
      <c r="E2601" s="622"/>
      <c r="F2601" s="334"/>
      <c r="G2601" s="334"/>
      <c r="H2601" s="602"/>
      <c r="I2601" s="334"/>
      <c r="J2601" s="334"/>
      <c r="K2601" s="334"/>
      <c r="L2601" s="334"/>
      <c r="M2601" s="334"/>
      <c r="N2601" s="334"/>
      <c r="O2601" s="334"/>
    </row>
    <row r="2602" spans="1:15" ht="12.75" hidden="1" customHeight="1" outlineLevel="1" x14ac:dyDescent="0.2">
      <c r="A2602" s="627" t="s">
        <v>3550</v>
      </c>
      <c r="B2602" s="624" t="s">
        <v>1134</v>
      </c>
      <c r="C2602" s="629" t="s">
        <v>100</v>
      </c>
      <c r="D2602" s="630">
        <v>42.22</v>
      </c>
      <c r="E2602" s="622"/>
      <c r="F2602" s="334"/>
      <c r="G2602" s="334"/>
      <c r="H2602" s="602"/>
      <c r="I2602" s="334"/>
      <c r="J2602" s="334"/>
      <c r="K2602" s="334"/>
      <c r="L2602" s="334"/>
      <c r="M2602" s="334"/>
      <c r="N2602" s="334"/>
      <c r="O2602" s="334"/>
    </row>
    <row r="2603" spans="1:15" ht="12.75" hidden="1" customHeight="1" outlineLevel="1" x14ac:dyDescent="0.2">
      <c r="A2603" s="623" t="s">
        <v>3551</v>
      </c>
      <c r="B2603" s="628" t="s">
        <v>1128</v>
      </c>
      <c r="C2603" s="625" t="s">
        <v>100</v>
      </c>
      <c r="D2603" s="626">
        <v>42.22</v>
      </c>
      <c r="E2603" s="622"/>
      <c r="F2603" s="334"/>
      <c r="G2603" s="334"/>
      <c r="H2603" s="602"/>
      <c r="I2603" s="334"/>
      <c r="J2603" s="334"/>
      <c r="K2603" s="334"/>
      <c r="L2603" s="334"/>
      <c r="M2603" s="334"/>
      <c r="N2603" s="334"/>
      <c r="O2603" s="334"/>
    </row>
    <row r="2604" spans="1:15" ht="12.75" hidden="1" customHeight="1" outlineLevel="1" x14ac:dyDescent="0.2">
      <c r="A2604" s="627" t="s">
        <v>3552</v>
      </c>
      <c r="B2604" s="624" t="s">
        <v>1130</v>
      </c>
      <c r="C2604" s="629" t="s">
        <v>100</v>
      </c>
      <c r="D2604" s="630">
        <v>42.22</v>
      </c>
      <c r="E2604" s="622"/>
      <c r="F2604" s="334"/>
      <c r="G2604" s="334"/>
      <c r="H2604" s="602"/>
      <c r="I2604" s="334"/>
      <c r="J2604" s="334"/>
      <c r="K2604" s="334"/>
      <c r="L2604" s="334"/>
      <c r="M2604" s="334"/>
      <c r="N2604" s="334"/>
      <c r="O2604" s="334"/>
    </row>
    <row r="2605" spans="1:15" ht="12.75" hidden="1" customHeight="1" outlineLevel="1" x14ac:dyDescent="0.2">
      <c r="A2605" s="623" t="s">
        <v>3553</v>
      </c>
      <c r="B2605" s="624" t="s">
        <v>1134</v>
      </c>
      <c r="C2605" s="625" t="s">
        <v>100</v>
      </c>
      <c r="D2605" s="626">
        <v>18.25</v>
      </c>
      <c r="E2605" s="622"/>
      <c r="F2605" s="334"/>
      <c r="G2605" s="334"/>
      <c r="H2605" s="602"/>
      <c r="I2605" s="334"/>
      <c r="J2605" s="334"/>
      <c r="K2605" s="334"/>
      <c r="L2605" s="334"/>
      <c r="M2605" s="334"/>
      <c r="N2605" s="334"/>
      <c r="O2605" s="334"/>
    </row>
    <row r="2606" spans="1:15" ht="12.75" hidden="1" customHeight="1" outlineLevel="1" x14ac:dyDescent="0.2">
      <c r="A2606" s="627" t="s">
        <v>3554</v>
      </c>
      <c r="B2606" s="628" t="s">
        <v>1128</v>
      </c>
      <c r="C2606" s="629" t="s">
        <v>100</v>
      </c>
      <c r="D2606" s="630">
        <v>18.25</v>
      </c>
      <c r="E2606" s="622"/>
      <c r="F2606" s="334"/>
      <c r="G2606" s="334"/>
      <c r="H2606" s="602"/>
      <c r="I2606" s="334"/>
      <c r="J2606" s="334"/>
      <c r="K2606" s="334"/>
      <c r="L2606" s="334"/>
      <c r="M2606" s="334"/>
      <c r="N2606" s="334"/>
      <c r="O2606" s="334"/>
    </row>
    <row r="2607" spans="1:15" ht="12.75" hidden="1" customHeight="1" outlineLevel="1" x14ac:dyDescent="0.2">
      <c r="A2607" s="623" t="s">
        <v>3555</v>
      </c>
      <c r="B2607" s="624" t="s">
        <v>1130</v>
      </c>
      <c r="C2607" s="625" t="s">
        <v>100</v>
      </c>
      <c r="D2607" s="626">
        <v>18.25</v>
      </c>
      <c r="E2607" s="622"/>
      <c r="F2607" s="334"/>
      <c r="G2607" s="334"/>
      <c r="H2607" s="602"/>
      <c r="I2607" s="334"/>
      <c r="J2607" s="334"/>
      <c r="K2607" s="334"/>
      <c r="L2607" s="334"/>
      <c r="M2607" s="334"/>
      <c r="N2607" s="334"/>
      <c r="O2607" s="334"/>
    </row>
    <row r="2608" spans="1:15" ht="12.75" hidden="1" customHeight="1" outlineLevel="1" x14ac:dyDescent="0.2">
      <c r="A2608" s="627" t="s">
        <v>3556</v>
      </c>
      <c r="B2608" s="624" t="s">
        <v>1128</v>
      </c>
      <c r="C2608" s="629" t="s">
        <v>100</v>
      </c>
      <c r="D2608" s="630">
        <v>6.63</v>
      </c>
      <c r="E2608" s="622"/>
      <c r="F2608" s="334"/>
      <c r="G2608" s="334"/>
      <c r="H2608" s="602"/>
      <c r="I2608" s="334"/>
      <c r="J2608" s="334"/>
      <c r="K2608" s="334"/>
      <c r="L2608" s="334"/>
      <c r="M2608" s="334"/>
      <c r="N2608" s="334"/>
      <c r="O2608" s="334"/>
    </row>
    <row r="2609" spans="1:15" ht="12.75" hidden="1" customHeight="1" outlineLevel="1" x14ac:dyDescent="0.2">
      <c r="A2609" s="623" t="s">
        <v>3557</v>
      </c>
      <c r="B2609" s="628" t="s">
        <v>1130</v>
      </c>
      <c r="C2609" s="625" t="s">
        <v>100</v>
      </c>
      <c r="D2609" s="626">
        <v>6.63</v>
      </c>
      <c r="E2609" s="622"/>
      <c r="F2609" s="334"/>
      <c r="G2609" s="334"/>
      <c r="H2609" s="602"/>
      <c r="I2609" s="334"/>
      <c r="J2609" s="334"/>
      <c r="K2609" s="334"/>
      <c r="L2609" s="334"/>
      <c r="M2609" s="334"/>
      <c r="N2609" s="334"/>
      <c r="O2609" s="334"/>
    </row>
    <row r="2610" spans="1:15" ht="12.75" hidden="1" customHeight="1" outlineLevel="1" x14ac:dyDescent="0.2">
      <c r="A2610" s="627" t="s">
        <v>3558</v>
      </c>
      <c r="B2610" s="624" t="s">
        <v>1132</v>
      </c>
      <c r="C2610" s="629" t="s">
        <v>100</v>
      </c>
      <c r="D2610" s="630">
        <v>6.63</v>
      </c>
      <c r="E2610" s="622"/>
      <c r="F2610" s="334"/>
      <c r="G2610" s="334"/>
      <c r="H2610" s="602"/>
      <c r="I2610" s="334"/>
      <c r="J2610" s="334"/>
      <c r="K2610" s="334"/>
      <c r="L2610" s="334"/>
      <c r="M2610" s="334"/>
      <c r="N2610" s="334"/>
      <c r="O2610" s="334"/>
    </row>
    <row r="2611" spans="1:15" ht="12.75" hidden="1" customHeight="1" outlineLevel="1" x14ac:dyDescent="0.2">
      <c r="A2611" s="623" t="s">
        <v>3559</v>
      </c>
      <c r="B2611" s="628" t="s">
        <v>1128</v>
      </c>
      <c r="C2611" s="625" t="s">
        <v>100</v>
      </c>
      <c r="D2611" s="626">
        <v>22.27</v>
      </c>
      <c r="E2611" s="622"/>
      <c r="F2611" s="334"/>
      <c r="G2611" s="334"/>
      <c r="H2611" s="602"/>
      <c r="I2611" s="334"/>
      <c r="J2611" s="334"/>
      <c r="K2611" s="334"/>
      <c r="L2611" s="334"/>
      <c r="M2611" s="334"/>
      <c r="N2611" s="334"/>
      <c r="O2611" s="334"/>
    </row>
    <row r="2612" spans="1:15" ht="12.75" hidden="1" customHeight="1" outlineLevel="1" x14ac:dyDescent="0.2">
      <c r="A2612" s="627" t="s">
        <v>3560</v>
      </c>
      <c r="B2612" s="624" t="s">
        <v>1130</v>
      </c>
      <c r="C2612" s="629" t="s">
        <v>100</v>
      </c>
      <c r="D2612" s="630">
        <v>22.27</v>
      </c>
      <c r="E2612" s="622"/>
      <c r="F2612" s="334"/>
      <c r="G2612" s="334"/>
      <c r="H2612" s="602"/>
      <c r="I2612" s="334"/>
      <c r="J2612" s="334"/>
      <c r="K2612" s="334"/>
      <c r="L2612" s="334"/>
      <c r="M2612" s="334"/>
      <c r="N2612" s="334"/>
      <c r="O2612" s="334"/>
    </row>
    <row r="2613" spans="1:15" ht="12.75" hidden="1" customHeight="1" outlineLevel="1" x14ac:dyDescent="0.2">
      <c r="A2613" s="623" t="s">
        <v>3561</v>
      </c>
      <c r="B2613" s="628" t="s">
        <v>1132</v>
      </c>
      <c r="C2613" s="625" t="s">
        <v>100</v>
      </c>
      <c r="D2613" s="626">
        <v>22.27</v>
      </c>
      <c r="E2613" s="622"/>
      <c r="F2613" s="334"/>
      <c r="G2613" s="334"/>
      <c r="H2613" s="602"/>
      <c r="I2613" s="334"/>
      <c r="J2613" s="334"/>
      <c r="K2613" s="334"/>
      <c r="L2613" s="334"/>
      <c r="M2613" s="334"/>
      <c r="N2613" s="334"/>
      <c r="O2613" s="334"/>
    </row>
    <row r="2614" spans="1:15" ht="12.75" hidden="1" customHeight="1" outlineLevel="1" x14ac:dyDescent="0.2">
      <c r="A2614" s="618" t="s">
        <v>3562</v>
      </c>
      <c r="B2614" s="619" t="s">
        <v>1069</v>
      </c>
      <c r="C2614" s="620"/>
      <c r="D2614" s="621"/>
      <c r="E2614" s="622"/>
      <c r="F2614" s="334"/>
      <c r="G2614" s="334"/>
      <c r="H2614" s="602"/>
      <c r="I2614" s="334"/>
      <c r="J2614" s="334"/>
      <c r="K2614" s="334"/>
      <c r="L2614" s="334"/>
      <c r="M2614" s="334"/>
      <c r="N2614" s="334"/>
      <c r="O2614" s="334"/>
    </row>
    <row r="2615" spans="1:15" ht="12.75" hidden="1" customHeight="1" outlineLevel="1" x14ac:dyDescent="0.2">
      <c r="A2615" s="627" t="s">
        <v>3563</v>
      </c>
      <c r="B2615" s="628" t="s">
        <v>1128</v>
      </c>
      <c r="C2615" s="629" t="s">
        <v>100</v>
      </c>
      <c r="D2615" s="630">
        <v>2.9</v>
      </c>
      <c r="E2615" s="622"/>
      <c r="F2615" s="334"/>
      <c r="G2615" s="334"/>
      <c r="H2615" s="602"/>
      <c r="I2615" s="334"/>
      <c r="J2615" s="334"/>
      <c r="K2615" s="334"/>
      <c r="L2615" s="334"/>
      <c r="M2615" s="334"/>
      <c r="N2615" s="334"/>
      <c r="O2615" s="334"/>
    </row>
    <row r="2616" spans="1:15" ht="12.75" hidden="1" customHeight="1" outlineLevel="1" x14ac:dyDescent="0.2">
      <c r="A2616" s="623" t="s">
        <v>3564</v>
      </c>
      <c r="B2616" s="624" t="s">
        <v>1130</v>
      </c>
      <c r="C2616" s="625" t="s">
        <v>100</v>
      </c>
      <c r="D2616" s="626">
        <v>2.9</v>
      </c>
      <c r="E2616" s="622"/>
      <c r="F2616" s="334"/>
      <c r="G2616" s="334"/>
      <c r="H2616" s="602"/>
      <c r="I2616" s="334"/>
      <c r="J2616" s="334"/>
      <c r="K2616" s="334"/>
      <c r="L2616" s="334"/>
      <c r="M2616" s="334"/>
      <c r="N2616" s="334"/>
      <c r="O2616" s="334"/>
    </row>
    <row r="2617" spans="1:15" ht="12.75" hidden="1" customHeight="1" outlineLevel="1" x14ac:dyDescent="0.2">
      <c r="A2617" s="627" t="s">
        <v>3565</v>
      </c>
      <c r="B2617" s="628" t="s">
        <v>1132</v>
      </c>
      <c r="C2617" s="629" t="s">
        <v>100</v>
      </c>
      <c r="D2617" s="630">
        <v>2.9</v>
      </c>
      <c r="E2617" s="622"/>
      <c r="F2617" s="334"/>
      <c r="G2617" s="334"/>
      <c r="H2617" s="602"/>
      <c r="I2617" s="334"/>
      <c r="J2617" s="334"/>
      <c r="K2617" s="334"/>
      <c r="L2617" s="334"/>
      <c r="M2617" s="334"/>
      <c r="N2617" s="334"/>
      <c r="O2617" s="334"/>
    </row>
    <row r="2618" spans="1:15" ht="12.75" hidden="1" customHeight="1" outlineLevel="1" x14ac:dyDescent="0.2">
      <c r="A2618" s="623" t="s">
        <v>3566</v>
      </c>
      <c r="B2618" s="624" t="s">
        <v>1134</v>
      </c>
      <c r="C2618" s="625" t="s">
        <v>100</v>
      </c>
      <c r="D2618" s="626">
        <v>29.89</v>
      </c>
      <c r="E2618" s="622"/>
      <c r="F2618" s="334"/>
      <c r="G2618" s="334"/>
      <c r="H2618" s="602"/>
      <c r="I2618" s="334"/>
      <c r="J2618" s="334"/>
      <c r="K2618" s="334"/>
      <c r="L2618" s="334"/>
      <c r="M2618" s="334"/>
      <c r="N2618" s="334"/>
      <c r="O2618" s="334"/>
    </row>
    <row r="2619" spans="1:15" ht="12.75" hidden="1" customHeight="1" outlineLevel="1" x14ac:dyDescent="0.2">
      <c r="A2619" s="627" t="s">
        <v>3567</v>
      </c>
      <c r="B2619" s="628" t="s">
        <v>1128</v>
      </c>
      <c r="C2619" s="629" t="s">
        <v>100</v>
      </c>
      <c r="D2619" s="630">
        <v>29.89</v>
      </c>
      <c r="E2619" s="622"/>
      <c r="F2619" s="334"/>
      <c r="G2619" s="334"/>
      <c r="H2619" s="602"/>
      <c r="I2619" s="334"/>
      <c r="J2619" s="334"/>
      <c r="K2619" s="334"/>
      <c r="L2619" s="334"/>
      <c r="M2619" s="334"/>
      <c r="N2619" s="334"/>
      <c r="O2619" s="334"/>
    </row>
    <row r="2620" spans="1:15" ht="12.75" hidden="1" customHeight="1" outlineLevel="1" x14ac:dyDescent="0.2">
      <c r="A2620" s="623" t="s">
        <v>3568</v>
      </c>
      <c r="B2620" s="624" t="s">
        <v>1130</v>
      </c>
      <c r="C2620" s="625" t="s">
        <v>100</v>
      </c>
      <c r="D2620" s="626">
        <v>29.89</v>
      </c>
      <c r="E2620" s="622"/>
      <c r="F2620" s="334"/>
      <c r="G2620" s="334"/>
      <c r="H2620" s="602"/>
      <c r="I2620" s="334"/>
      <c r="J2620" s="334"/>
      <c r="K2620" s="334"/>
      <c r="L2620" s="334"/>
      <c r="M2620" s="334"/>
      <c r="N2620" s="334"/>
      <c r="O2620" s="334"/>
    </row>
    <row r="2621" spans="1:15" ht="12.75" hidden="1" customHeight="1" outlineLevel="1" x14ac:dyDescent="0.2">
      <c r="A2621" s="627" t="s">
        <v>3569</v>
      </c>
      <c r="B2621" s="624" t="s">
        <v>1134</v>
      </c>
      <c r="C2621" s="629" t="s">
        <v>100</v>
      </c>
      <c r="D2621" s="630">
        <v>4.1100000000000003</v>
      </c>
      <c r="E2621" s="622"/>
      <c r="F2621" s="334"/>
      <c r="G2621" s="334"/>
      <c r="H2621" s="602"/>
      <c r="I2621" s="334"/>
      <c r="J2621" s="334"/>
      <c r="K2621" s="334"/>
      <c r="L2621" s="334"/>
      <c r="M2621" s="334"/>
      <c r="N2621" s="334"/>
      <c r="O2621" s="334"/>
    </row>
    <row r="2622" spans="1:15" ht="12.75" hidden="1" customHeight="1" outlineLevel="1" x14ac:dyDescent="0.2">
      <c r="A2622" s="623" t="s">
        <v>3570</v>
      </c>
      <c r="B2622" s="628" t="s">
        <v>1128</v>
      </c>
      <c r="C2622" s="625" t="s">
        <v>100</v>
      </c>
      <c r="D2622" s="626">
        <v>4.1100000000000003</v>
      </c>
      <c r="E2622" s="622"/>
      <c r="F2622" s="334"/>
      <c r="G2622" s="334"/>
      <c r="H2622" s="602"/>
      <c r="I2622" s="334"/>
      <c r="J2622" s="334"/>
      <c r="K2622" s="334"/>
      <c r="L2622" s="334"/>
      <c r="M2622" s="334"/>
      <c r="N2622" s="334"/>
      <c r="O2622" s="334"/>
    </row>
    <row r="2623" spans="1:15" ht="12.75" hidden="1" customHeight="1" outlineLevel="1" x14ac:dyDescent="0.2">
      <c r="A2623" s="627" t="s">
        <v>3571</v>
      </c>
      <c r="B2623" s="624" t="s">
        <v>1130</v>
      </c>
      <c r="C2623" s="629" t="s">
        <v>100</v>
      </c>
      <c r="D2623" s="630">
        <v>4.1100000000000003</v>
      </c>
      <c r="E2623" s="622"/>
      <c r="F2623" s="334"/>
      <c r="G2623" s="334"/>
      <c r="H2623" s="602"/>
      <c r="I2623" s="334"/>
      <c r="J2623" s="334"/>
      <c r="K2623" s="334"/>
      <c r="L2623" s="334"/>
      <c r="M2623" s="334"/>
      <c r="N2623" s="334"/>
      <c r="O2623" s="334"/>
    </row>
    <row r="2624" spans="1:15" ht="12.75" hidden="1" customHeight="1" outlineLevel="1" x14ac:dyDescent="0.2">
      <c r="A2624" s="623" t="s">
        <v>3572</v>
      </c>
      <c r="B2624" s="624" t="s">
        <v>1134</v>
      </c>
      <c r="C2624" s="625" t="s">
        <v>100</v>
      </c>
      <c r="D2624" s="626">
        <v>49.08</v>
      </c>
      <c r="E2624" s="622"/>
      <c r="F2624" s="334"/>
      <c r="G2624" s="334"/>
      <c r="H2624" s="602"/>
      <c r="I2624" s="334"/>
      <c r="J2624" s="334"/>
      <c r="K2624" s="334"/>
      <c r="L2624" s="334"/>
      <c r="M2624" s="334"/>
      <c r="N2624" s="334"/>
      <c r="O2624" s="334"/>
    </row>
    <row r="2625" spans="1:15" ht="12.75" hidden="1" customHeight="1" outlineLevel="1" x14ac:dyDescent="0.2">
      <c r="A2625" s="627" t="s">
        <v>3573</v>
      </c>
      <c r="B2625" s="628" t="s">
        <v>1128</v>
      </c>
      <c r="C2625" s="629" t="s">
        <v>100</v>
      </c>
      <c r="D2625" s="630">
        <v>49.08</v>
      </c>
      <c r="E2625" s="622"/>
      <c r="F2625" s="334"/>
      <c r="G2625" s="334"/>
      <c r="H2625" s="602"/>
      <c r="I2625" s="334"/>
      <c r="J2625" s="334"/>
      <c r="K2625" s="334"/>
      <c r="L2625" s="334"/>
      <c r="M2625" s="334"/>
      <c r="N2625" s="334"/>
      <c r="O2625" s="334"/>
    </row>
    <row r="2626" spans="1:15" ht="12.75" hidden="1" customHeight="1" outlineLevel="1" x14ac:dyDescent="0.2">
      <c r="A2626" s="623" t="s">
        <v>3574</v>
      </c>
      <c r="B2626" s="624" t="s">
        <v>1130</v>
      </c>
      <c r="C2626" s="625" t="s">
        <v>100</v>
      </c>
      <c r="D2626" s="626">
        <v>49.08</v>
      </c>
      <c r="E2626" s="622"/>
      <c r="F2626" s="334"/>
      <c r="G2626" s="334"/>
      <c r="H2626" s="602"/>
      <c r="I2626" s="334"/>
      <c r="J2626" s="334"/>
      <c r="K2626" s="334"/>
      <c r="L2626" s="334"/>
      <c r="M2626" s="334"/>
      <c r="N2626" s="334"/>
      <c r="O2626" s="334"/>
    </row>
    <row r="2627" spans="1:15" ht="12.75" hidden="1" customHeight="1" outlineLevel="1" x14ac:dyDescent="0.2">
      <c r="A2627" s="627" t="s">
        <v>3575</v>
      </c>
      <c r="B2627" s="624" t="s">
        <v>1134</v>
      </c>
      <c r="C2627" s="629" t="s">
        <v>100</v>
      </c>
      <c r="D2627" s="630">
        <v>232.05</v>
      </c>
      <c r="E2627" s="622"/>
      <c r="F2627" s="334"/>
      <c r="G2627" s="334"/>
      <c r="H2627" s="602"/>
      <c r="I2627" s="334"/>
      <c r="J2627" s="334"/>
      <c r="K2627" s="334"/>
      <c r="L2627" s="334"/>
      <c r="M2627" s="334"/>
      <c r="N2627" s="334"/>
      <c r="O2627" s="334"/>
    </row>
    <row r="2628" spans="1:15" ht="12.75" hidden="1" customHeight="1" outlineLevel="1" x14ac:dyDescent="0.2">
      <c r="A2628" s="623" t="s">
        <v>3576</v>
      </c>
      <c r="B2628" s="628" t="s">
        <v>1128</v>
      </c>
      <c r="C2628" s="625" t="s">
        <v>100</v>
      </c>
      <c r="D2628" s="626">
        <v>232.05</v>
      </c>
      <c r="E2628" s="622"/>
      <c r="F2628" s="334"/>
      <c r="G2628" s="334"/>
      <c r="H2628" s="602"/>
      <c r="I2628" s="334"/>
      <c r="J2628" s="334"/>
      <c r="K2628" s="334"/>
      <c r="L2628" s="334"/>
      <c r="M2628" s="334"/>
      <c r="N2628" s="334"/>
      <c r="O2628" s="334"/>
    </row>
    <row r="2629" spans="1:15" ht="12.75" hidden="1" customHeight="1" outlineLevel="1" x14ac:dyDescent="0.2">
      <c r="A2629" s="627" t="s">
        <v>3577</v>
      </c>
      <c r="B2629" s="624" t="s">
        <v>1130</v>
      </c>
      <c r="C2629" s="629" t="s">
        <v>100</v>
      </c>
      <c r="D2629" s="630">
        <v>232.05</v>
      </c>
      <c r="E2629" s="622"/>
      <c r="F2629" s="334"/>
      <c r="G2629" s="334"/>
      <c r="H2629" s="602"/>
      <c r="I2629" s="334"/>
      <c r="J2629" s="334"/>
      <c r="K2629" s="334"/>
      <c r="L2629" s="334"/>
      <c r="M2629" s="334"/>
      <c r="N2629" s="334"/>
      <c r="O2629" s="334"/>
    </row>
    <row r="2630" spans="1:15" ht="12.75" hidden="1" customHeight="1" outlineLevel="1" x14ac:dyDescent="0.2">
      <c r="A2630" s="623" t="s">
        <v>3578</v>
      </c>
      <c r="B2630" s="624" t="s">
        <v>1134</v>
      </c>
      <c r="C2630" s="625" t="s">
        <v>100</v>
      </c>
      <c r="D2630" s="626">
        <v>42.22</v>
      </c>
      <c r="E2630" s="622"/>
      <c r="F2630" s="334"/>
      <c r="G2630" s="334"/>
      <c r="H2630" s="602"/>
      <c r="I2630" s="334"/>
      <c r="J2630" s="334"/>
      <c r="K2630" s="334"/>
      <c r="L2630" s="334"/>
      <c r="M2630" s="334"/>
      <c r="N2630" s="334"/>
      <c r="O2630" s="334"/>
    </row>
    <row r="2631" spans="1:15" ht="12.75" hidden="1" customHeight="1" outlineLevel="1" x14ac:dyDescent="0.2">
      <c r="A2631" s="627" t="s">
        <v>3579</v>
      </c>
      <c r="B2631" s="628" t="s">
        <v>1128</v>
      </c>
      <c r="C2631" s="629" t="s">
        <v>100</v>
      </c>
      <c r="D2631" s="630">
        <v>42.22</v>
      </c>
      <c r="E2631" s="622"/>
      <c r="F2631" s="334"/>
      <c r="G2631" s="334"/>
      <c r="H2631" s="602"/>
      <c r="I2631" s="334"/>
      <c r="J2631" s="334"/>
      <c r="K2631" s="334"/>
      <c r="L2631" s="334"/>
      <c r="M2631" s="334"/>
      <c r="N2631" s="334"/>
      <c r="O2631" s="334"/>
    </row>
    <row r="2632" spans="1:15" ht="12.75" hidden="1" customHeight="1" outlineLevel="1" x14ac:dyDescent="0.2">
      <c r="A2632" s="623" t="s">
        <v>3580</v>
      </c>
      <c r="B2632" s="624" t="s">
        <v>1130</v>
      </c>
      <c r="C2632" s="625" t="s">
        <v>100</v>
      </c>
      <c r="D2632" s="626">
        <v>42.22</v>
      </c>
      <c r="E2632" s="622"/>
      <c r="F2632" s="334"/>
      <c r="G2632" s="334"/>
      <c r="H2632" s="602"/>
      <c r="I2632" s="334"/>
      <c r="J2632" s="334"/>
      <c r="K2632" s="334"/>
      <c r="L2632" s="334"/>
      <c r="M2632" s="334"/>
      <c r="N2632" s="334"/>
      <c r="O2632" s="334"/>
    </row>
    <row r="2633" spans="1:15" ht="12.75" hidden="1" customHeight="1" outlineLevel="1" x14ac:dyDescent="0.2">
      <c r="A2633" s="627" t="s">
        <v>3581</v>
      </c>
      <c r="B2633" s="624" t="s">
        <v>1134</v>
      </c>
      <c r="C2633" s="629" t="s">
        <v>100</v>
      </c>
      <c r="D2633" s="630">
        <v>18.25</v>
      </c>
      <c r="E2633" s="622"/>
      <c r="F2633" s="334"/>
      <c r="G2633" s="334"/>
      <c r="H2633" s="602"/>
      <c r="I2633" s="334"/>
      <c r="J2633" s="334"/>
      <c r="K2633" s="334"/>
      <c r="L2633" s="334"/>
      <c r="M2633" s="334"/>
      <c r="N2633" s="334"/>
      <c r="O2633" s="334"/>
    </row>
    <row r="2634" spans="1:15" ht="12.75" hidden="1" customHeight="1" outlineLevel="1" x14ac:dyDescent="0.2">
      <c r="A2634" s="623" t="s">
        <v>3582</v>
      </c>
      <c r="B2634" s="628" t="s">
        <v>1128</v>
      </c>
      <c r="C2634" s="625" t="s">
        <v>100</v>
      </c>
      <c r="D2634" s="626">
        <v>18.25</v>
      </c>
      <c r="E2634" s="622"/>
      <c r="F2634" s="334"/>
      <c r="G2634" s="334"/>
      <c r="H2634" s="602"/>
      <c r="I2634" s="334"/>
      <c r="J2634" s="334"/>
      <c r="K2634" s="334"/>
      <c r="L2634" s="334"/>
      <c r="M2634" s="334"/>
      <c r="N2634" s="334"/>
      <c r="O2634" s="334"/>
    </row>
    <row r="2635" spans="1:15" ht="12.75" hidden="1" customHeight="1" outlineLevel="1" x14ac:dyDescent="0.2">
      <c r="A2635" s="627" t="s">
        <v>3583</v>
      </c>
      <c r="B2635" s="624" t="s">
        <v>1130</v>
      </c>
      <c r="C2635" s="629" t="s">
        <v>100</v>
      </c>
      <c r="D2635" s="630">
        <v>18.25</v>
      </c>
      <c r="E2635" s="622"/>
      <c r="F2635" s="334"/>
      <c r="G2635" s="334"/>
      <c r="H2635" s="602"/>
      <c r="I2635" s="334"/>
      <c r="J2635" s="334"/>
      <c r="K2635" s="334"/>
      <c r="L2635" s="334"/>
      <c r="M2635" s="334"/>
      <c r="N2635" s="334"/>
      <c r="O2635" s="334"/>
    </row>
    <row r="2636" spans="1:15" ht="12.75" hidden="1" customHeight="1" outlineLevel="1" x14ac:dyDescent="0.2">
      <c r="A2636" s="623" t="s">
        <v>3584</v>
      </c>
      <c r="B2636" s="624" t="s">
        <v>1128</v>
      </c>
      <c r="C2636" s="625" t="s">
        <v>100</v>
      </c>
      <c r="D2636" s="626">
        <v>6.63</v>
      </c>
      <c r="E2636" s="622"/>
      <c r="F2636" s="334"/>
      <c r="G2636" s="334"/>
      <c r="H2636" s="602"/>
      <c r="I2636" s="334"/>
      <c r="J2636" s="334"/>
      <c r="K2636" s="334"/>
      <c r="L2636" s="334"/>
      <c r="M2636" s="334"/>
      <c r="N2636" s="334"/>
      <c r="O2636" s="334"/>
    </row>
    <row r="2637" spans="1:15" ht="12.75" hidden="1" customHeight="1" outlineLevel="1" x14ac:dyDescent="0.2">
      <c r="A2637" s="627" t="s">
        <v>3585</v>
      </c>
      <c r="B2637" s="628" t="s">
        <v>1130</v>
      </c>
      <c r="C2637" s="629" t="s">
        <v>100</v>
      </c>
      <c r="D2637" s="630">
        <v>6.63</v>
      </c>
      <c r="E2637" s="622"/>
      <c r="F2637" s="334"/>
      <c r="G2637" s="334"/>
      <c r="H2637" s="602"/>
      <c r="I2637" s="334"/>
      <c r="J2637" s="334"/>
      <c r="K2637" s="334"/>
      <c r="L2637" s="334"/>
      <c r="M2637" s="334"/>
      <c r="N2637" s="334"/>
      <c r="O2637" s="334"/>
    </row>
    <row r="2638" spans="1:15" ht="12.75" hidden="1" customHeight="1" outlineLevel="1" x14ac:dyDescent="0.2">
      <c r="A2638" s="623" t="s">
        <v>3586</v>
      </c>
      <c r="B2638" s="624" t="s">
        <v>1132</v>
      </c>
      <c r="C2638" s="625" t="s">
        <v>100</v>
      </c>
      <c r="D2638" s="626">
        <v>6.63</v>
      </c>
      <c r="E2638" s="622"/>
      <c r="F2638" s="334"/>
      <c r="G2638" s="334"/>
      <c r="H2638" s="602"/>
      <c r="I2638" s="334"/>
      <c r="J2638" s="334"/>
      <c r="K2638" s="334"/>
      <c r="L2638" s="334"/>
      <c r="M2638" s="334"/>
      <c r="N2638" s="334"/>
      <c r="O2638" s="334"/>
    </row>
    <row r="2639" spans="1:15" ht="12.75" hidden="1" customHeight="1" outlineLevel="1" x14ac:dyDescent="0.2">
      <c r="A2639" s="627" t="s">
        <v>3587</v>
      </c>
      <c r="B2639" s="628" t="s">
        <v>1128</v>
      </c>
      <c r="C2639" s="629" t="s">
        <v>100</v>
      </c>
      <c r="D2639" s="630">
        <v>22.27</v>
      </c>
      <c r="E2639" s="622"/>
      <c r="F2639" s="334"/>
      <c r="G2639" s="334"/>
      <c r="H2639" s="602"/>
      <c r="I2639" s="334"/>
      <c r="J2639" s="334"/>
      <c r="K2639" s="334"/>
      <c r="L2639" s="334"/>
      <c r="M2639" s="334"/>
      <c r="N2639" s="334"/>
      <c r="O2639" s="334"/>
    </row>
    <row r="2640" spans="1:15" ht="12.75" hidden="1" customHeight="1" outlineLevel="1" x14ac:dyDescent="0.2">
      <c r="A2640" s="623" t="s">
        <v>3588</v>
      </c>
      <c r="B2640" s="624" t="s">
        <v>1130</v>
      </c>
      <c r="C2640" s="625" t="s">
        <v>100</v>
      </c>
      <c r="D2640" s="626">
        <v>22.27</v>
      </c>
      <c r="E2640" s="622"/>
      <c r="F2640" s="334"/>
      <c r="G2640" s="334"/>
      <c r="H2640" s="602"/>
      <c r="I2640" s="334"/>
      <c r="J2640" s="334"/>
      <c r="K2640" s="334"/>
      <c r="L2640" s="334"/>
      <c r="M2640" s="334"/>
      <c r="N2640" s="334"/>
      <c r="O2640" s="334"/>
    </row>
    <row r="2641" spans="1:15" ht="12.75" hidden="1" customHeight="1" outlineLevel="1" x14ac:dyDescent="0.2">
      <c r="A2641" s="627" t="s">
        <v>3589</v>
      </c>
      <c r="B2641" s="628" t="s">
        <v>1132</v>
      </c>
      <c r="C2641" s="629" t="s">
        <v>100</v>
      </c>
      <c r="D2641" s="630">
        <v>22.27</v>
      </c>
      <c r="E2641" s="622"/>
      <c r="F2641" s="334"/>
      <c r="G2641" s="334"/>
      <c r="H2641" s="602"/>
      <c r="I2641" s="334"/>
      <c r="J2641" s="334"/>
      <c r="K2641" s="334"/>
      <c r="L2641" s="334"/>
      <c r="M2641" s="334"/>
      <c r="N2641" s="334"/>
      <c r="O2641" s="334"/>
    </row>
    <row r="2642" spans="1:15" ht="12.75" hidden="1" customHeight="1" outlineLevel="1" x14ac:dyDescent="0.2">
      <c r="A2642" s="618" t="s">
        <v>3590</v>
      </c>
      <c r="B2642" s="619" t="s">
        <v>1079</v>
      </c>
      <c r="C2642" s="620"/>
      <c r="D2642" s="621"/>
      <c r="E2642" s="622"/>
      <c r="F2642" s="334"/>
      <c r="G2642" s="334"/>
      <c r="H2642" s="602"/>
      <c r="I2642" s="334"/>
      <c r="J2642" s="334"/>
      <c r="K2642" s="334"/>
      <c r="L2642" s="334"/>
      <c r="M2642" s="334"/>
      <c r="N2642" s="334"/>
      <c r="O2642" s="334"/>
    </row>
    <row r="2643" spans="1:15" ht="12.75" hidden="1" customHeight="1" outlineLevel="1" x14ac:dyDescent="0.2">
      <c r="A2643" s="623" t="s">
        <v>3591</v>
      </c>
      <c r="B2643" s="628" t="s">
        <v>1128</v>
      </c>
      <c r="C2643" s="625" t="s">
        <v>100</v>
      </c>
      <c r="D2643" s="626">
        <v>2.9</v>
      </c>
      <c r="E2643" s="622"/>
      <c r="F2643" s="334"/>
      <c r="G2643" s="334"/>
      <c r="H2643" s="602"/>
      <c r="I2643" s="334"/>
      <c r="J2643" s="334"/>
      <c r="K2643" s="334"/>
      <c r="L2643" s="334"/>
      <c r="M2643" s="334"/>
      <c r="N2643" s="334"/>
      <c r="O2643" s="334"/>
    </row>
    <row r="2644" spans="1:15" ht="12.75" hidden="1" customHeight="1" outlineLevel="1" x14ac:dyDescent="0.2">
      <c r="A2644" s="627" t="s">
        <v>3592</v>
      </c>
      <c r="B2644" s="624" t="s">
        <v>1130</v>
      </c>
      <c r="C2644" s="629" t="s">
        <v>100</v>
      </c>
      <c r="D2644" s="630">
        <v>2.9</v>
      </c>
      <c r="E2644" s="622"/>
      <c r="F2644" s="334"/>
      <c r="G2644" s="334"/>
      <c r="H2644" s="602"/>
      <c r="I2644" s="334"/>
      <c r="J2644" s="334"/>
      <c r="K2644" s="334"/>
      <c r="L2644" s="334"/>
      <c r="M2644" s="334"/>
      <c r="N2644" s="334"/>
      <c r="O2644" s="334"/>
    </row>
    <row r="2645" spans="1:15" ht="12.75" hidden="1" customHeight="1" outlineLevel="1" x14ac:dyDescent="0.2">
      <c r="A2645" s="623" t="s">
        <v>3593</v>
      </c>
      <c r="B2645" s="628" t="s">
        <v>1132</v>
      </c>
      <c r="C2645" s="625" t="s">
        <v>100</v>
      </c>
      <c r="D2645" s="626">
        <v>2.9</v>
      </c>
      <c r="E2645" s="622"/>
      <c r="F2645" s="334"/>
      <c r="G2645" s="334"/>
      <c r="H2645" s="602"/>
      <c r="I2645" s="334"/>
      <c r="J2645" s="334"/>
      <c r="K2645" s="334"/>
      <c r="L2645" s="334"/>
      <c r="M2645" s="334"/>
      <c r="N2645" s="334"/>
      <c r="O2645" s="334"/>
    </row>
    <row r="2646" spans="1:15" ht="12.75" hidden="1" customHeight="1" outlineLevel="1" x14ac:dyDescent="0.2">
      <c r="A2646" s="627" t="s">
        <v>3594</v>
      </c>
      <c r="B2646" s="624" t="s">
        <v>1134</v>
      </c>
      <c r="C2646" s="629" t="s">
        <v>100</v>
      </c>
      <c r="D2646" s="630">
        <v>29.89</v>
      </c>
      <c r="E2646" s="622"/>
      <c r="F2646" s="334"/>
      <c r="G2646" s="334"/>
      <c r="H2646" s="602"/>
      <c r="I2646" s="334"/>
      <c r="J2646" s="334"/>
      <c r="K2646" s="334"/>
      <c r="L2646" s="334"/>
      <c r="M2646" s="334"/>
      <c r="N2646" s="334"/>
      <c r="O2646" s="334"/>
    </row>
    <row r="2647" spans="1:15" ht="12.75" hidden="1" customHeight="1" outlineLevel="1" x14ac:dyDescent="0.2">
      <c r="A2647" s="623" t="s">
        <v>3595</v>
      </c>
      <c r="B2647" s="628" t="s">
        <v>1128</v>
      </c>
      <c r="C2647" s="625" t="s">
        <v>100</v>
      </c>
      <c r="D2647" s="626">
        <v>29.89</v>
      </c>
      <c r="E2647" s="622"/>
      <c r="F2647" s="334"/>
      <c r="G2647" s="334"/>
      <c r="H2647" s="602"/>
      <c r="I2647" s="334"/>
      <c r="J2647" s="334"/>
      <c r="K2647" s="334"/>
      <c r="L2647" s="334"/>
      <c r="M2647" s="334"/>
      <c r="N2647" s="334"/>
      <c r="O2647" s="334"/>
    </row>
    <row r="2648" spans="1:15" ht="12.75" hidden="1" customHeight="1" outlineLevel="1" x14ac:dyDescent="0.2">
      <c r="A2648" s="627" t="s">
        <v>3596</v>
      </c>
      <c r="B2648" s="624" t="s">
        <v>1130</v>
      </c>
      <c r="C2648" s="629" t="s">
        <v>100</v>
      </c>
      <c r="D2648" s="630">
        <v>29.89</v>
      </c>
      <c r="E2648" s="622"/>
      <c r="F2648" s="334"/>
      <c r="G2648" s="334"/>
      <c r="H2648" s="602"/>
      <c r="I2648" s="334"/>
      <c r="J2648" s="334"/>
      <c r="K2648" s="334"/>
      <c r="L2648" s="334"/>
      <c r="M2648" s="334"/>
      <c r="N2648" s="334"/>
      <c r="O2648" s="334"/>
    </row>
    <row r="2649" spans="1:15" ht="12.75" hidden="1" customHeight="1" outlineLevel="1" x14ac:dyDescent="0.2">
      <c r="A2649" s="623" t="s">
        <v>3597</v>
      </c>
      <c r="B2649" s="624" t="s">
        <v>1134</v>
      </c>
      <c r="C2649" s="625" t="s">
        <v>100</v>
      </c>
      <c r="D2649" s="626">
        <v>4.1100000000000003</v>
      </c>
      <c r="E2649" s="622"/>
      <c r="F2649" s="334"/>
      <c r="G2649" s="334"/>
      <c r="H2649" s="602"/>
      <c r="I2649" s="334"/>
      <c r="J2649" s="334"/>
      <c r="K2649" s="334"/>
      <c r="L2649" s="334"/>
      <c r="M2649" s="334"/>
      <c r="N2649" s="334"/>
      <c r="O2649" s="334"/>
    </row>
    <row r="2650" spans="1:15" ht="12.75" hidden="1" customHeight="1" outlineLevel="1" x14ac:dyDescent="0.2">
      <c r="A2650" s="627" t="s">
        <v>3598</v>
      </c>
      <c r="B2650" s="628" t="s">
        <v>1128</v>
      </c>
      <c r="C2650" s="629" t="s">
        <v>100</v>
      </c>
      <c r="D2650" s="630">
        <v>4.1100000000000003</v>
      </c>
      <c r="E2650" s="622"/>
      <c r="F2650" s="334"/>
      <c r="G2650" s="334"/>
      <c r="H2650" s="602"/>
      <c r="I2650" s="334"/>
      <c r="J2650" s="334"/>
      <c r="K2650" s="334"/>
      <c r="L2650" s="334"/>
      <c r="M2650" s="334"/>
      <c r="N2650" s="334"/>
      <c r="O2650" s="334"/>
    </row>
    <row r="2651" spans="1:15" ht="12.75" hidden="1" customHeight="1" outlineLevel="1" x14ac:dyDescent="0.2">
      <c r="A2651" s="623" t="s">
        <v>3599</v>
      </c>
      <c r="B2651" s="624" t="s">
        <v>1130</v>
      </c>
      <c r="C2651" s="625" t="s">
        <v>100</v>
      </c>
      <c r="D2651" s="626">
        <v>4.1100000000000003</v>
      </c>
      <c r="E2651" s="622"/>
      <c r="F2651" s="334"/>
      <c r="G2651" s="334"/>
      <c r="H2651" s="602"/>
      <c r="I2651" s="334"/>
      <c r="J2651" s="334"/>
      <c r="K2651" s="334"/>
      <c r="L2651" s="334"/>
      <c r="M2651" s="334"/>
      <c r="N2651" s="334"/>
      <c r="O2651" s="334"/>
    </row>
    <row r="2652" spans="1:15" ht="12.75" hidden="1" customHeight="1" outlineLevel="1" x14ac:dyDescent="0.2">
      <c r="A2652" s="627" t="s">
        <v>3600</v>
      </c>
      <c r="B2652" s="624" t="s">
        <v>1134</v>
      </c>
      <c r="C2652" s="629" t="s">
        <v>100</v>
      </c>
      <c r="D2652" s="630">
        <v>49.08</v>
      </c>
      <c r="E2652" s="622"/>
      <c r="F2652" s="334"/>
      <c r="G2652" s="334"/>
      <c r="H2652" s="602"/>
      <c r="I2652" s="334"/>
      <c r="J2652" s="334"/>
      <c r="K2652" s="334"/>
      <c r="L2652" s="334"/>
      <c r="M2652" s="334"/>
      <c r="N2652" s="334"/>
      <c r="O2652" s="334"/>
    </row>
    <row r="2653" spans="1:15" ht="12.75" hidden="1" customHeight="1" outlineLevel="1" x14ac:dyDescent="0.2">
      <c r="A2653" s="623" t="s">
        <v>3601</v>
      </c>
      <c r="B2653" s="628" t="s">
        <v>1128</v>
      </c>
      <c r="C2653" s="625" t="s">
        <v>100</v>
      </c>
      <c r="D2653" s="626">
        <v>49.08</v>
      </c>
      <c r="E2653" s="622"/>
      <c r="F2653" s="334"/>
      <c r="G2653" s="334"/>
      <c r="H2653" s="602"/>
      <c r="I2653" s="334"/>
      <c r="J2653" s="334"/>
      <c r="K2653" s="334"/>
      <c r="L2653" s="334"/>
      <c r="M2653" s="334"/>
      <c r="N2653" s="334"/>
      <c r="O2653" s="334"/>
    </row>
    <row r="2654" spans="1:15" ht="12.75" hidden="1" customHeight="1" outlineLevel="1" x14ac:dyDescent="0.2">
      <c r="A2654" s="627" t="s">
        <v>3602</v>
      </c>
      <c r="B2654" s="624" t="s">
        <v>1130</v>
      </c>
      <c r="C2654" s="629" t="s">
        <v>100</v>
      </c>
      <c r="D2654" s="630">
        <v>49.08</v>
      </c>
      <c r="E2654" s="622"/>
      <c r="F2654" s="334"/>
      <c r="G2654" s="334"/>
      <c r="H2654" s="602"/>
      <c r="I2654" s="334"/>
      <c r="J2654" s="334"/>
      <c r="K2654" s="334"/>
      <c r="L2654" s="334"/>
      <c r="M2654" s="334"/>
      <c r="N2654" s="334"/>
      <c r="O2654" s="334"/>
    </row>
    <row r="2655" spans="1:15" ht="12.75" hidden="1" customHeight="1" outlineLevel="1" x14ac:dyDescent="0.2">
      <c r="A2655" s="623" t="s">
        <v>3603</v>
      </c>
      <c r="B2655" s="624" t="s">
        <v>1134</v>
      </c>
      <c r="C2655" s="625" t="s">
        <v>100</v>
      </c>
      <c r="D2655" s="626">
        <v>232.05</v>
      </c>
      <c r="E2655" s="622"/>
      <c r="F2655" s="334"/>
      <c r="G2655" s="334"/>
      <c r="H2655" s="602"/>
      <c r="I2655" s="334"/>
      <c r="J2655" s="334"/>
      <c r="K2655" s="334"/>
      <c r="L2655" s="334"/>
      <c r="M2655" s="334"/>
      <c r="N2655" s="334"/>
      <c r="O2655" s="334"/>
    </row>
    <row r="2656" spans="1:15" ht="12.75" hidden="1" customHeight="1" outlineLevel="1" x14ac:dyDescent="0.2">
      <c r="A2656" s="627" t="s">
        <v>3604</v>
      </c>
      <c r="B2656" s="628" t="s">
        <v>1128</v>
      </c>
      <c r="C2656" s="629" t="s">
        <v>100</v>
      </c>
      <c r="D2656" s="630">
        <v>232.05</v>
      </c>
      <c r="E2656" s="622"/>
      <c r="F2656" s="334"/>
      <c r="G2656" s="334"/>
      <c r="H2656" s="602"/>
      <c r="I2656" s="334"/>
      <c r="J2656" s="334"/>
      <c r="K2656" s="334"/>
      <c r="L2656" s="334"/>
      <c r="M2656" s="334"/>
      <c r="N2656" s="334"/>
      <c r="O2656" s="334"/>
    </row>
    <row r="2657" spans="1:15" ht="12.75" hidden="1" customHeight="1" outlineLevel="1" x14ac:dyDescent="0.2">
      <c r="A2657" s="623" t="s">
        <v>3605</v>
      </c>
      <c r="B2657" s="624" t="s">
        <v>1130</v>
      </c>
      <c r="C2657" s="625" t="s">
        <v>100</v>
      </c>
      <c r="D2657" s="626">
        <v>232.05</v>
      </c>
      <c r="E2657" s="622"/>
      <c r="F2657" s="334"/>
      <c r="G2657" s="334"/>
      <c r="H2657" s="602"/>
      <c r="I2657" s="334"/>
      <c r="J2657" s="334"/>
      <c r="K2657" s="334"/>
      <c r="L2657" s="334"/>
      <c r="M2657" s="334"/>
      <c r="N2657" s="334"/>
      <c r="O2657" s="334"/>
    </row>
    <row r="2658" spans="1:15" ht="12.75" hidden="1" customHeight="1" outlineLevel="1" x14ac:dyDescent="0.2">
      <c r="A2658" s="627" t="s">
        <v>3606</v>
      </c>
      <c r="B2658" s="624" t="s">
        <v>1134</v>
      </c>
      <c r="C2658" s="629" t="s">
        <v>100</v>
      </c>
      <c r="D2658" s="630">
        <v>42.22</v>
      </c>
      <c r="E2658" s="622"/>
      <c r="F2658" s="334"/>
      <c r="G2658" s="334"/>
      <c r="H2658" s="602"/>
      <c r="I2658" s="334"/>
      <c r="J2658" s="334"/>
      <c r="K2658" s="334"/>
      <c r="L2658" s="334"/>
      <c r="M2658" s="334"/>
      <c r="N2658" s="334"/>
      <c r="O2658" s="334"/>
    </row>
    <row r="2659" spans="1:15" ht="12.75" hidden="1" customHeight="1" outlineLevel="1" x14ac:dyDescent="0.2">
      <c r="A2659" s="623" t="s">
        <v>3607</v>
      </c>
      <c r="B2659" s="628" t="s">
        <v>1128</v>
      </c>
      <c r="C2659" s="625" t="s">
        <v>100</v>
      </c>
      <c r="D2659" s="626">
        <v>42.22</v>
      </c>
      <c r="E2659" s="622"/>
      <c r="F2659" s="334"/>
      <c r="G2659" s="334"/>
      <c r="H2659" s="602"/>
      <c r="I2659" s="334"/>
      <c r="J2659" s="334"/>
      <c r="K2659" s="334"/>
      <c r="L2659" s="334"/>
      <c r="M2659" s="334"/>
      <c r="N2659" s="334"/>
      <c r="O2659" s="334"/>
    </row>
    <row r="2660" spans="1:15" ht="12.75" hidden="1" customHeight="1" outlineLevel="1" x14ac:dyDescent="0.2">
      <c r="A2660" s="627" t="s">
        <v>3608</v>
      </c>
      <c r="B2660" s="624" t="s">
        <v>1130</v>
      </c>
      <c r="C2660" s="629" t="s">
        <v>100</v>
      </c>
      <c r="D2660" s="630">
        <v>42.22</v>
      </c>
      <c r="E2660" s="622"/>
      <c r="F2660" s="334"/>
      <c r="G2660" s="334"/>
      <c r="H2660" s="602"/>
      <c r="I2660" s="334"/>
      <c r="J2660" s="334"/>
      <c r="K2660" s="334"/>
      <c r="L2660" s="334"/>
      <c r="M2660" s="334"/>
      <c r="N2660" s="334"/>
      <c r="O2660" s="334"/>
    </row>
    <row r="2661" spans="1:15" ht="12.75" hidden="1" customHeight="1" outlineLevel="1" x14ac:dyDescent="0.2">
      <c r="A2661" s="623" t="s">
        <v>3609</v>
      </c>
      <c r="B2661" s="624" t="s">
        <v>1134</v>
      </c>
      <c r="C2661" s="625" t="s">
        <v>100</v>
      </c>
      <c r="D2661" s="626">
        <v>18.25</v>
      </c>
      <c r="E2661" s="622"/>
      <c r="F2661" s="334"/>
      <c r="G2661" s="334"/>
      <c r="H2661" s="602"/>
      <c r="I2661" s="334"/>
      <c r="J2661" s="334"/>
      <c r="K2661" s="334"/>
      <c r="L2661" s="334"/>
      <c r="M2661" s="334"/>
      <c r="N2661" s="334"/>
      <c r="O2661" s="334"/>
    </row>
    <row r="2662" spans="1:15" ht="12.75" hidden="1" customHeight="1" outlineLevel="1" x14ac:dyDescent="0.2">
      <c r="A2662" s="627" t="s">
        <v>3610</v>
      </c>
      <c r="B2662" s="628" t="s">
        <v>1128</v>
      </c>
      <c r="C2662" s="629" t="s">
        <v>100</v>
      </c>
      <c r="D2662" s="630">
        <v>18.25</v>
      </c>
      <c r="E2662" s="622"/>
      <c r="F2662" s="334"/>
      <c r="G2662" s="334"/>
      <c r="H2662" s="602"/>
      <c r="I2662" s="334"/>
      <c r="J2662" s="334"/>
      <c r="K2662" s="334"/>
      <c r="L2662" s="334"/>
      <c r="M2662" s="334"/>
      <c r="N2662" s="334"/>
      <c r="O2662" s="334"/>
    </row>
    <row r="2663" spans="1:15" ht="12.75" hidden="1" customHeight="1" outlineLevel="1" x14ac:dyDescent="0.2">
      <c r="A2663" s="623" t="s">
        <v>3611</v>
      </c>
      <c r="B2663" s="624" t="s">
        <v>1130</v>
      </c>
      <c r="C2663" s="625" t="s">
        <v>100</v>
      </c>
      <c r="D2663" s="626">
        <v>18.25</v>
      </c>
      <c r="E2663" s="622"/>
      <c r="F2663" s="334"/>
      <c r="G2663" s="334"/>
      <c r="H2663" s="602"/>
      <c r="I2663" s="334"/>
      <c r="J2663" s="334"/>
      <c r="K2663" s="334"/>
      <c r="L2663" s="334"/>
      <c r="M2663" s="334"/>
      <c r="N2663" s="334"/>
      <c r="O2663" s="334"/>
    </row>
    <row r="2664" spans="1:15" ht="12.75" hidden="1" customHeight="1" outlineLevel="1" x14ac:dyDescent="0.2">
      <c r="A2664" s="627" t="s">
        <v>3612</v>
      </c>
      <c r="B2664" s="624" t="s">
        <v>1128</v>
      </c>
      <c r="C2664" s="629" t="s">
        <v>100</v>
      </c>
      <c r="D2664" s="630">
        <v>6.63</v>
      </c>
      <c r="E2664" s="622"/>
      <c r="F2664" s="334"/>
      <c r="G2664" s="334"/>
      <c r="H2664" s="602"/>
      <c r="I2664" s="334"/>
      <c r="J2664" s="334"/>
      <c r="K2664" s="334"/>
      <c r="L2664" s="334"/>
      <c r="M2664" s="334"/>
      <c r="N2664" s="334"/>
      <c r="O2664" s="334"/>
    </row>
    <row r="2665" spans="1:15" ht="12.75" hidden="1" customHeight="1" outlineLevel="1" x14ac:dyDescent="0.2">
      <c r="A2665" s="623" t="s">
        <v>3613</v>
      </c>
      <c r="B2665" s="628" t="s">
        <v>1130</v>
      </c>
      <c r="C2665" s="625" t="s">
        <v>100</v>
      </c>
      <c r="D2665" s="626">
        <v>6.63</v>
      </c>
      <c r="E2665" s="622"/>
      <c r="F2665" s="334"/>
      <c r="G2665" s="334"/>
      <c r="H2665" s="602"/>
      <c r="I2665" s="334"/>
      <c r="J2665" s="334"/>
      <c r="K2665" s="334"/>
      <c r="L2665" s="334"/>
      <c r="M2665" s="334"/>
      <c r="N2665" s="334"/>
      <c r="O2665" s="334"/>
    </row>
    <row r="2666" spans="1:15" ht="12.75" hidden="1" customHeight="1" outlineLevel="1" x14ac:dyDescent="0.2">
      <c r="A2666" s="627" t="s">
        <v>3614</v>
      </c>
      <c r="B2666" s="624" t="s">
        <v>1132</v>
      </c>
      <c r="C2666" s="629" t="s">
        <v>100</v>
      </c>
      <c r="D2666" s="630">
        <v>6.63</v>
      </c>
      <c r="E2666" s="622"/>
      <c r="F2666" s="334"/>
      <c r="G2666" s="334"/>
      <c r="H2666" s="602"/>
      <c r="I2666" s="334"/>
      <c r="J2666" s="334"/>
      <c r="K2666" s="334"/>
      <c r="L2666" s="334"/>
      <c r="M2666" s="334"/>
      <c r="N2666" s="334"/>
      <c r="O2666" s="334"/>
    </row>
    <row r="2667" spans="1:15" ht="12.75" hidden="1" customHeight="1" outlineLevel="1" x14ac:dyDescent="0.2">
      <c r="A2667" s="623" t="s">
        <v>3615</v>
      </c>
      <c r="B2667" s="628" t="s">
        <v>1128</v>
      </c>
      <c r="C2667" s="625" t="s">
        <v>100</v>
      </c>
      <c r="D2667" s="626">
        <v>22.27</v>
      </c>
      <c r="E2667" s="622"/>
      <c r="F2667" s="334"/>
      <c r="G2667" s="334"/>
      <c r="H2667" s="602"/>
      <c r="I2667" s="334"/>
      <c r="J2667" s="334"/>
      <c r="K2667" s="334"/>
      <c r="L2667" s="334"/>
      <c r="M2667" s="334"/>
      <c r="N2667" s="334"/>
      <c r="O2667" s="334"/>
    </row>
    <row r="2668" spans="1:15" ht="12.75" hidden="1" customHeight="1" outlineLevel="1" x14ac:dyDescent="0.2">
      <c r="A2668" s="627" t="s">
        <v>3616</v>
      </c>
      <c r="B2668" s="624" t="s">
        <v>1130</v>
      </c>
      <c r="C2668" s="629" t="s">
        <v>100</v>
      </c>
      <c r="D2668" s="630">
        <v>22.27</v>
      </c>
      <c r="E2668" s="622"/>
      <c r="F2668" s="334"/>
      <c r="G2668" s="334"/>
      <c r="H2668" s="602"/>
      <c r="I2668" s="334"/>
      <c r="J2668" s="334"/>
      <c r="K2668" s="334"/>
      <c r="L2668" s="334"/>
      <c r="M2668" s="334"/>
      <c r="N2668" s="334"/>
      <c r="O2668" s="334"/>
    </row>
    <row r="2669" spans="1:15" ht="12.75" hidden="1" customHeight="1" outlineLevel="1" x14ac:dyDescent="0.2">
      <c r="A2669" s="623" t="s">
        <v>3617</v>
      </c>
      <c r="B2669" s="628" t="s">
        <v>1132</v>
      </c>
      <c r="C2669" s="625" t="s">
        <v>100</v>
      </c>
      <c r="D2669" s="626">
        <v>22.27</v>
      </c>
      <c r="E2669" s="622"/>
      <c r="F2669" s="334"/>
      <c r="G2669" s="334"/>
      <c r="H2669" s="602"/>
      <c r="I2669" s="334"/>
      <c r="J2669" s="334"/>
      <c r="K2669" s="334"/>
      <c r="L2669" s="334"/>
      <c r="M2669" s="334"/>
      <c r="N2669" s="334"/>
      <c r="O2669" s="334"/>
    </row>
    <row r="2670" spans="1:15" ht="12.75" hidden="1" customHeight="1" outlineLevel="1" x14ac:dyDescent="0.2">
      <c r="A2670" s="618" t="s">
        <v>3618</v>
      </c>
      <c r="B2670" s="619" t="s">
        <v>1086</v>
      </c>
      <c r="C2670" s="620"/>
      <c r="D2670" s="621"/>
      <c r="E2670" s="622"/>
      <c r="F2670" s="334"/>
      <c r="G2670" s="334"/>
      <c r="H2670" s="602"/>
      <c r="I2670" s="334"/>
      <c r="J2670" s="334"/>
      <c r="K2670" s="334"/>
      <c r="L2670" s="334"/>
      <c r="M2670" s="334"/>
      <c r="N2670" s="334"/>
      <c r="O2670" s="334"/>
    </row>
    <row r="2671" spans="1:15" ht="12.75" hidden="1" customHeight="1" outlineLevel="1" x14ac:dyDescent="0.2">
      <c r="A2671" s="627" t="s">
        <v>3619</v>
      </c>
      <c r="B2671" s="628" t="s">
        <v>1128</v>
      </c>
      <c r="C2671" s="629" t="s">
        <v>100</v>
      </c>
      <c r="D2671" s="630">
        <v>2.9</v>
      </c>
      <c r="E2671" s="622"/>
      <c r="F2671" s="334"/>
      <c r="G2671" s="334"/>
      <c r="H2671" s="602"/>
      <c r="I2671" s="334"/>
      <c r="J2671" s="334"/>
      <c r="K2671" s="334"/>
      <c r="L2671" s="334"/>
      <c r="M2671" s="334"/>
      <c r="N2671" s="334"/>
      <c r="O2671" s="334"/>
    </row>
    <row r="2672" spans="1:15" ht="12.75" hidden="1" customHeight="1" outlineLevel="1" x14ac:dyDescent="0.2">
      <c r="A2672" s="623" t="s">
        <v>3620</v>
      </c>
      <c r="B2672" s="624" t="s">
        <v>1130</v>
      </c>
      <c r="C2672" s="625" t="s">
        <v>100</v>
      </c>
      <c r="D2672" s="626">
        <v>2.9</v>
      </c>
      <c r="E2672" s="622"/>
      <c r="F2672" s="334"/>
      <c r="G2672" s="334"/>
      <c r="H2672" s="602"/>
      <c r="I2672" s="334"/>
      <c r="J2672" s="334"/>
      <c r="K2672" s="334"/>
      <c r="L2672" s="334"/>
      <c r="M2672" s="334"/>
      <c r="N2672" s="334"/>
      <c r="O2672" s="334"/>
    </row>
    <row r="2673" spans="1:15" ht="12.75" hidden="1" customHeight="1" outlineLevel="1" x14ac:dyDescent="0.2">
      <c r="A2673" s="627" t="s">
        <v>3621</v>
      </c>
      <c r="B2673" s="628" t="s">
        <v>1132</v>
      </c>
      <c r="C2673" s="629" t="s">
        <v>100</v>
      </c>
      <c r="D2673" s="630">
        <v>2.9</v>
      </c>
      <c r="E2673" s="622"/>
      <c r="F2673" s="334"/>
      <c r="G2673" s="334"/>
      <c r="H2673" s="602"/>
      <c r="I2673" s="334"/>
      <c r="J2673" s="334"/>
      <c r="K2673" s="334"/>
      <c r="L2673" s="334"/>
      <c r="M2673" s="334"/>
      <c r="N2673" s="334"/>
      <c r="O2673" s="334"/>
    </row>
    <row r="2674" spans="1:15" ht="12.75" hidden="1" customHeight="1" outlineLevel="1" x14ac:dyDescent="0.2">
      <c r="A2674" s="623" t="s">
        <v>3622</v>
      </c>
      <c r="B2674" s="624" t="s">
        <v>1134</v>
      </c>
      <c r="C2674" s="625" t="s">
        <v>100</v>
      </c>
      <c r="D2674" s="626">
        <v>29.89</v>
      </c>
      <c r="E2674" s="622"/>
      <c r="F2674" s="334"/>
      <c r="G2674" s="334"/>
      <c r="H2674" s="602"/>
      <c r="I2674" s="334"/>
      <c r="J2674" s="334"/>
      <c r="K2674" s="334"/>
      <c r="L2674" s="334"/>
      <c r="M2674" s="334"/>
      <c r="N2674" s="334"/>
      <c r="O2674" s="334"/>
    </row>
    <row r="2675" spans="1:15" ht="12.75" hidden="1" customHeight="1" outlineLevel="1" x14ac:dyDescent="0.2">
      <c r="A2675" s="627" t="s">
        <v>3623</v>
      </c>
      <c r="B2675" s="628" t="s">
        <v>1128</v>
      </c>
      <c r="C2675" s="629" t="s">
        <v>100</v>
      </c>
      <c r="D2675" s="630">
        <v>29.89</v>
      </c>
      <c r="E2675" s="622"/>
      <c r="F2675" s="334"/>
      <c r="G2675" s="334"/>
      <c r="H2675" s="602"/>
      <c r="I2675" s="334"/>
      <c r="J2675" s="334"/>
      <c r="K2675" s="334"/>
      <c r="L2675" s="334"/>
      <c r="M2675" s="334"/>
      <c r="N2675" s="334"/>
      <c r="O2675" s="334"/>
    </row>
    <row r="2676" spans="1:15" ht="12.75" hidden="1" customHeight="1" outlineLevel="1" x14ac:dyDescent="0.2">
      <c r="A2676" s="623" t="s">
        <v>3624</v>
      </c>
      <c r="B2676" s="624" t="s">
        <v>1130</v>
      </c>
      <c r="C2676" s="625" t="s">
        <v>100</v>
      </c>
      <c r="D2676" s="626">
        <v>29.89</v>
      </c>
      <c r="E2676" s="622"/>
      <c r="F2676" s="334"/>
      <c r="G2676" s="334"/>
      <c r="H2676" s="602"/>
      <c r="I2676" s="334"/>
      <c r="J2676" s="334"/>
      <c r="K2676" s="334"/>
      <c r="L2676" s="334"/>
      <c r="M2676" s="334"/>
      <c r="N2676" s="334"/>
      <c r="O2676" s="334"/>
    </row>
    <row r="2677" spans="1:15" ht="12.75" hidden="1" customHeight="1" outlineLevel="1" x14ac:dyDescent="0.2">
      <c r="A2677" s="627" t="s">
        <v>3625</v>
      </c>
      <c r="B2677" s="624" t="s">
        <v>1134</v>
      </c>
      <c r="C2677" s="629" t="s">
        <v>100</v>
      </c>
      <c r="D2677" s="630">
        <v>4.1100000000000003</v>
      </c>
      <c r="E2677" s="622"/>
      <c r="F2677" s="334"/>
      <c r="G2677" s="334"/>
      <c r="H2677" s="602"/>
      <c r="I2677" s="334"/>
      <c r="J2677" s="334"/>
      <c r="K2677" s="334"/>
      <c r="L2677" s="334"/>
      <c r="M2677" s="334"/>
      <c r="N2677" s="334"/>
      <c r="O2677" s="334"/>
    </row>
    <row r="2678" spans="1:15" ht="12.75" hidden="1" customHeight="1" outlineLevel="1" x14ac:dyDescent="0.2">
      <c r="A2678" s="623" t="s">
        <v>3626</v>
      </c>
      <c r="B2678" s="628" t="s">
        <v>1128</v>
      </c>
      <c r="C2678" s="625" t="s">
        <v>100</v>
      </c>
      <c r="D2678" s="626">
        <v>4.1100000000000003</v>
      </c>
      <c r="E2678" s="622"/>
      <c r="F2678" s="334"/>
      <c r="G2678" s="334"/>
      <c r="H2678" s="602"/>
      <c r="I2678" s="334"/>
      <c r="J2678" s="334"/>
      <c r="K2678" s="334"/>
      <c r="L2678" s="334"/>
      <c r="M2678" s="334"/>
      <c r="N2678" s="334"/>
      <c r="O2678" s="334"/>
    </row>
    <row r="2679" spans="1:15" ht="12.75" hidden="1" customHeight="1" outlineLevel="1" x14ac:dyDescent="0.2">
      <c r="A2679" s="627" t="s">
        <v>3627</v>
      </c>
      <c r="B2679" s="624" t="s">
        <v>1130</v>
      </c>
      <c r="C2679" s="629" t="s">
        <v>100</v>
      </c>
      <c r="D2679" s="630">
        <v>4.1100000000000003</v>
      </c>
      <c r="E2679" s="622"/>
      <c r="F2679" s="334"/>
      <c r="G2679" s="334"/>
      <c r="H2679" s="602"/>
      <c r="I2679" s="334"/>
      <c r="J2679" s="334"/>
      <c r="K2679" s="334"/>
      <c r="L2679" s="334"/>
      <c r="M2679" s="334"/>
      <c r="N2679" s="334"/>
      <c r="O2679" s="334"/>
    </row>
    <row r="2680" spans="1:15" ht="12.75" hidden="1" customHeight="1" outlineLevel="1" x14ac:dyDescent="0.2">
      <c r="A2680" s="623" t="s">
        <v>3628</v>
      </c>
      <c r="B2680" s="624" t="s">
        <v>1134</v>
      </c>
      <c r="C2680" s="625" t="s">
        <v>100</v>
      </c>
      <c r="D2680" s="626">
        <v>49.08</v>
      </c>
      <c r="E2680" s="622"/>
      <c r="F2680" s="334"/>
      <c r="G2680" s="334"/>
      <c r="H2680" s="602"/>
      <c r="I2680" s="334"/>
      <c r="J2680" s="334"/>
      <c r="K2680" s="334"/>
      <c r="L2680" s="334"/>
      <c r="M2680" s="334"/>
      <c r="N2680" s="334"/>
      <c r="O2680" s="334"/>
    </row>
    <row r="2681" spans="1:15" ht="12.75" hidden="1" customHeight="1" outlineLevel="1" x14ac:dyDescent="0.2">
      <c r="A2681" s="627" t="s">
        <v>3629</v>
      </c>
      <c r="B2681" s="628" t="s">
        <v>1128</v>
      </c>
      <c r="C2681" s="629" t="s">
        <v>100</v>
      </c>
      <c r="D2681" s="630">
        <v>49.08</v>
      </c>
      <c r="E2681" s="622"/>
      <c r="F2681" s="334"/>
      <c r="G2681" s="334"/>
      <c r="H2681" s="602"/>
      <c r="I2681" s="334"/>
      <c r="J2681" s="334"/>
      <c r="K2681" s="334"/>
      <c r="L2681" s="334"/>
      <c r="M2681" s="334"/>
      <c r="N2681" s="334"/>
      <c r="O2681" s="334"/>
    </row>
    <row r="2682" spans="1:15" ht="12.75" hidden="1" customHeight="1" outlineLevel="1" x14ac:dyDescent="0.2">
      <c r="A2682" s="623" t="s">
        <v>3630</v>
      </c>
      <c r="B2682" s="624" t="s">
        <v>1130</v>
      </c>
      <c r="C2682" s="625" t="s">
        <v>100</v>
      </c>
      <c r="D2682" s="626">
        <v>49.08</v>
      </c>
      <c r="E2682" s="622"/>
      <c r="F2682" s="334"/>
      <c r="G2682" s="334"/>
      <c r="H2682" s="602"/>
      <c r="I2682" s="334"/>
      <c r="J2682" s="334"/>
      <c r="K2682" s="334"/>
      <c r="L2682" s="334"/>
      <c r="M2682" s="334"/>
      <c r="N2682" s="334"/>
      <c r="O2682" s="334"/>
    </row>
    <row r="2683" spans="1:15" ht="12.75" hidden="1" customHeight="1" outlineLevel="1" x14ac:dyDescent="0.2">
      <c r="A2683" s="627" t="s">
        <v>3631</v>
      </c>
      <c r="B2683" s="624" t="s">
        <v>1134</v>
      </c>
      <c r="C2683" s="629" t="s">
        <v>100</v>
      </c>
      <c r="D2683" s="630">
        <v>232.05</v>
      </c>
      <c r="E2683" s="622"/>
      <c r="F2683" s="334"/>
      <c r="G2683" s="334"/>
      <c r="H2683" s="602"/>
      <c r="I2683" s="334"/>
      <c r="J2683" s="334"/>
      <c r="K2683" s="334"/>
      <c r="L2683" s="334"/>
      <c r="M2683" s="334"/>
      <c r="N2683" s="334"/>
      <c r="O2683" s="334"/>
    </row>
    <row r="2684" spans="1:15" ht="12.75" hidden="1" customHeight="1" outlineLevel="1" x14ac:dyDescent="0.2">
      <c r="A2684" s="623" t="s">
        <v>3632</v>
      </c>
      <c r="B2684" s="628" t="s">
        <v>1128</v>
      </c>
      <c r="C2684" s="625" t="s">
        <v>100</v>
      </c>
      <c r="D2684" s="626">
        <v>232.05</v>
      </c>
      <c r="E2684" s="622"/>
      <c r="F2684" s="334"/>
      <c r="G2684" s="334"/>
      <c r="H2684" s="602"/>
      <c r="I2684" s="334"/>
      <c r="J2684" s="334"/>
      <c r="K2684" s="334"/>
      <c r="L2684" s="334"/>
      <c r="M2684" s="334"/>
      <c r="N2684" s="334"/>
      <c r="O2684" s="334"/>
    </row>
    <row r="2685" spans="1:15" ht="12.75" hidden="1" customHeight="1" outlineLevel="1" x14ac:dyDescent="0.2">
      <c r="A2685" s="627" t="s">
        <v>3633</v>
      </c>
      <c r="B2685" s="624" t="s">
        <v>1130</v>
      </c>
      <c r="C2685" s="629" t="s">
        <v>100</v>
      </c>
      <c r="D2685" s="630">
        <v>232.05</v>
      </c>
      <c r="E2685" s="622"/>
      <c r="F2685" s="334"/>
      <c r="G2685" s="334"/>
      <c r="H2685" s="602"/>
      <c r="I2685" s="334"/>
      <c r="J2685" s="334"/>
      <c r="K2685" s="334"/>
      <c r="L2685" s="334"/>
      <c r="M2685" s="334"/>
      <c r="N2685" s="334"/>
      <c r="O2685" s="334"/>
    </row>
    <row r="2686" spans="1:15" ht="12.75" hidden="1" customHeight="1" outlineLevel="1" x14ac:dyDescent="0.2">
      <c r="A2686" s="623" t="s">
        <v>3634</v>
      </c>
      <c r="B2686" s="624" t="s">
        <v>1134</v>
      </c>
      <c r="C2686" s="625" t="s">
        <v>100</v>
      </c>
      <c r="D2686" s="626">
        <v>42.22</v>
      </c>
      <c r="E2686" s="622"/>
      <c r="F2686" s="334"/>
      <c r="G2686" s="334"/>
      <c r="H2686" s="602"/>
      <c r="I2686" s="334"/>
      <c r="J2686" s="334"/>
      <c r="K2686" s="334"/>
      <c r="L2686" s="334"/>
      <c r="M2686" s="334"/>
      <c r="N2686" s="334"/>
      <c r="O2686" s="334"/>
    </row>
    <row r="2687" spans="1:15" ht="12.75" hidden="1" customHeight="1" outlineLevel="1" x14ac:dyDescent="0.2">
      <c r="A2687" s="627" t="s">
        <v>3635</v>
      </c>
      <c r="B2687" s="628" t="s">
        <v>1128</v>
      </c>
      <c r="C2687" s="629" t="s">
        <v>100</v>
      </c>
      <c r="D2687" s="630">
        <v>42.22</v>
      </c>
      <c r="E2687" s="622"/>
      <c r="F2687" s="334"/>
      <c r="G2687" s="334"/>
      <c r="H2687" s="602"/>
      <c r="I2687" s="334"/>
      <c r="J2687" s="334"/>
      <c r="K2687" s="334"/>
      <c r="L2687" s="334"/>
      <c r="M2687" s="334"/>
      <c r="N2687" s="334"/>
      <c r="O2687" s="334"/>
    </row>
    <row r="2688" spans="1:15" ht="12.75" hidden="1" customHeight="1" outlineLevel="1" x14ac:dyDescent="0.2">
      <c r="A2688" s="623" t="s">
        <v>3636</v>
      </c>
      <c r="B2688" s="624" t="s">
        <v>1130</v>
      </c>
      <c r="C2688" s="625" t="s">
        <v>100</v>
      </c>
      <c r="D2688" s="626">
        <v>42.22</v>
      </c>
      <c r="E2688" s="622"/>
      <c r="F2688" s="334"/>
      <c r="G2688" s="334"/>
      <c r="H2688" s="602"/>
      <c r="I2688" s="334"/>
      <c r="J2688" s="334"/>
      <c r="K2688" s="334"/>
      <c r="L2688" s="334"/>
      <c r="M2688" s="334"/>
      <c r="N2688" s="334"/>
      <c r="O2688" s="334"/>
    </row>
    <row r="2689" spans="1:15" ht="12.75" hidden="1" customHeight="1" outlineLevel="1" x14ac:dyDescent="0.2">
      <c r="A2689" s="627" t="s">
        <v>3637</v>
      </c>
      <c r="B2689" s="624" t="s">
        <v>1134</v>
      </c>
      <c r="C2689" s="629" t="s">
        <v>100</v>
      </c>
      <c r="D2689" s="630">
        <v>18.25</v>
      </c>
      <c r="E2689" s="622"/>
      <c r="F2689" s="334"/>
      <c r="G2689" s="334"/>
      <c r="H2689" s="602"/>
      <c r="I2689" s="334"/>
      <c r="J2689" s="334"/>
      <c r="K2689" s="334"/>
      <c r="L2689" s="334"/>
      <c r="M2689" s="334"/>
      <c r="N2689" s="334"/>
      <c r="O2689" s="334"/>
    </row>
    <row r="2690" spans="1:15" ht="12.75" hidden="1" customHeight="1" outlineLevel="1" x14ac:dyDescent="0.2">
      <c r="A2690" s="623" t="s">
        <v>3638</v>
      </c>
      <c r="B2690" s="628" t="s">
        <v>1128</v>
      </c>
      <c r="C2690" s="625" t="s">
        <v>100</v>
      </c>
      <c r="D2690" s="626">
        <v>18.25</v>
      </c>
      <c r="E2690" s="622"/>
      <c r="F2690" s="334"/>
      <c r="G2690" s="334"/>
      <c r="H2690" s="602"/>
      <c r="I2690" s="334"/>
      <c r="J2690" s="334"/>
      <c r="K2690" s="334"/>
      <c r="L2690" s="334"/>
      <c r="M2690" s="334"/>
      <c r="N2690" s="334"/>
      <c r="O2690" s="334"/>
    </row>
    <row r="2691" spans="1:15" ht="12.75" hidden="1" customHeight="1" outlineLevel="1" x14ac:dyDescent="0.2">
      <c r="A2691" s="627" t="s">
        <v>3639</v>
      </c>
      <c r="B2691" s="624" t="s">
        <v>1130</v>
      </c>
      <c r="C2691" s="629" t="s">
        <v>100</v>
      </c>
      <c r="D2691" s="630">
        <v>18.25</v>
      </c>
      <c r="E2691" s="622"/>
      <c r="F2691" s="334"/>
      <c r="G2691" s="334"/>
      <c r="H2691" s="602"/>
      <c r="I2691" s="334"/>
      <c r="J2691" s="334"/>
      <c r="K2691" s="334"/>
      <c r="L2691" s="334"/>
      <c r="M2691" s="334"/>
      <c r="N2691" s="334"/>
      <c r="O2691" s="334"/>
    </row>
    <row r="2692" spans="1:15" ht="12.75" hidden="1" customHeight="1" outlineLevel="1" x14ac:dyDescent="0.2">
      <c r="A2692" s="623" t="s">
        <v>3640</v>
      </c>
      <c r="B2692" s="624" t="s">
        <v>1128</v>
      </c>
      <c r="C2692" s="625" t="s">
        <v>100</v>
      </c>
      <c r="D2692" s="626">
        <v>6.63</v>
      </c>
      <c r="E2692" s="622"/>
      <c r="F2692" s="334"/>
      <c r="G2692" s="334"/>
      <c r="H2692" s="602"/>
      <c r="I2692" s="334"/>
      <c r="J2692" s="334"/>
      <c r="K2692" s="334"/>
      <c r="L2692" s="334"/>
      <c r="M2692" s="334"/>
      <c r="N2692" s="334"/>
      <c r="O2692" s="334"/>
    </row>
    <row r="2693" spans="1:15" ht="12.75" hidden="1" customHeight="1" outlineLevel="1" x14ac:dyDescent="0.2">
      <c r="A2693" s="627" t="s">
        <v>3641</v>
      </c>
      <c r="B2693" s="628" t="s">
        <v>1130</v>
      </c>
      <c r="C2693" s="629" t="s">
        <v>100</v>
      </c>
      <c r="D2693" s="630">
        <v>6.63</v>
      </c>
      <c r="E2693" s="622"/>
      <c r="F2693" s="334"/>
      <c r="G2693" s="334"/>
      <c r="H2693" s="602"/>
      <c r="I2693" s="334"/>
      <c r="J2693" s="334"/>
      <c r="K2693" s="334"/>
      <c r="L2693" s="334"/>
      <c r="M2693" s="334"/>
      <c r="N2693" s="334"/>
      <c r="O2693" s="334"/>
    </row>
    <row r="2694" spans="1:15" ht="12.75" hidden="1" customHeight="1" outlineLevel="1" x14ac:dyDescent="0.2">
      <c r="A2694" s="623" t="s">
        <v>3642</v>
      </c>
      <c r="B2694" s="624" t="s">
        <v>1132</v>
      </c>
      <c r="C2694" s="625" t="s">
        <v>100</v>
      </c>
      <c r="D2694" s="626">
        <v>6.63</v>
      </c>
      <c r="E2694" s="622"/>
      <c r="F2694" s="334"/>
      <c r="G2694" s="334"/>
      <c r="H2694" s="602"/>
      <c r="I2694" s="334"/>
      <c r="J2694" s="334"/>
      <c r="K2694" s="334"/>
      <c r="L2694" s="334"/>
      <c r="M2694" s="334"/>
      <c r="N2694" s="334"/>
      <c r="O2694" s="334"/>
    </row>
    <row r="2695" spans="1:15" ht="12.75" hidden="1" customHeight="1" outlineLevel="1" x14ac:dyDescent="0.2">
      <c r="A2695" s="627" t="s">
        <v>3643</v>
      </c>
      <c r="B2695" s="628" t="s">
        <v>1128</v>
      </c>
      <c r="C2695" s="629" t="s">
        <v>100</v>
      </c>
      <c r="D2695" s="630">
        <v>22.27</v>
      </c>
      <c r="E2695" s="622"/>
      <c r="F2695" s="334"/>
      <c r="G2695" s="334"/>
      <c r="H2695" s="602"/>
      <c r="I2695" s="334"/>
      <c r="J2695" s="334"/>
      <c r="K2695" s="334"/>
      <c r="L2695" s="334"/>
      <c r="M2695" s="334"/>
      <c r="N2695" s="334"/>
      <c r="O2695" s="334"/>
    </row>
    <row r="2696" spans="1:15" ht="12.75" hidden="1" customHeight="1" outlineLevel="1" x14ac:dyDescent="0.2">
      <c r="A2696" s="623" t="s">
        <v>3644</v>
      </c>
      <c r="B2696" s="624" t="s">
        <v>1130</v>
      </c>
      <c r="C2696" s="625" t="s">
        <v>100</v>
      </c>
      <c r="D2696" s="626">
        <v>22.27</v>
      </c>
      <c r="E2696" s="622"/>
      <c r="F2696" s="334"/>
      <c r="G2696" s="334"/>
      <c r="H2696" s="602"/>
      <c r="I2696" s="334"/>
      <c r="J2696" s="334"/>
      <c r="K2696" s="334"/>
      <c r="L2696" s="334"/>
      <c r="M2696" s="334"/>
      <c r="N2696" s="334"/>
      <c r="O2696" s="334"/>
    </row>
    <row r="2697" spans="1:15" ht="12.75" hidden="1" customHeight="1" outlineLevel="1" x14ac:dyDescent="0.2">
      <c r="A2697" s="627" t="s">
        <v>3645</v>
      </c>
      <c r="B2697" s="628" t="s">
        <v>1132</v>
      </c>
      <c r="C2697" s="629" t="s">
        <v>100</v>
      </c>
      <c r="D2697" s="630">
        <v>22.27</v>
      </c>
      <c r="E2697" s="622"/>
      <c r="F2697" s="334"/>
      <c r="G2697" s="334"/>
      <c r="H2697" s="602"/>
      <c r="I2697" s="334"/>
      <c r="J2697" s="334"/>
      <c r="K2697" s="334"/>
      <c r="L2697" s="334"/>
      <c r="M2697" s="334"/>
      <c r="N2697" s="334"/>
      <c r="O2697" s="334"/>
    </row>
    <row r="2698" spans="1:15" ht="12.75" hidden="1" customHeight="1" outlineLevel="1" x14ac:dyDescent="0.2">
      <c r="A2698" s="618" t="s">
        <v>3646</v>
      </c>
      <c r="B2698" s="619" t="s">
        <v>1094</v>
      </c>
      <c r="C2698" s="620"/>
      <c r="D2698" s="621"/>
      <c r="E2698" s="622"/>
      <c r="F2698" s="334"/>
      <c r="G2698" s="334"/>
      <c r="H2698" s="602"/>
      <c r="I2698" s="334"/>
      <c r="J2698" s="334"/>
      <c r="K2698" s="334"/>
      <c r="L2698" s="334"/>
      <c r="M2698" s="334"/>
      <c r="N2698" s="334"/>
      <c r="O2698" s="334"/>
    </row>
    <row r="2699" spans="1:15" ht="12.75" hidden="1" customHeight="1" outlineLevel="1" x14ac:dyDescent="0.2">
      <c r="A2699" s="623" t="s">
        <v>3647</v>
      </c>
      <c r="B2699" s="628" t="s">
        <v>1128</v>
      </c>
      <c r="C2699" s="625" t="s">
        <v>100</v>
      </c>
      <c r="D2699" s="626">
        <v>2.9</v>
      </c>
      <c r="E2699" s="622"/>
      <c r="F2699" s="334"/>
      <c r="G2699" s="334"/>
      <c r="H2699" s="602"/>
      <c r="I2699" s="334"/>
      <c r="J2699" s="334"/>
      <c r="K2699" s="334"/>
      <c r="L2699" s="334"/>
      <c r="M2699" s="334"/>
      <c r="N2699" s="334"/>
      <c r="O2699" s="334"/>
    </row>
    <row r="2700" spans="1:15" ht="12.75" hidden="1" customHeight="1" outlineLevel="1" x14ac:dyDescent="0.2">
      <c r="A2700" s="627" t="s">
        <v>3648</v>
      </c>
      <c r="B2700" s="624" t="s">
        <v>1130</v>
      </c>
      <c r="C2700" s="629" t="s">
        <v>100</v>
      </c>
      <c r="D2700" s="630">
        <v>2.9</v>
      </c>
      <c r="E2700" s="622"/>
      <c r="F2700" s="334"/>
      <c r="G2700" s="334"/>
      <c r="H2700" s="602"/>
      <c r="I2700" s="334"/>
      <c r="J2700" s="334"/>
      <c r="K2700" s="334"/>
      <c r="L2700" s="334"/>
      <c r="M2700" s="334"/>
      <c r="N2700" s="334"/>
      <c r="O2700" s="334"/>
    </row>
    <row r="2701" spans="1:15" ht="12.75" hidden="1" customHeight="1" outlineLevel="1" x14ac:dyDescent="0.2">
      <c r="A2701" s="623" t="s">
        <v>3649</v>
      </c>
      <c r="B2701" s="628" t="s">
        <v>1132</v>
      </c>
      <c r="C2701" s="625" t="s">
        <v>100</v>
      </c>
      <c r="D2701" s="626">
        <v>2.9</v>
      </c>
      <c r="E2701" s="622"/>
      <c r="F2701" s="334"/>
      <c r="G2701" s="334"/>
      <c r="H2701" s="602"/>
      <c r="I2701" s="334"/>
      <c r="J2701" s="334"/>
      <c r="K2701" s="334"/>
      <c r="L2701" s="334"/>
      <c r="M2701" s="334"/>
      <c r="N2701" s="334"/>
      <c r="O2701" s="334"/>
    </row>
    <row r="2702" spans="1:15" ht="12.75" hidden="1" customHeight="1" outlineLevel="1" x14ac:dyDescent="0.2">
      <c r="A2702" s="627" t="s">
        <v>3650</v>
      </c>
      <c r="B2702" s="624" t="s">
        <v>1134</v>
      </c>
      <c r="C2702" s="629" t="s">
        <v>100</v>
      </c>
      <c r="D2702" s="630">
        <v>29.89</v>
      </c>
      <c r="E2702" s="622"/>
      <c r="F2702" s="334"/>
      <c r="G2702" s="334"/>
      <c r="H2702" s="602"/>
      <c r="I2702" s="334"/>
      <c r="J2702" s="334"/>
      <c r="K2702" s="334"/>
      <c r="L2702" s="334"/>
      <c r="M2702" s="334"/>
      <c r="N2702" s="334"/>
      <c r="O2702" s="334"/>
    </row>
    <row r="2703" spans="1:15" ht="12.75" hidden="1" customHeight="1" outlineLevel="1" x14ac:dyDescent="0.2">
      <c r="A2703" s="623" t="s">
        <v>3651</v>
      </c>
      <c r="B2703" s="628" t="s">
        <v>1128</v>
      </c>
      <c r="C2703" s="625" t="s">
        <v>100</v>
      </c>
      <c r="D2703" s="626">
        <v>29.89</v>
      </c>
      <c r="E2703" s="622"/>
      <c r="F2703" s="334"/>
      <c r="G2703" s="334"/>
      <c r="H2703" s="602"/>
      <c r="I2703" s="334"/>
      <c r="J2703" s="334"/>
      <c r="K2703" s="334"/>
      <c r="L2703" s="334"/>
      <c r="M2703" s="334"/>
      <c r="N2703" s="334"/>
      <c r="O2703" s="334"/>
    </row>
    <row r="2704" spans="1:15" ht="12.75" hidden="1" customHeight="1" outlineLevel="1" x14ac:dyDescent="0.2">
      <c r="A2704" s="627" t="s">
        <v>3652</v>
      </c>
      <c r="B2704" s="624" t="s">
        <v>1130</v>
      </c>
      <c r="C2704" s="629" t="s">
        <v>100</v>
      </c>
      <c r="D2704" s="630">
        <v>29.89</v>
      </c>
      <c r="E2704" s="622"/>
      <c r="F2704" s="334"/>
      <c r="G2704" s="334"/>
      <c r="H2704" s="602"/>
      <c r="I2704" s="334"/>
      <c r="J2704" s="334"/>
      <c r="K2704" s="334"/>
      <c r="L2704" s="334"/>
      <c r="M2704" s="334"/>
      <c r="N2704" s="334"/>
      <c r="O2704" s="334"/>
    </row>
    <row r="2705" spans="1:15" ht="12.75" hidden="1" customHeight="1" outlineLevel="1" x14ac:dyDescent="0.2">
      <c r="A2705" s="623" t="s">
        <v>3653</v>
      </c>
      <c r="B2705" s="624" t="s">
        <v>1134</v>
      </c>
      <c r="C2705" s="625" t="s">
        <v>100</v>
      </c>
      <c r="D2705" s="626">
        <v>4.1100000000000003</v>
      </c>
      <c r="E2705" s="622"/>
      <c r="F2705" s="334"/>
      <c r="G2705" s="334"/>
      <c r="H2705" s="602"/>
      <c r="I2705" s="334"/>
      <c r="J2705" s="334"/>
      <c r="K2705" s="334"/>
      <c r="L2705" s="334"/>
      <c r="M2705" s="334"/>
      <c r="N2705" s="334"/>
      <c r="O2705" s="334"/>
    </row>
    <row r="2706" spans="1:15" ht="12.75" hidden="1" customHeight="1" outlineLevel="1" x14ac:dyDescent="0.2">
      <c r="A2706" s="627" t="s">
        <v>3654</v>
      </c>
      <c r="B2706" s="628" t="s">
        <v>1128</v>
      </c>
      <c r="C2706" s="629" t="s">
        <v>100</v>
      </c>
      <c r="D2706" s="630">
        <v>4.1100000000000003</v>
      </c>
      <c r="E2706" s="622"/>
      <c r="F2706" s="334"/>
      <c r="G2706" s="334"/>
      <c r="H2706" s="602"/>
      <c r="I2706" s="334"/>
      <c r="J2706" s="334"/>
      <c r="K2706" s="334"/>
      <c r="L2706" s="334"/>
      <c r="M2706" s="334"/>
      <c r="N2706" s="334"/>
      <c r="O2706" s="334"/>
    </row>
    <row r="2707" spans="1:15" ht="12.75" hidden="1" customHeight="1" outlineLevel="1" x14ac:dyDescent="0.2">
      <c r="A2707" s="623" t="s">
        <v>3655</v>
      </c>
      <c r="B2707" s="624" t="s">
        <v>1130</v>
      </c>
      <c r="C2707" s="625" t="s">
        <v>100</v>
      </c>
      <c r="D2707" s="626">
        <v>4.1100000000000003</v>
      </c>
      <c r="E2707" s="622"/>
      <c r="F2707" s="334"/>
      <c r="G2707" s="334"/>
      <c r="H2707" s="602"/>
      <c r="I2707" s="334"/>
      <c r="J2707" s="334"/>
      <c r="K2707" s="334"/>
      <c r="L2707" s="334"/>
      <c r="M2707" s="334"/>
      <c r="N2707" s="334"/>
      <c r="O2707" s="334"/>
    </row>
    <row r="2708" spans="1:15" ht="12.75" hidden="1" customHeight="1" outlineLevel="1" x14ac:dyDescent="0.2">
      <c r="A2708" s="627" t="s">
        <v>3656</v>
      </c>
      <c r="B2708" s="624" t="s">
        <v>1134</v>
      </c>
      <c r="C2708" s="629" t="s">
        <v>100</v>
      </c>
      <c r="D2708" s="630">
        <v>49.08</v>
      </c>
      <c r="E2708" s="622"/>
      <c r="F2708" s="334"/>
      <c r="G2708" s="334"/>
      <c r="H2708" s="602"/>
      <c r="I2708" s="334"/>
      <c r="J2708" s="334"/>
      <c r="K2708" s="334"/>
      <c r="L2708" s="334"/>
      <c r="M2708" s="334"/>
      <c r="N2708" s="334"/>
      <c r="O2708" s="334"/>
    </row>
    <row r="2709" spans="1:15" ht="12.75" hidden="1" customHeight="1" outlineLevel="1" x14ac:dyDescent="0.2">
      <c r="A2709" s="623" t="s">
        <v>3657</v>
      </c>
      <c r="B2709" s="628" t="s">
        <v>1128</v>
      </c>
      <c r="C2709" s="625" t="s">
        <v>100</v>
      </c>
      <c r="D2709" s="626">
        <v>49.08</v>
      </c>
      <c r="E2709" s="622"/>
      <c r="F2709" s="334"/>
      <c r="G2709" s="334"/>
      <c r="H2709" s="602"/>
      <c r="I2709" s="334"/>
      <c r="J2709" s="334"/>
      <c r="K2709" s="334"/>
      <c r="L2709" s="334"/>
      <c r="M2709" s="334"/>
      <c r="N2709" s="334"/>
      <c r="O2709" s="334"/>
    </row>
    <row r="2710" spans="1:15" ht="12.75" hidden="1" customHeight="1" outlineLevel="1" x14ac:dyDescent="0.2">
      <c r="A2710" s="627" t="s">
        <v>3658</v>
      </c>
      <c r="B2710" s="624" t="s">
        <v>1130</v>
      </c>
      <c r="C2710" s="629" t="s">
        <v>100</v>
      </c>
      <c r="D2710" s="630">
        <v>49.08</v>
      </c>
      <c r="E2710" s="622"/>
      <c r="F2710" s="334"/>
      <c r="G2710" s="334"/>
      <c r="H2710" s="602"/>
      <c r="I2710" s="334"/>
      <c r="J2710" s="334"/>
      <c r="K2710" s="334"/>
      <c r="L2710" s="334"/>
      <c r="M2710" s="334"/>
      <c r="N2710" s="334"/>
      <c r="O2710" s="334"/>
    </row>
    <row r="2711" spans="1:15" ht="12.75" hidden="1" customHeight="1" outlineLevel="1" x14ac:dyDescent="0.2">
      <c r="A2711" s="623" t="s">
        <v>3659</v>
      </c>
      <c r="B2711" s="624" t="s">
        <v>1134</v>
      </c>
      <c r="C2711" s="625" t="s">
        <v>100</v>
      </c>
      <c r="D2711" s="626">
        <v>232.05</v>
      </c>
      <c r="E2711" s="622"/>
      <c r="F2711" s="334"/>
      <c r="G2711" s="334"/>
      <c r="H2711" s="602"/>
      <c r="I2711" s="334"/>
      <c r="J2711" s="334"/>
      <c r="K2711" s="334"/>
      <c r="L2711" s="334"/>
      <c r="M2711" s="334"/>
      <c r="N2711" s="334"/>
      <c r="O2711" s="334"/>
    </row>
    <row r="2712" spans="1:15" ht="12.75" hidden="1" customHeight="1" outlineLevel="1" x14ac:dyDescent="0.2">
      <c r="A2712" s="627" t="s">
        <v>3660</v>
      </c>
      <c r="B2712" s="628" t="s">
        <v>1128</v>
      </c>
      <c r="C2712" s="629" t="s">
        <v>100</v>
      </c>
      <c r="D2712" s="630">
        <v>232.05</v>
      </c>
      <c r="E2712" s="622"/>
      <c r="F2712" s="334"/>
      <c r="G2712" s="334"/>
      <c r="H2712" s="602"/>
      <c r="I2712" s="334"/>
      <c r="J2712" s="334"/>
      <c r="K2712" s="334"/>
      <c r="L2712" s="334"/>
      <c r="M2712" s="334"/>
      <c r="N2712" s="334"/>
      <c r="O2712" s="334"/>
    </row>
    <row r="2713" spans="1:15" ht="12.75" hidden="1" customHeight="1" outlineLevel="1" x14ac:dyDescent="0.2">
      <c r="A2713" s="623" t="s">
        <v>3661</v>
      </c>
      <c r="B2713" s="624" t="s">
        <v>1130</v>
      </c>
      <c r="C2713" s="625" t="s">
        <v>100</v>
      </c>
      <c r="D2713" s="626">
        <v>232.05</v>
      </c>
      <c r="E2713" s="622"/>
      <c r="F2713" s="334"/>
      <c r="G2713" s="334"/>
      <c r="H2713" s="602"/>
      <c r="I2713" s="334"/>
      <c r="J2713" s="334"/>
      <c r="K2713" s="334"/>
      <c r="L2713" s="334"/>
      <c r="M2713" s="334"/>
      <c r="N2713" s="334"/>
      <c r="O2713" s="334"/>
    </row>
    <row r="2714" spans="1:15" ht="12.75" hidden="1" customHeight="1" outlineLevel="1" x14ac:dyDescent="0.2">
      <c r="A2714" s="627" t="s">
        <v>3662</v>
      </c>
      <c r="B2714" s="624" t="s">
        <v>1134</v>
      </c>
      <c r="C2714" s="629" t="s">
        <v>100</v>
      </c>
      <c r="D2714" s="630">
        <v>42.22</v>
      </c>
      <c r="E2714" s="622"/>
      <c r="F2714" s="334"/>
      <c r="G2714" s="334"/>
      <c r="H2714" s="602"/>
      <c r="I2714" s="334"/>
      <c r="J2714" s="334"/>
      <c r="K2714" s="334"/>
      <c r="L2714" s="334"/>
      <c r="M2714" s="334"/>
      <c r="N2714" s="334"/>
      <c r="O2714" s="334"/>
    </row>
    <row r="2715" spans="1:15" ht="12.75" hidden="1" customHeight="1" outlineLevel="1" x14ac:dyDescent="0.2">
      <c r="A2715" s="623" t="s">
        <v>3663</v>
      </c>
      <c r="B2715" s="628" t="s">
        <v>1128</v>
      </c>
      <c r="C2715" s="625" t="s">
        <v>100</v>
      </c>
      <c r="D2715" s="626">
        <v>42.22</v>
      </c>
      <c r="E2715" s="622"/>
      <c r="F2715" s="334"/>
      <c r="G2715" s="334"/>
      <c r="H2715" s="602"/>
      <c r="I2715" s="334"/>
      <c r="J2715" s="334"/>
      <c r="K2715" s="334"/>
      <c r="L2715" s="334"/>
      <c r="M2715" s="334"/>
      <c r="N2715" s="334"/>
      <c r="O2715" s="334"/>
    </row>
    <row r="2716" spans="1:15" ht="12.75" hidden="1" customHeight="1" outlineLevel="1" x14ac:dyDescent="0.2">
      <c r="A2716" s="627" t="s">
        <v>3664</v>
      </c>
      <c r="B2716" s="624" t="s">
        <v>1130</v>
      </c>
      <c r="C2716" s="629" t="s">
        <v>100</v>
      </c>
      <c r="D2716" s="630">
        <v>42.22</v>
      </c>
      <c r="E2716" s="622"/>
      <c r="F2716" s="334"/>
      <c r="G2716" s="334"/>
      <c r="H2716" s="602"/>
      <c r="I2716" s="334"/>
      <c r="J2716" s="334"/>
      <c r="K2716" s="334"/>
      <c r="L2716" s="334"/>
      <c r="M2716" s="334"/>
      <c r="N2716" s="334"/>
      <c r="O2716" s="334"/>
    </row>
    <row r="2717" spans="1:15" ht="12.75" hidden="1" customHeight="1" outlineLevel="1" x14ac:dyDescent="0.2">
      <c r="A2717" s="623" t="s">
        <v>3665</v>
      </c>
      <c r="B2717" s="624" t="s">
        <v>1134</v>
      </c>
      <c r="C2717" s="625" t="s">
        <v>100</v>
      </c>
      <c r="D2717" s="626">
        <v>18.25</v>
      </c>
      <c r="E2717" s="622"/>
      <c r="F2717" s="334"/>
      <c r="G2717" s="334"/>
      <c r="H2717" s="602"/>
      <c r="I2717" s="334"/>
      <c r="J2717" s="334"/>
      <c r="K2717" s="334"/>
      <c r="L2717" s="334"/>
      <c r="M2717" s="334"/>
      <c r="N2717" s="334"/>
      <c r="O2717" s="334"/>
    </row>
    <row r="2718" spans="1:15" ht="12.75" hidden="1" customHeight="1" outlineLevel="1" x14ac:dyDescent="0.2">
      <c r="A2718" s="627" t="s">
        <v>3666</v>
      </c>
      <c r="B2718" s="628" t="s">
        <v>1128</v>
      </c>
      <c r="C2718" s="629" t="s">
        <v>100</v>
      </c>
      <c r="D2718" s="630">
        <v>18.25</v>
      </c>
      <c r="E2718" s="622"/>
      <c r="F2718" s="334"/>
      <c r="G2718" s="334"/>
      <c r="H2718" s="602"/>
      <c r="I2718" s="334"/>
      <c r="J2718" s="334"/>
      <c r="K2718" s="334"/>
      <c r="L2718" s="334"/>
      <c r="M2718" s="334"/>
      <c r="N2718" s="334"/>
      <c r="O2718" s="334"/>
    </row>
    <row r="2719" spans="1:15" ht="12.75" hidden="1" customHeight="1" outlineLevel="1" x14ac:dyDescent="0.2">
      <c r="A2719" s="623" t="s">
        <v>3667</v>
      </c>
      <c r="B2719" s="624" t="s">
        <v>1130</v>
      </c>
      <c r="C2719" s="625" t="s">
        <v>100</v>
      </c>
      <c r="D2719" s="626">
        <v>18.25</v>
      </c>
      <c r="E2719" s="622"/>
      <c r="F2719" s="334"/>
      <c r="G2719" s="334"/>
      <c r="H2719" s="602"/>
      <c r="I2719" s="334"/>
      <c r="J2719" s="334"/>
      <c r="K2719" s="334"/>
      <c r="L2719" s="334"/>
      <c r="M2719" s="334"/>
      <c r="N2719" s="334"/>
      <c r="O2719" s="334"/>
    </row>
    <row r="2720" spans="1:15" ht="12.75" hidden="1" customHeight="1" outlineLevel="1" x14ac:dyDescent="0.2">
      <c r="A2720" s="627" t="s">
        <v>3668</v>
      </c>
      <c r="B2720" s="624" t="s">
        <v>1128</v>
      </c>
      <c r="C2720" s="629" t="s">
        <v>100</v>
      </c>
      <c r="D2720" s="630">
        <v>6.63</v>
      </c>
      <c r="E2720" s="622"/>
      <c r="F2720" s="334"/>
      <c r="G2720" s="334"/>
      <c r="H2720" s="602"/>
      <c r="I2720" s="334"/>
      <c r="J2720" s="334"/>
      <c r="K2720" s="334"/>
      <c r="L2720" s="334"/>
      <c r="M2720" s="334"/>
      <c r="N2720" s="334"/>
      <c r="O2720" s="334"/>
    </row>
    <row r="2721" spans="1:15" ht="12.75" hidden="1" customHeight="1" outlineLevel="1" x14ac:dyDescent="0.2">
      <c r="A2721" s="623" t="s">
        <v>3669</v>
      </c>
      <c r="B2721" s="628" t="s">
        <v>1130</v>
      </c>
      <c r="C2721" s="625" t="s">
        <v>100</v>
      </c>
      <c r="D2721" s="626">
        <v>6.63</v>
      </c>
      <c r="E2721" s="622"/>
      <c r="F2721" s="334"/>
      <c r="G2721" s="334"/>
      <c r="H2721" s="602"/>
      <c r="I2721" s="334"/>
      <c r="J2721" s="334"/>
      <c r="K2721" s="334"/>
      <c r="L2721" s="334"/>
      <c r="M2721" s="334"/>
      <c r="N2721" s="334"/>
      <c r="O2721" s="334"/>
    </row>
    <row r="2722" spans="1:15" ht="12.75" hidden="1" customHeight="1" outlineLevel="1" x14ac:dyDescent="0.2">
      <c r="A2722" s="627" t="s">
        <v>3670</v>
      </c>
      <c r="B2722" s="624" t="s">
        <v>1132</v>
      </c>
      <c r="C2722" s="629" t="s">
        <v>100</v>
      </c>
      <c r="D2722" s="630">
        <v>6.63</v>
      </c>
      <c r="E2722" s="622"/>
      <c r="F2722" s="334"/>
      <c r="G2722" s="334"/>
      <c r="H2722" s="602"/>
      <c r="I2722" s="334"/>
      <c r="J2722" s="334"/>
      <c r="K2722" s="334"/>
      <c r="L2722" s="334"/>
      <c r="M2722" s="334"/>
      <c r="N2722" s="334"/>
      <c r="O2722" s="334"/>
    </row>
    <row r="2723" spans="1:15" ht="12.75" hidden="1" customHeight="1" outlineLevel="1" x14ac:dyDescent="0.2">
      <c r="A2723" s="623" t="s">
        <v>3671</v>
      </c>
      <c r="B2723" s="628" t="s">
        <v>1128</v>
      </c>
      <c r="C2723" s="625" t="s">
        <v>100</v>
      </c>
      <c r="D2723" s="626">
        <v>22.27</v>
      </c>
      <c r="E2723" s="622"/>
      <c r="F2723" s="334"/>
      <c r="G2723" s="334"/>
      <c r="H2723" s="602"/>
      <c r="I2723" s="334"/>
      <c r="J2723" s="334"/>
      <c r="K2723" s="334"/>
      <c r="L2723" s="334"/>
      <c r="M2723" s="334"/>
      <c r="N2723" s="334"/>
      <c r="O2723" s="334"/>
    </row>
    <row r="2724" spans="1:15" ht="12.75" hidden="1" customHeight="1" outlineLevel="1" x14ac:dyDescent="0.2">
      <c r="A2724" s="627" t="s">
        <v>3672</v>
      </c>
      <c r="B2724" s="624" t="s">
        <v>1130</v>
      </c>
      <c r="C2724" s="629" t="s">
        <v>100</v>
      </c>
      <c r="D2724" s="630">
        <v>22.27</v>
      </c>
      <c r="E2724" s="622"/>
      <c r="F2724" s="334"/>
      <c r="G2724" s="334"/>
      <c r="H2724" s="602"/>
      <c r="I2724" s="334"/>
      <c r="J2724" s="334"/>
      <c r="K2724" s="334"/>
      <c r="L2724" s="334"/>
      <c r="M2724" s="334"/>
      <c r="N2724" s="334"/>
      <c r="O2724" s="334"/>
    </row>
    <row r="2725" spans="1:15" ht="12.75" hidden="1" customHeight="1" outlineLevel="1" x14ac:dyDescent="0.2">
      <c r="A2725" s="623" t="s">
        <v>3673</v>
      </c>
      <c r="B2725" s="628" t="s">
        <v>1132</v>
      </c>
      <c r="C2725" s="625" t="s">
        <v>100</v>
      </c>
      <c r="D2725" s="626">
        <v>22.27</v>
      </c>
      <c r="E2725" s="622"/>
      <c r="F2725" s="334"/>
      <c r="G2725" s="334"/>
      <c r="H2725" s="602"/>
      <c r="I2725" s="334"/>
      <c r="J2725" s="334"/>
      <c r="K2725" s="334"/>
      <c r="L2725" s="334"/>
      <c r="M2725" s="334"/>
      <c r="N2725" s="334"/>
      <c r="O2725" s="334"/>
    </row>
    <row r="2726" spans="1:15" ht="12.75" hidden="1" customHeight="1" outlineLevel="1" x14ac:dyDescent="0.2">
      <c r="A2726" s="618" t="s">
        <v>3674</v>
      </c>
      <c r="B2726" s="619" t="s">
        <v>1102</v>
      </c>
      <c r="C2726" s="620"/>
      <c r="D2726" s="621"/>
      <c r="E2726" s="622"/>
      <c r="F2726" s="334"/>
      <c r="G2726" s="334"/>
      <c r="H2726" s="602"/>
      <c r="I2726" s="334"/>
      <c r="J2726" s="334"/>
      <c r="K2726" s="334"/>
      <c r="L2726" s="334"/>
      <c r="M2726" s="334"/>
      <c r="N2726" s="334"/>
      <c r="O2726" s="334"/>
    </row>
    <row r="2727" spans="1:15" ht="12.75" hidden="1" customHeight="1" outlineLevel="1" x14ac:dyDescent="0.2">
      <c r="A2727" s="627" t="s">
        <v>3675</v>
      </c>
      <c r="B2727" s="628" t="s">
        <v>1128</v>
      </c>
      <c r="C2727" s="629" t="s">
        <v>100</v>
      </c>
      <c r="D2727" s="630">
        <v>2.93</v>
      </c>
      <c r="E2727" s="622"/>
      <c r="F2727" s="334"/>
      <c r="G2727" s="334"/>
      <c r="H2727" s="602"/>
      <c r="I2727" s="334"/>
      <c r="J2727" s="334"/>
      <c r="K2727" s="334"/>
      <c r="L2727" s="334"/>
      <c r="M2727" s="334"/>
      <c r="N2727" s="334"/>
      <c r="O2727" s="334"/>
    </row>
    <row r="2728" spans="1:15" ht="12.75" hidden="1" customHeight="1" outlineLevel="1" x14ac:dyDescent="0.2">
      <c r="A2728" s="623" t="s">
        <v>3676</v>
      </c>
      <c r="B2728" s="624" t="s">
        <v>1130</v>
      </c>
      <c r="C2728" s="625" t="s">
        <v>100</v>
      </c>
      <c r="D2728" s="626">
        <v>2.93</v>
      </c>
      <c r="E2728" s="622"/>
      <c r="F2728" s="334"/>
      <c r="G2728" s="334"/>
      <c r="H2728" s="602"/>
      <c r="I2728" s="334"/>
      <c r="J2728" s="334"/>
      <c r="K2728" s="334"/>
      <c r="L2728" s="334"/>
      <c r="M2728" s="334"/>
      <c r="N2728" s="334"/>
      <c r="O2728" s="334"/>
    </row>
    <row r="2729" spans="1:15" ht="12.75" hidden="1" customHeight="1" outlineLevel="1" x14ac:dyDescent="0.2">
      <c r="A2729" s="627" t="s">
        <v>3677</v>
      </c>
      <c r="B2729" s="628" t="s">
        <v>3678</v>
      </c>
      <c r="C2729" s="629" t="s">
        <v>100</v>
      </c>
      <c r="D2729" s="630">
        <v>2.93</v>
      </c>
      <c r="E2729" s="622"/>
      <c r="F2729" s="334"/>
      <c r="G2729" s="334"/>
      <c r="H2729" s="602"/>
      <c r="I2729" s="334"/>
      <c r="J2729" s="334"/>
      <c r="K2729" s="334"/>
      <c r="L2729" s="334"/>
      <c r="M2729" s="334"/>
      <c r="N2729" s="334"/>
      <c r="O2729" s="334"/>
    </row>
    <row r="2730" spans="1:15" ht="12.75" hidden="1" customHeight="1" outlineLevel="1" x14ac:dyDescent="0.2">
      <c r="A2730" s="623" t="s">
        <v>3679</v>
      </c>
      <c r="B2730" s="624" t="s">
        <v>1134</v>
      </c>
      <c r="C2730" s="625" t="s">
        <v>100</v>
      </c>
      <c r="D2730" s="626">
        <v>3.13</v>
      </c>
      <c r="E2730" s="622"/>
      <c r="F2730" s="334"/>
      <c r="G2730" s="334"/>
      <c r="H2730" s="602"/>
      <c r="I2730" s="334"/>
      <c r="J2730" s="334"/>
      <c r="K2730" s="334"/>
      <c r="L2730" s="334"/>
      <c r="M2730" s="334"/>
      <c r="N2730" s="334"/>
      <c r="O2730" s="334"/>
    </row>
    <row r="2731" spans="1:15" ht="12.75" hidden="1" customHeight="1" outlineLevel="1" x14ac:dyDescent="0.2">
      <c r="A2731" s="627" t="s">
        <v>3680</v>
      </c>
      <c r="B2731" s="628" t="s">
        <v>1128</v>
      </c>
      <c r="C2731" s="629" t="s">
        <v>100</v>
      </c>
      <c r="D2731" s="630">
        <v>3.13</v>
      </c>
      <c r="E2731" s="622"/>
      <c r="F2731" s="334"/>
      <c r="G2731" s="334"/>
      <c r="H2731" s="602"/>
      <c r="I2731" s="334"/>
      <c r="J2731" s="334"/>
      <c r="K2731" s="334"/>
      <c r="L2731" s="334"/>
      <c r="M2731" s="334"/>
      <c r="N2731" s="334"/>
      <c r="O2731" s="334"/>
    </row>
    <row r="2732" spans="1:15" ht="12.75" hidden="1" customHeight="1" outlineLevel="1" x14ac:dyDescent="0.2">
      <c r="A2732" s="623" t="s">
        <v>3681</v>
      </c>
      <c r="B2732" s="624" t="s">
        <v>1130</v>
      </c>
      <c r="C2732" s="625" t="s">
        <v>100</v>
      </c>
      <c r="D2732" s="626">
        <v>3.13</v>
      </c>
      <c r="E2732" s="622"/>
      <c r="F2732" s="334"/>
      <c r="G2732" s="334"/>
      <c r="H2732" s="602"/>
      <c r="I2732" s="334"/>
      <c r="J2732" s="334"/>
      <c r="K2732" s="334"/>
      <c r="L2732" s="334"/>
      <c r="M2732" s="334"/>
      <c r="N2732" s="334"/>
      <c r="O2732" s="334"/>
    </row>
    <row r="2733" spans="1:15" ht="12.75" hidden="1" customHeight="1" outlineLevel="1" x14ac:dyDescent="0.2">
      <c r="A2733" s="627" t="s">
        <v>3682</v>
      </c>
      <c r="B2733" s="624" t="s">
        <v>1134</v>
      </c>
      <c r="C2733" s="629" t="s">
        <v>100</v>
      </c>
      <c r="D2733" s="630">
        <v>22.74</v>
      </c>
      <c r="E2733" s="622"/>
      <c r="F2733" s="334"/>
      <c r="G2733" s="334"/>
      <c r="H2733" s="602"/>
      <c r="I2733" s="334"/>
      <c r="J2733" s="334"/>
      <c r="K2733" s="334"/>
      <c r="L2733" s="334"/>
      <c r="M2733" s="334"/>
      <c r="N2733" s="334"/>
      <c r="O2733" s="334"/>
    </row>
    <row r="2734" spans="1:15" ht="12.75" hidden="1" customHeight="1" outlineLevel="1" x14ac:dyDescent="0.2">
      <c r="A2734" s="623" t="s">
        <v>3683</v>
      </c>
      <c r="B2734" s="628" t="s">
        <v>1128</v>
      </c>
      <c r="C2734" s="625" t="s">
        <v>100</v>
      </c>
      <c r="D2734" s="626">
        <v>22.74</v>
      </c>
      <c r="E2734" s="622"/>
      <c r="F2734" s="334"/>
      <c r="G2734" s="334"/>
      <c r="H2734" s="602"/>
      <c r="I2734" s="334"/>
      <c r="J2734" s="334"/>
      <c r="K2734" s="334"/>
      <c r="L2734" s="334"/>
      <c r="M2734" s="334"/>
      <c r="N2734" s="334"/>
      <c r="O2734" s="334"/>
    </row>
    <row r="2735" spans="1:15" ht="12.75" hidden="1" customHeight="1" outlineLevel="1" x14ac:dyDescent="0.2">
      <c r="A2735" s="627" t="s">
        <v>3684</v>
      </c>
      <c r="B2735" s="624" t="s">
        <v>1130</v>
      </c>
      <c r="C2735" s="629" t="s">
        <v>100</v>
      </c>
      <c r="D2735" s="630">
        <v>22.74</v>
      </c>
      <c r="E2735" s="622"/>
      <c r="F2735" s="334"/>
      <c r="G2735" s="334"/>
      <c r="H2735" s="602"/>
      <c r="I2735" s="334"/>
      <c r="J2735" s="334"/>
      <c r="K2735" s="334"/>
      <c r="L2735" s="334"/>
      <c r="M2735" s="334"/>
      <c r="N2735" s="334"/>
      <c r="O2735" s="334"/>
    </row>
    <row r="2736" spans="1:15" ht="12.75" hidden="1" customHeight="1" outlineLevel="1" x14ac:dyDescent="0.2">
      <c r="A2736" s="623" t="s">
        <v>3685</v>
      </c>
      <c r="B2736" s="624" t="s">
        <v>1134</v>
      </c>
      <c r="C2736" s="625" t="s">
        <v>100</v>
      </c>
      <c r="D2736" s="626">
        <v>27.5</v>
      </c>
      <c r="E2736" s="622"/>
      <c r="F2736" s="334"/>
      <c r="G2736" s="334"/>
      <c r="H2736" s="602"/>
      <c r="I2736" s="334"/>
      <c r="J2736" s="334"/>
      <c r="K2736" s="334"/>
      <c r="L2736" s="334"/>
      <c r="M2736" s="334"/>
      <c r="N2736" s="334"/>
      <c r="O2736" s="334"/>
    </row>
    <row r="2737" spans="1:15" ht="12.75" hidden="1" customHeight="1" outlineLevel="1" x14ac:dyDescent="0.2">
      <c r="A2737" s="627" t="s">
        <v>3686</v>
      </c>
      <c r="B2737" s="628" t="s">
        <v>1128</v>
      </c>
      <c r="C2737" s="629" t="s">
        <v>100</v>
      </c>
      <c r="D2737" s="630">
        <v>27.5</v>
      </c>
      <c r="E2737" s="622"/>
      <c r="F2737" s="334"/>
      <c r="G2737" s="334"/>
      <c r="H2737" s="602"/>
      <c r="I2737" s="334"/>
      <c r="J2737" s="334"/>
      <c r="K2737" s="334"/>
      <c r="L2737" s="334"/>
      <c r="M2737" s="334"/>
      <c r="N2737" s="334"/>
      <c r="O2737" s="334"/>
    </row>
    <row r="2738" spans="1:15" ht="12.75" hidden="1" customHeight="1" outlineLevel="1" x14ac:dyDescent="0.2">
      <c r="A2738" s="623" t="s">
        <v>3687</v>
      </c>
      <c r="B2738" s="624" t="s">
        <v>1130</v>
      </c>
      <c r="C2738" s="625" t="s">
        <v>100</v>
      </c>
      <c r="D2738" s="626">
        <v>27.5</v>
      </c>
      <c r="E2738" s="622"/>
      <c r="F2738" s="334"/>
      <c r="G2738" s="334"/>
      <c r="H2738" s="602"/>
      <c r="I2738" s="334"/>
      <c r="J2738" s="334"/>
      <c r="K2738" s="334"/>
      <c r="L2738" s="334"/>
      <c r="M2738" s="334"/>
      <c r="N2738" s="334"/>
      <c r="O2738" s="334"/>
    </row>
    <row r="2739" spans="1:15" ht="12.75" hidden="1" customHeight="1" outlineLevel="1" x14ac:dyDescent="0.2">
      <c r="A2739" s="627" t="s">
        <v>3688</v>
      </c>
      <c r="B2739" s="624" t="s">
        <v>1134</v>
      </c>
      <c r="C2739" s="629" t="s">
        <v>100</v>
      </c>
      <c r="D2739" s="630">
        <v>7.29</v>
      </c>
      <c r="E2739" s="622"/>
      <c r="F2739" s="334"/>
      <c r="G2739" s="334"/>
      <c r="H2739" s="602"/>
      <c r="I2739" s="334"/>
      <c r="J2739" s="334"/>
      <c r="K2739" s="334"/>
      <c r="L2739" s="334"/>
      <c r="M2739" s="334"/>
      <c r="N2739" s="334"/>
      <c r="O2739" s="334"/>
    </row>
    <row r="2740" spans="1:15" ht="12.75" hidden="1" customHeight="1" outlineLevel="1" x14ac:dyDescent="0.2">
      <c r="A2740" s="623" t="s">
        <v>3689</v>
      </c>
      <c r="B2740" s="628" t="s">
        <v>1128</v>
      </c>
      <c r="C2740" s="625" t="s">
        <v>100</v>
      </c>
      <c r="D2740" s="626">
        <v>7.29</v>
      </c>
      <c r="E2740" s="622"/>
      <c r="F2740" s="334"/>
      <c r="G2740" s="334"/>
      <c r="H2740" s="602"/>
      <c r="I2740" s="334"/>
      <c r="J2740" s="334"/>
      <c r="K2740" s="334"/>
      <c r="L2740" s="334"/>
      <c r="M2740" s="334"/>
      <c r="N2740" s="334"/>
      <c r="O2740" s="334"/>
    </row>
    <row r="2741" spans="1:15" ht="12.75" hidden="1" customHeight="1" outlineLevel="1" x14ac:dyDescent="0.2">
      <c r="A2741" s="627" t="s">
        <v>3690</v>
      </c>
      <c r="B2741" s="624" t="s">
        <v>1130</v>
      </c>
      <c r="C2741" s="629" t="s">
        <v>100</v>
      </c>
      <c r="D2741" s="630">
        <v>7.29</v>
      </c>
      <c r="E2741" s="622"/>
      <c r="F2741" s="334"/>
      <c r="G2741" s="334"/>
      <c r="H2741" s="602"/>
      <c r="I2741" s="334"/>
      <c r="J2741" s="334"/>
      <c r="K2741" s="334"/>
      <c r="L2741" s="334"/>
      <c r="M2741" s="334"/>
      <c r="N2741" s="334"/>
      <c r="O2741" s="334"/>
    </row>
    <row r="2742" spans="1:15" ht="12.75" hidden="1" customHeight="1" outlineLevel="1" x14ac:dyDescent="0.2">
      <c r="A2742" s="623" t="s">
        <v>3691</v>
      </c>
      <c r="B2742" s="624" t="s">
        <v>1134</v>
      </c>
      <c r="C2742" s="625" t="s">
        <v>100</v>
      </c>
      <c r="D2742" s="626">
        <v>15.69</v>
      </c>
      <c r="E2742" s="622"/>
      <c r="F2742" s="334"/>
      <c r="G2742" s="334"/>
      <c r="H2742" s="602"/>
      <c r="I2742" s="334"/>
      <c r="J2742" s="334"/>
      <c r="K2742" s="334"/>
      <c r="L2742" s="334"/>
      <c r="M2742" s="334"/>
      <c r="N2742" s="334"/>
      <c r="O2742" s="334"/>
    </row>
    <row r="2743" spans="1:15" ht="12.75" hidden="1" customHeight="1" outlineLevel="1" x14ac:dyDescent="0.2">
      <c r="A2743" s="627" t="s">
        <v>3692</v>
      </c>
      <c r="B2743" s="628" t="s">
        <v>1128</v>
      </c>
      <c r="C2743" s="629" t="s">
        <v>100</v>
      </c>
      <c r="D2743" s="630">
        <v>15.69</v>
      </c>
      <c r="E2743" s="622"/>
      <c r="F2743" s="334"/>
      <c r="G2743" s="334"/>
      <c r="H2743" s="602"/>
      <c r="I2743" s="334"/>
      <c r="J2743" s="334"/>
      <c r="K2743" s="334"/>
      <c r="L2743" s="334"/>
      <c r="M2743" s="334"/>
      <c r="N2743" s="334"/>
      <c r="O2743" s="334"/>
    </row>
    <row r="2744" spans="1:15" ht="12.75" hidden="1" customHeight="1" outlineLevel="1" x14ac:dyDescent="0.2">
      <c r="A2744" s="623" t="s">
        <v>3693</v>
      </c>
      <c r="B2744" s="624" t="s">
        <v>1130</v>
      </c>
      <c r="C2744" s="625" t="s">
        <v>100</v>
      </c>
      <c r="D2744" s="626">
        <v>15.69</v>
      </c>
      <c r="E2744" s="622"/>
      <c r="F2744" s="334"/>
      <c r="G2744" s="334"/>
      <c r="H2744" s="602"/>
      <c r="I2744" s="334"/>
      <c r="J2744" s="334"/>
      <c r="K2744" s="334"/>
      <c r="L2744" s="334"/>
      <c r="M2744" s="334"/>
      <c r="N2744" s="334"/>
      <c r="O2744" s="334"/>
    </row>
    <row r="2745" spans="1:15" ht="12.75" hidden="1" customHeight="1" outlineLevel="1" x14ac:dyDescent="0.2">
      <c r="A2745" s="627" t="s">
        <v>3694</v>
      </c>
      <c r="B2745" s="628" t="s">
        <v>1128</v>
      </c>
      <c r="C2745" s="629" t="s">
        <v>100</v>
      </c>
      <c r="D2745" s="630">
        <v>7.13</v>
      </c>
      <c r="E2745" s="622"/>
      <c r="F2745" s="334"/>
      <c r="G2745" s="334"/>
      <c r="H2745" s="602"/>
      <c r="I2745" s="334"/>
      <c r="J2745" s="334"/>
      <c r="K2745" s="334"/>
      <c r="L2745" s="334"/>
      <c r="M2745" s="334"/>
      <c r="N2745" s="334"/>
      <c r="O2745" s="334"/>
    </row>
    <row r="2746" spans="1:15" ht="12.75" hidden="1" customHeight="1" outlineLevel="1" x14ac:dyDescent="0.2">
      <c r="A2746" s="623" t="s">
        <v>3695</v>
      </c>
      <c r="B2746" s="624" t="s">
        <v>1130</v>
      </c>
      <c r="C2746" s="625" t="s">
        <v>100</v>
      </c>
      <c r="D2746" s="626">
        <v>7.13</v>
      </c>
      <c r="E2746" s="622"/>
      <c r="F2746" s="334"/>
      <c r="G2746" s="334"/>
      <c r="H2746" s="602"/>
      <c r="I2746" s="334"/>
      <c r="J2746" s="334"/>
      <c r="K2746" s="334"/>
      <c r="L2746" s="334"/>
      <c r="M2746" s="334"/>
      <c r="N2746" s="334"/>
      <c r="O2746" s="334"/>
    </row>
    <row r="2747" spans="1:15" ht="12.75" hidden="1" customHeight="1" outlineLevel="1" x14ac:dyDescent="0.2">
      <c r="A2747" s="627" t="s">
        <v>3696</v>
      </c>
      <c r="B2747" s="628" t="s">
        <v>1132</v>
      </c>
      <c r="C2747" s="629" t="s">
        <v>100</v>
      </c>
      <c r="D2747" s="630">
        <v>7.13</v>
      </c>
      <c r="E2747" s="622"/>
      <c r="F2747" s="334"/>
      <c r="G2747" s="334"/>
      <c r="H2747" s="602"/>
      <c r="I2747" s="334"/>
      <c r="J2747" s="334"/>
      <c r="K2747" s="334"/>
      <c r="L2747" s="334"/>
      <c r="M2747" s="334"/>
      <c r="N2747" s="334"/>
      <c r="O2747" s="334"/>
    </row>
    <row r="2748" spans="1:15" ht="12.75" hidden="1" customHeight="1" outlineLevel="1" x14ac:dyDescent="0.2">
      <c r="A2748" s="623" t="s">
        <v>3697</v>
      </c>
      <c r="B2748" s="624" t="s">
        <v>1134</v>
      </c>
      <c r="C2748" s="625" t="s">
        <v>100</v>
      </c>
      <c r="D2748" s="626">
        <v>8.0500000000000007</v>
      </c>
      <c r="E2748" s="622"/>
      <c r="F2748" s="334"/>
      <c r="G2748" s="334"/>
      <c r="H2748" s="602"/>
      <c r="I2748" s="334"/>
      <c r="J2748" s="334"/>
      <c r="K2748" s="334"/>
      <c r="L2748" s="334"/>
      <c r="M2748" s="334"/>
      <c r="N2748" s="334"/>
      <c r="O2748" s="334"/>
    </row>
    <row r="2749" spans="1:15" ht="12.75" hidden="1" customHeight="1" outlineLevel="1" x14ac:dyDescent="0.2">
      <c r="A2749" s="627" t="s">
        <v>3698</v>
      </c>
      <c r="B2749" s="628" t="s">
        <v>1128</v>
      </c>
      <c r="C2749" s="629" t="s">
        <v>100</v>
      </c>
      <c r="D2749" s="630">
        <v>8.0500000000000007</v>
      </c>
      <c r="E2749" s="622"/>
      <c r="F2749" s="334"/>
      <c r="G2749" s="334"/>
      <c r="H2749" s="602"/>
      <c r="I2749" s="334"/>
      <c r="J2749" s="334"/>
      <c r="K2749" s="334"/>
      <c r="L2749" s="334"/>
      <c r="M2749" s="334"/>
      <c r="N2749" s="334"/>
      <c r="O2749" s="334"/>
    </row>
    <row r="2750" spans="1:15" ht="12.75" hidden="1" customHeight="1" outlineLevel="1" x14ac:dyDescent="0.2">
      <c r="A2750" s="623" t="s">
        <v>3699</v>
      </c>
      <c r="B2750" s="624" t="s">
        <v>1130</v>
      </c>
      <c r="C2750" s="625" t="s">
        <v>100</v>
      </c>
      <c r="D2750" s="626">
        <v>8.0500000000000007</v>
      </c>
      <c r="E2750" s="622"/>
      <c r="F2750" s="334"/>
      <c r="G2750" s="334"/>
      <c r="H2750" s="602"/>
      <c r="I2750" s="334"/>
      <c r="J2750" s="334"/>
      <c r="K2750" s="334"/>
      <c r="L2750" s="334"/>
      <c r="M2750" s="334"/>
      <c r="N2750" s="334"/>
      <c r="O2750" s="334"/>
    </row>
    <row r="2751" spans="1:15" ht="12.75" hidden="1" customHeight="1" outlineLevel="1" x14ac:dyDescent="0.2">
      <c r="A2751" s="627" t="s">
        <v>3700</v>
      </c>
      <c r="B2751" s="624" t="s">
        <v>1134</v>
      </c>
      <c r="C2751" s="629" t="s">
        <v>100</v>
      </c>
      <c r="D2751" s="630">
        <v>8.15</v>
      </c>
      <c r="E2751" s="622"/>
      <c r="F2751" s="334"/>
      <c r="G2751" s="334"/>
      <c r="H2751" s="602"/>
      <c r="I2751" s="334"/>
      <c r="J2751" s="334"/>
      <c r="K2751" s="334"/>
      <c r="L2751" s="334"/>
      <c r="M2751" s="334"/>
      <c r="N2751" s="334"/>
      <c r="O2751" s="334"/>
    </row>
    <row r="2752" spans="1:15" ht="12.75" hidden="1" customHeight="1" outlineLevel="1" x14ac:dyDescent="0.2">
      <c r="A2752" s="623" t="s">
        <v>3701</v>
      </c>
      <c r="B2752" s="628" t="s">
        <v>1128</v>
      </c>
      <c r="C2752" s="625" t="s">
        <v>100</v>
      </c>
      <c r="D2752" s="626">
        <v>8.15</v>
      </c>
      <c r="E2752" s="622"/>
      <c r="F2752" s="334"/>
      <c r="G2752" s="334"/>
      <c r="H2752" s="602"/>
      <c r="I2752" s="334"/>
      <c r="J2752" s="334"/>
      <c r="K2752" s="334"/>
      <c r="L2752" s="334"/>
      <c r="M2752" s="334"/>
      <c r="N2752" s="334"/>
      <c r="O2752" s="334"/>
    </row>
    <row r="2753" spans="1:15" ht="12.75" hidden="1" customHeight="1" outlineLevel="1" x14ac:dyDescent="0.2">
      <c r="A2753" s="627" t="s">
        <v>3702</v>
      </c>
      <c r="B2753" s="624" t="s">
        <v>1130</v>
      </c>
      <c r="C2753" s="629" t="s">
        <v>100</v>
      </c>
      <c r="D2753" s="630">
        <v>8.15</v>
      </c>
      <c r="E2753" s="622"/>
      <c r="F2753" s="334"/>
      <c r="G2753" s="334"/>
      <c r="H2753" s="602"/>
      <c r="I2753" s="334"/>
      <c r="J2753" s="334"/>
      <c r="K2753" s="334"/>
      <c r="L2753" s="334"/>
      <c r="M2753" s="334"/>
      <c r="N2753" s="334"/>
      <c r="O2753" s="334"/>
    </row>
    <row r="2754" spans="1:15" ht="12.75" hidden="1" customHeight="1" outlineLevel="1" x14ac:dyDescent="0.2">
      <c r="A2754" s="623" t="s">
        <v>3703</v>
      </c>
      <c r="B2754" s="624" t="s">
        <v>1128</v>
      </c>
      <c r="C2754" s="625" t="s">
        <v>100</v>
      </c>
      <c r="D2754" s="626">
        <v>42.57</v>
      </c>
      <c r="E2754" s="622"/>
      <c r="F2754" s="334"/>
      <c r="G2754" s="334"/>
      <c r="H2754" s="602"/>
      <c r="I2754" s="334"/>
      <c r="J2754" s="334"/>
      <c r="K2754" s="334"/>
      <c r="L2754" s="334"/>
      <c r="M2754" s="334"/>
      <c r="N2754" s="334"/>
      <c r="O2754" s="334"/>
    </row>
    <row r="2755" spans="1:15" ht="12.75" hidden="1" customHeight="1" outlineLevel="1" x14ac:dyDescent="0.2">
      <c r="A2755" s="627" t="s">
        <v>3704</v>
      </c>
      <c r="B2755" s="628" t="s">
        <v>1130</v>
      </c>
      <c r="C2755" s="629" t="s">
        <v>100</v>
      </c>
      <c r="D2755" s="630">
        <v>42.57</v>
      </c>
      <c r="E2755" s="622"/>
      <c r="F2755" s="334"/>
      <c r="G2755" s="334"/>
      <c r="H2755" s="602"/>
      <c r="I2755" s="334"/>
      <c r="J2755" s="334"/>
      <c r="K2755" s="334"/>
      <c r="L2755" s="334"/>
      <c r="M2755" s="334"/>
      <c r="N2755" s="334"/>
      <c r="O2755" s="334"/>
    </row>
    <row r="2756" spans="1:15" ht="12.75" hidden="1" customHeight="1" outlineLevel="1" x14ac:dyDescent="0.2">
      <c r="A2756" s="623" t="s">
        <v>3705</v>
      </c>
      <c r="B2756" s="624" t="s">
        <v>1134</v>
      </c>
      <c r="C2756" s="625" t="s">
        <v>100</v>
      </c>
      <c r="D2756" s="626">
        <v>11.78</v>
      </c>
      <c r="E2756" s="622"/>
      <c r="F2756" s="334"/>
      <c r="G2756" s="334"/>
      <c r="H2756" s="602"/>
      <c r="I2756" s="334"/>
      <c r="J2756" s="334"/>
      <c r="K2756" s="334"/>
      <c r="L2756" s="334"/>
      <c r="M2756" s="334"/>
      <c r="N2756" s="334"/>
      <c r="O2756" s="334"/>
    </row>
    <row r="2757" spans="1:15" ht="12.75" hidden="1" customHeight="1" outlineLevel="1" x14ac:dyDescent="0.2">
      <c r="A2757" s="627" t="s">
        <v>3706</v>
      </c>
      <c r="B2757" s="628" t="s">
        <v>1128</v>
      </c>
      <c r="C2757" s="629" t="s">
        <v>100</v>
      </c>
      <c r="D2757" s="630">
        <v>11.78</v>
      </c>
      <c r="E2757" s="622"/>
      <c r="F2757" s="334"/>
      <c r="G2757" s="334"/>
      <c r="H2757" s="602"/>
      <c r="I2757" s="334"/>
      <c r="J2757" s="334"/>
      <c r="K2757" s="334"/>
      <c r="L2757" s="334"/>
      <c r="M2757" s="334"/>
      <c r="N2757" s="334"/>
      <c r="O2757" s="334"/>
    </row>
    <row r="2758" spans="1:15" ht="12.75" hidden="1" customHeight="1" outlineLevel="1" x14ac:dyDescent="0.2">
      <c r="A2758" s="623" t="s">
        <v>3707</v>
      </c>
      <c r="B2758" s="624" t="s">
        <v>1130</v>
      </c>
      <c r="C2758" s="625" t="s">
        <v>100</v>
      </c>
      <c r="D2758" s="626">
        <v>11.78</v>
      </c>
      <c r="E2758" s="622"/>
      <c r="F2758" s="334"/>
      <c r="G2758" s="334"/>
      <c r="H2758" s="602"/>
      <c r="I2758" s="334"/>
      <c r="J2758" s="334"/>
      <c r="K2758" s="334"/>
      <c r="L2758" s="334"/>
      <c r="M2758" s="334"/>
      <c r="N2758" s="334"/>
      <c r="O2758" s="334"/>
    </row>
    <row r="2759" spans="1:15" ht="12.75" hidden="1" customHeight="1" outlineLevel="1" x14ac:dyDescent="0.2">
      <c r="A2759" s="627" t="s">
        <v>3708</v>
      </c>
      <c r="B2759" s="624" t="s">
        <v>1134</v>
      </c>
      <c r="C2759" s="629" t="s">
        <v>100</v>
      </c>
      <c r="D2759" s="630">
        <v>48.14</v>
      </c>
      <c r="E2759" s="622"/>
      <c r="F2759" s="334"/>
      <c r="G2759" s="334"/>
      <c r="H2759" s="602"/>
      <c r="I2759" s="334"/>
      <c r="J2759" s="334"/>
      <c r="K2759" s="334"/>
      <c r="L2759" s="334"/>
      <c r="M2759" s="334"/>
      <c r="N2759" s="334"/>
      <c r="O2759" s="334"/>
    </row>
    <row r="2760" spans="1:15" ht="12.75" hidden="1" customHeight="1" outlineLevel="1" x14ac:dyDescent="0.2">
      <c r="A2760" s="623" t="s">
        <v>3709</v>
      </c>
      <c r="B2760" s="628" t="s">
        <v>1128</v>
      </c>
      <c r="C2760" s="625" t="s">
        <v>100</v>
      </c>
      <c r="D2760" s="626">
        <v>48.14</v>
      </c>
      <c r="E2760" s="622"/>
      <c r="F2760" s="334"/>
      <c r="G2760" s="334"/>
      <c r="H2760" s="602"/>
      <c r="I2760" s="334"/>
      <c r="J2760" s="334"/>
      <c r="K2760" s="334"/>
      <c r="L2760" s="334"/>
      <c r="M2760" s="334"/>
      <c r="N2760" s="334"/>
      <c r="O2760" s="334"/>
    </row>
    <row r="2761" spans="1:15" ht="12.75" hidden="1" customHeight="1" outlineLevel="1" x14ac:dyDescent="0.2">
      <c r="A2761" s="627" t="s">
        <v>3710</v>
      </c>
      <c r="B2761" s="624" t="s">
        <v>1130</v>
      </c>
      <c r="C2761" s="629" t="s">
        <v>100</v>
      </c>
      <c r="D2761" s="630">
        <v>48.14</v>
      </c>
      <c r="E2761" s="622"/>
      <c r="F2761" s="334"/>
      <c r="G2761" s="334"/>
      <c r="H2761" s="602"/>
      <c r="I2761" s="334"/>
      <c r="J2761" s="334"/>
      <c r="K2761" s="334"/>
      <c r="L2761" s="334"/>
      <c r="M2761" s="334"/>
      <c r="N2761" s="334"/>
      <c r="O2761" s="334"/>
    </row>
    <row r="2762" spans="1:15" ht="12.75" hidden="1" customHeight="1" outlineLevel="1" x14ac:dyDescent="0.2">
      <c r="A2762" s="623" t="s">
        <v>3711</v>
      </c>
      <c r="B2762" s="624" t="s">
        <v>1132</v>
      </c>
      <c r="C2762" s="625" t="s">
        <v>100</v>
      </c>
      <c r="D2762" s="626">
        <v>42.57</v>
      </c>
      <c r="E2762" s="622"/>
      <c r="F2762" s="334"/>
      <c r="G2762" s="334"/>
      <c r="H2762" s="602"/>
      <c r="I2762" s="334"/>
      <c r="J2762" s="334"/>
      <c r="K2762" s="334"/>
      <c r="L2762" s="334"/>
      <c r="M2762" s="334"/>
      <c r="N2762" s="334"/>
      <c r="O2762" s="334"/>
    </row>
    <row r="2763" spans="1:15" ht="12.75" hidden="1" customHeight="1" outlineLevel="1" x14ac:dyDescent="0.2">
      <c r="A2763" s="618" t="s">
        <v>3712</v>
      </c>
      <c r="B2763" s="619" t="s">
        <v>1112</v>
      </c>
      <c r="C2763" s="620"/>
      <c r="D2763" s="621"/>
      <c r="E2763" s="622"/>
      <c r="F2763" s="334"/>
      <c r="G2763" s="334"/>
      <c r="H2763" s="602"/>
      <c r="I2763" s="334"/>
      <c r="J2763" s="334"/>
      <c r="K2763" s="334"/>
      <c r="L2763" s="334"/>
      <c r="M2763" s="334"/>
      <c r="N2763" s="334"/>
      <c r="O2763" s="334"/>
    </row>
    <row r="2764" spans="1:15" ht="12.75" hidden="1" customHeight="1" outlineLevel="1" x14ac:dyDescent="0.2">
      <c r="A2764" s="627" t="s">
        <v>3713</v>
      </c>
      <c r="B2764" s="624" t="s">
        <v>1134</v>
      </c>
      <c r="C2764" s="629" t="s">
        <v>100</v>
      </c>
      <c r="D2764" s="630">
        <v>13.96</v>
      </c>
      <c r="E2764" s="622"/>
      <c r="F2764" s="334"/>
      <c r="G2764" s="334"/>
      <c r="H2764" s="602"/>
      <c r="I2764" s="334"/>
      <c r="J2764" s="334"/>
      <c r="K2764" s="334"/>
      <c r="L2764" s="334"/>
      <c r="M2764" s="334"/>
      <c r="N2764" s="334"/>
      <c r="O2764" s="334"/>
    </row>
    <row r="2765" spans="1:15" ht="12.75" hidden="1" customHeight="1" outlineLevel="1" x14ac:dyDescent="0.2">
      <c r="A2765" s="623" t="s">
        <v>3714</v>
      </c>
      <c r="B2765" s="628" t="s">
        <v>1128</v>
      </c>
      <c r="C2765" s="625" t="s">
        <v>100</v>
      </c>
      <c r="D2765" s="626">
        <v>13.96</v>
      </c>
      <c r="E2765" s="622"/>
      <c r="F2765" s="334"/>
      <c r="G2765" s="334"/>
      <c r="H2765" s="602"/>
      <c r="I2765" s="334"/>
      <c r="J2765" s="334"/>
      <c r="K2765" s="334"/>
      <c r="L2765" s="334"/>
      <c r="M2765" s="334"/>
      <c r="N2765" s="334"/>
      <c r="O2765" s="334"/>
    </row>
    <row r="2766" spans="1:15" ht="12.75" hidden="1" customHeight="1" outlineLevel="1" x14ac:dyDescent="0.2">
      <c r="A2766" s="627" t="s">
        <v>3715</v>
      </c>
      <c r="B2766" s="624" t="s">
        <v>1130</v>
      </c>
      <c r="C2766" s="629" t="s">
        <v>100</v>
      </c>
      <c r="D2766" s="630">
        <v>13.96</v>
      </c>
      <c r="E2766" s="622"/>
      <c r="F2766" s="334"/>
      <c r="G2766" s="334"/>
      <c r="H2766" s="602"/>
      <c r="I2766" s="334"/>
      <c r="J2766" s="334"/>
      <c r="K2766" s="334"/>
      <c r="L2766" s="334"/>
      <c r="M2766" s="334"/>
      <c r="N2766" s="334"/>
      <c r="O2766" s="334"/>
    </row>
    <row r="2767" spans="1:15" ht="12.75" hidden="1" customHeight="1" outlineLevel="1" x14ac:dyDescent="0.2">
      <c r="A2767" s="623" t="s">
        <v>3716</v>
      </c>
      <c r="B2767" s="624" t="s">
        <v>1134</v>
      </c>
      <c r="C2767" s="625" t="s">
        <v>100</v>
      </c>
      <c r="D2767" s="626">
        <v>3.68</v>
      </c>
      <c r="E2767" s="622"/>
      <c r="F2767" s="334"/>
      <c r="G2767" s="334"/>
      <c r="H2767" s="602"/>
      <c r="I2767" s="334"/>
      <c r="J2767" s="334"/>
      <c r="K2767" s="334"/>
      <c r="L2767" s="334"/>
      <c r="M2767" s="334"/>
      <c r="N2767" s="334"/>
      <c r="O2767" s="334"/>
    </row>
    <row r="2768" spans="1:15" ht="12.75" hidden="1" customHeight="1" outlineLevel="1" x14ac:dyDescent="0.2">
      <c r="A2768" s="627" t="s">
        <v>3717</v>
      </c>
      <c r="B2768" s="628" t="s">
        <v>1128</v>
      </c>
      <c r="C2768" s="629" t="s">
        <v>100</v>
      </c>
      <c r="D2768" s="630">
        <v>3.68</v>
      </c>
      <c r="E2768" s="622"/>
      <c r="F2768" s="334"/>
      <c r="G2768" s="334"/>
      <c r="H2768" s="602"/>
      <c r="I2768" s="334"/>
      <c r="J2768" s="334"/>
      <c r="K2768" s="334"/>
      <c r="L2768" s="334"/>
      <c r="M2768" s="334"/>
      <c r="N2768" s="334"/>
      <c r="O2768" s="334"/>
    </row>
    <row r="2769" spans="1:15" ht="12.75" hidden="1" customHeight="1" outlineLevel="1" x14ac:dyDescent="0.2">
      <c r="A2769" s="623" t="s">
        <v>3718</v>
      </c>
      <c r="B2769" s="624" t="s">
        <v>1130</v>
      </c>
      <c r="C2769" s="625" t="s">
        <v>100</v>
      </c>
      <c r="D2769" s="626">
        <v>3.68</v>
      </c>
      <c r="E2769" s="622"/>
      <c r="F2769" s="334"/>
      <c r="G2769" s="334"/>
      <c r="H2769" s="602"/>
      <c r="I2769" s="334"/>
      <c r="J2769" s="334"/>
      <c r="K2769" s="334"/>
      <c r="L2769" s="334"/>
      <c r="M2769" s="334"/>
      <c r="N2769" s="334"/>
      <c r="O2769" s="334"/>
    </row>
    <row r="2770" spans="1:15" ht="12.75" hidden="1" customHeight="1" outlineLevel="1" x14ac:dyDescent="0.2">
      <c r="A2770" s="627" t="s">
        <v>3719</v>
      </c>
      <c r="B2770" s="624" t="s">
        <v>1134</v>
      </c>
      <c r="C2770" s="629" t="s">
        <v>100</v>
      </c>
      <c r="D2770" s="630">
        <v>196.85</v>
      </c>
      <c r="E2770" s="622"/>
      <c r="F2770" s="334"/>
      <c r="G2770" s="334"/>
      <c r="H2770" s="602"/>
      <c r="I2770" s="334"/>
      <c r="J2770" s="334"/>
      <c r="K2770" s="334"/>
      <c r="L2770" s="334"/>
      <c r="M2770" s="334"/>
      <c r="N2770" s="334"/>
      <c r="O2770" s="334"/>
    </row>
    <row r="2771" spans="1:15" ht="12.75" hidden="1" customHeight="1" outlineLevel="1" x14ac:dyDescent="0.2">
      <c r="A2771" s="623" t="s">
        <v>3720</v>
      </c>
      <c r="B2771" s="628" t="s">
        <v>1128</v>
      </c>
      <c r="C2771" s="625" t="s">
        <v>100</v>
      </c>
      <c r="D2771" s="626">
        <v>196.85</v>
      </c>
      <c r="E2771" s="622"/>
      <c r="F2771" s="334"/>
      <c r="G2771" s="334"/>
      <c r="H2771" s="602"/>
      <c r="I2771" s="334"/>
      <c r="J2771" s="334"/>
      <c r="K2771" s="334"/>
      <c r="L2771" s="334"/>
      <c r="M2771" s="334"/>
      <c r="N2771" s="334"/>
      <c r="O2771" s="334"/>
    </row>
    <row r="2772" spans="1:15" ht="12.75" hidden="1" customHeight="1" outlineLevel="1" x14ac:dyDescent="0.2">
      <c r="A2772" s="627" t="s">
        <v>3721</v>
      </c>
      <c r="B2772" s="624" t="s">
        <v>1130</v>
      </c>
      <c r="C2772" s="629" t="s">
        <v>100</v>
      </c>
      <c r="D2772" s="630">
        <v>196.85</v>
      </c>
      <c r="E2772" s="622"/>
      <c r="F2772" s="334"/>
      <c r="G2772" s="334"/>
      <c r="H2772" s="602"/>
      <c r="I2772" s="334"/>
      <c r="J2772" s="334"/>
      <c r="K2772" s="334"/>
      <c r="L2772" s="334"/>
      <c r="M2772" s="334"/>
      <c r="N2772" s="334"/>
      <c r="O2772" s="334"/>
    </row>
    <row r="2773" spans="1:15" ht="12.75" hidden="1" customHeight="1" outlineLevel="1" x14ac:dyDescent="0.2">
      <c r="A2773" s="623" t="s">
        <v>3722</v>
      </c>
      <c r="B2773" s="624" t="s">
        <v>1134</v>
      </c>
      <c r="C2773" s="625" t="s">
        <v>100</v>
      </c>
      <c r="D2773" s="626">
        <v>15.71</v>
      </c>
      <c r="E2773" s="622"/>
      <c r="F2773" s="334"/>
      <c r="G2773" s="334"/>
      <c r="H2773" s="602"/>
      <c r="I2773" s="334"/>
      <c r="J2773" s="334"/>
      <c r="K2773" s="334"/>
      <c r="L2773" s="334"/>
      <c r="M2773" s="334"/>
      <c r="N2773" s="334"/>
      <c r="O2773" s="334"/>
    </row>
    <row r="2774" spans="1:15" ht="12.75" hidden="1" customHeight="1" outlineLevel="1" x14ac:dyDescent="0.2">
      <c r="A2774" s="627" t="s">
        <v>3723</v>
      </c>
      <c r="B2774" s="628" t="s">
        <v>1128</v>
      </c>
      <c r="C2774" s="629" t="s">
        <v>100</v>
      </c>
      <c r="D2774" s="630">
        <v>15.71</v>
      </c>
      <c r="E2774" s="622"/>
      <c r="F2774" s="334"/>
      <c r="G2774" s="334"/>
      <c r="H2774" s="602"/>
      <c r="I2774" s="334"/>
      <c r="J2774" s="334"/>
      <c r="K2774" s="334"/>
      <c r="L2774" s="334"/>
      <c r="M2774" s="334"/>
      <c r="N2774" s="334"/>
      <c r="O2774" s="334"/>
    </row>
    <row r="2775" spans="1:15" ht="12.75" hidden="1" customHeight="1" outlineLevel="1" x14ac:dyDescent="0.2">
      <c r="A2775" s="623" t="s">
        <v>3724</v>
      </c>
      <c r="B2775" s="624" t="s">
        <v>1130</v>
      </c>
      <c r="C2775" s="625" t="s">
        <v>100</v>
      </c>
      <c r="D2775" s="626">
        <v>15.71</v>
      </c>
      <c r="E2775" s="622"/>
      <c r="F2775" s="334"/>
      <c r="G2775" s="334"/>
      <c r="H2775" s="602"/>
      <c r="I2775" s="334"/>
      <c r="J2775" s="334"/>
      <c r="K2775" s="334"/>
      <c r="L2775" s="334"/>
      <c r="M2775" s="334"/>
      <c r="N2775" s="334"/>
      <c r="O2775" s="334"/>
    </row>
    <row r="2776" spans="1:15" ht="12.75" hidden="1" customHeight="1" outlineLevel="1" x14ac:dyDescent="0.2">
      <c r="A2776" s="627" t="s">
        <v>3725</v>
      </c>
      <c r="B2776" s="624" t="s">
        <v>1134</v>
      </c>
      <c r="C2776" s="629" t="s">
        <v>100</v>
      </c>
      <c r="D2776" s="630">
        <v>57.52</v>
      </c>
      <c r="E2776" s="622"/>
      <c r="F2776" s="334"/>
      <c r="G2776" s="334"/>
      <c r="H2776" s="602"/>
      <c r="I2776" s="334"/>
      <c r="J2776" s="334"/>
      <c r="K2776" s="334"/>
      <c r="L2776" s="334"/>
      <c r="M2776" s="334"/>
      <c r="N2776" s="334"/>
      <c r="O2776" s="334"/>
    </row>
    <row r="2777" spans="1:15" ht="12.75" hidden="1" customHeight="1" outlineLevel="1" x14ac:dyDescent="0.2">
      <c r="A2777" s="623" t="s">
        <v>3726</v>
      </c>
      <c r="B2777" s="628" t="s">
        <v>1128</v>
      </c>
      <c r="C2777" s="625" t="s">
        <v>100</v>
      </c>
      <c r="D2777" s="626">
        <v>57.52</v>
      </c>
      <c r="E2777" s="622"/>
      <c r="F2777" s="334"/>
      <c r="G2777" s="334"/>
      <c r="H2777" s="602"/>
      <c r="I2777" s="334"/>
      <c r="J2777" s="334"/>
      <c r="K2777" s="334"/>
      <c r="L2777" s="334"/>
      <c r="M2777" s="334"/>
      <c r="N2777" s="334"/>
      <c r="O2777" s="334"/>
    </row>
    <row r="2778" spans="1:15" ht="12.75" hidden="1" customHeight="1" outlineLevel="1" x14ac:dyDescent="0.2">
      <c r="A2778" s="627" t="s">
        <v>3727</v>
      </c>
      <c r="B2778" s="624" t="s">
        <v>1130</v>
      </c>
      <c r="C2778" s="629" t="s">
        <v>100</v>
      </c>
      <c r="D2778" s="630">
        <v>57.52</v>
      </c>
      <c r="E2778" s="622"/>
      <c r="F2778" s="334"/>
      <c r="G2778" s="334"/>
      <c r="H2778" s="602"/>
      <c r="I2778" s="334"/>
      <c r="J2778" s="334"/>
      <c r="K2778" s="334"/>
      <c r="L2778" s="334"/>
      <c r="M2778" s="334"/>
      <c r="N2778" s="334"/>
      <c r="O2778" s="334"/>
    </row>
    <row r="2779" spans="1:15" ht="12.75" hidden="1" customHeight="1" outlineLevel="1" x14ac:dyDescent="0.2">
      <c r="A2779" s="623" t="s">
        <v>3728</v>
      </c>
      <c r="B2779" s="624" t="s">
        <v>1128</v>
      </c>
      <c r="C2779" s="625" t="s">
        <v>100</v>
      </c>
      <c r="D2779" s="626">
        <v>6.56</v>
      </c>
      <c r="E2779" s="622"/>
      <c r="F2779" s="334"/>
      <c r="G2779" s="334"/>
      <c r="H2779" s="602"/>
      <c r="I2779" s="334"/>
      <c r="J2779" s="334"/>
      <c r="K2779" s="334"/>
      <c r="L2779" s="334"/>
      <c r="M2779" s="334"/>
      <c r="N2779" s="334"/>
      <c r="O2779" s="334"/>
    </row>
    <row r="2780" spans="1:15" ht="12.75" hidden="1" customHeight="1" outlineLevel="1" x14ac:dyDescent="0.2">
      <c r="A2780" s="627" t="s">
        <v>3729</v>
      </c>
      <c r="B2780" s="628" t="s">
        <v>1130</v>
      </c>
      <c r="C2780" s="629" t="s">
        <v>100</v>
      </c>
      <c r="D2780" s="630">
        <v>6.56</v>
      </c>
      <c r="E2780" s="622"/>
      <c r="F2780" s="334"/>
      <c r="G2780" s="334"/>
      <c r="H2780" s="602"/>
      <c r="I2780" s="334"/>
      <c r="J2780" s="334"/>
      <c r="K2780" s="334"/>
      <c r="L2780" s="334"/>
      <c r="M2780" s="334"/>
      <c r="N2780" s="334"/>
      <c r="O2780" s="334"/>
    </row>
    <row r="2781" spans="1:15" ht="12.75" hidden="1" customHeight="1" outlineLevel="1" x14ac:dyDescent="0.2">
      <c r="A2781" s="623" t="s">
        <v>3730</v>
      </c>
      <c r="B2781" s="624" t="s">
        <v>1132</v>
      </c>
      <c r="C2781" s="625" t="s">
        <v>100</v>
      </c>
      <c r="D2781" s="626">
        <v>6.56</v>
      </c>
      <c r="E2781" s="622"/>
      <c r="F2781" s="334"/>
      <c r="G2781" s="334"/>
      <c r="H2781" s="602"/>
      <c r="I2781" s="334"/>
      <c r="J2781" s="334"/>
      <c r="K2781" s="334"/>
      <c r="L2781" s="334"/>
      <c r="M2781" s="334"/>
      <c r="N2781" s="334"/>
      <c r="O2781" s="334"/>
    </row>
    <row r="2782" spans="1:15" ht="12.75" hidden="1" customHeight="1" outlineLevel="1" x14ac:dyDescent="0.2">
      <c r="A2782" s="627" t="s">
        <v>3731</v>
      </c>
      <c r="B2782" s="624" t="s">
        <v>1134</v>
      </c>
      <c r="C2782" s="629" t="s">
        <v>100</v>
      </c>
      <c r="D2782" s="630">
        <v>13.24</v>
      </c>
      <c r="E2782" s="622"/>
      <c r="F2782" s="334"/>
      <c r="G2782" s="334"/>
      <c r="H2782" s="602"/>
      <c r="I2782" s="334"/>
      <c r="J2782" s="334"/>
      <c r="K2782" s="334"/>
      <c r="L2782" s="334"/>
      <c r="M2782" s="334"/>
      <c r="N2782" s="334"/>
      <c r="O2782" s="334"/>
    </row>
    <row r="2783" spans="1:15" ht="12.75" hidden="1" customHeight="1" outlineLevel="1" x14ac:dyDescent="0.2">
      <c r="A2783" s="623" t="s">
        <v>3732</v>
      </c>
      <c r="B2783" s="628" t="s">
        <v>1128</v>
      </c>
      <c r="C2783" s="625" t="s">
        <v>100</v>
      </c>
      <c r="D2783" s="626">
        <v>13.24</v>
      </c>
      <c r="E2783" s="622"/>
      <c r="F2783" s="334"/>
      <c r="G2783" s="334"/>
      <c r="H2783" s="602"/>
      <c r="I2783" s="334"/>
      <c r="J2783" s="334"/>
      <c r="K2783" s="334"/>
      <c r="L2783" s="334"/>
      <c r="M2783" s="334"/>
      <c r="N2783" s="334"/>
      <c r="O2783" s="334"/>
    </row>
    <row r="2784" spans="1:15" ht="12.75" hidden="1" customHeight="1" outlineLevel="1" x14ac:dyDescent="0.2">
      <c r="A2784" s="627" t="s">
        <v>3733</v>
      </c>
      <c r="B2784" s="624" t="s">
        <v>1130</v>
      </c>
      <c r="C2784" s="629" t="s">
        <v>100</v>
      </c>
      <c r="D2784" s="630">
        <v>13.24</v>
      </c>
      <c r="E2784" s="622"/>
      <c r="F2784" s="334"/>
      <c r="G2784" s="334"/>
      <c r="H2784" s="602"/>
      <c r="I2784" s="334"/>
      <c r="J2784" s="334"/>
      <c r="K2784" s="334"/>
      <c r="L2784" s="334"/>
      <c r="M2784" s="334"/>
      <c r="N2784" s="334"/>
      <c r="O2784" s="334"/>
    </row>
    <row r="2785" spans="1:15" ht="12.75" hidden="1" customHeight="1" outlineLevel="1" x14ac:dyDescent="0.2">
      <c r="A2785" s="623" t="s">
        <v>3734</v>
      </c>
      <c r="B2785" s="624" t="s">
        <v>1128</v>
      </c>
      <c r="C2785" s="625" t="s">
        <v>100</v>
      </c>
      <c r="D2785" s="626">
        <v>23.56</v>
      </c>
      <c r="E2785" s="622"/>
      <c r="F2785" s="334"/>
      <c r="G2785" s="334"/>
      <c r="H2785" s="602"/>
      <c r="I2785" s="334"/>
      <c r="J2785" s="334"/>
      <c r="K2785" s="334"/>
      <c r="L2785" s="334"/>
      <c r="M2785" s="334"/>
      <c r="N2785" s="334"/>
      <c r="O2785" s="334"/>
    </row>
    <row r="2786" spans="1:15" ht="12.75" hidden="1" customHeight="1" outlineLevel="1" x14ac:dyDescent="0.2">
      <c r="A2786" s="627" t="s">
        <v>3735</v>
      </c>
      <c r="B2786" s="628" t="s">
        <v>1130</v>
      </c>
      <c r="C2786" s="629" t="s">
        <v>100</v>
      </c>
      <c r="D2786" s="630">
        <v>23.56</v>
      </c>
      <c r="E2786" s="622"/>
      <c r="F2786" s="334"/>
      <c r="G2786" s="334"/>
      <c r="H2786" s="602"/>
      <c r="I2786" s="334"/>
      <c r="J2786" s="334"/>
      <c r="K2786" s="334"/>
      <c r="L2786" s="334"/>
      <c r="M2786" s="334"/>
      <c r="N2786" s="334"/>
      <c r="O2786" s="334"/>
    </row>
    <row r="2787" spans="1:15" ht="12.75" hidden="1" customHeight="1" outlineLevel="1" x14ac:dyDescent="0.2">
      <c r="A2787" s="623" t="s">
        <v>3736</v>
      </c>
      <c r="B2787" s="624" t="s">
        <v>1134</v>
      </c>
      <c r="C2787" s="625" t="s">
        <v>100</v>
      </c>
      <c r="D2787" s="626">
        <v>11.95</v>
      </c>
      <c r="E2787" s="622"/>
      <c r="F2787" s="334"/>
      <c r="G2787" s="334"/>
      <c r="H2787" s="602"/>
      <c r="I2787" s="334"/>
      <c r="J2787" s="334"/>
      <c r="K2787" s="334"/>
      <c r="L2787" s="334"/>
      <c r="M2787" s="334"/>
      <c r="N2787" s="334"/>
      <c r="O2787" s="334"/>
    </row>
    <row r="2788" spans="1:15" ht="12.75" hidden="1" customHeight="1" outlineLevel="1" x14ac:dyDescent="0.2">
      <c r="A2788" s="627" t="s">
        <v>3737</v>
      </c>
      <c r="B2788" s="628" t="s">
        <v>1128</v>
      </c>
      <c r="C2788" s="629" t="s">
        <v>100</v>
      </c>
      <c r="D2788" s="630">
        <v>11.95</v>
      </c>
      <c r="E2788" s="622"/>
      <c r="F2788" s="334"/>
      <c r="G2788" s="334"/>
      <c r="H2788" s="602"/>
      <c r="I2788" s="334"/>
      <c r="J2788" s="334"/>
      <c r="K2788" s="334"/>
      <c r="L2788" s="334"/>
      <c r="M2788" s="334"/>
      <c r="N2788" s="334"/>
      <c r="O2788" s="334"/>
    </row>
    <row r="2789" spans="1:15" ht="12.75" hidden="1" customHeight="1" outlineLevel="1" x14ac:dyDescent="0.2">
      <c r="A2789" s="623" t="s">
        <v>3738</v>
      </c>
      <c r="B2789" s="624" t="s">
        <v>1130</v>
      </c>
      <c r="C2789" s="625" t="s">
        <v>100</v>
      </c>
      <c r="D2789" s="626">
        <v>11.95</v>
      </c>
      <c r="E2789" s="622"/>
      <c r="F2789" s="334"/>
      <c r="G2789" s="334"/>
      <c r="H2789" s="602"/>
      <c r="I2789" s="334"/>
      <c r="J2789" s="334"/>
      <c r="K2789" s="334"/>
      <c r="L2789" s="334"/>
      <c r="M2789" s="334"/>
      <c r="N2789" s="334"/>
      <c r="O2789" s="334"/>
    </row>
    <row r="2790" spans="1:15" ht="12.75" hidden="1" customHeight="1" outlineLevel="1" x14ac:dyDescent="0.2">
      <c r="A2790" s="627" t="s">
        <v>3739</v>
      </c>
      <c r="B2790" s="628" t="s">
        <v>1132</v>
      </c>
      <c r="C2790" s="629" t="s">
        <v>100</v>
      </c>
      <c r="D2790" s="630">
        <v>23.56</v>
      </c>
      <c r="E2790" s="622"/>
      <c r="F2790" s="334"/>
      <c r="G2790" s="334"/>
      <c r="H2790" s="602"/>
      <c r="I2790" s="334"/>
      <c r="J2790" s="334"/>
      <c r="K2790" s="334"/>
      <c r="L2790" s="334"/>
      <c r="M2790" s="334"/>
      <c r="N2790" s="334"/>
      <c r="O2790" s="334"/>
    </row>
    <row r="2791" spans="1:15" ht="12.75" hidden="1" customHeight="1" outlineLevel="1" x14ac:dyDescent="0.2">
      <c r="A2791" s="618" t="s">
        <v>3740</v>
      </c>
      <c r="B2791" s="619" t="s">
        <v>1120</v>
      </c>
      <c r="C2791" s="620"/>
      <c r="D2791" s="621"/>
      <c r="E2791" s="622"/>
      <c r="F2791" s="334"/>
      <c r="G2791" s="334"/>
      <c r="H2791" s="602"/>
      <c r="I2791" s="334"/>
      <c r="J2791" s="334"/>
      <c r="K2791" s="334"/>
      <c r="L2791" s="334"/>
      <c r="M2791" s="334"/>
      <c r="N2791" s="334"/>
      <c r="O2791" s="334"/>
    </row>
    <row r="2792" spans="1:15" ht="12.75" hidden="1" customHeight="1" outlineLevel="1" x14ac:dyDescent="0.2">
      <c r="A2792" s="623" t="s">
        <v>3741</v>
      </c>
      <c r="B2792" s="624" t="s">
        <v>1128</v>
      </c>
      <c r="C2792" s="625" t="s">
        <v>100</v>
      </c>
      <c r="D2792" s="626">
        <v>320.22000000000003</v>
      </c>
      <c r="E2792" s="622"/>
      <c r="F2792" s="334"/>
      <c r="G2792" s="334"/>
      <c r="H2792" s="602"/>
      <c r="I2792" s="334"/>
      <c r="J2792" s="334"/>
      <c r="K2792" s="334"/>
      <c r="L2792" s="334"/>
      <c r="M2792" s="334"/>
      <c r="N2792" s="334"/>
      <c r="O2792" s="334"/>
    </row>
    <row r="2793" spans="1:15" ht="12.75" hidden="1" customHeight="1" outlineLevel="1" x14ac:dyDescent="0.2">
      <c r="A2793" s="618" t="s">
        <v>3742</v>
      </c>
      <c r="B2793" s="619" t="s">
        <v>1127</v>
      </c>
      <c r="C2793" s="620"/>
      <c r="D2793" s="621"/>
      <c r="E2793" s="622"/>
      <c r="F2793" s="334"/>
      <c r="G2793" s="334"/>
      <c r="H2793" s="602"/>
      <c r="I2793" s="334"/>
      <c r="J2793" s="334"/>
      <c r="K2793" s="334"/>
      <c r="L2793" s="334"/>
      <c r="M2793" s="334"/>
      <c r="N2793" s="334"/>
      <c r="O2793" s="334"/>
    </row>
    <row r="2794" spans="1:15" ht="12.75" hidden="1" customHeight="1" outlineLevel="1" x14ac:dyDescent="0.2">
      <c r="A2794" s="627" t="s">
        <v>3743</v>
      </c>
      <c r="B2794" s="628" t="s">
        <v>1128</v>
      </c>
      <c r="C2794" s="629" t="s">
        <v>100</v>
      </c>
      <c r="D2794" s="630">
        <v>2.9</v>
      </c>
      <c r="E2794" s="622"/>
      <c r="F2794" s="334"/>
      <c r="G2794" s="334"/>
      <c r="H2794" s="602"/>
      <c r="I2794" s="334"/>
      <c r="J2794" s="334"/>
      <c r="K2794" s="334"/>
      <c r="L2794" s="334"/>
      <c r="M2794" s="334"/>
      <c r="N2794" s="334"/>
      <c r="O2794" s="334"/>
    </row>
    <row r="2795" spans="1:15" ht="12.75" hidden="1" customHeight="1" outlineLevel="1" x14ac:dyDescent="0.2">
      <c r="A2795" s="623" t="s">
        <v>3744</v>
      </c>
      <c r="B2795" s="624" t="s">
        <v>1130</v>
      </c>
      <c r="C2795" s="625" t="s">
        <v>100</v>
      </c>
      <c r="D2795" s="626">
        <v>2.9</v>
      </c>
      <c r="E2795" s="622"/>
      <c r="F2795" s="334"/>
      <c r="G2795" s="334"/>
      <c r="H2795" s="602"/>
      <c r="I2795" s="334"/>
      <c r="J2795" s="334"/>
      <c r="K2795" s="334"/>
      <c r="L2795" s="334"/>
      <c r="M2795" s="334"/>
      <c r="N2795" s="334"/>
      <c r="O2795" s="334"/>
    </row>
    <row r="2796" spans="1:15" ht="12.75" hidden="1" customHeight="1" outlineLevel="1" x14ac:dyDescent="0.2">
      <c r="A2796" s="627" t="s">
        <v>3745</v>
      </c>
      <c r="B2796" s="628" t="s">
        <v>1132</v>
      </c>
      <c r="C2796" s="629" t="s">
        <v>100</v>
      </c>
      <c r="D2796" s="630">
        <v>2.9</v>
      </c>
      <c r="E2796" s="622"/>
      <c r="F2796" s="334"/>
      <c r="G2796" s="334"/>
      <c r="H2796" s="602"/>
      <c r="I2796" s="334"/>
      <c r="J2796" s="334"/>
      <c r="K2796" s="334"/>
      <c r="L2796" s="334"/>
      <c r="M2796" s="334"/>
      <c r="N2796" s="334"/>
      <c r="O2796" s="334"/>
    </row>
    <row r="2797" spans="1:15" ht="12.75" hidden="1" customHeight="1" outlineLevel="1" x14ac:dyDescent="0.2">
      <c r="A2797" s="623" t="s">
        <v>3746</v>
      </c>
      <c r="B2797" s="624" t="s">
        <v>1134</v>
      </c>
      <c r="C2797" s="625" t="s">
        <v>100</v>
      </c>
      <c r="D2797" s="626">
        <v>2.67</v>
      </c>
      <c r="E2797" s="622"/>
      <c r="F2797" s="334"/>
      <c r="G2797" s="334"/>
      <c r="H2797" s="602"/>
      <c r="I2797" s="334"/>
      <c r="J2797" s="334"/>
      <c r="K2797" s="334"/>
      <c r="L2797" s="334"/>
      <c r="M2797" s="334"/>
      <c r="N2797" s="334"/>
      <c r="O2797" s="334"/>
    </row>
    <row r="2798" spans="1:15" ht="12.75" hidden="1" customHeight="1" outlineLevel="1" x14ac:dyDescent="0.2">
      <c r="A2798" s="627" t="s">
        <v>3747</v>
      </c>
      <c r="B2798" s="628" t="s">
        <v>1128</v>
      </c>
      <c r="C2798" s="629" t="s">
        <v>100</v>
      </c>
      <c r="D2798" s="630">
        <v>2.67</v>
      </c>
      <c r="E2798" s="622"/>
      <c r="F2798" s="334"/>
      <c r="G2798" s="334"/>
      <c r="H2798" s="602"/>
      <c r="I2798" s="334"/>
      <c r="J2798" s="334"/>
      <c r="K2798" s="334"/>
      <c r="L2798" s="334"/>
      <c r="M2798" s="334"/>
      <c r="N2798" s="334"/>
      <c r="O2798" s="334"/>
    </row>
    <row r="2799" spans="1:15" ht="12.75" hidden="1" customHeight="1" outlineLevel="1" x14ac:dyDescent="0.2">
      <c r="A2799" s="623" t="s">
        <v>3748</v>
      </c>
      <c r="B2799" s="624" t="s">
        <v>1130</v>
      </c>
      <c r="C2799" s="625" t="s">
        <v>100</v>
      </c>
      <c r="D2799" s="626">
        <v>2.67</v>
      </c>
      <c r="E2799" s="622"/>
      <c r="F2799" s="334"/>
      <c r="G2799" s="334"/>
      <c r="H2799" s="602"/>
      <c r="I2799" s="334"/>
      <c r="J2799" s="334"/>
      <c r="K2799" s="334"/>
      <c r="L2799" s="334"/>
      <c r="M2799" s="334"/>
      <c r="N2799" s="334"/>
      <c r="O2799" s="334"/>
    </row>
    <row r="2800" spans="1:15" ht="12.75" hidden="1" customHeight="1" outlineLevel="1" x14ac:dyDescent="0.2">
      <c r="A2800" s="627" t="s">
        <v>3749</v>
      </c>
      <c r="B2800" s="624" t="s">
        <v>1134</v>
      </c>
      <c r="C2800" s="629" t="s">
        <v>100</v>
      </c>
      <c r="D2800" s="630">
        <v>12.97</v>
      </c>
      <c r="E2800" s="622"/>
      <c r="F2800" s="334"/>
      <c r="G2800" s="334"/>
      <c r="H2800" s="602"/>
      <c r="I2800" s="334"/>
      <c r="J2800" s="334"/>
      <c r="K2800" s="334"/>
      <c r="L2800" s="334"/>
      <c r="M2800" s="334"/>
      <c r="N2800" s="334"/>
      <c r="O2800" s="334"/>
    </row>
    <row r="2801" spans="1:15" ht="12.75" hidden="1" customHeight="1" outlineLevel="1" x14ac:dyDescent="0.2">
      <c r="A2801" s="623" t="s">
        <v>3750</v>
      </c>
      <c r="B2801" s="628" t="s">
        <v>1128</v>
      </c>
      <c r="C2801" s="625" t="s">
        <v>100</v>
      </c>
      <c r="D2801" s="626">
        <v>12.97</v>
      </c>
      <c r="E2801" s="622"/>
      <c r="F2801" s="334"/>
      <c r="G2801" s="334"/>
      <c r="H2801" s="602"/>
      <c r="I2801" s="334"/>
      <c r="J2801" s="334"/>
      <c r="K2801" s="334"/>
      <c r="L2801" s="334"/>
      <c r="M2801" s="334"/>
      <c r="N2801" s="334"/>
      <c r="O2801" s="334"/>
    </row>
    <row r="2802" spans="1:15" ht="12.75" hidden="1" customHeight="1" outlineLevel="1" x14ac:dyDescent="0.2">
      <c r="A2802" s="627" t="s">
        <v>3751</v>
      </c>
      <c r="B2802" s="624" t="s">
        <v>1130</v>
      </c>
      <c r="C2802" s="629" t="s">
        <v>100</v>
      </c>
      <c r="D2802" s="630">
        <v>12.97</v>
      </c>
      <c r="E2802" s="622"/>
      <c r="F2802" s="334"/>
      <c r="G2802" s="334"/>
      <c r="H2802" s="602"/>
      <c r="I2802" s="334"/>
      <c r="J2802" s="334"/>
      <c r="K2802" s="334"/>
      <c r="L2802" s="334"/>
      <c r="M2802" s="334"/>
      <c r="N2802" s="334"/>
      <c r="O2802" s="334"/>
    </row>
    <row r="2803" spans="1:15" ht="12.75" hidden="1" customHeight="1" outlineLevel="1" x14ac:dyDescent="0.2">
      <c r="A2803" s="623" t="s">
        <v>3752</v>
      </c>
      <c r="B2803" s="624" t="s">
        <v>1128</v>
      </c>
      <c r="C2803" s="625" t="s">
        <v>100</v>
      </c>
      <c r="D2803" s="626">
        <v>15.91</v>
      </c>
      <c r="E2803" s="622"/>
      <c r="F2803" s="334"/>
      <c r="G2803" s="334"/>
      <c r="H2803" s="602"/>
      <c r="I2803" s="334"/>
      <c r="J2803" s="334"/>
      <c r="K2803" s="334"/>
      <c r="L2803" s="334"/>
      <c r="M2803" s="334"/>
      <c r="N2803" s="334"/>
      <c r="O2803" s="334"/>
    </row>
    <row r="2804" spans="1:15" ht="12.75" hidden="1" customHeight="1" outlineLevel="1" x14ac:dyDescent="0.2">
      <c r="A2804" s="627" t="s">
        <v>3753</v>
      </c>
      <c r="B2804" s="628" t="s">
        <v>1130</v>
      </c>
      <c r="C2804" s="629" t="s">
        <v>100</v>
      </c>
      <c r="D2804" s="630">
        <v>15.91</v>
      </c>
      <c r="E2804" s="622"/>
      <c r="F2804" s="334"/>
      <c r="G2804" s="334"/>
      <c r="H2804" s="602"/>
      <c r="I2804" s="334"/>
      <c r="J2804" s="334"/>
      <c r="K2804" s="334"/>
      <c r="L2804" s="334"/>
      <c r="M2804" s="334"/>
      <c r="N2804" s="334"/>
      <c r="O2804" s="334"/>
    </row>
    <row r="2805" spans="1:15" ht="12.75" hidden="1" customHeight="1" outlineLevel="1" x14ac:dyDescent="0.2">
      <c r="A2805" s="623" t="s">
        <v>3754</v>
      </c>
      <c r="B2805" s="624" t="s">
        <v>1132</v>
      </c>
      <c r="C2805" s="625" t="s">
        <v>100</v>
      </c>
      <c r="D2805" s="626">
        <v>15.91</v>
      </c>
      <c r="E2805" s="622"/>
      <c r="F2805" s="334"/>
      <c r="G2805" s="334"/>
      <c r="H2805" s="602"/>
      <c r="I2805" s="334"/>
      <c r="J2805" s="334"/>
      <c r="K2805" s="334"/>
      <c r="L2805" s="334"/>
      <c r="M2805" s="334"/>
      <c r="N2805" s="334"/>
      <c r="O2805" s="334"/>
    </row>
    <row r="2806" spans="1:15" ht="12.75" hidden="1" customHeight="1" outlineLevel="1" x14ac:dyDescent="0.2">
      <c r="A2806" s="627" t="s">
        <v>3755</v>
      </c>
      <c r="B2806" s="624" t="s">
        <v>1134</v>
      </c>
      <c r="C2806" s="629" t="s">
        <v>100</v>
      </c>
      <c r="D2806" s="630">
        <v>29.57</v>
      </c>
      <c r="E2806" s="622"/>
      <c r="F2806" s="334"/>
      <c r="G2806" s="334"/>
      <c r="H2806" s="602"/>
      <c r="I2806" s="334"/>
      <c r="J2806" s="334"/>
      <c r="K2806" s="334"/>
      <c r="L2806" s="334"/>
      <c r="M2806" s="334"/>
      <c r="N2806" s="334"/>
      <c r="O2806" s="334"/>
    </row>
    <row r="2807" spans="1:15" ht="12.75" hidden="1" customHeight="1" outlineLevel="1" x14ac:dyDescent="0.2">
      <c r="A2807" s="623" t="s">
        <v>3756</v>
      </c>
      <c r="B2807" s="628" t="s">
        <v>1128</v>
      </c>
      <c r="C2807" s="625" t="s">
        <v>100</v>
      </c>
      <c r="D2807" s="626">
        <v>29.57</v>
      </c>
      <c r="E2807" s="622"/>
      <c r="F2807" s="334"/>
      <c r="G2807" s="334"/>
      <c r="H2807" s="602"/>
      <c r="I2807" s="334"/>
      <c r="J2807" s="334"/>
      <c r="K2807" s="334"/>
      <c r="L2807" s="334"/>
      <c r="M2807" s="334"/>
      <c r="N2807" s="334"/>
      <c r="O2807" s="334"/>
    </row>
    <row r="2808" spans="1:15" ht="12.75" hidden="1" customHeight="1" outlineLevel="1" x14ac:dyDescent="0.2">
      <c r="A2808" s="627" t="s">
        <v>3757</v>
      </c>
      <c r="B2808" s="624" t="s">
        <v>1130</v>
      </c>
      <c r="C2808" s="629" t="s">
        <v>100</v>
      </c>
      <c r="D2808" s="630">
        <v>29.57</v>
      </c>
      <c r="E2808" s="622"/>
      <c r="F2808" s="334"/>
      <c r="G2808" s="334"/>
      <c r="H2808" s="602"/>
      <c r="I2808" s="334"/>
      <c r="J2808" s="334"/>
      <c r="K2808" s="334"/>
      <c r="L2808" s="334"/>
      <c r="M2808" s="334"/>
      <c r="N2808" s="334"/>
      <c r="O2808" s="334"/>
    </row>
    <row r="2809" spans="1:15" ht="12.75" hidden="1" customHeight="1" outlineLevel="1" x14ac:dyDescent="0.2">
      <c r="A2809" s="623" t="s">
        <v>3758</v>
      </c>
      <c r="B2809" s="624" t="s">
        <v>1134</v>
      </c>
      <c r="C2809" s="625" t="s">
        <v>100</v>
      </c>
      <c r="D2809" s="626">
        <v>99.28</v>
      </c>
      <c r="E2809" s="622"/>
      <c r="F2809" s="334"/>
      <c r="G2809" s="334"/>
      <c r="H2809" s="602"/>
      <c r="I2809" s="334"/>
      <c r="J2809" s="334"/>
      <c r="K2809" s="334"/>
      <c r="L2809" s="334"/>
      <c r="M2809" s="334"/>
      <c r="N2809" s="334"/>
      <c r="O2809" s="334"/>
    </row>
    <row r="2810" spans="1:15" ht="12.75" hidden="1" customHeight="1" outlineLevel="1" x14ac:dyDescent="0.2">
      <c r="A2810" s="627" t="s">
        <v>3759</v>
      </c>
      <c r="B2810" s="628" t="s">
        <v>1128</v>
      </c>
      <c r="C2810" s="629" t="s">
        <v>100</v>
      </c>
      <c r="D2810" s="630">
        <v>99.28</v>
      </c>
      <c r="E2810" s="622"/>
      <c r="F2810" s="334"/>
      <c r="G2810" s="334"/>
      <c r="H2810" s="602"/>
      <c r="I2810" s="334"/>
      <c r="J2810" s="334"/>
      <c r="K2810" s="334"/>
      <c r="L2810" s="334"/>
      <c r="M2810" s="334"/>
      <c r="N2810" s="334"/>
      <c r="O2810" s="334"/>
    </row>
    <row r="2811" spans="1:15" ht="12.75" hidden="1" customHeight="1" outlineLevel="1" x14ac:dyDescent="0.2">
      <c r="A2811" s="623" t="s">
        <v>3760</v>
      </c>
      <c r="B2811" s="624" t="s">
        <v>1130</v>
      </c>
      <c r="C2811" s="625" t="s">
        <v>100</v>
      </c>
      <c r="D2811" s="626">
        <v>99.28</v>
      </c>
      <c r="E2811" s="622"/>
      <c r="F2811" s="334"/>
      <c r="G2811" s="334"/>
      <c r="H2811" s="602"/>
      <c r="I2811" s="334"/>
      <c r="J2811" s="334"/>
      <c r="K2811" s="334"/>
      <c r="L2811" s="334"/>
      <c r="M2811" s="334"/>
      <c r="N2811" s="334"/>
      <c r="O2811" s="334"/>
    </row>
    <row r="2812" spans="1:15" ht="12.75" hidden="1" customHeight="1" outlineLevel="1" x14ac:dyDescent="0.2">
      <c r="A2812" s="627" t="s">
        <v>3761</v>
      </c>
      <c r="B2812" s="624" t="s">
        <v>1134</v>
      </c>
      <c r="C2812" s="629" t="s">
        <v>100</v>
      </c>
      <c r="D2812" s="630">
        <v>1.85</v>
      </c>
      <c r="E2812" s="622"/>
      <c r="F2812" s="334"/>
      <c r="G2812" s="334"/>
      <c r="H2812" s="602"/>
      <c r="I2812" s="334"/>
      <c r="J2812" s="334"/>
      <c r="K2812" s="334"/>
      <c r="L2812" s="334"/>
      <c r="M2812" s="334"/>
      <c r="N2812" s="334"/>
      <c r="O2812" s="334"/>
    </row>
    <row r="2813" spans="1:15" ht="12.75" hidden="1" customHeight="1" outlineLevel="1" x14ac:dyDescent="0.2">
      <c r="A2813" s="623" t="s">
        <v>3762</v>
      </c>
      <c r="B2813" s="628" t="s">
        <v>1128</v>
      </c>
      <c r="C2813" s="625" t="s">
        <v>100</v>
      </c>
      <c r="D2813" s="626">
        <v>1.85</v>
      </c>
      <c r="E2813" s="622"/>
      <c r="F2813" s="334"/>
      <c r="G2813" s="334"/>
      <c r="H2813" s="602"/>
      <c r="I2813" s="334"/>
      <c r="J2813" s="334"/>
      <c r="K2813" s="334"/>
      <c r="L2813" s="334"/>
      <c r="M2813" s="334"/>
      <c r="N2813" s="334"/>
      <c r="O2813" s="334"/>
    </row>
    <row r="2814" spans="1:15" ht="12.75" hidden="1" customHeight="1" outlineLevel="1" x14ac:dyDescent="0.2">
      <c r="A2814" s="627" t="s">
        <v>3763</v>
      </c>
      <c r="B2814" s="624" t="s">
        <v>1130</v>
      </c>
      <c r="C2814" s="629" t="s">
        <v>100</v>
      </c>
      <c r="D2814" s="630">
        <v>1.85</v>
      </c>
      <c r="E2814" s="622"/>
      <c r="F2814" s="334"/>
      <c r="G2814" s="334"/>
      <c r="H2814" s="602"/>
      <c r="I2814" s="334"/>
      <c r="J2814" s="334"/>
      <c r="K2814" s="334"/>
      <c r="L2814" s="334"/>
      <c r="M2814" s="334"/>
      <c r="N2814" s="334"/>
      <c r="O2814" s="334"/>
    </row>
    <row r="2815" spans="1:15" ht="12.75" hidden="1" customHeight="1" outlineLevel="1" x14ac:dyDescent="0.2">
      <c r="A2815" s="623" t="s">
        <v>3764</v>
      </c>
      <c r="B2815" s="624" t="s">
        <v>1134</v>
      </c>
      <c r="C2815" s="625" t="s">
        <v>100</v>
      </c>
      <c r="D2815" s="626">
        <v>4.58</v>
      </c>
      <c r="E2815" s="622"/>
      <c r="F2815" s="334"/>
      <c r="G2815" s="334"/>
      <c r="H2815" s="602"/>
      <c r="I2815" s="334"/>
      <c r="J2815" s="334"/>
      <c r="K2815" s="334"/>
      <c r="L2815" s="334"/>
      <c r="M2815" s="334"/>
      <c r="N2815" s="334"/>
      <c r="O2815" s="334"/>
    </row>
    <row r="2816" spans="1:15" ht="12.75" hidden="1" customHeight="1" outlineLevel="1" x14ac:dyDescent="0.2">
      <c r="A2816" s="627" t="s">
        <v>3765</v>
      </c>
      <c r="B2816" s="628" t="s">
        <v>1128</v>
      </c>
      <c r="C2816" s="629" t="s">
        <v>100</v>
      </c>
      <c r="D2816" s="630">
        <v>4.58</v>
      </c>
      <c r="E2816" s="622"/>
      <c r="F2816" s="334"/>
      <c r="G2816" s="334"/>
      <c r="H2816" s="602"/>
      <c r="I2816" s="334"/>
      <c r="J2816" s="334"/>
      <c r="K2816" s="334"/>
      <c r="L2816" s="334"/>
      <c r="M2816" s="334"/>
      <c r="N2816" s="334"/>
      <c r="O2816" s="334"/>
    </row>
    <row r="2817" spans="1:15" ht="12.75" hidden="1" customHeight="1" outlineLevel="1" x14ac:dyDescent="0.2">
      <c r="A2817" s="623" t="s">
        <v>3766</v>
      </c>
      <c r="B2817" s="624" t="s">
        <v>1130</v>
      </c>
      <c r="C2817" s="625" t="s">
        <v>100</v>
      </c>
      <c r="D2817" s="626">
        <v>4.58</v>
      </c>
      <c r="E2817" s="622"/>
      <c r="F2817" s="334"/>
      <c r="G2817" s="334"/>
      <c r="H2817" s="602"/>
      <c r="I2817" s="334"/>
      <c r="J2817" s="334"/>
      <c r="K2817" s="334"/>
      <c r="L2817" s="334"/>
      <c r="M2817" s="334"/>
      <c r="N2817" s="334"/>
      <c r="O2817" s="334"/>
    </row>
    <row r="2818" spans="1:15" ht="12.75" hidden="1" customHeight="1" outlineLevel="1" x14ac:dyDescent="0.2">
      <c r="A2818" s="618" t="s">
        <v>3767</v>
      </c>
      <c r="B2818" s="619" t="s">
        <v>1137</v>
      </c>
      <c r="C2818" s="620"/>
      <c r="D2818" s="621"/>
      <c r="E2818" s="622"/>
      <c r="F2818" s="334"/>
      <c r="G2818" s="334"/>
      <c r="H2818" s="602"/>
      <c r="I2818" s="334"/>
      <c r="J2818" s="334"/>
      <c r="K2818" s="334"/>
      <c r="L2818" s="334"/>
      <c r="M2818" s="334"/>
      <c r="N2818" s="334"/>
      <c r="O2818" s="334"/>
    </row>
    <row r="2819" spans="1:15" ht="12.75" hidden="1" customHeight="1" outlineLevel="1" x14ac:dyDescent="0.2">
      <c r="A2819" s="627" t="s">
        <v>3768</v>
      </c>
      <c r="B2819" s="628" t="s">
        <v>1128</v>
      </c>
      <c r="C2819" s="629" t="s">
        <v>100</v>
      </c>
      <c r="D2819" s="630">
        <v>2.92</v>
      </c>
      <c r="E2819" s="622"/>
      <c r="F2819" s="334"/>
      <c r="G2819" s="334"/>
      <c r="H2819" s="602"/>
      <c r="I2819" s="334"/>
      <c r="J2819" s="334"/>
      <c r="K2819" s="334"/>
      <c r="L2819" s="334"/>
      <c r="M2819" s="334"/>
      <c r="N2819" s="334"/>
      <c r="O2819" s="334"/>
    </row>
    <row r="2820" spans="1:15" ht="12.75" hidden="1" customHeight="1" outlineLevel="1" x14ac:dyDescent="0.2">
      <c r="A2820" s="623" t="s">
        <v>3769</v>
      </c>
      <c r="B2820" s="624" t="s">
        <v>1130</v>
      </c>
      <c r="C2820" s="625" t="s">
        <v>100</v>
      </c>
      <c r="D2820" s="626">
        <v>2.92</v>
      </c>
      <c r="E2820" s="622"/>
      <c r="F2820" s="334"/>
      <c r="G2820" s="334"/>
      <c r="H2820" s="602"/>
      <c r="I2820" s="334"/>
      <c r="J2820" s="334"/>
      <c r="K2820" s="334"/>
      <c r="L2820" s="334"/>
      <c r="M2820" s="334"/>
      <c r="N2820" s="334"/>
      <c r="O2820" s="334"/>
    </row>
    <row r="2821" spans="1:15" ht="12.75" hidden="1" customHeight="1" outlineLevel="1" x14ac:dyDescent="0.2">
      <c r="A2821" s="627" t="s">
        <v>3770</v>
      </c>
      <c r="B2821" s="628" t="s">
        <v>1132</v>
      </c>
      <c r="C2821" s="629" t="s">
        <v>100</v>
      </c>
      <c r="D2821" s="630">
        <v>2.92</v>
      </c>
      <c r="E2821" s="622"/>
      <c r="F2821" s="334"/>
      <c r="G2821" s="334"/>
      <c r="H2821" s="602"/>
      <c r="I2821" s="334"/>
      <c r="J2821" s="334"/>
      <c r="K2821" s="334"/>
      <c r="L2821" s="334"/>
      <c r="M2821" s="334"/>
      <c r="N2821" s="334"/>
      <c r="O2821" s="334"/>
    </row>
    <row r="2822" spans="1:15" ht="12.75" hidden="1" customHeight="1" outlineLevel="1" x14ac:dyDescent="0.2">
      <c r="A2822" s="623" t="s">
        <v>3771</v>
      </c>
      <c r="B2822" s="628" t="s">
        <v>1128</v>
      </c>
      <c r="C2822" s="625" t="s">
        <v>100</v>
      </c>
      <c r="D2822" s="626">
        <v>7.9</v>
      </c>
      <c r="E2822" s="622"/>
      <c r="F2822" s="334"/>
      <c r="G2822" s="334"/>
      <c r="H2822" s="602"/>
      <c r="I2822" s="334"/>
      <c r="J2822" s="334"/>
      <c r="K2822" s="334"/>
      <c r="L2822" s="334"/>
      <c r="M2822" s="334"/>
      <c r="N2822" s="334"/>
      <c r="O2822" s="334"/>
    </row>
    <row r="2823" spans="1:15" ht="12.75" hidden="1" customHeight="1" outlineLevel="1" x14ac:dyDescent="0.2">
      <c r="A2823" s="627" t="s">
        <v>3772</v>
      </c>
      <c r="B2823" s="624" t="s">
        <v>1130</v>
      </c>
      <c r="C2823" s="629" t="s">
        <v>100</v>
      </c>
      <c r="D2823" s="630">
        <v>7.9</v>
      </c>
      <c r="E2823" s="622"/>
      <c r="F2823" s="334"/>
      <c r="G2823" s="334"/>
      <c r="H2823" s="602"/>
      <c r="I2823" s="334"/>
      <c r="J2823" s="334"/>
      <c r="K2823" s="334"/>
      <c r="L2823" s="334"/>
      <c r="M2823" s="334"/>
      <c r="N2823" s="334"/>
      <c r="O2823" s="334"/>
    </row>
    <row r="2824" spans="1:15" ht="12.75" hidden="1" customHeight="1" outlineLevel="1" x14ac:dyDescent="0.2">
      <c r="A2824" s="623" t="s">
        <v>3773</v>
      </c>
      <c r="B2824" s="628" t="s">
        <v>1132</v>
      </c>
      <c r="C2824" s="625" t="s">
        <v>100</v>
      </c>
      <c r="D2824" s="626">
        <v>7.9</v>
      </c>
      <c r="E2824" s="622"/>
      <c r="F2824" s="334"/>
      <c r="G2824" s="334"/>
      <c r="H2824" s="602"/>
      <c r="I2824" s="334"/>
      <c r="J2824" s="334"/>
      <c r="K2824" s="334"/>
      <c r="L2824" s="334"/>
      <c r="M2824" s="334"/>
      <c r="N2824" s="334"/>
      <c r="O2824" s="334"/>
    </row>
    <row r="2825" spans="1:15" ht="12.75" hidden="1" customHeight="1" outlineLevel="1" x14ac:dyDescent="0.2">
      <c r="A2825" s="627" t="s">
        <v>3774</v>
      </c>
      <c r="B2825" s="628" t="s">
        <v>1128</v>
      </c>
      <c r="C2825" s="629" t="s">
        <v>100</v>
      </c>
      <c r="D2825" s="630">
        <v>16.829999999999998</v>
      </c>
      <c r="E2825" s="622"/>
      <c r="F2825" s="334"/>
      <c r="G2825" s="334"/>
      <c r="H2825" s="602"/>
      <c r="I2825" s="334"/>
      <c r="J2825" s="334"/>
      <c r="K2825" s="334"/>
      <c r="L2825" s="334"/>
      <c r="M2825" s="334"/>
      <c r="N2825" s="334"/>
      <c r="O2825" s="334"/>
    </row>
    <row r="2826" spans="1:15" ht="12.75" hidden="1" customHeight="1" outlineLevel="1" x14ac:dyDescent="0.2">
      <c r="A2826" s="623" t="s">
        <v>3775</v>
      </c>
      <c r="B2826" s="624" t="s">
        <v>1130</v>
      </c>
      <c r="C2826" s="625" t="s">
        <v>100</v>
      </c>
      <c r="D2826" s="626">
        <v>16.829999999999998</v>
      </c>
      <c r="E2826" s="622"/>
      <c r="F2826" s="334"/>
      <c r="G2826" s="334"/>
      <c r="H2826" s="602"/>
      <c r="I2826" s="334"/>
      <c r="J2826" s="334"/>
      <c r="K2826" s="334"/>
      <c r="L2826" s="334"/>
      <c r="M2826" s="334"/>
      <c r="N2826" s="334"/>
      <c r="O2826" s="334"/>
    </row>
    <row r="2827" spans="1:15" ht="12.75" hidden="1" customHeight="1" outlineLevel="1" x14ac:dyDescent="0.2">
      <c r="A2827" s="627" t="s">
        <v>3776</v>
      </c>
      <c r="B2827" s="628" t="s">
        <v>1132</v>
      </c>
      <c r="C2827" s="629" t="s">
        <v>100</v>
      </c>
      <c r="D2827" s="630">
        <v>16.829999999999998</v>
      </c>
      <c r="E2827" s="622"/>
      <c r="F2827" s="334"/>
      <c r="G2827" s="334"/>
      <c r="H2827" s="602"/>
      <c r="I2827" s="334"/>
      <c r="J2827" s="334"/>
      <c r="K2827" s="334"/>
      <c r="L2827" s="334"/>
      <c r="M2827" s="334"/>
      <c r="N2827" s="334"/>
      <c r="O2827" s="334"/>
    </row>
    <row r="2828" spans="1:15" ht="12.75" hidden="1" customHeight="1" outlineLevel="1" x14ac:dyDescent="0.2">
      <c r="A2828" s="623" t="s">
        <v>3777</v>
      </c>
      <c r="B2828" s="628" t="s">
        <v>1128</v>
      </c>
      <c r="C2828" s="625" t="s">
        <v>100</v>
      </c>
      <c r="D2828" s="626">
        <v>7.64</v>
      </c>
      <c r="E2828" s="622"/>
      <c r="F2828" s="334"/>
      <c r="G2828" s="334"/>
      <c r="H2828" s="602"/>
      <c r="I2828" s="334"/>
      <c r="J2828" s="334"/>
      <c r="K2828" s="334"/>
      <c r="L2828" s="334"/>
      <c r="M2828" s="334"/>
      <c r="N2828" s="334"/>
      <c r="O2828" s="334"/>
    </row>
    <row r="2829" spans="1:15" ht="12.75" hidden="1" customHeight="1" outlineLevel="1" x14ac:dyDescent="0.2">
      <c r="A2829" s="627" t="s">
        <v>3778</v>
      </c>
      <c r="B2829" s="624" t="s">
        <v>1130</v>
      </c>
      <c r="C2829" s="629" t="s">
        <v>100</v>
      </c>
      <c r="D2829" s="630">
        <v>7.64</v>
      </c>
      <c r="E2829" s="622"/>
      <c r="F2829" s="334"/>
      <c r="G2829" s="334"/>
      <c r="H2829" s="602"/>
      <c r="I2829" s="334"/>
      <c r="J2829" s="334"/>
      <c r="K2829" s="334"/>
      <c r="L2829" s="334"/>
      <c r="M2829" s="334"/>
      <c r="N2829" s="334"/>
      <c r="O2829" s="334"/>
    </row>
    <row r="2830" spans="1:15" ht="12.75" hidden="1" customHeight="1" outlineLevel="1" x14ac:dyDescent="0.2">
      <c r="A2830" s="623" t="s">
        <v>3779</v>
      </c>
      <c r="B2830" s="628" t="s">
        <v>1132</v>
      </c>
      <c r="C2830" s="625" t="s">
        <v>100</v>
      </c>
      <c r="D2830" s="626">
        <v>7.64</v>
      </c>
      <c r="E2830" s="622"/>
      <c r="F2830" s="334"/>
      <c r="G2830" s="334"/>
      <c r="H2830" s="602"/>
      <c r="I2830" s="334"/>
      <c r="J2830" s="334"/>
      <c r="K2830" s="334"/>
      <c r="L2830" s="334"/>
      <c r="M2830" s="334"/>
      <c r="N2830" s="334"/>
      <c r="O2830" s="334"/>
    </row>
    <row r="2831" spans="1:15" ht="12.75" hidden="1" customHeight="1" outlineLevel="1" x14ac:dyDescent="0.2">
      <c r="A2831" s="618" t="s">
        <v>3780</v>
      </c>
      <c r="B2831" s="619" t="s">
        <v>1140</v>
      </c>
      <c r="C2831" s="620"/>
      <c r="D2831" s="621"/>
      <c r="E2831" s="622"/>
      <c r="F2831" s="334"/>
      <c r="G2831" s="334"/>
      <c r="H2831" s="602"/>
      <c r="I2831" s="334"/>
      <c r="J2831" s="334"/>
      <c r="K2831" s="334"/>
      <c r="L2831" s="334"/>
      <c r="M2831" s="334"/>
      <c r="N2831" s="334"/>
      <c r="O2831" s="334"/>
    </row>
    <row r="2832" spans="1:15" ht="12.75" hidden="1" customHeight="1" outlineLevel="1" x14ac:dyDescent="0.2">
      <c r="A2832" s="627" t="s">
        <v>3781</v>
      </c>
      <c r="B2832" s="628" t="s">
        <v>1128</v>
      </c>
      <c r="C2832" s="629" t="s">
        <v>100</v>
      </c>
      <c r="D2832" s="630">
        <v>26.61</v>
      </c>
      <c r="E2832" s="622"/>
      <c r="F2832" s="334"/>
      <c r="G2832" s="334"/>
      <c r="H2832" s="602"/>
      <c r="I2832" s="334"/>
      <c r="J2832" s="334"/>
      <c r="K2832" s="334"/>
      <c r="L2832" s="334"/>
      <c r="M2832" s="334"/>
      <c r="N2832" s="334"/>
      <c r="O2832" s="334"/>
    </row>
    <row r="2833" spans="1:15" ht="12.75" hidden="1" customHeight="1" outlineLevel="1" x14ac:dyDescent="0.2">
      <c r="A2833" s="623" t="s">
        <v>3782</v>
      </c>
      <c r="B2833" s="624" t="s">
        <v>1130</v>
      </c>
      <c r="C2833" s="625" t="s">
        <v>100</v>
      </c>
      <c r="D2833" s="626">
        <v>26.61</v>
      </c>
      <c r="E2833" s="622"/>
      <c r="F2833" s="334"/>
      <c r="G2833" s="334"/>
      <c r="H2833" s="602"/>
      <c r="I2833" s="334"/>
      <c r="J2833" s="334"/>
      <c r="K2833" s="334"/>
      <c r="L2833" s="334"/>
      <c r="M2833" s="334"/>
      <c r="N2833" s="334"/>
      <c r="O2833" s="334"/>
    </row>
    <row r="2834" spans="1:15" ht="12.75" hidden="1" customHeight="1" outlineLevel="1" x14ac:dyDescent="0.2">
      <c r="A2834" s="627" t="s">
        <v>3783</v>
      </c>
      <c r="B2834" s="628" t="s">
        <v>1132</v>
      </c>
      <c r="C2834" s="629" t="s">
        <v>100</v>
      </c>
      <c r="D2834" s="630">
        <v>26.61</v>
      </c>
      <c r="E2834" s="622"/>
      <c r="F2834" s="334"/>
      <c r="G2834" s="334"/>
      <c r="H2834" s="602"/>
      <c r="I2834" s="334"/>
      <c r="J2834" s="334"/>
      <c r="K2834" s="334"/>
      <c r="L2834" s="334"/>
      <c r="M2834" s="334"/>
      <c r="N2834" s="334"/>
      <c r="O2834" s="334"/>
    </row>
    <row r="2835" spans="1:15" ht="12.75" hidden="1" customHeight="1" outlineLevel="1" x14ac:dyDescent="0.2">
      <c r="A2835" s="618" t="s">
        <v>3784</v>
      </c>
      <c r="B2835" s="619" t="s">
        <v>1462</v>
      </c>
      <c r="C2835" s="620"/>
      <c r="D2835" s="621"/>
      <c r="E2835" s="622"/>
      <c r="F2835" s="334"/>
      <c r="G2835" s="334"/>
      <c r="H2835" s="602"/>
      <c r="I2835" s="334"/>
      <c r="J2835" s="334"/>
      <c r="K2835" s="334"/>
      <c r="L2835" s="334"/>
      <c r="M2835" s="334"/>
      <c r="N2835" s="334"/>
      <c r="O2835" s="334"/>
    </row>
    <row r="2836" spans="1:15" ht="12.75" hidden="1" customHeight="1" outlineLevel="1" x14ac:dyDescent="0.2">
      <c r="A2836" s="623" t="s">
        <v>3785</v>
      </c>
      <c r="B2836" s="628" t="s">
        <v>1128</v>
      </c>
      <c r="C2836" s="625" t="s">
        <v>100</v>
      </c>
      <c r="D2836" s="626">
        <v>24.46</v>
      </c>
      <c r="E2836" s="622"/>
      <c r="F2836" s="334"/>
      <c r="G2836" s="334"/>
      <c r="H2836" s="602"/>
      <c r="I2836" s="334"/>
      <c r="J2836" s="334"/>
      <c r="K2836" s="334"/>
      <c r="L2836" s="334"/>
      <c r="M2836" s="334"/>
      <c r="N2836" s="334"/>
      <c r="O2836" s="334"/>
    </row>
    <row r="2837" spans="1:15" ht="12.75" hidden="1" customHeight="1" outlineLevel="1" x14ac:dyDescent="0.2">
      <c r="A2837" s="627" t="s">
        <v>3786</v>
      </c>
      <c r="B2837" s="624" t="s">
        <v>1130</v>
      </c>
      <c r="C2837" s="629" t="s">
        <v>100</v>
      </c>
      <c r="D2837" s="630">
        <v>24.46</v>
      </c>
      <c r="E2837" s="622"/>
      <c r="F2837" s="334"/>
      <c r="G2837" s="334"/>
      <c r="H2837" s="602"/>
      <c r="I2837" s="334"/>
      <c r="J2837" s="334"/>
      <c r="K2837" s="334"/>
      <c r="L2837" s="334"/>
      <c r="M2837" s="334"/>
      <c r="N2837" s="334"/>
      <c r="O2837" s="334"/>
    </row>
    <row r="2838" spans="1:15" ht="12.75" hidden="1" customHeight="1" outlineLevel="1" x14ac:dyDescent="0.2">
      <c r="A2838" s="623" t="s">
        <v>3787</v>
      </c>
      <c r="B2838" s="628" t="s">
        <v>1132</v>
      </c>
      <c r="C2838" s="625" t="s">
        <v>100</v>
      </c>
      <c r="D2838" s="626">
        <v>24.46</v>
      </c>
      <c r="E2838" s="622"/>
      <c r="F2838" s="334"/>
      <c r="G2838" s="334"/>
      <c r="H2838" s="602"/>
      <c r="I2838" s="334"/>
      <c r="J2838" s="334"/>
      <c r="K2838" s="334"/>
      <c r="L2838" s="334"/>
      <c r="M2838" s="334"/>
      <c r="N2838" s="334"/>
      <c r="O2838" s="334"/>
    </row>
    <row r="2839" spans="1:15" ht="12.75" customHeight="1" collapsed="1" x14ac:dyDescent="0.2">
      <c r="A2839" s="614" t="s">
        <v>3788</v>
      </c>
      <c r="B2839" s="615" t="s">
        <v>3789</v>
      </c>
      <c r="C2839" s="616"/>
      <c r="D2839" s="617"/>
      <c r="E2839" s="622"/>
      <c r="F2839" s="334"/>
      <c r="G2839" s="334"/>
      <c r="H2839" s="602"/>
      <c r="I2839" s="334"/>
      <c r="J2839" s="334"/>
      <c r="K2839" s="334"/>
      <c r="L2839" s="334"/>
      <c r="M2839" s="334"/>
      <c r="N2839" s="334"/>
      <c r="O2839" s="334"/>
    </row>
    <row r="2840" spans="1:15" ht="12.75" hidden="1" customHeight="1" outlineLevel="1" x14ac:dyDescent="0.2">
      <c r="A2840" s="618" t="s">
        <v>3790</v>
      </c>
      <c r="B2840" s="619" t="s">
        <v>1009</v>
      </c>
      <c r="C2840" s="620"/>
      <c r="D2840" s="621"/>
      <c r="E2840" s="622"/>
      <c r="F2840" s="334"/>
      <c r="G2840" s="334"/>
      <c r="H2840" s="602"/>
      <c r="I2840" s="334"/>
      <c r="J2840" s="334"/>
      <c r="K2840" s="334"/>
      <c r="L2840" s="334"/>
      <c r="M2840" s="334"/>
      <c r="N2840" s="334"/>
      <c r="O2840" s="334"/>
    </row>
    <row r="2841" spans="1:15" ht="12.75" hidden="1" customHeight="1" outlineLevel="1" x14ac:dyDescent="0.2">
      <c r="A2841" s="627" t="s">
        <v>3791</v>
      </c>
      <c r="B2841" s="628" t="s">
        <v>1337</v>
      </c>
      <c r="C2841" s="629" t="s">
        <v>100</v>
      </c>
      <c r="D2841" s="630">
        <v>14.24</v>
      </c>
      <c r="E2841" s="622"/>
      <c r="F2841" s="334"/>
      <c r="G2841" s="334"/>
      <c r="H2841" s="602"/>
      <c r="I2841" s="334"/>
      <c r="J2841" s="334"/>
      <c r="K2841" s="334"/>
      <c r="L2841" s="334"/>
      <c r="M2841" s="334"/>
      <c r="N2841" s="334"/>
      <c r="O2841" s="334"/>
    </row>
    <row r="2842" spans="1:15" ht="12.75" hidden="1" customHeight="1" outlineLevel="1" x14ac:dyDescent="0.2">
      <c r="A2842" s="623" t="s">
        <v>3792</v>
      </c>
      <c r="B2842" s="624" t="s">
        <v>1339</v>
      </c>
      <c r="C2842" s="625" t="s">
        <v>100</v>
      </c>
      <c r="D2842" s="626">
        <v>80.02</v>
      </c>
      <c r="E2842" s="622"/>
      <c r="F2842" s="334"/>
      <c r="G2842" s="334"/>
      <c r="H2842" s="602"/>
      <c r="I2842" s="334"/>
      <c r="J2842" s="334"/>
      <c r="K2842" s="334"/>
      <c r="L2842" s="334"/>
      <c r="M2842" s="334"/>
      <c r="N2842" s="334"/>
      <c r="O2842" s="334"/>
    </row>
    <row r="2843" spans="1:15" ht="12.75" hidden="1" customHeight="1" outlineLevel="1" x14ac:dyDescent="0.2">
      <c r="A2843" s="627" t="s">
        <v>3793</v>
      </c>
      <c r="B2843" s="628" t="s">
        <v>1337</v>
      </c>
      <c r="C2843" s="629" t="s">
        <v>100</v>
      </c>
      <c r="D2843" s="630">
        <v>20.7</v>
      </c>
      <c r="E2843" s="622"/>
      <c r="F2843" s="334"/>
      <c r="G2843" s="334"/>
      <c r="H2843" s="602"/>
      <c r="I2843" s="334"/>
      <c r="J2843" s="334"/>
      <c r="K2843" s="334"/>
      <c r="L2843" s="334"/>
      <c r="M2843" s="334"/>
      <c r="N2843" s="334"/>
      <c r="O2843" s="334"/>
    </row>
    <row r="2844" spans="1:15" ht="12.75" hidden="1" customHeight="1" outlineLevel="1" x14ac:dyDescent="0.2">
      <c r="A2844" s="623" t="s">
        <v>3794</v>
      </c>
      <c r="B2844" s="624" t="s">
        <v>1339</v>
      </c>
      <c r="C2844" s="625" t="s">
        <v>100</v>
      </c>
      <c r="D2844" s="626">
        <v>1.85</v>
      </c>
      <c r="E2844" s="622"/>
      <c r="F2844" s="334"/>
      <c r="G2844" s="334"/>
      <c r="H2844" s="602"/>
      <c r="I2844" s="334"/>
      <c r="J2844" s="334"/>
      <c r="K2844" s="334"/>
      <c r="L2844" s="334"/>
      <c r="M2844" s="334"/>
      <c r="N2844" s="334"/>
      <c r="O2844" s="334"/>
    </row>
    <row r="2845" spans="1:15" ht="12.75" hidden="1" customHeight="1" outlineLevel="1" x14ac:dyDescent="0.2">
      <c r="A2845" s="627" t="s">
        <v>3795</v>
      </c>
      <c r="B2845" s="624" t="s">
        <v>1339</v>
      </c>
      <c r="C2845" s="629" t="s">
        <v>100</v>
      </c>
      <c r="D2845" s="630">
        <v>51.79</v>
      </c>
      <c r="E2845" s="622"/>
      <c r="F2845" s="334"/>
      <c r="G2845" s="334"/>
      <c r="H2845" s="602"/>
      <c r="I2845" s="334"/>
      <c r="J2845" s="334"/>
      <c r="K2845" s="334"/>
      <c r="L2845" s="334"/>
      <c r="M2845" s="334"/>
      <c r="N2845" s="334"/>
      <c r="O2845" s="334"/>
    </row>
    <row r="2846" spans="1:15" ht="12.75" hidden="1" customHeight="1" outlineLevel="1" x14ac:dyDescent="0.2">
      <c r="A2846" s="623" t="s">
        <v>3796</v>
      </c>
      <c r="B2846" s="628" t="s">
        <v>1337</v>
      </c>
      <c r="C2846" s="625" t="s">
        <v>100</v>
      </c>
      <c r="D2846" s="626">
        <v>22</v>
      </c>
      <c r="E2846" s="622"/>
      <c r="F2846" s="334"/>
      <c r="G2846" s="334"/>
      <c r="H2846" s="602"/>
      <c r="I2846" s="334"/>
      <c r="J2846" s="334"/>
      <c r="K2846" s="334"/>
      <c r="L2846" s="334"/>
      <c r="M2846" s="334"/>
      <c r="N2846" s="334"/>
      <c r="O2846" s="334"/>
    </row>
    <row r="2847" spans="1:15" ht="12.75" hidden="1" customHeight="1" outlineLevel="1" x14ac:dyDescent="0.2">
      <c r="A2847" s="627" t="s">
        <v>3797</v>
      </c>
      <c r="B2847" s="624" t="s">
        <v>1339</v>
      </c>
      <c r="C2847" s="629" t="s">
        <v>100</v>
      </c>
      <c r="D2847" s="630">
        <v>70.72</v>
      </c>
      <c r="E2847" s="622"/>
      <c r="F2847" s="334"/>
      <c r="G2847" s="334"/>
      <c r="H2847" s="602"/>
      <c r="I2847" s="334"/>
      <c r="J2847" s="334"/>
      <c r="K2847" s="334"/>
      <c r="L2847" s="334"/>
      <c r="M2847" s="334"/>
      <c r="N2847" s="334"/>
      <c r="O2847" s="334"/>
    </row>
    <row r="2848" spans="1:15" ht="12.75" hidden="1" customHeight="1" outlineLevel="1" x14ac:dyDescent="0.2">
      <c r="A2848" s="623" t="s">
        <v>3798</v>
      </c>
      <c r="B2848" s="624" t="s">
        <v>1337</v>
      </c>
      <c r="C2848" s="625" t="s">
        <v>100</v>
      </c>
      <c r="D2848" s="626">
        <v>8.01</v>
      </c>
      <c r="E2848" s="622"/>
      <c r="F2848" s="334"/>
      <c r="G2848" s="334"/>
      <c r="H2848" s="602"/>
      <c r="I2848" s="334"/>
      <c r="J2848" s="334"/>
      <c r="K2848" s="334"/>
      <c r="L2848" s="334"/>
      <c r="M2848" s="334"/>
      <c r="N2848" s="334"/>
      <c r="O2848" s="334"/>
    </row>
    <row r="2849" spans="1:15" ht="12.75" hidden="1" customHeight="1" outlineLevel="1" x14ac:dyDescent="0.2">
      <c r="A2849" s="618" t="s">
        <v>3799</v>
      </c>
      <c r="B2849" s="619" t="s">
        <v>1017</v>
      </c>
      <c r="C2849" s="620"/>
      <c r="D2849" s="621"/>
      <c r="E2849" s="622"/>
      <c r="F2849" s="334"/>
      <c r="G2849" s="334"/>
      <c r="H2849" s="602"/>
      <c r="I2849" s="334"/>
      <c r="J2849" s="334"/>
      <c r="K2849" s="334"/>
      <c r="L2849" s="334"/>
      <c r="M2849" s="334"/>
      <c r="N2849" s="334"/>
      <c r="O2849" s="334"/>
    </row>
    <row r="2850" spans="1:15" ht="12.75" hidden="1" customHeight="1" outlineLevel="1" x14ac:dyDescent="0.2">
      <c r="A2850" s="627" t="s">
        <v>3800</v>
      </c>
      <c r="B2850" s="628" t="s">
        <v>1337</v>
      </c>
      <c r="C2850" s="629" t="s">
        <v>100</v>
      </c>
      <c r="D2850" s="630">
        <v>32.76</v>
      </c>
      <c r="E2850" s="622"/>
      <c r="F2850" s="334"/>
      <c r="G2850" s="334"/>
      <c r="H2850" s="602"/>
      <c r="I2850" s="334"/>
      <c r="J2850" s="334"/>
      <c r="K2850" s="334"/>
      <c r="L2850" s="334"/>
      <c r="M2850" s="334"/>
      <c r="N2850" s="334"/>
      <c r="O2850" s="334"/>
    </row>
    <row r="2851" spans="1:15" ht="12.75" hidden="1" customHeight="1" outlineLevel="1" x14ac:dyDescent="0.2">
      <c r="A2851" s="623" t="s">
        <v>3801</v>
      </c>
      <c r="B2851" s="624" t="s">
        <v>1337</v>
      </c>
      <c r="C2851" s="625" t="s">
        <v>100</v>
      </c>
      <c r="D2851" s="626">
        <v>58.27</v>
      </c>
      <c r="E2851" s="622"/>
      <c r="F2851" s="334"/>
      <c r="G2851" s="334"/>
      <c r="H2851" s="602"/>
      <c r="I2851" s="334"/>
      <c r="J2851" s="334"/>
      <c r="K2851" s="334"/>
      <c r="L2851" s="334"/>
      <c r="M2851" s="334"/>
      <c r="N2851" s="334"/>
      <c r="O2851" s="334"/>
    </row>
    <row r="2852" spans="1:15" ht="12.75" hidden="1" customHeight="1" outlineLevel="1" x14ac:dyDescent="0.2">
      <c r="A2852" s="627" t="s">
        <v>3802</v>
      </c>
      <c r="B2852" s="624" t="s">
        <v>1339</v>
      </c>
      <c r="C2852" s="629" t="s">
        <v>100</v>
      </c>
      <c r="D2852" s="630">
        <v>56.24</v>
      </c>
      <c r="E2852" s="622"/>
      <c r="F2852" s="334"/>
      <c r="G2852" s="334"/>
      <c r="H2852" s="602"/>
      <c r="I2852" s="334"/>
      <c r="J2852" s="334"/>
      <c r="K2852" s="334"/>
      <c r="L2852" s="334"/>
      <c r="M2852" s="334"/>
      <c r="N2852" s="334"/>
      <c r="O2852" s="334"/>
    </row>
    <row r="2853" spans="1:15" ht="12.75" hidden="1" customHeight="1" outlineLevel="1" x14ac:dyDescent="0.2">
      <c r="A2853" s="623" t="s">
        <v>3803</v>
      </c>
      <c r="B2853" s="624" t="s">
        <v>1337</v>
      </c>
      <c r="C2853" s="625" t="s">
        <v>100</v>
      </c>
      <c r="D2853" s="626">
        <v>23.99</v>
      </c>
      <c r="E2853" s="622"/>
      <c r="F2853" s="334"/>
      <c r="G2853" s="334"/>
      <c r="H2853" s="602"/>
      <c r="I2853" s="334"/>
      <c r="J2853" s="334"/>
      <c r="K2853" s="334"/>
      <c r="L2853" s="334"/>
      <c r="M2853" s="334"/>
      <c r="N2853" s="334"/>
      <c r="O2853" s="334"/>
    </row>
    <row r="2854" spans="1:15" ht="12.75" hidden="1" customHeight="1" outlineLevel="1" x14ac:dyDescent="0.2">
      <c r="A2854" s="627" t="s">
        <v>3804</v>
      </c>
      <c r="B2854" s="624" t="s">
        <v>1339</v>
      </c>
      <c r="C2854" s="629" t="s">
        <v>100</v>
      </c>
      <c r="D2854" s="630">
        <v>67.260000000000005</v>
      </c>
      <c r="E2854" s="622"/>
      <c r="F2854" s="334"/>
      <c r="G2854" s="334"/>
      <c r="H2854" s="602"/>
      <c r="I2854" s="334"/>
      <c r="J2854" s="334"/>
      <c r="K2854" s="334"/>
      <c r="L2854" s="334"/>
      <c r="M2854" s="334"/>
      <c r="N2854" s="334"/>
      <c r="O2854" s="334"/>
    </row>
    <row r="2855" spans="1:15" ht="12.75" hidden="1" customHeight="1" outlineLevel="1" x14ac:dyDescent="0.2">
      <c r="A2855" s="623" t="s">
        <v>3805</v>
      </c>
      <c r="B2855" s="624" t="s">
        <v>1337</v>
      </c>
      <c r="C2855" s="625" t="s">
        <v>100</v>
      </c>
      <c r="D2855" s="626">
        <v>23</v>
      </c>
      <c r="E2855" s="622"/>
      <c r="F2855" s="334"/>
      <c r="G2855" s="334"/>
      <c r="H2855" s="602"/>
      <c r="I2855" s="334"/>
      <c r="J2855" s="334"/>
      <c r="K2855" s="334"/>
      <c r="L2855" s="334"/>
      <c r="M2855" s="334"/>
      <c r="N2855" s="334"/>
      <c r="O2855" s="334"/>
    </row>
    <row r="2856" spans="1:15" ht="12.75" hidden="1" customHeight="1" outlineLevel="1" x14ac:dyDescent="0.2">
      <c r="A2856" s="627" t="s">
        <v>3806</v>
      </c>
      <c r="B2856" s="624" t="s">
        <v>1339</v>
      </c>
      <c r="C2856" s="629" t="s">
        <v>100</v>
      </c>
      <c r="D2856" s="630">
        <v>102.77</v>
      </c>
      <c r="E2856" s="622"/>
      <c r="F2856" s="334"/>
      <c r="G2856" s="334"/>
      <c r="H2856" s="602"/>
      <c r="I2856" s="334"/>
      <c r="J2856" s="334"/>
      <c r="K2856" s="334"/>
      <c r="L2856" s="334"/>
      <c r="M2856" s="334"/>
      <c r="N2856" s="334"/>
      <c r="O2856" s="334"/>
    </row>
    <row r="2857" spans="1:15" ht="12.75" hidden="1" customHeight="1" outlineLevel="1" x14ac:dyDescent="0.2">
      <c r="A2857" s="623" t="s">
        <v>3807</v>
      </c>
      <c r="B2857" s="624" t="s">
        <v>1337</v>
      </c>
      <c r="C2857" s="625" t="s">
        <v>100</v>
      </c>
      <c r="D2857" s="626">
        <v>49.51</v>
      </c>
      <c r="E2857" s="622"/>
      <c r="F2857" s="334"/>
      <c r="G2857" s="334"/>
      <c r="H2857" s="602"/>
      <c r="I2857" s="334"/>
      <c r="J2857" s="334"/>
      <c r="K2857" s="334"/>
      <c r="L2857" s="334"/>
      <c r="M2857" s="334"/>
      <c r="N2857" s="334"/>
      <c r="O2857" s="334"/>
    </row>
    <row r="2858" spans="1:15" ht="12.75" hidden="1" customHeight="1" outlineLevel="1" x14ac:dyDescent="0.2">
      <c r="A2858" s="618" t="s">
        <v>3808</v>
      </c>
      <c r="B2858" s="619" t="s">
        <v>1021</v>
      </c>
      <c r="C2858" s="620"/>
      <c r="D2858" s="621"/>
      <c r="E2858" s="622"/>
      <c r="F2858" s="334"/>
      <c r="G2858" s="334"/>
      <c r="H2858" s="602"/>
      <c r="I2858" s="334"/>
      <c r="J2858" s="334"/>
      <c r="K2858" s="334"/>
      <c r="L2858" s="334"/>
      <c r="M2858" s="334"/>
      <c r="N2858" s="334"/>
      <c r="O2858" s="334"/>
    </row>
    <row r="2859" spans="1:15" ht="12.75" hidden="1" customHeight="1" outlineLevel="1" x14ac:dyDescent="0.2">
      <c r="A2859" s="627" t="s">
        <v>3809</v>
      </c>
      <c r="B2859" s="628" t="s">
        <v>1339</v>
      </c>
      <c r="C2859" s="629" t="s">
        <v>100</v>
      </c>
      <c r="D2859" s="630">
        <v>17.399999999999999</v>
      </c>
      <c r="E2859" s="622"/>
      <c r="F2859" s="334"/>
      <c r="G2859" s="334"/>
      <c r="H2859" s="602"/>
      <c r="I2859" s="334"/>
      <c r="J2859" s="334"/>
      <c r="K2859" s="334"/>
      <c r="L2859" s="334"/>
      <c r="M2859" s="334"/>
      <c r="N2859" s="334"/>
      <c r="O2859" s="334"/>
    </row>
    <row r="2860" spans="1:15" ht="12.75" hidden="1" customHeight="1" outlineLevel="1" x14ac:dyDescent="0.2">
      <c r="A2860" s="623" t="s">
        <v>3810</v>
      </c>
      <c r="B2860" s="624" t="s">
        <v>1337</v>
      </c>
      <c r="C2860" s="625" t="s">
        <v>100</v>
      </c>
      <c r="D2860" s="626">
        <v>44.5</v>
      </c>
      <c r="E2860" s="622"/>
      <c r="F2860" s="334"/>
      <c r="G2860" s="334"/>
      <c r="H2860" s="602"/>
      <c r="I2860" s="334"/>
      <c r="J2860" s="334"/>
      <c r="K2860" s="334"/>
      <c r="L2860" s="334"/>
      <c r="M2860" s="334"/>
      <c r="N2860" s="334"/>
      <c r="O2860" s="334"/>
    </row>
    <row r="2861" spans="1:15" ht="12.75" hidden="1" customHeight="1" outlineLevel="1" x14ac:dyDescent="0.2">
      <c r="A2861" s="627" t="s">
        <v>3811</v>
      </c>
      <c r="B2861" s="628" t="s">
        <v>1339</v>
      </c>
      <c r="C2861" s="629" t="s">
        <v>100</v>
      </c>
      <c r="D2861" s="630">
        <v>40.54</v>
      </c>
      <c r="E2861" s="622"/>
      <c r="F2861" s="334"/>
      <c r="G2861" s="334"/>
      <c r="H2861" s="602"/>
      <c r="I2861" s="334"/>
      <c r="J2861" s="334"/>
      <c r="K2861" s="334"/>
      <c r="L2861" s="334"/>
      <c r="M2861" s="334"/>
      <c r="N2861" s="334"/>
      <c r="O2861" s="334"/>
    </row>
    <row r="2862" spans="1:15" ht="12.75" hidden="1" customHeight="1" outlineLevel="1" x14ac:dyDescent="0.2">
      <c r="A2862" s="623" t="s">
        <v>3812</v>
      </c>
      <c r="B2862" s="624" t="s">
        <v>1337</v>
      </c>
      <c r="C2862" s="625" t="s">
        <v>100</v>
      </c>
      <c r="D2862" s="626">
        <v>13.02</v>
      </c>
      <c r="E2862" s="622"/>
      <c r="F2862" s="334"/>
      <c r="G2862" s="334"/>
      <c r="H2862" s="602"/>
      <c r="I2862" s="334"/>
      <c r="J2862" s="334"/>
      <c r="K2862" s="334"/>
      <c r="L2862" s="334"/>
      <c r="M2862" s="334"/>
      <c r="N2862" s="334"/>
      <c r="O2862" s="334"/>
    </row>
    <row r="2863" spans="1:15" ht="12.75" hidden="1" customHeight="1" outlineLevel="1" x14ac:dyDescent="0.2">
      <c r="A2863" s="627" t="s">
        <v>3813</v>
      </c>
      <c r="B2863" s="628" t="s">
        <v>1339</v>
      </c>
      <c r="C2863" s="629" t="s">
        <v>100</v>
      </c>
      <c r="D2863" s="630">
        <v>38.42</v>
      </c>
      <c r="E2863" s="622"/>
      <c r="F2863" s="334"/>
      <c r="G2863" s="334"/>
      <c r="H2863" s="602"/>
      <c r="I2863" s="334"/>
      <c r="J2863" s="334"/>
      <c r="K2863" s="334"/>
      <c r="L2863" s="334"/>
      <c r="M2863" s="334"/>
      <c r="N2863" s="334"/>
      <c r="O2863" s="334"/>
    </row>
    <row r="2864" spans="1:15" ht="12.75" hidden="1" customHeight="1" outlineLevel="1" x14ac:dyDescent="0.2">
      <c r="A2864" s="623" t="s">
        <v>3814</v>
      </c>
      <c r="B2864" s="624" t="s">
        <v>1337</v>
      </c>
      <c r="C2864" s="625" t="s">
        <v>100</v>
      </c>
      <c r="D2864" s="626">
        <v>1.3</v>
      </c>
      <c r="E2864" s="622"/>
      <c r="F2864" s="334"/>
      <c r="G2864" s="334"/>
      <c r="H2864" s="602"/>
      <c r="I2864" s="334"/>
      <c r="J2864" s="334"/>
      <c r="K2864" s="334"/>
      <c r="L2864" s="334"/>
      <c r="M2864" s="334"/>
      <c r="N2864" s="334"/>
      <c r="O2864" s="334"/>
    </row>
    <row r="2865" spans="1:15" ht="12.75" hidden="1" customHeight="1" outlineLevel="1" x14ac:dyDescent="0.2">
      <c r="A2865" s="627" t="s">
        <v>3815</v>
      </c>
      <c r="B2865" s="628" t="s">
        <v>1339</v>
      </c>
      <c r="C2865" s="629" t="s">
        <v>100</v>
      </c>
      <c r="D2865" s="630">
        <v>36.200000000000003</v>
      </c>
      <c r="E2865" s="622"/>
      <c r="F2865" s="334"/>
      <c r="G2865" s="334"/>
      <c r="H2865" s="602"/>
      <c r="I2865" s="334"/>
      <c r="J2865" s="334"/>
      <c r="K2865" s="334"/>
      <c r="L2865" s="334"/>
      <c r="M2865" s="334"/>
      <c r="N2865" s="334"/>
      <c r="O2865" s="334"/>
    </row>
    <row r="2866" spans="1:15" ht="12.75" hidden="1" customHeight="1" outlineLevel="1" x14ac:dyDescent="0.2">
      <c r="A2866" s="623" t="s">
        <v>3816</v>
      </c>
      <c r="B2866" s="624" t="s">
        <v>1337</v>
      </c>
      <c r="C2866" s="625" t="s">
        <v>100</v>
      </c>
      <c r="D2866" s="626">
        <v>4.0999999999999996</v>
      </c>
      <c r="E2866" s="622"/>
      <c r="F2866" s="334"/>
      <c r="G2866" s="334"/>
      <c r="H2866" s="602"/>
      <c r="I2866" s="334"/>
      <c r="J2866" s="334"/>
      <c r="K2866" s="334"/>
      <c r="L2866" s="334"/>
      <c r="M2866" s="334"/>
      <c r="N2866" s="334"/>
      <c r="O2866" s="334"/>
    </row>
    <row r="2867" spans="1:15" ht="12.75" hidden="1" customHeight="1" outlineLevel="1" x14ac:dyDescent="0.2">
      <c r="A2867" s="627" t="s">
        <v>3817</v>
      </c>
      <c r="B2867" s="628" t="s">
        <v>1339</v>
      </c>
      <c r="C2867" s="629" t="s">
        <v>100</v>
      </c>
      <c r="D2867" s="630">
        <v>120.02</v>
      </c>
      <c r="E2867" s="622"/>
      <c r="F2867" s="334"/>
      <c r="G2867" s="334"/>
      <c r="H2867" s="602"/>
      <c r="I2867" s="334"/>
      <c r="J2867" s="334"/>
      <c r="K2867" s="334"/>
      <c r="L2867" s="334"/>
      <c r="M2867" s="334"/>
      <c r="N2867" s="334"/>
      <c r="O2867" s="334"/>
    </row>
    <row r="2868" spans="1:15" ht="12.75" hidden="1" customHeight="1" outlineLevel="1" x14ac:dyDescent="0.2">
      <c r="A2868" s="623" t="s">
        <v>3818</v>
      </c>
      <c r="B2868" s="624" t="s">
        <v>1337</v>
      </c>
      <c r="C2868" s="625" t="s">
        <v>100</v>
      </c>
      <c r="D2868" s="626">
        <v>15.1</v>
      </c>
      <c r="E2868" s="622"/>
      <c r="F2868" s="334"/>
      <c r="G2868" s="334"/>
      <c r="H2868" s="602"/>
      <c r="I2868" s="334"/>
      <c r="J2868" s="334"/>
      <c r="K2868" s="334"/>
      <c r="L2868" s="334"/>
      <c r="M2868" s="334"/>
      <c r="N2868" s="334"/>
      <c r="O2868" s="334"/>
    </row>
    <row r="2869" spans="1:15" ht="12.75" hidden="1" customHeight="1" outlineLevel="1" x14ac:dyDescent="0.2">
      <c r="A2869" s="618" t="s">
        <v>3819</v>
      </c>
      <c r="B2869" s="619" t="s">
        <v>1030</v>
      </c>
      <c r="C2869" s="620"/>
      <c r="D2869" s="621"/>
      <c r="E2869" s="622"/>
      <c r="F2869" s="334"/>
      <c r="G2869" s="334"/>
      <c r="H2869" s="602"/>
      <c r="I2869" s="334"/>
      <c r="J2869" s="334"/>
      <c r="K2869" s="334"/>
      <c r="L2869" s="334"/>
      <c r="M2869" s="334"/>
      <c r="N2869" s="334"/>
      <c r="O2869" s="334"/>
    </row>
    <row r="2870" spans="1:15" ht="12.75" hidden="1" customHeight="1" outlineLevel="1" x14ac:dyDescent="0.2">
      <c r="A2870" s="627" t="s">
        <v>3820</v>
      </c>
      <c r="B2870" s="628" t="s">
        <v>1339</v>
      </c>
      <c r="C2870" s="629" t="s">
        <v>100</v>
      </c>
      <c r="D2870" s="630">
        <v>13.45</v>
      </c>
      <c r="E2870" s="622"/>
      <c r="F2870" s="334"/>
      <c r="G2870" s="334"/>
      <c r="H2870" s="602"/>
      <c r="I2870" s="334"/>
      <c r="J2870" s="334"/>
      <c r="K2870" s="334"/>
      <c r="L2870" s="334"/>
      <c r="M2870" s="334"/>
      <c r="N2870" s="334"/>
      <c r="O2870" s="334"/>
    </row>
    <row r="2871" spans="1:15" ht="12.75" hidden="1" customHeight="1" outlineLevel="1" x14ac:dyDescent="0.2">
      <c r="A2871" s="623" t="s">
        <v>3821</v>
      </c>
      <c r="B2871" s="624" t="s">
        <v>1337</v>
      </c>
      <c r="C2871" s="625" t="s">
        <v>100</v>
      </c>
      <c r="D2871" s="626">
        <v>36.43</v>
      </c>
      <c r="E2871" s="622"/>
      <c r="F2871" s="334"/>
      <c r="G2871" s="334"/>
      <c r="H2871" s="602"/>
      <c r="I2871" s="334"/>
      <c r="J2871" s="334"/>
      <c r="K2871" s="334"/>
      <c r="L2871" s="334"/>
      <c r="M2871" s="334"/>
      <c r="N2871" s="334"/>
      <c r="O2871" s="334"/>
    </row>
    <row r="2872" spans="1:15" ht="12.75" hidden="1" customHeight="1" outlineLevel="1" x14ac:dyDescent="0.2">
      <c r="A2872" s="627" t="s">
        <v>3822</v>
      </c>
      <c r="B2872" s="628" t="s">
        <v>1339</v>
      </c>
      <c r="C2872" s="629" t="s">
        <v>100</v>
      </c>
      <c r="D2872" s="630">
        <v>32.71</v>
      </c>
      <c r="E2872" s="622"/>
      <c r="F2872" s="334"/>
      <c r="G2872" s="334"/>
      <c r="H2872" s="602"/>
      <c r="I2872" s="334"/>
      <c r="J2872" s="334"/>
      <c r="K2872" s="334"/>
      <c r="L2872" s="334"/>
      <c r="M2872" s="334"/>
      <c r="N2872" s="334"/>
      <c r="O2872" s="334"/>
    </row>
    <row r="2873" spans="1:15" ht="12.75" hidden="1" customHeight="1" outlineLevel="1" x14ac:dyDescent="0.2">
      <c r="A2873" s="623" t="s">
        <v>3823</v>
      </c>
      <c r="B2873" s="624" t="s">
        <v>1337</v>
      </c>
      <c r="C2873" s="625" t="s">
        <v>100</v>
      </c>
      <c r="D2873" s="626">
        <v>6.32</v>
      </c>
      <c r="E2873" s="622"/>
      <c r="F2873" s="334"/>
      <c r="G2873" s="334"/>
      <c r="H2873" s="602"/>
      <c r="I2873" s="334"/>
      <c r="J2873" s="334"/>
      <c r="K2873" s="334"/>
      <c r="L2873" s="334"/>
      <c r="M2873" s="334"/>
      <c r="N2873" s="334"/>
      <c r="O2873" s="334"/>
    </row>
    <row r="2874" spans="1:15" ht="12.75" hidden="1" customHeight="1" outlineLevel="1" x14ac:dyDescent="0.2">
      <c r="A2874" s="627" t="s">
        <v>3824</v>
      </c>
      <c r="B2874" s="628" t="s">
        <v>1339</v>
      </c>
      <c r="C2874" s="629" t="s">
        <v>100</v>
      </c>
      <c r="D2874" s="630">
        <v>1.97</v>
      </c>
      <c r="E2874" s="622"/>
      <c r="F2874" s="334"/>
      <c r="G2874" s="334"/>
      <c r="H2874" s="602"/>
      <c r="I2874" s="334"/>
      <c r="J2874" s="334"/>
      <c r="K2874" s="334"/>
      <c r="L2874" s="334"/>
      <c r="M2874" s="334"/>
      <c r="N2874" s="334"/>
      <c r="O2874" s="334"/>
    </row>
    <row r="2875" spans="1:15" ht="12.75" hidden="1" customHeight="1" outlineLevel="1" x14ac:dyDescent="0.2">
      <c r="A2875" s="623" t="s">
        <v>3825</v>
      </c>
      <c r="B2875" s="624" t="s">
        <v>1337</v>
      </c>
      <c r="C2875" s="625" t="s">
        <v>100</v>
      </c>
      <c r="D2875" s="626">
        <v>0.41</v>
      </c>
      <c r="E2875" s="622"/>
      <c r="F2875" s="334"/>
      <c r="G2875" s="334"/>
      <c r="H2875" s="602"/>
      <c r="I2875" s="334"/>
      <c r="J2875" s="334"/>
      <c r="K2875" s="334"/>
      <c r="L2875" s="334"/>
      <c r="M2875" s="334"/>
      <c r="N2875" s="334"/>
      <c r="O2875" s="334"/>
    </row>
    <row r="2876" spans="1:15" ht="12.75" hidden="1" customHeight="1" outlineLevel="1" x14ac:dyDescent="0.2">
      <c r="A2876" s="627" t="s">
        <v>3826</v>
      </c>
      <c r="B2876" s="628" t="s">
        <v>1339</v>
      </c>
      <c r="C2876" s="629" t="s">
        <v>100</v>
      </c>
      <c r="D2876" s="630">
        <v>0.44</v>
      </c>
      <c r="E2876" s="622"/>
      <c r="F2876" s="334"/>
      <c r="G2876" s="334"/>
      <c r="H2876" s="602"/>
      <c r="I2876" s="334"/>
      <c r="J2876" s="334"/>
      <c r="K2876" s="334"/>
      <c r="L2876" s="334"/>
      <c r="M2876" s="334"/>
      <c r="N2876" s="334"/>
      <c r="O2876" s="334"/>
    </row>
    <row r="2877" spans="1:15" ht="12.75" hidden="1" customHeight="1" outlineLevel="1" x14ac:dyDescent="0.2">
      <c r="A2877" s="623" t="s">
        <v>3827</v>
      </c>
      <c r="B2877" s="624" t="s">
        <v>1337</v>
      </c>
      <c r="C2877" s="625" t="s">
        <v>100</v>
      </c>
      <c r="D2877" s="626">
        <v>0.68</v>
      </c>
      <c r="E2877" s="622"/>
      <c r="F2877" s="334"/>
      <c r="G2877" s="334"/>
      <c r="H2877" s="602"/>
      <c r="I2877" s="334"/>
      <c r="J2877" s="334"/>
      <c r="K2877" s="334"/>
      <c r="L2877" s="334"/>
      <c r="M2877" s="334"/>
      <c r="N2877" s="334"/>
      <c r="O2877" s="334"/>
    </row>
    <row r="2878" spans="1:15" ht="12.75" hidden="1" customHeight="1" outlineLevel="1" x14ac:dyDescent="0.2">
      <c r="A2878" s="627" t="s">
        <v>3828</v>
      </c>
      <c r="B2878" s="628" t="s">
        <v>1339</v>
      </c>
      <c r="C2878" s="629" t="s">
        <v>100</v>
      </c>
      <c r="D2878" s="630">
        <v>49.78</v>
      </c>
      <c r="E2878" s="622"/>
      <c r="F2878" s="334"/>
      <c r="G2878" s="334"/>
      <c r="H2878" s="602"/>
      <c r="I2878" s="334"/>
      <c r="J2878" s="334"/>
      <c r="K2878" s="334"/>
      <c r="L2878" s="334"/>
      <c r="M2878" s="334"/>
      <c r="N2878" s="334"/>
      <c r="O2878" s="334"/>
    </row>
    <row r="2879" spans="1:15" ht="12.75" hidden="1" customHeight="1" outlineLevel="1" x14ac:dyDescent="0.2">
      <c r="A2879" s="623" t="s">
        <v>3829</v>
      </c>
      <c r="B2879" s="624" t="s">
        <v>1337</v>
      </c>
      <c r="C2879" s="625" t="s">
        <v>100</v>
      </c>
      <c r="D2879" s="626">
        <v>18.7</v>
      </c>
      <c r="E2879" s="622"/>
      <c r="F2879" s="334"/>
      <c r="G2879" s="334"/>
      <c r="H2879" s="602"/>
      <c r="I2879" s="334"/>
      <c r="J2879" s="334"/>
      <c r="K2879" s="334"/>
      <c r="L2879" s="334"/>
      <c r="M2879" s="334"/>
      <c r="N2879" s="334"/>
      <c r="O2879" s="334"/>
    </row>
    <row r="2880" spans="1:15" ht="12.75" hidden="1" customHeight="1" outlineLevel="1" x14ac:dyDescent="0.2">
      <c r="A2880" s="618" t="s">
        <v>3830</v>
      </c>
      <c r="B2880" s="619" t="s">
        <v>1039</v>
      </c>
      <c r="C2880" s="620"/>
      <c r="D2880" s="621"/>
      <c r="E2880" s="622"/>
      <c r="F2880" s="334"/>
      <c r="G2880" s="334"/>
      <c r="H2880" s="602"/>
      <c r="I2880" s="334"/>
      <c r="J2880" s="334"/>
      <c r="K2880" s="334"/>
      <c r="L2880" s="334"/>
      <c r="M2880" s="334"/>
      <c r="N2880" s="334"/>
      <c r="O2880" s="334"/>
    </row>
    <row r="2881" spans="1:15" ht="12.75" hidden="1" customHeight="1" outlineLevel="1" x14ac:dyDescent="0.2">
      <c r="A2881" s="627" t="s">
        <v>3831</v>
      </c>
      <c r="B2881" s="628" t="s">
        <v>1339</v>
      </c>
      <c r="C2881" s="629" t="s">
        <v>100</v>
      </c>
      <c r="D2881" s="630">
        <v>13.49</v>
      </c>
      <c r="E2881" s="622"/>
      <c r="F2881" s="334"/>
      <c r="G2881" s="334"/>
      <c r="H2881" s="602"/>
      <c r="I2881" s="334"/>
      <c r="J2881" s="334"/>
      <c r="K2881" s="334"/>
      <c r="L2881" s="334"/>
      <c r="M2881" s="334"/>
      <c r="N2881" s="334"/>
      <c r="O2881" s="334"/>
    </row>
    <row r="2882" spans="1:15" ht="12.75" hidden="1" customHeight="1" outlineLevel="1" x14ac:dyDescent="0.2">
      <c r="A2882" s="623" t="s">
        <v>3832</v>
      </c>
      <c r="B2882" s="624" t="s">
        <v>1337</v>
      </c>
      <c r="C2882" s="625" t="s">
        <v>100</v>
      </c>
      <c r="D2882" s="626">
        <v>36.729999999999997</v>
      </c>
      <c r="E2882" s="622"/>
      <c r="F2882" s="334"/>
      <c r="G2882" s="334"/>
      <c r="H2882" s="602"/>
      <c r="I2882" s="334"/>
      <c r="J2882" s="334"/>
      <c r="K2882" s="334"/>
      <c r="L2882" s="334"/>
      <c r="M2882" s="334"/>
      <c r="N2882" s="334"/>
      <c r="O2882" s="334"/>
    </row>
    <row r="2883" spans="1:15" ht="12.75" hidden="1" customHeight="1" outlineLevel="1" x14ac:dyDescent="0.2">
      <c r="A2883" s="627" t="s">
        <v>3833</v>
      </c>
      <c r="B2883" s="628" t="s">
        <v>1339</v>
      </c>
      <c r="C2883" s="629" t="s">
        <v>100</v>
      </c>
      <c r="D2883" s="630">
        <v>24.9</v>
      </c>
      <c r="E2883" s="622"/>
      <c r="F2883" s="334"/>
      <c r="G2883" s="334"/>
      <c r="H2883" s="602"/>
      <c r="I2883" s="334"/>
      <c r="J2883" s="334"/>
      <c r="K2883" s="334"/>
      <c r="L2883" s="334"/>
      <c r="M2883" s="334"/>
      <c r="N2883" s="334"/>
      <c r="O2883" s="334"/>
    </row>
    <row r="2884" spans="1:15" ht="12.75" hidden="1" customHeight="1" outlineLevel="1" x14ac:dyDescent="0.2">
      <c r="A2884" s="623" t="s">
        <v>3834</v>
      </c>
      <c r="B2884" s="624" t="s">
        <v>1337</v>
      </c>
      <c r="C2884" s="625" t="s">
        <v>100</v>
      </c>
      <c r="D2884" s="626">
        <v>6.32</v>
      </c>
      <c r="E2884" s="622"/>
      <c r="F2884" s="334"/>
      <c r="G2884" s="334"/>
      <c r="H2884" s="602"/>
      <c r="I2884" s="334"/>
      <c r="J2884" s="334"/>
      <c r="K2884" s="334"/>
      <c r="L2884" s="334"/>
      <c r="M2884" s="334"/>
      <c r="N2884" s="334"/>
      <c r="O2884" s="334"/>
    </row>
    <row r="2885" spans="1:15" ht="12.75" hidden="1" customHeight="1" outlineLevel="1" x14ac:dyDescent="0.2">
      <c r="A2885" s="627" t="s">
        <v>3835</v>
      </c>
      <c r="B2885" s="628" t="s">
        <v>1339</v>
      </c>
      <c r="C2885" s="629" t="s">
        <v>100</v>
      </c>
      <c r="D2885" s="630">
        <v>1.97</v>
      </c>
      <c r="E2885" s="622"/>
      <c r="F2885" s="334"/>
      <c r="G2885" s="334"/>
      <c r="H2885" s="602"/>
      <c r="I2885" s="334"/>
      <c r="J2885" s="334"/>
      <c r="K2885" s="334"/>
      <c r="L2885" s="334"/>
      <c r="M2885" s="334"/>
      <c r="N2885" s="334"/>
      <c r="O2885" s="334"/>
    </row>
    <row r="2886" spans="1:15" ht="12.75" hidden="1" customHeight="1" outlineLevel="1" x14ac:dyDescent="0.2">
      <c r="A2886" s="623" t="s">
        <v>3836</v>
      </c>
      <c r="B2886" s="624" t="s">
        <v>1337</v>
      </c>
      <c r="C2886" s="625" t="s">
        <v>100</v>
      </c>
      <c r="D2886" s="626">
        <v>0.41</v>
      </c>
      <c r="E2886" s="622"/>
      <c r="F2886" s="334"/>
      <c r="G2886" s="334"/>
      <c r="H2886" s="602"/>
      <c r="I2886" s="334"/>
      <c r="J2886" s="334"/>
      <c r="K2886" s="334"/>
      <c r="L2886" s="334"/>
      <c r="M2886" s="334"/>
      <c r="N2886" s="334"/>
      <c r="O2886" s="334"/>
    </row>
    <row r="2887" spans="1:15" ht="12.75" hidden="1" customHeight="1" outlineLevel="1" x14ac:dyDescent="0.2">
      <c r="A2887" s="627" t="s">
        <v>3837</v>
      </c>
      <c r="B2887" s="628" t="s">
        <v>1339</v>
      </c>
      <c r="C2887" s="629" t="s">
        <v>100</v>
      </c>
      <c r="D2887" s="630">
        <v>0.44</v>
      </c>
      <c r="E2887" s="622"/>
      <c r="F2887" s="334"/>
      <c r="G2887" s="334"/>
      <c r="H2887" s="602"/>
      <c r="I2887" s="334"/>
      <c r="J2887" s="334"/>
      <c r="K2887" s="334"/>
      <c r="L2887" s="334"/>
      <c r="M2887" s="334"/>
      <c r="N2887" s="334"/>
      <c r="O2887" s="334"/>
    </row>
    <row r="2888" spans="1:15" ht="12.75" hidden="1" customHeight="1" outlineLevel="1" x14ac:dyDescent="0.2">
      <c r="A2888" s="623" t="s">
        <v>3838</v>
      </c>
      <c r="B2888" s="624" t="s">
        <v>1337</v>
      </c>
      <c r="C2888" s="625" t="s">
        <v>100</v>
      </c>
      <c r="D2888" s="626">
        <v>0.68</v>
      </c>
      <c r="E2888" s="622"/>
      <c r="F2888" s="334"/>
      <c r="G2888" s="334"/>
      <c r="H2888" s="602"/>
      <c r="I2888" s="334"/>
      <c r="J2888" s="334"/>
      <c r="K2888" s="334"/>
      <c r="L2888" s="334"/>
      <c r="M2888" s="334"/>
      <c r="N2888" s="334"/>
      <c r="O2888" s="334"/>
    </row>
    <row r="2889" spans="1:15" ht="12.75" hidden="1" customHeight="1" outlineLevel="1" x14ac:dyDescent="0.2">
      <c r="A2889" s="627" t="s">
        <v>3839</v>
      </c>
      <c r="B2889" s="628" t="s">
        <v>1339</v>
      </c>
      <c r="C2889" s="629" t="s">
        <v>100</v>
      </c>
      <c r="D2889" s="630">
        <v>49.6</v>
      </c>
      <c r="E2889" s="622"/>
      <c r="F2889" s="334"/>
      <c r="G2889" s="334"/>
      <c r="H2889" s="602"/>
      <c r="I2889" s="334"/>
      <c r="J2889" s="334"/>
      <c r="K2889" s="334"/>
      <c r="L2889" s="334"/>
      <c r="M2889" s="334"/>
      <c r="N2889" s="334"/>
      <c r="O2889" s="334"/>
    </row>
    <row r="2890" spans="1:15" ht="12.75" hidden="1" customHeight="1" outlineLevel="1" x14ac:dyDescent="0.2">
      <c r="A2890" s="623" t="s">
        <v>3840</v>
      </c>
      <c r="B2890" s="624" t="s">
        <v>1337</v>
      </c>
      <c r="C2890" s="625" t="s">
        <v>100</v>
      </c>
      <c r="D2890" s="626">
        <v>18.510000000000002</v>
      </c>
      <c r="E2890" s="622"/>
      <c r="F2890" s="334"/>
      <c r="G2890" s="334"/>
      <c r="H2890" s="602"/>
      <c r="I2890" s="334"/>
      <c r="J2890" s="334"/>
      <c r="K2890" s="334"/>
      <c r="L2890" s="334"/>
      <c r="M2890" s="334"/>
      <c r="N2890" s="334"/>
      <c r="O2890" s="334"/>
    </row>
    <row r="2891" spans="1:15" ht="12.75" hidden="1" customHeight="1" outlineLevel="1" x14ac:dyDescent="0.2">
      <c r="A2891" s="618" t="s">
        <v>3841</v>
      </c>
      <c r="B2891" s="619" t="s">
        <v>1047</v>
      </c>
      <c r="C2891" s="620"/>
      <c r="D2891" s="621"/>
      <c r="E2891" s="622"/>
      <c r="F2891" s="334"/>
      <c r="G2891" s="334"/>
      <c r="H2891" s="602"/>
      <c r="I2891" s="334"/>
      <c r="J2891" s="334"/>
      <c r="K2891" s="334"/>
      <c r="L2891" s="334"/>
      <c r="M2891" s="334"/>
      <c r="N2891" s="334"/>
      <c r="O2891" s="334"/>
    </row>
    <row r="2892" spans="1:15" ht="12.75" hidden="1" customHeight="1" outlineLevel="1" x14ac:dyDescent="0.2">
      <c r="A2892" s="627" t="s">
        <v>3842</v>
      </c>
      <c r="B2892" s="628" t="s">
        <v>1339</v>
      </c>
      <c r="C2892" s="629" t="s">
        <v>100</v>
      </c>
      <c r="D2892" s="630">
        <v>13.45</v>
      </c>
      <c r="E2892" s="622"/>
      <c r="F2892" s="334"/>
      <c r="G2892" s="334"/>
      <c r="H2892" s="602"/>
      <c r="I2892" s="334"/>
      <c r="J2892" s="334"/>
      <c r="K2892" s="334"/>
      <c r="L2892" s="334"/>
      <c r="M2892" s="334"/>
      <c r="N2892" s="334"/>
      <c r="O2892" s="334"/>
    </row>
    <row r="2893" spans="1:15" ht="12.75" hidden="1" customHeight="1" outlineLevel="1" x14ac:dyDescent="0.2">
      <c r="A2893" s="623" t="s">
        <v>3843</v>
      </c>
      <c r="B2893" s="624" t="s">
        <v>1337</v>
      </c>
      <c r="C2893" s="625" t="s">
        <v>100</v>
      </c>
      <c r="D2893" s="626">
        <v>36.43</v>
      </c>
      <c r="E2893" s="622"/>
      <c r="F2893" s="334"/>
      <c r="G2893" s="334"/>
      <c r="H2893" s="602"/>
      <c r="I2893" s="334"/>
      <c r="J2893" s="334"/>
      <c r="K2893" s="334"/>
      <c r="L2893" s="334"/>
      <c r="M2893" s="334"/>
      <c r="N2893" s="334"/>
      <c r="O2893" s="334"/>
    </row>
    <row r="2894" spans="1:15" ht="12.75" hidden="1" customHeight="1" outlineLevel="1" x14ac:dyDescent="0.2">
      <c r="A2894" s="627" t="s">
        <v>3844</v>
      </c>
      <c r="B2894" s="628" t="s">
        <v>1339</v>
      </c>
      <c r="C2894" s="629" t="s">
        <v>100</v>
      </c>
      <c r="D2894" s="630">
        <v>32.71</v>
      </c>
      <c r="E2894" s="622"/>
      <c r="F2894" s="334"/>
      <c r="G2894" s="334"/>
      <c r="H2894" s="602"/>
      <c r="I2894" s="334"/>
      <c r="J2894" s="334"/>
      <c r="K2894" s="334"/>
      <c r="L2894" s="334"/>
      <c r="M2894" s="334"/>
      <c r="N2894" s="334"/>
      <c r="O2894" s="334"/>
    </row>
    <row r="2895" spans="1:15" ht="12.75" hidden="1" customHeight="1" outlineLevel="1" x14ac:dyDescent="0.2">
      <c r="A2895" s="623" t="s">
        <v>3845</v>
      </c>
      <c r="B2895" s="624" t="s">
        <v>1337</v>
      </c>
      <c r="C2895" s="625" t="s">
        <v>100</v>
      </c>
      <c r="D2895" s="626">
        <v>6.32</v>
      </c>
      <c r="E2895" s="622"/>
      <c r="F2895" s="334"/>
      <c r="G2895" s="334"/>
      <c r="H2895" s="602"/>
      <c r="I2895" s="334"/>
      <c r="J2895" s="334"/>
      <c r="K2895" s="334"/>
      <c r="L2895" s="334"/>
      <c r="M2895" s="334"/>
      <c r="N2895" s="334"/>
      <c r="O2895" s="334"/>
    </row>
    <row r="2896" spans="1:15" ht="12.75" hidden="1" customHeight="1" outlineLevel="1" x14ac:dyDescent="0.2">
      <c r="A2896" s="627" t="s">
        <v>3846</v>
      </c>
      <c r="B2896" s="628" t="s">
        <v>1339</v>
      </c>
      <c r="C2896" s="629" t="s">
        <v>100</v>
      </c>
      <c r="D2896" s="630">
        <v>1.97</v>
      </c>
      <c r="E2896" s="622"/>
      <c r="F2896" s="334"/>
      <c r="G2896" s="334"/>
      <c r="H2896" s="602"/>
      <c r="I2896" s="334"/>
      <c r="J2896" s="334"/>
      <c r="K2896" s="334"/>
      <c r="L2896" s="334"/>
      <c r="M2896" s="334"/>
      <c r="N2896" s="334"/>
      <c r="O2896" s="334"/>
    </row>
    <row r="2897" spans="1:15" ht="12.75" hidden="1" customHeight="1" outlineLevel="1" x14ac:dyDescent="0.2">
      <c r="A2897" s="623" t="s">
        <v>3847</v>
      </c>
      <c r="B2897" s="624" t="s">
        <v>1337</v>
      </c>
      <c r="C2897" s="625" t="s">
        <v>100</v>
      </c>
      <c r="D2897" s="626">
        <v>0.41</v>
      </c>
      <c r="E2897" s="622"/>
      <c r="F2897" s="334"/>
      <c r="G2897" s="334"/>
      <c r="H2897" s="602"/>
      <c r="I2897" s="334"/>
      <c r="J2897" s="334"/>
      <c r="K2897" s="334"/>
      <c r="L2897" s="334"/>
      <c r="M2897" s="334"/>
      <c r="N2897" s="334"/>
      <c r="O2897" s="334"/>
    </row>
    <row r="2898" spans="1:15" ht="12.75" hidden="1" customHeight="1" outlineLevel="1" x14ac:dyDescent="0.2">
      <c r="A2898" s="627" t="s">
        <v>3848</v>
      </c>
      <c r="B2898" s="628" t="s">
        <v>1339</v>
      </c>
      <c r="C2898" s="629" t="s">
        <v>100</v>
      </c>
      <c r="D2898" s="630">
        <v>0.44</v>
      </c>
      <c r="E2898" s="622"/>
      <c r="F2898" s="334"/>
      <c r="G2898" s="334"/>
      <c r="H2898" s="602"/>
      <c r="I2898" s="334"/>
      <c r="J2898" s="334"/>
      <c r="K2898" s="334"/>
      <c r="L2898" s="334"/>
      <c r="M2898" s="334"/>
      <c r="N2898" s="334"/>
      <c r="O2898" s="334"/>
    </row>
    <row r="2899" spans="1:15" ht="12.75" hidden="1" customHeight="1" outlineLevel="1" x14ac:dyDescent="0.2">
      <c r="A2899" s="623" t="s">
        <v>3849</v>
      </c>
      <c r="B2899" s="624" t="s">
        <v>1337</v>
      </c>
      <c r="C2899" s="625" t="s">
        <v>100</v>
      </c>
      <c r="D2899" s="626">
        <v>0.68</v>
      </c>
      <c r="E2899" s="622"/>
      <c r="F2899" s="334"/>
      <c r="G2899" s="334"/>
      <c r="H2899" s="602"/>
      <c r="I2899" s="334"/>
      <c r="J2899" s="334"/>
      <c r="K2899" s="334"/>
      <c r="L2899" s="334"/>
      <c r="M2899" s="334"/>
      <c r="N2899" s="334"/>
      <c r="O2899" s="334"/>
    </row>
    <row r="2900" spans="1:15" ht="12.75" hidden="1" customHeight="1" outlineLevel="1" x14ac:dyDescent="0.2">
      <c r="A2900" s="627" t="s">
        <v>3850</v>
      </c>
      <c r="B2900" s="628" t="s">
        <v>1339</v>
      </c>
      <c r="C2900" s="629" t="s">
        <v>100</v>
      </c>
      <c r="D2900" s="630">
        <v>49.78</v>
      </c>
      <c r="E2900" s="622"/>
      <c r="F2900" s="334"/>
      <c r="G2900" s="334"/>
      <c r="H2900" s="602"/>
      <c r="I2900" s="334"/>
      <c r="J2900" s="334"/>
      <c r="K2900" s="334"/>
      <c r="L2900" s="334"/>
      <c r="M2900" s="334"/>
      <c r="N2900" s="334"/>
      <c r="O2900" s="334"/>
    </row>
    <row r="2901" spans="1:15" ht="12.75" hidden="1" customHeight="1" outlineLevel="1" x14ac:dyDescent="0.2">
      <c r="A2901" s="623" t="s">
        <v>3851</v>
      </c>
      <c r="B2901" s="624" t="s">
        <v>1337</v>
      </c>
      <c r="C2901" s="625" t="s">
        <v>100</v>
      </c>
      <c r="D2901" s="626">
        <v>18.7</v>
      </c>
      <c r="E2901" s="622"/>
      <c r="F2901" s="334"/>
      <c r="G2901" s="334"/>
      <c r="H2901" s="602"/>
      <c r="I2901" s="334"/>
      <c r="J2901" s="334"/>
      <c r="K2901" s="334"/>
      <c r="L2901" s="334"/>
      <c r="M2901" s="334"/>
      <c r="N2901" s="334"/>
      <c r="O2901" s="334"/>
    </row>
    <row r="2902" spans="1:15" ht="12.75" hidden="1" customHeight="1" outlineLevel="1" x14ac:dyDescent="0.2">
      <c r="A2902" s="618" t="s">
        <v>3852</v>
      </c>
      <c r="B2902" s="619" t="s">
        <v>1058</v>
      </c>
      <c r="C2902" s="620"/>
      <c r="D2902" s="621"/>
      <c r="E2902" s="622"/>
      <c r="F2902" s="334"/>
      <c r="G2902" s="334"/>
      <c r="H2902" s="602"/>
      <c r="I2902" s="334"/>
      <c r="J2902" s="334"/>
      <c r="K2902" s="334"/>
      <c r="L2902" s="334"/>
      <c r="M2902" s="334"/>
      <c r="N2902" s="334"/>
      <c r="O2902" s="334"/>
    </row>
    <row r="2903" spans="1:15" ht="12.75" hidden="1" customHeight="1" outlineLevel="1" x14ac:dyDescent="0.2">
      <c r="A2903" s="627" t="s">
        <v>3853</v>
      </c>
      <c r="B2903" s="628" t="s">
        <v>1339</v>
      </c>
      <c r="C2903" s="629" t="s">
        <v>100</v>
      </c>
      <c r="D2903" s="630">
        <v>13.45</v>
      </c>
      <c r="E2903" s="622"/>
      <c r="F2903" s="334"/>
      <c r="G2903" s="334"/>
      <c r="H2903" s="602"/>
      <c r="I2903" s="334"/>
      <c r="J2903" s="334"/>
      <c r="K2903" s="334"/>
      <c r="L2903" s="334"/>
      <c r="M2903" s="334"/>
      <c r="N2903" s="334"/>
      <c r="O2903" s="334"/>
    </row>
    <row r="2904" spans="1:15" ht="12.75" hidden="1" customHeight="1" outlineLevel="1" x14ac:dyDescent="0.2">
      <c r="A2904" s="623" t="s">
        <v>3854</v>
      </c>
      <c r="B2904" s="624" t="s">
        <v>1337</v>
      </c>
      <c r="C2904" s="625" t="s">
        <v>100</v>
      </c>
      <c r="D2904" s="626">
        <v>36.43</v>
      </c>
      <c r="E2904" s="622"/>
      <c r="F2904" s="334"/>
      <c r="G2904" s="334"/>
      <c r="H2904" s="602"/>
      <c r="I2904" s="334"/>
      <c r="J2904" s="334"/>
      <c r="K2904" s="334"/>
      <c r="L2904" s="334"/>
      <c r="M2904" s="334"/>
      <c r="N2904" s="334"/>
      <c r="O2904" s="334"/>
    </row>
    <row r="2905" spans="1:15" ht="12.75" hidden="1" customHeight="1" outlineLevel="1" x14ac:dyDescent="0.2">
      <c r="A2905" s="627" t="s">
        <v>3855</v>
      </c>
      <c r="B2905" s="628" t="s">
        <v>1339</v>
      </c>
      <c r="C2905" s="629" t="s">
        <v>100</v>
      </c>
      <c r="D2905" s="630">
        <v>32.71</v>
      </c>
      <c r="E2905" s="622"/>
      <c r="F2905" s="334"/>
      <c r="G2905" s="334"/>
      <c r="H2905" s="602"/>
      <c r="I2905" s="334"/>
      <c r="J2905" s="334"/>
      <c r="K2905" s="334"/>
      <c r="L2905" s="334"/>
      <c r="M2905" s="334"/>
      <c r="N2905" s="334"/>
      <c r="O2905" s="334"/>
    </row>
    <row r="2906" spans="1:15" ht="12.75" hidden="1" customHeight="1" outlineLevel="1" x14ac:dyDescent="0.2">
      <c r="A2906" s="623" t="s">
        <v>3856</v>
      </c>
      <c r="B2906" s="624" t="s">
        <v>1337</v>
      </c>
      <c r="C2906" s="625" t="s">
        <v>100</v>
      </c>
      <c r="D2906" s="626">
        <v>6.32</v>
      </c>
      <c r="E2906" s="622"/>
      <c r="F2906" s="334"/>
      <c r="G2906" s="334"/>
      <c r="H2906" s="602"/>
      <c r="I2906" s="334"/>
      <c r="J2906" s="334"/>
      <c r="K2906" s="334"/>
      <c r="L2906" s="334"/>
      <c r="M2906" s="334"/>
      <c r="N2906" s="334"/>
      <c r="O2906" s="334"/>
    </row>
    <row r="2907" spans="1:15" ht="12.75" hidden="1" customHeight="1" outlineLevel="1" x14ac:dyDescent="0.2">
      <c r="A2907" s="627" t="s">
        <v>3857</v>
      </c>
      <c r="B2907" s="628" t="s">
        <v>1339</v>
      </c>
      <c r="C2907" s="629" t="s">
        <v>100</v>
      </c>
      <c r="D2907" s="630">
        <v>1.97</v>
      </c>
      <c r="E2907" s="622"/>
      <c r="F2907" s="334"/>
      <c r="G2907" s="334"/>
      <c r="H2907" s="602"/>
      <c r="I2907" s="334"/>
      <c r="J2907" s="334"/>
      <c r="K2907" s="334"/>
      <c r="L2907" s="334"/>
      <c r="M2907" s="334"/>
      <c r="N2907" s="334"/>
      <c r="O2907" s="334"/>
    </row>
    <row r="2908" spans="1:15" ht="12.75" hidden="1" customHeight="1" outlineLevel="1" x14ac:dyDescent="0.2">
      <c r="A2908" s="623" t="s">
        <v>3858</v>
      </c>
      <c r="B2908" s="624" t="s">
        <v>1337</v>
      </c>
      <c r="C2908" s="625" t="s">
        <v>100</v>
      </c>
      <c r="D2908" s="626">
        <v>0.41</v>
      </c>
      <c r="E2908" s="622"/>
      <c r="F2908" s="334"/>
      <c r="G2908" s="334"/>
      <c r="H2908" s="602"/>
      <c r="I2908" s="334"/>
      <c r="J2908" s="334"/>
      <c r="K2908" s="334"/>
      <c r="L2908" s="334"/>
      <c r="M2908" s="334"/>
      <c r="N2908" s="334"/>
      <c r="O2908" s="334"/>
    </row>
    <row r="2909" spans="1:15" ht="12.75" hidden="1" customHeight="1" outlineLevel="1" x14ac:dyDescent="0.2">
      <c r="A2909" s="627" t="s">
        <v>3859</v>
      </c>
      <c r="B2909" s="628" t="s">
        <v>1339</v>
      </c>
      <c r="C2909" s="629" t="s">
        <v>100</v>
      </c>
      <c r="D2909" s="630">
        <v>0.44</v>
      </c>
      <c r="E2909" s="622"/>
      <c r="F2909" s="334"/>
      <c r="G2909" s="334"/>
      <c r="H2909" s="602"/>
      <c r="I2909" s="334"/>
      <c r="J2909" s="334"/>
      <c r="K2909" s="334"/>
      <c r="L2909" s="334"/>
      <c r="M2909" s="334"/>
      <c r="N2909" s="334"/>
      <c r="O2909" s="334"/>
    </row>
    <row r="2910" spans="1:15" ht="12.75" hidden="1" customHeight="1" outlineLevel="1" x14ac:dyDescent="0.2">
      <c r="A2910" s="623" t="s">
        <v>3860</v>
      </c>
      <c r="B2910" s="624" t="s">
        <v>1337</v>
      </c>
      <c r="C2910" s="625" t="s">
        <v>100</v>
      </c>
      <c r="D2910" s="626">
        <v>0.68</v>
      </c>
      <c r="E2910" s="622"/>
      <c r="F2910" s="334"/>
      <c r="G2910" s="334"/>
      <c r="H2910" s="602"/>
      <c r="I2910" s="334"/>
      <c r="J2910" s="334"/>
      <c r="K2910" s="334"/>
      <c r="L2910" s="334"/>
      <c r="M2910" s="334"/>
      <c r="N2910" s="334"/>
      <c r="O2910" s="334"/>
    </row>
    <row r="2911" spans="1:15" ht="12.75" hidden="1" customHeight="1" outlineLevel="1" x14ac:dyDescent="0.2">
      <c r="A2911" s="627" t="s">
        <v>3861</v>
      </c>
      <c r="B2911" s="628" t="s">
        <v>1339</v>
      </c>
      <c r="C2911" s="629" t="s">
        <v>100</v>
      </c>
      <c r="D2911" s="630">
        <v>49.78</v>
      </c>
      <c r="E2911" s="622"/>
      <c r="F2911" s="334"/>
      <c r="G2911" s="334"/>
      <c r="H2911" s="602"/>
      <c r="I2911" s="334"/>
      <c r="J2911" s="334"/>
      <c r="K2911" s="334"/>
      <c r="L2911" s="334"/>
      <c r="M2911" s="334"/>
      <c r="N2911" s="334"/>
      <c r="O2911" s="334"/>
    </row>
    <row r="2912" spans="1:15" ht="12.75" hidden="1" customHeight="1" outlineLevel="1" x14ac:dyDescent="0.2">
      <c r="A2912" s="623" t="s">
        <v>3862</v>
      </c>
      <c r="B2912" s="624" t="s">
        <v>1337</v>
      </c>
      <c r="C2912" s="625" t="s">
        <v>100</v>
      </c>
      <c r="D2912" s="626">
        <v>18.7</v>
      </c>
      <c r="E2912" s="622"/>
      <c r="F2912" s="334"/>
      <c r="G2912" s="334"/>
      <c r="H2912" s="602"/>
      <c r="I2912" s="334"/>
      <c r="J2912" s="334"/>
      <c r="K2912" s="334"/>
      <c r="L2912" s="334"/>
      <c r="M2912" s="334"/>
      <c r="N2912" s="334"/>
      <c r="O2912" s="334"/>
    </row>
    <row r="2913" spans="1:15" ht="12.75" hidden="1" customHeight="1" outlineLevel="1" x14ac:dyDescent="0.2">
      <c r="A2913" s="618" t="s">
        <v>3863</v>
      </c>
      <c r="B2913" s="619" t="s">
        <v>1069</v>
      </c>
      <c r="C2913" s="620"/>
      <c r="D2913" s="621"/>
      <c r="E2913" s="622"/>
      <c r="F2913" s="334"/>
      <c r="G2913" s="334"/>
      <c r="H2913" s="602"/>
      <c r="I2913" s="334"/>
      <c r="J2913" s="334"/>
      <c r="K2913" s="334"/>
      <c r="L2913" s="334"/>
      <c r="M2913" s="334"/>
      <c r="N2913" s="334"/>
      <c r="O2913" s="334"/>
    </row>
    <row r="2914" spans="1:15" ht="12.75" hidden="1" customHeight="1" outlineLevel="1" x14ac:dyDescent="0.2">
      <c r="A2914" s="627" t="s">
        <v>3864</v>
      </c>
      <c r="B2914" s="628" t="s">
        <v>1339</v>
      </c>
      <c r="C2914" s="629" t="s">
        <v>100</v>
      </c>
      <c r="D2914" s="630">
        <v>13.45</v>
      </c>
      <c r="E2914" s="622"/>
      <c r="F2914" s="334"/>
      <c r="G2914" s="334"/>
      <c r="H2914" s="602"/>
      <c r="I2914" s="334"/>
      <c r="J2914" s="334"/>
      <c r="K2914" s="334"/>
      <c r="L2914" s="334"/>
      <c r="M2914" s="334"/>
      <c r="N2914" s="334"/>
      <c r="O2914" s="334"/>
    </row>
    <row r="2915" spans="1:15" ht="12.75" hidden="1" customHeight="1" outlineLevel="1" x14ac:dyDescent="0.2">
      <c r="A2915" s="623" t="s">
        <v>3865</v>
      </c>
      <c r="B2915" s="624" t="s">
        <v>1337</v>
      </c>
      <c r="C2915" s="625" t="s">
        <v>100</v>
      </c>
      <c r="D2915" s="626">
        <v>36.43</v>
      </c>
      <c r="E2915" s="622"/>
      <c r="F2915" s="334"/>
      <c r="G2915" s="334"/>
      <c r="H2915" s="602"/>
      <c r="I2915" s="334"/>
      <c r="J2915" s="334"/>
      <c r="K2915" s="334"/>
      <c r="L2915" s="334"/>
      <c r="M2915" s="334"/>
      <c r="N2915" s="334"/>
      <c r="O2915" s="334"/>
    </row>
    <row r="2916" spans="1:15" ht="12.75" hidden="1" customHeight="1" outlineLevel="1" x14ac:dyDescent="0.2">
      <c r="A2916" s="627" t="s">
        <v>3866</v>
      </c>
      <c r="B2916" s="628" t="s">
        <v>1339</v>
      </c>
      <c r="C2916" s="629" t="s">
        <v>100</v>
      </c>
      <c r="D2916" s="630">
        <v>32.71</v>
      </c>
      <c r="E2916" s="622"/>
      <c r="F2916" s="334"/>
      <c r="G2916" s="334"/>
      <c r="H2916" s="602"/>
      <c r="I2916" s="334"/>
      <c r="J2916" s="334"/>
      <c r="K2916" s="334"/>
      <c r="L2916" s="334"/>
      <c r="M2916" s="334"/>
      <c r="N2916" s="334"/>
      <c r="O2916" s="334"/>
    </row>
    <row r="2917" spans="1:15" ht="12.75" hidden="1" customHeight="1" outlineLevel="1" x14ac:dyDescent="0.2">
      <c r="A2917" s="623" t="s">
        <v>3867</v>
      </c>
      <c r="B2917" s="624" t="s">
        <v>1337</v>
      </c>
      <c r="C2917" s="625" t="s">
        <v>100</v>
      </c>
      <c r="D2917" s="626">
        <v>6.32</v>
      </c>
      <c r="E2917" s="622"/>
      <c r="F2917" s="334"/>
      <c r="G2917" s="334"/>
      <c r="H2917" s="602"/>
      <c r="I2917" s="334"/>
      <c r="J2917" s="334"/>
      <c r="K2917" s="334"/>
      <c r="L2917" s="334"/>
      <c r="M2917" s="334"/>
      <c r="N2917" s="334"/>
      <c r="O2917" s="334"/>
    </row>
    <row r="2918" spans="1:15" ht="12.75" hidden="1" customHeight="1" outlineLevel="1" x14ac:dyDescent="0.2">
      <c r="A2918" s="627" t="s">
        <v>3868</v>
      </c>
      <c r="B2918" s="628" t="s">
        <v>1339</v>
      </c>
      <c r="C2918" s="629" t="s">
        <v>100</v>
      </c>
      <c r="D2918" s="630">
        <v>1.97</v>
      </c>
      <c r="E2918" s="622"/>
      <c r="F2918" s="334"/>
      <c r="G2918" s="334"/>
      <c r="H2918" s="602"/>
      <c r="I2918" s="334"/>
      <c r="J2918" s="334"/>
      <c r="K2918" s="334"/>
      <c r="L2918" s="334"/>
      <c r="M2918" s="334"/>
      <c r="N2918" s="334"/>
      <c r="O2918" s="334"/>
    </row>
    <row r="2919" spans="1:15" ht="12.75" hidden="1" customHeight="1" outlineLevel="1" x14ac:dyDescent="0.2">
      <c r="A2919" s="623" t="s">
        <v>3869</v>
      </c>
      <c r="B2919" s="624" t="s">
        <v>1337</v>
      </c>
      <c r="C2919" s="625" t="s">
        <v>100</v>
      </c>
      <c r="D2919" s="626">
        <v>0.41</v>
      </c>
      <c r="E2919" s="622"/>
      <c r="F2919" s="334"/>
      <c r="G2919" s="334"/>
      <c r="H2919" s="602"/>
      <c r="I2919" s="334"/>
      <c r="J2919" s="334"/>
      <c r="K2919" s="334"/>
      <c r="L2919" s="334"/>
      <c r="M2919" s="334"/>
      <c r="N2919" s="334"/>
      <c r="O2919" s="334"/>
    </row>
    <row r="2920" spans="1:15" ht="12.75" hidden="1" customHeight="1" outlineLevel="1" x14ac:dyDescent="0.2">
      <c r="A2920" s="627" t="s">
        <v>3870</v>
      </c>
      <c r="B2920" s="628" t="s">
        <v>1339</v>
      </c>
      <c r="C2920" s="629" t="s">
        <v>100</v>
      </c>
      <c r="D2920" s="630">
        <v>0.44</v>
      </c>
      <c r="E2920" s="622"/>
      <c r="F2920" s="334"/>
      <c r="G2920" s="334"/>
      <c r="H2920" s="602"/>
      <c r="I2920" s="334"/>
      <c r="J2920" s="334"/>
      <c r="K2920" s="334"/>
      <c r="L2920" s="334"/>
      <c r="M2920" s="334"/>
      <c r="N2920" s="334"/>
      <c r="O2920" s="334"/>
    </row>
    <row r="2921" spans="1:15" ht="12.75" hidden="1" customHeight="1" outlineLevel="1" x14ac:dyDescent="0.2">
      <c r="A2921" s="623" t="s">
        <v>3871</v>
      </c>
      <c r="B2921" s="624" t="s">
        <v>1337</v>
      </c>
      <c r="C2921" s="625" t="s">
        <v>100</v>
      </c>
      <c r="D2921" s="626">
        <v>0.68</v>
      </c>
      <c r="E2921" s="622"/>
      <c r="F2921" s="334"/>
      <c r="G2921" s="334"/>
      <c r="H2921" s="602"/>
      <c r="I2921" s="334"/>
      <c r="J2921" s="334"/>
      <c r="K2921" s="334"/>
      <c r="L2921" s="334"/>
      <c r="M2921" s="334"/>
      <c r="N2921" s="334"/>
      <c r="O2921" s="334"/>
    </row>
    <row r="2922" spans="1:15" ht="12.75" hidden="1" customHeight="1" outlineLevel="1" x14ac:dyDescent="0.2">
      <c r="A2922" s="627" t="s">
        <v>3872</v>
      </c>
      <c r="B2922" s="628" t="s">
        <v>1339</v>
      </c>
      <c r="C2922" s="629" t="s">
        <v>100</v>
      </c>
      <c r="D2922" s="630">
        <v>49.78</v>
      </c>
      <c r="E2922" s="622"/>
      <c r="F2922" s="334"/>
      <c r="G2922" s="334"/>
      <c r="H2922" s="602"/>
      <c r="I2922" s="334"/>
      <c r="J2922" s="334"/>
      <c r="K2922" s="334"/>
      <c r="L2922" s="334"/>
      <c r="M2922" s="334"/>
      <c r="N2922" s="334"/>
      <c r="O2922" s="334"/>
    </row>
    <row r="2923" spans="1:15" ht="12.75" hidden="1" customHeight="1" outlineLevel="1" x14ac:dyDescent="0.2">
      <c r="A2923" s="623" t="s">
        <v>3873</v>
      </c>
      <c r="B2923" s="624" t="s">
        <v>1337</v>
      </c>
      <c r="C2923" s="625" t="s">
        <v>100</v>
      </c>
      <c r="D2923" s="626">
        <v>18.7</v>
      </c>
      <c r="E2923" s="622"/>
      <c r="F2923" s="334"/>
      <c r="G2923" s="334"/>
      <c r="H2923" s="602"/>
      <c r="I2923" s="334"/>
      <c r="J2923" s="334"/>
      <c r="K2923" s="334"/>
      <c r="L2923" s="334"/>
      <c r="M2923" s="334"/>
      <c r="N2923" s="334"/>
      <c r="O2923" s="334"/>
    </row>
    <row r="2924" spans="1:15" ht="12.75" hidden="1" customHeight="1" outlineLevel="1" x14ac:dyDescent="0.2">
      <c r="A2924" s="618" t="s">
        <v>3874</v>
      </c>
      <c r="B2924" s="619" t="s">
        <v>1079</v>
      </c>
      <c r="C2924" s="620"/>
      <c r="D2924" s="621"/>
      <c r="E2924" s="622"/>
      <c r="F2924" s="334"/>
      <c r="G2924" s="334"/>
      <c r="H2924" s="602"/>
      <c r="I2924" s="334"/>
      <c r="J2924" s="334"/>
      <c r="K2924" s="334"/>
      <c r="L2924" s="334"/>
      <c r="M2924" s="334"/>
      <c r="N2924" s="334"/>
      <c r="O2924" s="334"/>
    </row>
    <row r="2925" spans="1:15" ht="12.75" hidden="1" customHeight="1" outlineLevel="1" x14ac:dyDescent="0.2">
      <c r="A2925" s="627" t="s">
        <v>3875</v>
      </c>
      <c r="B2925" s="628" t="s">
        <v>1339</v>
      </c>
      <c r="C2925" s="629" t="s">
        <v>100</v>
      </c>
      <c r="D2925" s="630">
        <v>13.45</v>
      </c>
      <c r="E2925" s="622"/>
      <c r="F2925" s="334"/>
      <c r="G2925" s="334"/>
      <c r="H2925" s="602"/>
      <c r="I2925" s="334"/>
      <c r="J2925" s="334"/>
      <c r="K2925" s="334"/>
      <c r="L2925" s="334"/>
      <c r="M2925" s="334"/>
      <c r="N2925" s="334"/>
      <c r="O2925" s="334"/>
    </row>
    <row r="2926" spans="1:15" ht="12.75" hidden="1" customHeight="1" outlineLevel="1" x14ac:dyDescent="0.2">
      <c r="A2926" s="623" t="s">
        <v>3876</v>
      </c>
      <c r="B2926" s="624" t="s">
        <v>1337</v>
      </c>
      <c r="C2926" s="625" t="s">
        <v>100</v>
      </c>
      <c r="D2926" s="626">
        <v>36.43</v>
      </c>
      <c r="E2926" s="622"/>
      <c r="F2926" s="334"/>
      <c r="G2926" s="334"/>
      <c r="H2926" s="602"/>
      <c r="I2926" s="334"/>
      <c r="J2926" s="334"/>
      <c r="K2926" s="334"/>
      <c r="L2926" s="334"/>
      <c r="M2926" s="334"/>
      <c r="N2926" s="334"/>
      <c r="O2926" s="334"/>
    </row>
    <row r="2927" spans="1:15" ht="12.75" hidden="1" customHeight="1" outlineLevel="1" x14ac:dyDescent="0.2">
      <c r="A2927" s="627" t="s">
        <v>3877</v>
      </c>
      <c r="B2927" s="628" t="s">
        <v>1339</v>
      </c>
      <c r="C2927" s="629" t="s">
        <v>100</v>
      </c>
      <c r="D2927" s="630">
        <v>32.71</v>
      </c>
      <c r="E2927" s="622"/>
      <c r="F2927" s="334"/>
      <c r="G2927" s="334"/>
      <c r="H2927" s="602"/>
      <c r="I2927" s="334"/>
      <c r="J2927" s="334"/>
      <c r="K2927" s="334"/>
      <c r="L2927" s="334"/>
      <c r="M2927" s="334"/>
      <c r="N2927" s="334"/>
      <c r="O2927" s="334"/>
    </row>
    <row r="2928" spans="1:15" ht="12.75" hidden="1" customHeight="1" outlineLevel="1" x14ac:dyDescent="0.2">
      <c r="A2928" s="623" t="s">
        <v>3878</v>
      </c>
      <c r="B2928" s="624" t="s">
        <v>1337</v>
      </c>
      <c r="C2928" s="625" t="s">
        <v>100</v>
      </c>
      <c r="D2928" s="626">
        <v>6.32</v>
      </c>
      <c r="E2928" s="622"/>
      <c r="F2928" s="334"/>
      <c r="G2928" s="334"/>
      <c r="H2928" s="602"/>
      <c r="I2928" s="334"/>
      <c r="J2928" s="334"/>
      <c r="K2928" s="334"/>
      <c r="L2928" s="334"/>
      <c r="M2928" s="334"/>
      <c r="N2928" s="334"/>
      <c r="O2928" s="334"/>
    </row>
    <row r="2929" spans="1:15" ht="12.75" hidden="1" customHeight="1" outlineLevel="1" x14ac:dyDescent="0.2">
      <c r="A2929" s="627" t="s">
        <v>3879</v>
      </c>
      <c r="B2929" s="628" t="s">
        <v>1339</v>
      </c>
      <c r="C2929" s="629" t="s">
        <v>100</v>
      </c>
      <c r="D2929" s="630">
        <v>1.97</v>
      </c>
      <c r="E2929" s="622"/>
      <c r="F2929" s="334"/>
      <c r="G2929" s="334"/>
      <c r="H2929" s="602"/>
      <c r="I2929" s="334"/>
      <c r="J2929" s="334"/>
      <c r="K2929" s="334"/>
      <c r="L2929" s="334"/>
      <c r="M2929" s="334"/>
      <c r="N2929" s="334"/>
      <c r="O2929" s="334"/>
    </row>
    <row r="2930" spans="1:15" ht="12.75" hidden="1" customHeight="1" outlineLevel="1" x14ac:dyDescent="0.2">
      <c r="A2930" s="623" t="s">
        <v>3880</v>
      </c>
      <c r="B2930" s="624" t="s">
        <v>1337</v>
      </c>
      <c r="C2930" s="625" t="s">
        <v>100</v>
      </c>
      <c r="D2930" s="626">
        <v>0.41</v>
      </c>
      <c r="E2930" s="622"/>
      <c r="F2930" s="334"/>
      <c r="G2930" s="334"/>
      <c r="H2930" s="602"/>
      <c r="I2930" s="334"/>
      <c r="J2930" s="334"/>
      <c r="K2930" s="334"/>
      <c r="L2930" s="334"/>
      <c r="M2930" s="334"/>
      <c r="N2930" s="334"/>
      <c r="O2930" s="334"/>
    </row>
    <row r="2931" spans="1:15" ht="12.75" hidden="1" customHeight="1" outlineLevel="1" x14ac:dyDescent="0.2">
      <c r="A2931" s="627" t="s">
        <v>3881</v>
      </c>
      <c r="B2931" s="628" t="s">
        <v>1339</v>
      </c>
      <c r="C2931" s="629" t="s">
        <v>100</v>
      </c>
      <c r="D2931" s="630">
        <v>0.44</v>
      </c>
      <c r="E2931" s="622"/>
      <c r="F2931" s="334"/>
      <c r="G2931" s="334"/>
      <c r="H2931" s="602"/>
      <c r="I2931" s="334"/>
      <c r="J2931" s="334"/>
      <c r="K2931" s="334"/>
      <c r="L2931" s="334"/>
      <c r="M2931" s="334"/>
      <c r="N2931" s="334"/>
      <c r="O2931" s="334"/>
    </row>
    <row r="2932" spans="1:15" ht="12.75" hidden="1" customHeight="1" outlineLevel="1" x14ac:dyDescent="0.2">
      <c r="A2932" s="623" t="s">
        <v>3882</v>
      </c>
      <c r="B2932" s="624" t="s">
        <v>1337</v>
      </c>
      <c r="C2932" s="625" t="s">
        <v>100</v>
      </c>
      <c r="D2932" s="626">
        <v>0.68</v>
      </c>
      <c r="E2932" s="622"/>
      <c r="F2932" s="334"/>
      <c r="G2932" s="334"/>
      <c r="H2932" s="602"/>
      <c r="I2932" s="334"/>
      <c r="J2932" s="334"/>
      <c r="K2932" s="334"/>
      <c r="L2932" s="334"/>
      <c r="M2932" s="334"/>
      <c r="N2932" s="334"/>
      <c r="O2932" s="334"/>
    </row>
    <row r="2933" spans="1:15" ht="12.75" hidden="1" customHeight="1" outlineLevel="1" x14ac:dyDescent="0.2">
      <c r="A2933" s="627" t="s">
        <v>3883</v>
      </c>
      <c r="B2933" s="628" t="s">
        <v>1339</v>
      </c>
      <c r="C2933" s="629" t="s">
        <v>100</v>
      </c>
      <c r="D2933" s="630">
        <v>49.78</v>
      </c>
      <c r="E2933" s="622"/>
      <c r="F2933" s="334"/>
      <c r="G2933" s="334"/>
      <c r="H2933" s="602"/>
      <c r="I2933" s="334"/>
      <c r="J2933" s="334"/>
      <c r="K2933" s="334"/>
      <c r="L2933" s="334"/>
      <c r="M2933" s="334"/>
      <c r="N2933" s="334"/>
      <c r="O2933" s="334"/>
    </row>
    <row r="2934" spans="1:15" ht="12.75" hidden="1" customHeight="1" outlineLevel="1" x14ac:dyDescent="0.2">
      <c r="A2934" s="623" t="s">
        <v>3884</v>
      </c>
      <c r="B2934" s="624" t="s">
        <v>1337</v>
      </c>
      <c r="C2934" s="625" t="s">
        <v>100</v>
      </c>
      <c r="D2934" s="626">
        <v>18.7</v>
      </c>
      <c r="E2934" s="622"/>
      <c r="F2934" s="334"/>
      <c r="G2934" s="334"/>
      <c r="H2934" s="602"/>
      <c r="I2934" s="334"/>
      <c r="J2934" s="334"/>
      <c r="K2934" s="334"/>
      <c r="L2934" s="334"/>
      <c r="M2934" s="334"/>
      <c r="N2934" s="334"/>
      <c r="O2934" s="334"/>
    </row>
    <row r="2935" spans="1:15" ht="12.75" hidden="1" customHeight="1" outlineLevel="1" x14ac:dyDescent="0.2">
      <c r="A2935" s="618" t="s">
        <v>3885</v>
      </c>
      <c r="B2935" s="619" t="s">
        <v>1086</v>
      </c>
      <c r="C2935" s="620"/>
      <c r="D2935" s="621"/>
      <c r="E2935" s="622"/>
      <c r="F2935" s="334"/>
      <c r="G2935" s="334"/>
      <c r="H2935" s="602"/>
      <c r="I2935" s="334"/>
      <c r="J2935" s="334"/>
      <c r="K2935" s="334"/>
      <c r="L2935" s="334"/>
      <c r="M2935" s="334"/>
      <c r="N2935" s="334"/>
      <c r="O2935" s="334"/>
    </row>
    <row r="2936" spans="1:15" ht="12.75" hidden="1" customHeight="1" outlineLevel="1" x14ac:dyDescent="0.2">
      <c r="A2936" s="627" t="s">
        <v>3886</v>
      </c>
      <c r="B2936" s="628" t="s">
        <v>1339</v>
      </c>
      <c r="C2936" s="629" t="s">
        <v>100</v>
      </c>
      <c r="D2936" s="630">
        <v>13.45</v>
      </c>
      <c r="E2936" s="622"/>
      <c r="F2936" s="334"/>
      <c r="G2936" s="334"/>
      <c r="H2936" s="602"/>
      <c r="I2936" s="334"/>
      <c r="J2936" s="334"/>
      <c r="K2936" s="334"/>
      <c r="L2936" s="334"/>
      <c r="M2936" s="334"/>
      <c r="N2936" s="334"/>
      <c r="O2936" s="334"/>
    </row>
    <row r="2937" spans="1:15" ht="12.75" hidden="1" customHeight="1" outlineLevel="1" x14ac:dyDescent="0.2">
      <c r="A2937" s="623" t="s">
        <v>3887</v>
      </c>
      <c r="B2937" s="624" t="s">
        <v>1337</v>
      </c>
      <c r="C2937" s="625" t="s">
        <v>100</v>
      </c>
      <c r="D2937" s="626">
        <v>36.43</v>
      </c>
      <c r="E2937" s="622"/>
      <c r="F2937" s="334"/>
      <c r="G2937" s="334"/>
      <c r="H2937" s="602"/>
      <c r="I2937" s="334"/>
      <c r="J2937" s="334"/>
      <c r="K2937" s="334"/>
      <c r="L2937" s="334"/>
      <c r="M2937" s="334"/>
      <c r="N2937" s="334"/>
      <c r="O2937" s="334"/>
    </row>
    <row r="2938" spans="1:15" ht="12.75" hidden="1" customHeight="1" outlineLevel="1" x14ac:dyDescent="0.2">
      <c r="A2938" s="627" t="s">
        <v>3888</v>
      </c>
      <c r="B2938" s="628" t="s">
        <v>1339</v>
      </c>
      <c r="C2938" s="629" t="s">
        <v>100</v>
      </c>
      <c r="D2938" s="630">
        <v>32.71</v>
      </c>
      <c r="E2938" s="622"/>
      <c r="F2938" s="334"/>
      <c r="G2938" s="334"/>
      <c r="H2938" s="602"/>
      <c r="I2938" s="334"/>
      <c r="J2938" s="334"/>
      <c r="K2938" s="334"/>
      <c r="L2938" s="334"/>
      <c r="M2938" s="334"/>
      <c r="N2938" s="334"/>
      <c r="O2938" s="334"/>
    </row>
    <row r="2939" spans="1:15" ht="12.75" hidden="1" customHeight="1" outlineLevel="1" x14ac:dyDescent="0.2">
      <c r="A2939" s="623" t="s">
        <v>3889</v>
      </c>
      <c r="B2939" s="624" t="s">
        <v>1337</v>
      </c>
      <c r="C2939" s="625" t="s">
        <v>100</v>
      </c>
      <c r="D2939" s="626">
        <v>6.32</v>
      </c>
      <c r="E2939" s="622"/>
      <c r="F2939" s="334"/>
      <c r="G2939" s="334"/>
      <c r="H2939" s="602"/>
      <c r="I2939" s="334"/>
      <c r="J2939" s="334"/>
      <c r="K2939" s="334"/>
      <c r="L2939" s="334"/>
      <c r="M2939" s="334"/>
      <c r="N2939" s="334"/>
      <c r="O2939" s="334"/>
    </row>
    <row r="2940" spans="1:15" ht="12.75" hidden="1" customHeight="1" outlineLevel="1" x14ac:dyDescent="0.2">
      <c r="A2940" s="627" t="s">
        <v>3890</v>
      </c>
      <c r="B2940" s="628" t="s">
        <v>1339</v>
      </c>
      <c r="C2940" s="629" t="s">
        <v>100</v>
      </c>
      <c r="D2940" s="630">
        <v>1.97</v>
      </c>
      <c r="E2940" s="622"/>
      <c r="F2940" s="334"/>
      <c r="G2940" s="334"/>
      <c r="H2940" s="602"/>
      <c r="I2940" s="334"/>
      <c r="J2940" s="334"/>
      <c r="K2940" s="334"/>
      <c r="L2940" s="334"/>
      <c r="M2940" s="334"/>
      <c r="N2940" s="334"/>
      <c r="O2940" s="334"/>
    </row>
    <row r="2941" spans="1:15" ht="12.75" hidden="1" customHeight="1" outlineLevel="1" x14ac:dyDescent="0.2">
      <c r="A2941" s="623" t="s">
        <v>3891</v>
      </c>
      <c r="B2941" s="624" t="s">
        <v>1337</v>
      </c>
      <c r="C2941" s="625" t="s">
        <v>100</v>
      </c>
      <c r="D2941" s="626">
        <v>0.41</v>
      </c>
      <c r="E2941" s="622"/>
      <c r="F2941" s="334"/>
      <c r="G2941" s="334"/>
      <c r="H2941" s="602"/>
      <c r="I2941" s="334"/>
      <c r="J2941" s="334"/>
      <c r="K2941" s="334"/>
      <c r="L2941" s="334"/>
      <c r="M2941" s="334"/>
      <c r="N2941" s="334"/>
      <c r="O2941" s="334"/>
    </row>
    <row r="2942" spans="1:15" ht="12.75" hidden="1" customHeight="1" outlineLevel="1" x14ac:dyDescent="0.2">
      <c r="A2942" s="627" t="s">
        <v>3892</v>
      </c>
      <c r="B2942" s="628" t="s">
        <v>1339</v>
      </c>
      <c r="C2942" s="629" t="s">
        <v>100</v>
      </c>
      <c r="D2942" s="630">
        <v>0.44</v>
      </c>
      <c r="E2942" s="622"/>
      <c r="F2942" s="334"/>
      <c r="G2942" s="334"/>
      <c r="H2942" s="602"/>
      <c r="I2942" s="334"/>
      <c r="J2942" s="334"/>
      <c r="K2942" s="334"/>
      <c r="L2942" s="334"/>
      <c r="M2942" s="334"/>
      <c r="N2942" s="334"/>
      <c r="O2942" s="334"/>
    </row>
    <row r="2943" spans="1:15" ht="12.75" hidden="1" customHeight="1" outlineLevel="1" x14ac:dyDescent="0.2">
      <c r="A2943" s="623" t="s">
        <v>3893</v>
      </c>
      <c r="B2943" s="624" t="s">
        <v>1337</v>
      </c>
      <c r="C2943" s="625" t="s">
        <v>100</v>
      </c>
      <c r="D2943" s="626">
        <v>0.68</v>
      </c>
      <c r="E2943" s="622"/>
      <c r="F2943" s="334"/>
      <c r="G2943" s="334"/>
      <c r="H2943" s="602"/>
      <c r="I2943" s="334"/>
      <c r="J2943" s="334"/>
      <c r="K2943" s="334"/>
      <c r="L2943" s="334"/>
      <c r="M2943" s="334"/>
      <c r="N2943" s="334"/>
      <c r="O2943" s="334"/>
    </row>
    <row r="2944" spans="1:15" ht="12.75" hidden="1" customHeight="1" outlineLevel="1" x14ac:dyDescent="0.2">
      <c r="A2944" s="627" t="s">
        <v>3894</v>
      </c>
      <c r="B2944" s="628" t="s">
        <v>1339</v>
      </c>
      <c r="C2944" s="629" t="s">
        <v>100</v>
      </c>
      <c r="D2944" s="630">
        <v>49.78</v>
      </c>
      <c r="E2944" s="622"/>
      <c r="F2944" s="334"/>
      <c r="G2944" s="334"/>
      <c r="H2944" s="602"/>
      <c r="I2944" s="334"/>
      <c r="J2944" s="334"/>
      <c r="K2944" s="334"/>
      <c r="L2944" s="334"/>
      <c r="M2944" s="334"/>
      <c r="N2944" s="334"/>
      <c r="O2944" s="334"/>
    </row>
    <row r="2945" spans="1:15" ht="12.75" hidden="1" customHeight="1" outlineLevel="1" x14ac:dyDescent="0.2">
      <c r="A2945" s="623" t="s">
        <v>3895</v>
      </c>
      <c r="B2945" s="624" t="s">
        <v>1337</v>
      </c>
      <c r="C2945" s="625" t="s">
        <v>100</v>
      </c>
      <c r="D2945" s="626">
        <v>18.7</v>
      </c>
      <c r="E2945" s="622"/>
      <c r="F2945" s="334"/>
      <c r="G2945" s="334"/>
      <c r="H2945" s="602"/>
      <c r="I2945" s="334"/>
      <c r="J2945" s="334"/>
      <c r="K2945" s="334"/>
      <c r="L2945" s="334"/>
      <c r="M2945" s="334"/>
      <c r="N2945" s="334"/>
      <c r="O2945" s="334"/>
    </row>
    <row r="2946" spans="1:15" ht="12.75" hidden="1" customHeight="1" outlineLevel="1" x14ac:dyDescent="0.2">
      <c r="A2946" s="618" t="s">
        <v>3896</v>
      </c>
      <c r="B2946" s="619" t="s">
        <v>1094</v>
      </c>
      <c r="C2946" s="620"/>
      <c r="D2946" s="621"/>
      <c r="E2946" s="622"/>
      <c r="F2946" s="334"/>
      <c r="G2946" s="334"/>
      <c r="H2946" s="602"/>
      <c r="I2946" s="334"/>
      <c r="J2946" s="334"/>
      <c r="K2946" s="334"/>
      <c r="L2946" s="334"/>
      <c r="M2946" s="334"/>
      <c r="N2946" s="334"/>
      <c r="O2946" s="334"/>
    </row>
    <row r="2947" spans="1:15" ht="12.75" hidden="1" customHeight="1" outlineLevel="1" x14ac:dyDescent="0.2">
      <c r="A2947" s="627" t="s">
        <v>3897</v>
      </c>
      <c r="B2947" s="628" t="s">
        <v>1339</v>
      </c>
      <c r="C2947" s="629" t="s">
        <v>100</v>
      </c>
      <c r="D2947" s="630">
        <v>13.45</v>
      </c>
      <c r="E2947" s="622"/>
      <c r="F2947" s="334"/>
      <c r="G2947" s="334"/>
      <c r="H2947" s="602"/>
      <c r="I2947" s="334"/>
      <c r="J2947" s="334"/>
      <c r="K2947" s="334"/>
      <c r="L2947" s="334"/>
      <c r="M2947" s="334"/>
      <c r="N2947" s="334"/>
      <c r="O2947" s="334"/>
    </row>
    <row r="2948" spans="1:15" ht="12.75" hidden="1" customHeight="1" outlineLevel="1" x14ac:dyDescent="0.2">
      <c r="A2948" s="623" t="s">
        <v>3898</v>
      </c>
      <c r="B2948" s="624" t="s">
        <v>1337</v>
      </c>
      <c r="C2948" s="625" t="s">
        <v>100</v>
      </c>
      <c r="D2948" s="626">
        <v>36.43</v>
      </c>
      <c r="E2948" s="622"/>
      <c r="F2948" s="334"/>
      <c r="G2948" s="334"/>
      <c r="H2948" s="602"/>
      <c r="I2948" s="334"/>
      <c r="J2948" s="334"/>
      <c r="K2948" s="334"/>
      <c r="L2948" s="334"/>
      <c r="M2948" s="334"/>
      <c r="N2948" s="334"/>
      <c r="O2948" s="334"/>
    </row>
    <row r="2949" spans="1:15" ht="12.75" hidden="1" customHeight="1" outlineLevel="1" x14ac:dyDescent="0.2">
      <c r="A2949" s="627" t="s">
        <v>3899</v>
      </c>
      <c r="B2949" s="628" t="s">
        <v>1339</v>
      </c>
      <c r="C2949" s="629" t="s">
        <v>100</v>
      </c>
      <c r="D2949" s="630">
        <v>32.71</v>
      </c>
      <c r="E2949" s="622"/>
      <c r="F2949" s="334"/>
      <c r="G2949" s="334"/>
      <c r="H2949" s="602"/>
      <c r="I2949" s="334"/>
      <c r="J2949" s="334"/>
      <c r="K2949" s="334"/>
      <c r="L2949" s="334"/>
      <c r="M2949" s="334"/>
      <c r="N2949" s="334"/>
      <c r="O2949" s="334"/>
    </row>
    <row r="2950" spans="1:15" ht="12.75" hidden="1" customHeight="1" outlineLevel="1" x14ac:dyDescent="0.2">
      <c r="A2950" s="623" t="s">
        <v>3900</v>
      </c>
      <c r="B2950" s="624" t="s">
        <v>1337</v>
      </c>
      <c r="C2950" s="625" t="s">
        <v>100</v>
      </c>
      <c r="D2950" s="626">
        <v>6.32</v>
      </c>
      <c r="E2950" s="622"/>
      <c r="F2950" s="334"/>
      <c r="G2950" s="334"/>
      <c r="H2950" s="602"/>
      <c r="I2950" s="334"/>
      <c r="J2950" s="334"/>
      <c r="K2950" s="334"/>
      <c r="L2950" s="334"/>
      <c r="M2950" s="334"/>
      <c r="N2950" s="334"/>
      <c r="O2950" s="334"/>
    </row>
    <row r="2951" spans="1:15" ht="12.75" hidden="1" customHeight="1" outlineLevel="1" x14ac:dyDescent="0.2">
      <c r="A2951" s="627" t="s">
        <v>3901</v>
      </c>
      <c r="B2951" s="628" t="s">
        <v>1339</v>
      </c>
      <c r="C2951" s="629" t="s">
        <v>100</v>
      </c>
      <c r="D2951" s="630">
        <v>1.97</v>
      </c>
      <c r="E2951" s="622"/>
      <c r="F2951" s="334"/>
      <c r="G2951" s="334"/>
      <c r="H2951" s="602"/>
      <c r="I2951" s="334"/>
      <c r="J2951" s="334"/>
      <c r="K2951" s="334"/>
      <c r="L2951" s="334"/>
      <c r="M2951" s="334"/>
      <c r="N2951" s="334"/>
      <c r="O2951" s="334"/>
    </row>
    <row r="2952" spans="1:15" ht="12.75" hidden="1" customHeight="1" outlineLevel="1" x14ac:dyDescent="0.2">
      <c r="A2952" s="623" t="s">
        <v>3902</v>
      </c>
      <c r="B2952" s="624" t="s">
        <v>1337</v>
      </c>
      <c r="C2952" s="625" t="s">
        <v>100</v>
      </c>
      <c r="D2952" s="626">
        <v>0.41</v>
      </c>
      <c r="E2952" s="622"/>
      <c r="F2952" s="334"/>
      <c r="G2952" s="334"/>
      <c r="H2952" s="602"/>
      <c r="I2952" s="334"/>
      <c r="J2952" s="334"/>
      <c r="K2952" s="334"/>
      <c r="L2952" s="334"/>
      <c r="M2952" s="334"/>
      <c r="N2952" s="334"/>
      <c r="O2952" s="334"/>
    </row>
    <row r="2953" spans="1:15" ht="12.75" hidden="1" customHeight="1" outlineLevel="1" x14ac:dyDescent="0.2">
      <c r="A2953" s="627" t="s">
        <v>3903</v>
      </c>
      <c r="B2953" s="628" t="s">
        <v>1339</v>
      </c>
      <c r="C2953" s="629" t="s">
        <v>100</v>
      </c>
      <c r="D2953" s="630">
        <v>0.44</v>
      </c>
      <c r="E2953" s="622"/>
      <c r="F2953" s="334"/>
      <c r="G2953" s="334"/>
      <c r="H2953" s="602"/>
      <c r="I2953" s="334"/>
      <c r="J2953" s="334"/>
      <c r="K2953" s="334"/>
      <c r="L2953" s="334"/>
      <c r="M2953" s="334"/>
      <c r="N2953" s="334"/>
      <c r="O2953" s="334"/>
    </row>
    <row r="2954" spans="1:15" ht="12.75" hidden="1" customHeight="1" outlineLevel="1" x14ac:dyDescent="0.2">
      <c r="A2954" s="623" t="s">
        <v>3904</v>
      </c>
      <c r="B2954" s="624" t="s">
        <v>1337</v>
      </c>
      <c r="C2954" s="625" t="s">
        <v>100</v>
      </c>
      <c r="D2954" s="626">
        <v>0.68</v>
      </c>
      <c r="E2954" s="622"/>
      <c r="F2954" s="334"/>
      <c r="G2954" s="334"/>
      <c r="H2954" s="602"/>
      <c r="I2954" s="334"/>
      <c r="J2954" s="334"/>
      <c r="K2954" s="334"/>
      <c r="L2954" s="334"/>
      <c r="M2954" s="334"/>
      <c r="N2954" s="334"/>
      <c r="O2954" s="334"/>
    </row>
    <row r="2955" spans="1:15" ht="12.75" hidden="1" customHeight="1" outlineLevel="1" x14ac:dyDescent="0.2">
      <c r="A2955" s="627" t="s">
        <v>3905</v>
      </c>
      <c r="B2955" s="628" t="s">
        <v>1339</v>
      </c>
      <c r="C2955" s="629" t="s">
        <v>100</v>
      </c>
      <c r="D2955" s="630">
        <v>49.78</v>
      </c>
      <c r="E2955" s="622"/>
      <c r="F2955" s="334"/>
      <c r="G2955" s="334"/>
      <c r="H2955" s="602"/>
      <c r="I2955" s="334"/>
      <c r="J2955" s="334"/>
      <c r="K2955" s="334"/>
      <c r="L2955" s="334"/>
      <c r="M2955" s="334"/>
      <c r="N2955" s="334"/>
      <c r="O2955" s="334"/>
    </row>
    <row r="2956" spans="1:15" ht="12.75" hidden="1" customHeight="1" outlineLevel="1" x14ac:dyDescent="0.2">
      <c r="A2956" s="623" t="s">
        <v>3906</v>
      </c>
      <c r="B2956" s="624" t="s">
        <v>1337</v>
      </c>
      <c r="C2956" s="625" t="s">
        <v>100</v>
      </c>
      <c r="D2956" s="626">
        <v>18.7</v>
      </c>
      <c r="E2956" s="622"/>
      <c r="F2956" s="334"/>
      <c r="G2956" s="334"/>
      <c r="H2956" s="602"/>
      <c r="I2956" s="334"/>
      <c r="J2956" s="334"/>
      <c r="K2956" s="334"/>
      <c r="L2956" s="334"/>
      <c r="M2956" s="334"/>
      <c r="N2956" s="334"/>
      <c r="O2956" s="334"/>
    </row>
    <row r="2957" spans="1:15" ht="12.75" hidden="1" customHeight="1" outlineLevel="1" x14ac:dyDescent="0.2">
      <c r="A2957" s="618" t="s">
        <v>3907</v>
      </c>
      <c r="B2957" s="619" t="s">
        <v>1102</v>
      </c>
      <c r="C2957" s="620"/>
      <c r="D2957" s="621"/>
      <c r="E2957" s="622"/>
      <c r="F2957" s="334"/>
      <c r="G2957" s="334"/>
      <c r="H2957" s="602"/>
      <c r="I2957" s="334"/>
      <c r="J2957" s="334"/>
      <c r="K2957" s="334"/>
      <c r="L2957" s="334"/>
      <c r="M2957" s="334"/>
      <c r="N2957" s="334"/>
      <c r="O2957" s="334"/>
    </row>
    <row r="2958" spans="1:15" ht="12.75" hidden="1" customHeight="1" outlineLevel="1" x14ac:dyDescent="0.2">
      <c r="A2958" s="627" t="s">
        <v>3908</v>
      </c>
      <c r="B2958" s="628" t="s">
        <v>1339</v>
      </c>
      <c r="C2958" s="629" t="s">
        <v>100</v>
      </c>
      <c r="D2958" s="630">
        <v>11.97</v>
      </c>
      <c r="E2958" s="622"/>
      <c r="F2958" s="334"/>
      <c r="G2958" s="334"/>
      <c r="H2958" s="602"/>
      <c r="I2958" s="334"/>
      <c r="J2958" s="334"/>
      <c r="K2958" s="334"/>
      <c r="L2958" s="334"/>
      <c r="M2958" s="334"/>
      <c r="N2958" s="334"/>
      <c r="O2958" s="334"/>
    </row>
    <row r="2959" spans="1:15" ht="12.75" hidden="1" customHeight="1" outlineLevel="1" x14ac:dyDescent="0.2">
      <c r="A2959" s="623" t="s">
        <v>3909</v>
      </c>
      <c r="B2959" s="624" t="s">
        <v>1337</v>
      </c>
      <c r="C2959" s="625" t="s">
        <v>100</v>
      </c>
      <c r="D2959" s="626">
        <v>2.79</v>
      </c>
      <c r="E2959" s="622"/>
      <c r="F2959" s="334"/>
      <c r="G2959" s="334"/>
      <c r="H2959" s="602"/>
      <c r="I2959" s="334"/>
      <c r="J2959" s="334"/>
      <c r="K2959" s="334"/>
      <c r="L2959" s="334"/>
      <c r="M2959" s="334"/>
      <c r="N2959" s="334"/>
      <c r="O2959" s="334"/>
    </row>
    <row r="2960" spans="1:15" ht="12.75" hidden="1" customHeight="1" outlineLevel="1" x14ac:dyDescent="0.2">
      <c r="A2960" s="627" t="s">
        <v>3910</v>
      </c>
      <c r="B2960" s="628" t="s">
        <v>1339</v>
      </c>
      <c r="C2960" s="629" t="s">
        <v>100</v>
      </c>
      <c r="D2960" s="630">
        <v>14.15</v>
      </c>
      <c r="E2960" s="622"/>
      <c r="F2960" s="334"/>
      <c r="G2960" s="334"/>
      <c r="H2960" s="602"/>
      <c r="I2960" s="334"/>
      <c r="J2960" s="334"/>
      <c r="K2960" s="334"/>
      <c r="L2960" s="334"/>
      <c r="M2960" s="334"/>
      <c r="N2960" s="334"/>
      <c r="O2960" s="334"/>
    </row>
    <row r="2961" spans="1:15" ht="12.75" hidden="1" customHeight="1" outlineLevel="1" x14ac:dyDescent="0.2">
      <c r="A2961" s="623" t="s">
        <v>3911</v>
      </c>
      <c r="B2961" s="624" t="s">
        <v>1337</v>
      </c>
      <c r="C2961" s="625" t="s">
        <v>100</v>
      </c>
      <c r="D2961" s="626">
        <v>15</v>
      </c>
      <c r="E2961" s="622"/>
      <c r="F2961" s="334"/>
      <c r="G2961" s="334"/>
      <c r="H2961" s="602"/>
      <c r="I2961" s="334"/>
      <c r="J2961" s="334"/>
      <c r="K2961" s="334"/>
      <c r="L2961" s="334"/>
      <c r="M2961" s="334"/>
      <c r="N2961" s="334"/>
      <c r="O2961" s="334"/>
    </row>
    <row r="2962" spans="1:15" ht="12.75" hidden="1" customHeight="1" outlineLevel="1" x14ac:dyDescent="0.2">
      <c r="A2962" s="627" t="s">
        <v>3912</v>
      </c>
      <c r="B2962" s="628" t="s">
        <v>1339</v>
      </c>
      <c r="C2962" s="629" t="s">
        <v>100</v>
      </c>
      <c r="D2962" s="630">
        <v>23.36</v>
      </c>
      <c r="E2962" s="622"/>
      <c r="F2962" s="334"/>
      <c r="G2962" s="334"/>
      <c r="H2962" s="602"/>
      <c r="I2962" s="334"/>
      <c r="J2962" s="334"/>
      <c r="K2962" s="334"/>
      <c r="L2962" s="334"/>
      <c r="M2962" s="334"/>
      <c r="N2962" s="334"/>
      <c r="O2962" s="334"/>
    </row>
    <row r="2963" spans="1:15" ht="12.75" hidden="1" customHeight="1" outlineLevel="1" x14ac:dyDescent="0.2">
      <c r="A2963" s="623" t="s">
        <v>3913</v>
      </c>
      <c r="B2963" s="624" t="s">
        <v>1337</v>
      </c>
      <c r="C2963" s="625" t="s">
        <v>100</v>
      </c>
      <c r="D2963" s="626">
        <v>10.48</v>
      </c>
      <c r="E2963" s="622"/>
      <c r="F2963" s="334"/>
      <c r="G2963" s="334"/>
      <c r="H2963" s="602"/>
      <c r="I2963" s="334"/>
      <c r="J2963" s="334"/>
      <c r="K2963" s="334"/>
      <c r="L2963" s="334"/>
      <c r="M2963" s="334"/>
      <c r="N2963" s="334"/>
      <c r="O2963" s="334"/>
    </row>
    <row r="2964" spans="1:15" ht="12.75" hidden="1" customHeight="1" outlineLevel="1" x14ac:dyDescent="0.2">
      <c r="A2964" s="627" t="s">
        <v>3914</v>
      </c>
      <c r="B2964" s="628" t="s">
        <v>1339</v>
      </c>
      <c r="C2964" s="629" t="s">
        <v>100</v>
      </c>
      <c r="D2964" s="630">
        <v>23.21</v>
      </c>
      <c r="E2964" s="622"/>
      <c r="F2964" s="334"/>
      <c r="G2964" s="334"/>
      <c r="H2964" s="602"/>
      <c r="I2964" s="334"/>
      <c r="J2964" s="334"/>
      <c r="K2964" s="334"/>
      <c r="L2964" s="334"/>
      <c r="M2964" s="334"/>
      <c r="N2964" s="334"/>
      <c r="O2964" s="334"/>
    </row>
    <row r="2965" spans="1:15" ht="12.75" hidden="1" customHeight="1" outlineLevel="1" x14ac:dyDescent="0.2">
      <c r="A2965" s="623" t="s">
        <v>3915</v>
      </c>
      <c r="B2965" s="624" t="s">
        <v>1337</v>
      </c>
      <c r="C2965" s="625" t="s">
        <v>100</v>
      </c>
      <c r="D2965" s="626">
        <v>10.8</v>
      </c>
      <c r="E2965" s="622"/>
      <c r="F2965" s="334"/>
      <c r="G2965" s="334"/>
      <c r="H2965" s="602"/>
      <c r="I2965" s="334"/>
      <c r="J2965" s="334"/>
      <c r="K2965" s="334"/>
      <c r="L2965" s="334"/>
      <c r="M2965" s="334"/>
      <c r="N2965" s="334"/>
      <c r="O2965" s="334"/>
    </row>
    <row r="2966" spans="1:15" ht="12.75" hidden="1" customHeight="1" outlineLevel="1" x14ac:dyDescent="0.2">
      <c r="A2966" s="627" t="s">
        <v>3916</v>
      </c>
      <c r="B2966" s="628" t="s">
        <v>1339</v>
      </c>
      <c r="C2966" s="629" t="s">
        <v>100</v>
      </c>
      <c r="D2966" s="630">
        <v>35.78</v>
      </c>
      <c r="E2966" s="622"/>
      <c r="F2966" s="334"/>
      <c r="G2966" s="334"/>
      <c r="H2966" s="602"/>
      <c r="I2966" s="334"/>
      <c r="J2966" s="334"/>
      <c r="K2966" s="334"/>
      <c r="L2966" s="334"/>
      <c r="M2966" s="334"/>
      <c r="N2966" s="334"/>
      <c r="O2966" s="334"/>
    </row>
    <row r="2967" spans="1:15" ht="12.75" hidden="1" customHeight="1" outlineLevel="1" x14ac:dyDescent="0.2">
      <c r="A2967" s="623" t="s">
        <v>3917</v>
      </c>
      <c r="B2967" s="624" t="s">
        <v>1337</v>
      </c>
      <c r="C2967" s="625" t="s">
        <v>100</v>
      </c>
      <c r="D2967" s="626">
        <v>16.98</v>
      </c>
      <c r="E2967" s="622"/>
      <c r="F2967" s="334"/>
      <c r="G2967" s="334"/>
      <c r="H2967" s="602"/>
      <c r="I2967" s="334"/>
      <c r="J2967" s="334"/>
      <c r="K2967" s="334"/>
      <c r="L2967" s="334"/>
      <c r="M2967" s="334"/>
      <c r="N2967" s="334"/>
      <c r="O2967" s="334"/>
    </row>
    <row r="2968" spans="1:15" ht="12.75" hidden="1" customHeight="1" outlineLevel="1" x14ac:dyDescent="0.2">
      <c r="A2968" s="618" t="s">
        <v>3918</v>
      </c>
      <c r="B2968" s="619" t="s">
        <v>1112</v>
      </c>
      <c r="C2968" s="620"/>
      <c r="D2968" s="621"/>
      <c r="E2968" s="622"/>
      <c r="F2968" s="334"/>
      <c r="G2968" s="334"/>
      <c r="H2968" s="602"/>
      <c r="I2968" s="334"/>
      <c r="J2968" s="334"/>
      <c r="K2968" s="334"/>
      <c r="L2968" s="334"/>
      <c r="M2968" s="334"/>
      <c r="N2968" s="334"/>
      <c r="O2968" s="334"/>
    </row>
    <row r="2969" spans="1:15" ht="12.75" hidden="1" customHeight="1" outlineLevel="1" x14ac:dyDescent="0.2">
      <c r="A2969" s="627" t="s">
        <v>3919</v>
      </c>
      <c r="B2969" s="628" t="s">
        <v>1337</v>
      </c>
      <c r="C2969" s="629" t="s">
        <v>100</v>
      </c>
      <c r="D2969" s="630">
        <v>30.23</v>
      </c>
      <c r="E2969" s="622"/>
      <c r="F2969" s="334"/>
      <c r="G2969" s="334"/>
      <c r="H2969" s="602"/>
      <c r="I2969" s="334"/>
      <c r="J2969" s="334"/>
      <c r="K2969" s="334"/>
      <c r="L2969" s="334"/>
      <c r="M2969" s="334"/>
      <c r="N2969" s="334"/>
      <c r="O2969" s="334"/>
    </row>
    <row r="2970" spans="1:15" ht="12.75" hidden="1" customHeight="1" outlineLevel="1" x14ac:dyDescent="0.2">
      <c r="A2970" s="623" t="s">
        <v>3920</v>
      </c>
      <c r="B2970" s="624" t="s">
        <v>3921</v>
      </c>
      <c r="C2970" s="625" t="s">
        <v>100</v>
      </c>
      <c r="D2970" s="626">
        <v>21.35</v>
      </c>
      <c r="E2970" s="622"/>
      <c r="F2970" s="334"/>
      <c r="G2970" s="334"/>
      <c r="H2970" s="602"/>
      <c r="I2970" s="334"/>
      <c r="J2970" s="334"/>
      <c r="K2970" s="334"/>
      <c r="L2970" s="334"/>
      <c r="M2970" s="334"/>
      <c r="N2970" s="334"/>
      <c r="O2970" s="334"/>
    </row>
    <row r="2971" spans="1:15" ht="12.75" hidden="1" customHeight="1" outlineLevel="1" x14ac:dyDescent="0.2">
      <c r="A2971" s="627" t="s">
        <v>3922</v>
      </c>
      <c r="B2971" s="628" t="s">
        <v>1337</v>
      </c>
      <c r="C2971" s="629" t="s">
        <v>100</v>
      </c>
      <c r="D2971" s="630">
        <v>13.86</v>
      </c>
      <c r="E2971" s="622"/>
      <c r="F2971" s="334"/>
      <c r="G2971" s="334"/>
      <c r="H2971" s="602"/>
      <c r="I2971" s="334"/>
      <c r="J2971" s="334"/>
      <c r="K2971" s="334"/>
      <c r="L2971" s="334"/>
      <c r="M2971" s="334"/>
      <c r="N2971" s="334"/>
      <c r="O2971" s="334"/>
    </row>
    <row r="2972" spans="1:15" ht="12.75" hidden="1" customHeight="1" outlineLevel="1" x14ac:dyDescent="0.2">
      <c r="A2972" s="623" t="s">
        <v>3923</v>
      </c>
      <c r="B2972" s="624" t="s">
        <v>1339</v>
      </c>
      <c r="C2972" s="625" t="s">
        <v>100</v>
      </c>
      <c r="D2972" s="626">
        <v>24.92</v>
      </c>
      <c r="E2972" s="622"/>
      <c r="F2972" s="334"/>
      <c r="G2972" s="334"/>
      <c r="H2972" s="602"/>
      <c r="I2972" s="334"/>
      <c r="J2972" s="334"/>
      <c r="K2972" s="334"/>
      <c r="L2972" s="334"/>
      <c r="M2972" s="334"/>
      <c r="N2972" s="334"/>
      <c r="O2972" s="334"/>
    </row>
    <row r="2973" spans="1:15" ht="12.75" hidden="1" customHeight="1" outlineLevel="1" x14ac:dyDescent="0.2">
      <c r="A2973" s="627" t="s">
        <v>3924</v>
      </c>
      <c r="B2973" s="628" t="s">
        <v>1337</v>
      </c>
      <c r="C2973" s="629" t="s">
        <v>100</v>
      </c>
      <c r="D2973" s="630">
        <v>10.69</v>
      </c>
      <c r="E2973" s="622"/>
      <c r="F2973" s="334"/>
      <c r="G2973" s="334"/>
      <c r="H2973" s="602"/>
      <c r="I2973" s="334"/>
      <c r="J2973" s="334"/>
      <c r="K2973" s="334"/>
      <c r="L2973" s="334"/>
      <c r="M2973" s="334"/>
      <c r="N2973" s="334"/>
      <c r="O2973" s="334"/>
    </row>
    <row r="2974" spans="1:15" ht="12.75" hidden="1" customHeight="1" outlineLevel="1" x14ac:dyDescent="0.2">
      <c r="A2974" s="623" t="s">
        <v>3925</v>
      </c>
      <c r="B2974" s="624" t="s">
        <v>1339</v>
      </c>
      <c r="C2974" s="625" t="s">
        <v>100</v>
      </c>
      <c r="D2974" s="626">
        <v>24.47</v>
      </c>
      <c r="E2974" s="622"/>
      <c r="F2974" s="334"/>
      <c r="G2974" s="334"/>
      <c r="H2974" s="602"/>
      <c r="I2974" s="334"/>
      <c r="J2974" s="334"/>
      <c r="K2974" s="334"/>
      <c r="L2974" s="334"/>
      <c r="M2974" s="334"/>
      <c r="N2974" s="334"/>
      <c r="O2974" s="334"/>
    </row>
    <row r="2975" spans="1:15" ht="12.75" hidden="1" customHeight="1" outlineLevel="1" x14ac:dyDescent="0.2">
      <c r="A2975" s="627" t="s">
        <v>3926</v>
      </c>
      <c r="B2975" s="628" t="s">
        <v>1337</v>
      </c>
      <c r="C2975" s="629" t="s">
        <v>100</v>
      </c>
      <c r="D2975" s="630">
        <v>10.99</v>
      </c>
      <c r="E2975" s="622"/>
      <c r="F2975" s="334"/>
      <c r="G2975" s="334"/>
      <c r="H2975" s="602"/>
      <c r="I2975" s="334"/>
      <c r="J2975" s="334"/>
      <c r="K2975" s="334"/>
      <c r="L2975" s="334"/>
      <c r="M2975" s="334"/>
      <c r="N2975" s="334"/>
      <c r="O2975" s="334"/>
    </row>
    <row r="2976" spans="1:15" ht="12.75" hidden="1" customHeight="1" outlineLevel="1" x14ac:dyDescent="0.2">
      <c r="A2976" s="623" t="s">
        <v>3927</v>
      </c>
      <c r="B2976" s="624" t="s">
        <v>1339</v>
      </c>
      <c r="C2976" s="625" t="s">
        <v>100</v>
      </c>
      <c r="D2976" s="626">
        <v>42.04</v>
      </c>
      <c r="E2976" s="622"/>
      <c r="F2976" s="334"/>
      <c r="G2976" s="334"/>
      <c r="H2976" s="602"/>
      <c r="I2976" s="334"/>
      <c r="J2976" s="334"/>
      <c r="K2976" s="334"/>
      <c r="L2976" s="334"/>
      <c r="M2976" s="334"/>
      <c r="N2976" s="334"/>
      <c r="O2976" s="334"/>
    </row>
    <row r="2977" spans="1:15" ht="12.75" hidden="1" customHeight="1" outlineLevel="1" x14ac:dyDescent="0.2">
      <c r="A2977" s="627" t="s">
        <v>3928</v>
      </c>
      <c r="B2977" s="628" t="s">
        <v>1337</v>
      </c>
      <c r="C2977" s="629" t="s">
        <v>100</v>
      </c>
      <c r="D2977" s="630">
        <v>17.84</v>
      </c>
      <c r="E2977" s="622"/>
      <c r="F2977" s="334"/>
      <c r="G2977" s="334"/>
      <c r="H2977" s="602"/>
      <c r="I2977" s="334"/>
      <c r="J2977" s="334"/>
      <c r="K2977" s="334"/>
      <c r="L2977" s="334"/>
      <c r="M2977" s="334"/>
      <c r="N2977" s="334"/>
      <c r="O2977" s="334"/>
    </row>
    <row r="2978" spans="1:15" ht="12.75" hidden="1" customHeight="1" outlineLevel="1" x14ac:dyDescent="0.2">
      <c r="A2978" s="618" t="s">
        <v>3929</v>
      </c>
      <c r="B2978" s="619" t="s">
        <v>1120</v>
      </c>
      <c r="C2978" s="620"/>
      <c r="D2978" s="621"/>
      <c r="E2978" s="622"/>
      <c r="F2978" s="334"/>
      <c r="G2978" s="334"/>
      <c r="H2978" s="602"/>
      <c r="I2978" s="334"/>
      <c r="J2978" s="334"/>
      <c r="K2978" s="334"/>
      <c r="L2978" s="334"/>
      <c r="M2978" s="334"/>
      <c r="N2978" s="334"/>
      <c r="O2978" s="334"/>
    </row>
    <row r="2979" spans="1:15" ht="12.75" hidden="1" customHeight="1" outlineLevel="1" x14ac:dyDescent="0.2">
      <c r="A2979" s="623" t="s">
        <v>3930</v>
      </c>
      <c r="B2979" s="628" t="s">
        <v>1339</v>
      </c>
      <c r="C2979" s="625" t="s">
        <v>100</v>
      </c>
      <c r="D2979" s="626">
        <v>2.66</v>
      </c>
      <c r="E2979" s="622"/>
      <c r="F2979" s="334"/>
      <c r="G2979" s="334"/>
      <c r="H2979" s="602"/>
      <c r="I2979" s="334"/>
      <c r="J2979" s="334"/>
      <c r="K2979" s="334"/>
      <c r="L2979" s="334"/>
      <c r="M2979" s="334"/>
      <c r="N2979" s="334"/>
      <c r="O2979" s="334"/>
    </row>
    <row r="2980" spans="1:15" ht="12.75" hidden="1" customHeight="1" outlineLevel="1" x14ac:dyDescent="0.2">
      <c r="A2980" s="627" t="s">
        <v>3931</v>
      </c>
      <c r="B2980" s="624" t="s">
        <v>1337</v>
      </c>
      <c r="C2980" s="629" t="s">
        <v>100</v>
      </c>
      <c r="D2980" s="630">
        <v>1.25</v>
      </c>
      <c r="E2980" s="622"/>
      <c r="F2980" s="334"/>
      <c r="G2980" s="334"/>
      <c r="H2980" s="602"/>
      <c r="I2980" s="334"/>
      <c r="J2980" s="334"/>
      <c r="K2980" s="334"/>
      <c r="L2980" s="334"/>
      <c r="M2980" s="334"/>
      <c r="N2980" s="334"/>
      <c r="O2980" s="334"/>
    </row>
    <row r="2981" spans="1:15" ht="12.75" hidden="1" customHeight="1" outlineLevel="1" x14ac:dyDescent="0.2">
      <c r="A2981" s="623" t="s">
        <v>3932</v>
      </c>
      <c r="B2981" s="628" t="s">
        <v>1339</v>
      </c>
      <c r="C2981" s="625" t="s">
        <v>100</v>
      </c>
      <c r="D2981" s="626">
        <v>14.95</v>
      </c>
      <c r="E2981" s="622"/>
      <c r="F2981" s="334"/>
      <c r="G2981" s="334"/>
      <c r="H2981" s="602"/>
      <c r="I2981" s="334"/>
      <c r="J2981" s="334"/>
      <c r="K2981" s="334"/>
      <c r="L2981" s="334"/>
      <c r="M2981" s="334"/>
      <c r="N2981" s="334"/>
      <c r="O2981" s="334"/>
    </row>
    <row r="2982" spans="1:15" ht="12.75" hidden="1" customHeight="1" outlineLevel="1" x14ac:dyDescent="0.2">
      <c r="A2982" s="627" t="s">
        <v>3933</v>
      </c>
      <c r="B2982" s="624" t="s">
        <v>1337</v>
      </c>
      <c r="C2982" s="629" t="s">
        <v>100</v>
      </c>
      <c r="D2982" s="630">
        <v>20.440000000000001</v>
      </c>
      <c r="E2982" s="622"/>
      <c r="F2982" s="334"/>
      <c r="G2982" s="334"/>
      <c r="H2982" s="602"/>
      <c r="I2982" s="334"/>
      <c r="J2982" s="334"/>
      <c r="K2982" s="334"/>
      <c r="L2982" s="334"/>
      <c r="M2982" s="334"/>
      <c r="N2982" s="334"/>
      <c r="O2982" s="334"/>
    </row>
    <row r="2983" spans="1:15" ht="12.75" hidden="1" customHeight="1" outlineLevel="1" x14ac:dyDescent="0.2">
      <c r="A2983" s="623" t="s">
        <v>3934</v>
      </c>
      <c r="B2983" s="628" t="s">
        <v>1339</v>
      </c>
      <c r="C2983" s="625" t="s">
        <v>100</v>
      </c>
      <c r="D2983" s="626">
        <v>7.94</v>
      </c>
      <c r="E2983" s="622"/>
      <c r="F2983" s="334"/>
      <c r="G2983" s="334"/>
      <c r="H2983" s="602"/>
      <c r="I2983" s="334"/>
      <c r="J2983" s="334"/>
      <c r="K2983" s="334"/>
      <c r="L2983" s="334"/>
      <c r="M2983" s="334"/>
      <c r="N2983" s="334"/>
      <c r="O2983" s="334"/>
    </row>
    <row r="2984" spans="1:15" ht="12.75" hidden="1" customHeight="1" outlineLevel="1" x14ac:dyDescent="0.2">
      <c r="A2984" s="627" t="s">
        <v>3935</v>
      </c>
      <c r="B2984" s="624" t="s">
        <v>1337</v>
      </c>
      <c r="C2984" s="629" t="s">
        <v>100</v>
      </c>
      <c r="D2984" s="630">
        <v>9.9</v>
      </c>
      <c r="E2984" s="622"/>
      <c r="F2984" s="334"/>
      <c r="G2984" s="334"/>
      <c r="H2984" s="602"/>
      <c r="I2984" s="334"/>
      <c r="J2984" s="334"/>
      <c r="K2984" s="334"/>
      <c r="L2984" s="334"/>
      <c r="M2984" s="334"/>
      <c r="N2984" s="334"/>
      <c r="O2984" s="334"/>
    </row>
    <row r="2985" spans="1:15" ht="12.75" hidden="1" customHeight="1" outlineLevel="1" x14ac:dyDescent="0.2">
      <c r="A2985" s="623" t="s">
        <v>3936</v>
      </c>
      <c r="B2985" s="628" t="s">
        <v>1339</v>
      </c>
      <c r="C2985" s="625" t="s">
        <v>100</v>
      </c>
      <c r="D2985" s="626">
        <v>3.06</v>
      </c>
      <c r="E2985" s="622"/>
      <c r="F2985" s="334"/>
      <c r="G2985" s="334"/>
      <c r="H2985" s="602"/>
      <c r="I2985" s="334"/>
      <c r="J2985" s="334"/>
      <c r="K2985" s="334"/>
      <c r="L2985" s="334"/>
      <c r="M2985" s="334"/>
      <c r="N2985" s="334"/>
      <c r="O2985" s="334"/>
    </row>
    <row r="2986" spans="1:15" ht="12.75" hidden="1" customHeight="1" outlineLevel="1" x14ac:dyDescent="0.2">
      <c r="A2986" s="627" t="s">
        <v>3937</v>
      </c>
      <c r="B2986" s="624" t="s">
        <v>1337</v>
      </c>
      <c r="C2986" s="629" t="s">
        <v>100</v>
      </c>
      <c r="D2986" s="630">
        <v>14.47</v>
      </c>
      <c r="E2986" s="622"/>
      <c r="F2986" s="334"/>
      <c r="G2986" s="334"/>
      <c r="H2986" s="602"/>
      <c r="I2986" s="334"/>
      <c r="J2986" s="334"/>
      <c r="K2986" s="334"/>
      <c r="L2986" s="334"/>
      <c r="M2986" s="334"/>
      <c r="N2986" s="334"/>
      <c r="O2986" s="334"/>
    </row>
    <row r="2987" spans="1:15" ht="12.75" hidden="1" customHeight="1" outlineLevel="1" x14ac:dyDescent="0.2">
      <c r="A2987" s="623" t="s">
        <v>3938</v>
      </c>
      <c r="B2987" s="628" t="s">
        <v>1339</v>
      </c>
      <c r="C2987" s="625" t="s">
        <v>100</v>
      </c>
      <c r="D2987" s="626">
        <v>21.24</v>
      </c>
      <c r="E2987" s="622"/>
      <c r="F2987" s="334"/>
      <c r="G2987" s="334"/>
      <c r="H2987" s="602"/>
      <c r="I2987" s="334"/>
      <c r="J2987" s="334"/>
      <c r="K2987" s="334"/>
      <c r="L2987" s="334"/>
      <c r="M2987" s="334"/>
      <c r="N2987" s="334"/>
      <c r="O2987" s="334"/>
    </row>
    <row r="2988" spans="1:15" ht="12.75" hidden="1" customHeight="1" outlineLevel="1" x14ac:dyDescent="0.2">
      <c r="A2988" s="627" t="s">
        <v>3939</v>
      </c>
      <c r="B2988" s="624" t="s">
        <v>1337</v>
      </c>
      <c r="C2988" s="629" t="s">
        <v>100</v>
      </c>
      <c r="D2988" s="630">
        <v>18.03</v>
      </c>
      <c r="E2988" s="622"/>
      <c r="F2988" s="334"/>
      <c r="G2988" s="334"/>
      <c r="H2988" s="602"/>
      <c r="I2988" s="334"/>
      <c r="J2988" s="334"/>
      <c r="K2988" s="334"/>
      <c r="L2988" s="334"/>
      <c r="M2988" s="334"/>
      <c r="N2988" s="334"/>
      <c r="O2988" s="334"/>
    </row>
    <row r="2989" spans="1:15" ht="12.75" hidden="1" customHeight="1" outlineLevel="1" x14ac:dyDescent="0.2">
      <c r="A2989" s="618" t="s">
        <v>3940</v>
      </c>
      <c r="B2989" s="619" t="s">
        <v>1127</v>
      </c>
      <c r="C2989" s="620"/>
      <c r="D2989" s="621"/>
      <c r="E2989" s="622"/>
      <c r="F2989" s="334"/>
      <c r="G2989" s="334"/>
      <c r="H2989" s="602"/>
      <c r="I2989" s="334"/>
      <c r="J2989" s="334"/>
      <c r="K2989" s="334"/>
      <c r="L2989" s="334"/>
      <c r="M2989" s="334"/>
      <c r="N2989" s="334"/>
      <c r="O2989" s="334"/>
    </row>
    <row r="2990" spans="1:15" ht="12.75" hidden="1" customHeight="1" outlineLevel="1" x14ac:dyDescent="0.2">
      <c r="A2990" s="623" t="s">
        <v>3941</v>
      </c>
      <c r="B2990" s="624" t="s">
        <v>3942</v>
      </c>
      <c r="C2990" s="625" t="s">
        <v>100</v>
      </c>
      <c r="D2990" s="626">
        <v>32.82</v>
      </c>
      <c r="E2990" s="622"/>
      <c r="F2990" s="334"/>
      <c r="G2990" s="334"/>
      <c r="H2990" s="602"/>
      <c r="I2990" s="334"/>
      <c r="J2990" s="334"/>
      <c r="K2990" s="334"/>
      <c r="L2990" s="334"/>
      <c r="M2990" s="334"/>
      <c r="N2990" s="334"/>
      <c r="O2990" s="334"/>
    </row>
    <row r="2991" spans="1:15" ht="12.75" hidden="1" customHeight="1" outlineLevel="1" x14ac:dyDescent="0.2">
      <c r="A2991" s="627" t="s">
        <v>3943</v>
      </c>
      <c r="B2991" s="628" t="s">
        <v>3944</v>
      </c>
      <c r="C2991" s="629" t="s">
        <v>100</v>
      </c>
      <c r="D2991" s="630">
        <v>12.69</v>
      </c>
      <c r="E2991" s="622"/>
      <c r="F2991" s="334"/>
      <c r="G2991" s="334"/>
      <c r="H2991" s="602"/>
      <c r="I2991" s="334"/>
      <c r="J2991" s="334"/>
      <c r="K2991" s="334"/>
      <c r="L2991" s="334"/>
      <c r="M2991" s="334"/>
      <c r="N2991" s="334"/>
      <c r="O2991" s="334"/>
    </row>
    <row r="2992" spans="1:15" ht="12.75" hidden="1" customHeight="1" outlineLevel="1" x14ac:dyDescent="0.2">
      <c r="A2992" s="623" t="s">
        <v>3945</v>
      </c>
      <c r="B2992" s="624" t="s">
        <v>3946</v>
      </c>
      <c r="C2992" s="625" t="s">
        <v>100</v>
      </c>
      <c r="D2992" s="626">
        <v>32.99</v>
      </c>
      <c r="E2992" s="622"/>
      <c r="F2992" s="334"/>
      <c r="G2992" s="334"/>
      <c r="H2992" s="602"/>
      <c r="I2992" s="334"/>
      <c r="J2992" s="334"/>
      <c r="K2992" s="334"/>
      <c r="L2992" s="334"/>
      <c r="M2992" s="334"/>
      <c r="N2992" s="334"/>
      <c r="O2992" s="334"/>
    </row>
    <row r="2993" spans="1:15" ht="12.75" hidden="1" customHeight="1" outlineLevel="1" x14ac:dyDescent="0.2">
      <c r="A2993" s="627" t="s">
        <v>3947</v>
      </c>
      <c r="B2993" s="628" t="s">
        <v>3948</v>
      </c>
      <c r="C2993" s="629" t="s">
        <v>100</v>
      </c>
      <c r="D2993" s="630">
        <v>4.79</v>
      </c>
      <c r="E2993" s="622"/>
      <c r="F2993" s="334"/>
      <c r="G2993" s="334"/>
      <c r="H2993" s="602"/>
      <c r="I2993" s="334"/>
      <c r="J2993" s="334"/>
      <c r="K2993" s="334"/>
      <c r="L2993" s="334"/>
      <c r="M2993" s="334"/>
      <c r="N2993" s="334"/>
      <c r="O2993" s="334"/>
    </row>
    <row r="2994" spans="1:15" ht="12.75" hidden="1" customHeight="1" outlineLevel="1" x14ac:dyDescent="0.2">
      <c r="A2994" s="623" t="s">
        <v>3949</v>
      </c>
      <c r="B2994" s="624" t="s">
        <v>3950</v>
      </c>
      <c r="C2994" s="625" t="s">
        <v>100</v>
      </c>
      <c r="D2994" s="626">
        <v>13.31</v>
      </c>
      <c r="E2994" s="622"/>
      <c r="F2994" s="334"/>
      <c r="G2994" s="334"/>
      <c r="H2994" s="602"/>
      <c r="I2994" s="334"/>
      <c r="J2994" s="334"/>
      <c r="K2994" s="334"/>
      <c r="L2994" s="334"/>
      <c r="M2994" s="334"/>
      <c r="N2994" s="334"/>
      <c r="O2994" s="334"/>
    </row>
    <row r="2995" spans="1:15" ht="12.75" hidden="1" customHeight="1" outlineLevel="1" x14ac:dyDescent="0.2">
      <c r="A2995" s="627" t="s">
        <v>3951</v>
      </c>
      <c r="B2995" s="628" t="s">
        <v>3952</v>
      </c>
      <c r="C2995" s="629" t="s">
        <v>100</v>
      </c>
      <c r="D2995" s="630">
        <v>32.590000000000003</v>
      </c>
      <c r="E2995" s="622"/>
      <c r="F2995" s="334"/>
      <c r="G2995" s="334"/>
      <c r="H2995" s="602"/>
      <c r="I2995" s="334"/>
      <c r="J2995" s="334"/>
      <c r="K2995" s="334"/>
      <c r="L2995" s="334"/>
      <c r="M2995" s="334"/>
      <c r="N2995" s="334"/>
      <c r="O2995" s="334"/>
    </row>
    <row r="2996" spans="1:15" ht="12.75" hidden="1" customHeight="1" outlineLevel="1" x14ac:dyDescent="0.2">
      <c r="A2996" s="623" t="s">
        <v>3953</v>
      </c>
      <c r="B2996" s="624" t="s">
        <v>3954</v>
      </c>
      <c r="C2996" s="625" t="s">
        <v>100</v>
      </c>
      <c r="D2996" s="626">
        <v>20.96</v>
      </c>
      <c r="E2996" s="622"/>
      <c r="F2996" s="334"/>
      <c r="G2996" s="334"/>
      <c r="H2996" s="602"/>
      <c r="I2996" s="334"/>
      <c r="J2996" s="334"/>
      <c r="K2996" s="334"/>
      <c r="L2996" s="334"/>
      <c r="M2996" s="334"/>
      <c r="N2996" s="334"/>
      <c r="O2996" s="334"/>
    </row>
    <row r="2997" spans="1:15" ht="12.75" hidden="1" customHeight="1" outlineLevel="1" x14ac:dyDescent="0.2">
      <c r="A2997" s="618" t="s">
        <v>3955</v>
      </c>
      <c r="B2997" s="619" t="s">
        <v>1137</v>
      </c>
      <c r="C2997" s="620"/>
      <c r="D2997" s="621"/>
      <c r="E2997" s="622"/>
      <c r="F2997" s="334"/>
      <c r="G2997" s="334"/>
      <c r="H2997" s="602"/>
      <c r="I2997" s="334"/>
      <c r="J2997" s="334"/>
      <c r="K2997" s="334"/>
      <c r="L2997" s="334"/>
      <c r="M2997" s="334"/>
      <c r="N2997" s="334"/>
      <c r="O2997" s="334"/>
    </row>
    <row r="2998" spans="1:15" ht="12.75" hidden="1" customHeight="1" outlineLevel="1" x14ac:dyDescent="0.2">
      <c r="A2998" s="627" t="s">
        <v>3956</v>
      </c>
      <c r="B2998" s="628" t="s">
        <v>1339</v>
      </c>
      <c r="C2998" s="629" t="s">
        <v>100</v>
      </c>
      <c r="D2998" s="630">
        <v>40.770000000000003</v>
      </c>
      <c r="E2998" s="622"/>
      <c r="F2998" s="334"/>
      <c r="G2998" s="334"/>
      <c r="H2998" s="602"/>
      <c r="I2998" s="334"/>
      <c r="J2998" s="334"/>
      <c r="K2998" s="334"/>
      <c r="L2998" s="334"/>
      <c r="M2998" s="334"/>
      <c r="N2998" s="334"/>
      <c r="O2998" s="334"/>
    </row>
    <row r="2999" spans="1:15" ht="12.75" hidden="1" customHeight="1" outlineLevel="1" x14ac:dyDescent="0.2">
      <c r="A2999" s="623" t="s">
        <v>3957</v>
      </c>
      <c r="B2999" s="624" t="s">
        <v>1337</v>
      </c>
      <c r="C2999" s="625" t="s">
        <v>100</v>
      </c>
      <c r="D2999" s="626">
        <v>51.05</v>
      </c>
      <c r="E2999" s="622"/>
      <c r="F2999" s="334"/>
      <c r="G2999" s="334"/>
      <c r="H2999" s="602"/>
      <c r="I2999" s="334"/>
      <c r="J2999" s="334"/>
      <c r="K2999" s="334"/>
      <c r="L2999" s="334"/>
      <c r="M2999" s="334"/>
      <c r="N2999" s="334"/>
      <c r="O2999" s="334"/>
    </row>
    <row r="3000" spans="1:15" ht="12.75" hidden="1" customHeight="1" outlineLevel="1" x14ac:dyDescent="0.2">
      <c r="A3000" s="627" t="s">
        <v>3958</v>
      </c>
      <c r="B3000" s="624" t="s">
        <v>1337</v>
      </c>
      <c r="C3000" s="629" t="s">
        <v>100</v>
      </c>
      <c r="D3000" s="630">
        <v>4.3499999999999996</v>
      </c>
      <c r="E3000" s="622"/>
      <c r="F3000" s="334"/>
      <c r="G3000" s="334"/>
      <c r="H3000" s="602"/>
      <c r="I3000" s="334"/>
      <c r="J3000" s="334"/>
      <c r="K3000" s="334"/>
      <c r="L3000" s="334"/>
      <c r="M3000" s="334"/>
      <c r="N3000" s="334"/>
      <c r="O3000" s="334"/>
    </row>
    <row r="3001" spans="1:15" ht="12.75" hidden="1" customHeight="1" outlineLevel="1" x14ac:dyDescent="0.2">
      <c r="A3001" s="623" t="s">
        <v>3959</v>
      </c>
      <c r="B3001" s="624" t="s">
        <v>1337</v>
      </c>
      <c r="C3001" s="625" t="s">
        <v>100</v>
      </c>
      <c r="D3001" s="626">
        <v>4.9400000000000004</v>
      </c>
      <c r="E3001" s="622"/>
      <c r="F3001" s="334"/>
      <c r="G3001" s="334"/>
      <c r="H3001" s="602"/>
      <c r="I3001" s="334"/>
      <c r="J3001" s="334"/>
      <c r="K3001" s="334"/>
      <c r="L3001" s="334"/>
      <c r="M3001" s="334"/>
      <c r="N3001" s="334"/>
      <c r="O3001" s="334"/>
    </row>
    <row r="3002" spans="1:15" ht="12.75" hidden="1" customHeight="1" outlineLevel="1" x14ac:dyDescent="0.2">
      <c r="A3002" s="627" t="s">
        <v>3960</v>
      </c>
      <c r="B3002" s="628" t="s">
        <v>1339</v>
      </c>
      <c r="C3002" s="629" t="s">
        <v>100</v>
      </c>
      <c r="D3002" s="630">
        <v>5.01</v>
      </c>
      <c r="E3002" s="622"/>
      <c r="F3002" s="334"/>
      <c r="G3002" s="334"/>
      <c r="H3002" s="602"/>
      <c r="I3002" s="334"/>
      <c r="J3002" s="334"/>
      <c r="K3002" s="334"/>
      <c r="L3002" s="334"/>
      <c r="M3002" s="334"/>
      <c r="N3002" s="334"/>
      <c r="O3002" s="334"/>
    </row>
    <row r="3003" spans="1:15" ht="12.75" hidden="1" customHeight="1" outlineLevel="1" x14ac:dyDescent="0.2">
      <c r="A3003" s="623" t="s">
        <v>3961</v>
      </c>
      <c r="B3003" s="624" t="s">
        <v>1337</v>
      </c>
      <c r="C3003" s="625" t="s">
        <v>100</v>
      </c>
      <c r="D3003" s="626">
        <v>8.26</v>
      </c>
      <c r="E3003" s="622"/>
      <c r="F3003" s="334"/>
      <c r="G3003" s="334"/>
      <c r="H3003" s="602"/>
      <c r="I3003" s="334"/>
      <c r="J3003" s="334"/>
      <c r="K3003" s="334"/>
      <c r="L3003" s="334"/>
      <c r="M3003" s="334"/>
      <c r="N3003" s="334"/>
      <c r="O3003" s="334"/>
    </row>
    <row r="3004" spans="1:15" ht="12.75" hidden="1" customHeight="1" outlineLevel="1" x14ac:dyDescent="0.2">
      <c r="A3004" s="618" t="s">
        <v>3962</v>
      </c>
      <c r="B3004" s="619" t="s">
        <v>1140</v>
      </c>
      <c r="C3004" s="620"/>
      <c r="D3004" s="621"/>
      <c r="E3004" s="622"/>
      <c r="F3004" s="334"/>
      <c r="G3004" s="334"/>
      <c r="H3004" s="602"/>
      <c r="I3004" s="334"/>
      <c r="J3004" s="334"/>
      <c r="K3004" s="334"/>
      <c r="L3004" s="334"/>
      <c r="M3004" s="334"/>
      <c r="N3004" s="334"/>
      <c r="O3004" s="334"/>
    </row>
    <row r="3005" spans="1:15" ht="12.75" hidden="1" customHeight="1" outlineLevel="1" x14ac:dyDescent="0.2">
      <c r="A3005" s="627" t="s">
        <v>3963</v>
      </c>
      <c r="B3005" s="628" t="s">
        <v>1339</v>
      </c>
      <c r="C3005" s="629" t="s">
        <v>100</v>
      </c>
      <c r="D3005" s="630">
        <v>17.34</v>
      </c>
      <c r="E3005" s="622"/>
      <c r="F3005" s="334"/>
      <c r="G3005" s="334"/>
      <c r="H3005" s="602"/>
      <c r="I3005" s="334"/>
      <c r="J3005" s="334"/>
      <c r="K3005" s="334"/>
      <c r="L3005" s="334"/>
      <c r="M3005" s="334"/>
      <c r="N3005" s="334"/>
      <c r="O3005" s="334"/>
    </row>
    <row r="3006" spans="1:15" ht="12.75" hidden="1" customHeight="1" outlineLevel="1" x14ac:dyDescent="0.2">
      <c r="A3006" s="623" t="s">
        <v>3964</v>
      </c>
      <c r="B3006" s="624" t="s">
        <v>1337</v>
      </c>
      <c r="C3006" s="625" t="s">
        <v>100</v>
      </c>
      <c r="D3006" s="626">
        <v>21.58</v>
      </c>
      <c r="E3006" s="622"/>
      <c r="F3006" s="334"/>
      <c r="G3006" s="334"/>
      <c r="H3006" s="602"/>
      <c r="I3006" s="334"/>
      <c r="J3006" s="334"/>
      <c r="K3006" s="334"/>
      <c r="L3006" s="334"/>
      <c r="M3006" s="334"/>
      <c r="N3006" s="334"/>
      <c r="O3006" s="334"/>
    </row>
    <row r="3007" spans="1:15" ht="12.75" hidden="1" customHeight="1" outlineLevel="1" x14ac:dyDescent="0.2">
      <c r="A3007" s="618" t="s">
        <v>3965</v>
      </c>
      <c r="B3007" s="619" t="s">
        <v>1462</v>
      </c>
      <c r="C3007" s="620"/>
      <c r="D3007" s="621"/>
      <c r="E3007" s="622"/>
      <c r="F3007" s="334"/>
      <c r="G3007" s="334"/>
      <c r="H3007" s="602"/>
      <c r="I3007" s="334"/>
      <c r="J3007" s="334"/>
      <c r="K3007" s="334"/>
      <c r="L3007" s="334"/>
      <c r="M3007" s="334"/>
      <c r="N3007" s="334"/>
      <c r="O3007" s="334"/>
    </row>
    <row r="3008" spans="1:15" ht="12.75" hidden="1" customHeight="1" outlineLevel="1" x14ac:dyDescent="0.2">
      <c r="A3008" s="627" t="s">
        <v>3966</v>
      </c>
      <c r="B3008" s="628" t="s">
        <v>1337</v>
      </c>
      <c r="C3008" s="629" t="s">
        <v>100</v>
      </c>
      <c r="D3008" s="630">
        <v>55.55</v>
      </c>
      <c r="E3008" s="622"/>
      <c r="F3008" s="334"/>
      <c r="G3008" s="334"/>
      <c r="H3008" s="602"/>
      <c r="I3008" s="334"/>
      <c r="J3008" s="334"/>
      <c r="K3008" s="334"/>
      <c r="L3008" s="334"/>
      <c r="M3008" s="334"/>
      <c r="N3008" s="334"/>
      <c r="O3008" s="334"/>
    </row>
    <row r="3009" spans="1:15" ht="12.75" customHeight="1" collapsed="1" x14ac:dyDescent="0.2">
      <c r="A3009" s="614" t="s">
        <v>3967</v>
      </c>
      <c r="B3009" s="615" t="s">
        <v>3968</v>
      </c>
      <c r="C3009" s="616"/>
      <c r="D3009" s="617"/>
      <c r="E3009" s="622"/>
      <c r="F3009" s="334"/>
      <c r="G3009" s="334"/>
      <c r="H3009" s="631" t="s">
        <v>1335</v>
      </c>
      <c r="I3009" s="632" t="s">
        <v>59</v>
      </c>
      <c r="J3009" s="334"/>
      <c r="K3009" s="334"/>
      <c r="L3009" s="334"/>
      <c r="M3009" s="334"/>
      <c r="N3009" s="334"/>
      <c r="O3009" s="334"/>
    </row>
    <row r="3010" spans="1:15" ht="12.75" hidden="1" customHeight="1" outlineLevel="1" x14ac:dyDescent="0.2">
      <c r="A3010" s="618" t="s">
        <v>3969</v>
      </c>
      <c r="B3010" s="619" t="s">
        <v>1009</v>
      </c>
      <c r="C3010" s="620"/>
      <c r="D3010" s="621"/>
      <c r="E3010" s="622"/>
      <c r="F3010" s="334"/>
      <c r="G3010" s="334"/>
      <c r="H3010" s="633" t="s">
        <v>1337</v>
      </c>
      <c r="I3010" s="634">
        <f>SUMIF($B$14:$B$4106,H3010,$D$14:$D$4106)</f>
        <v>1180.4099999999999</v>
      </c>
      <c r="J3010" s="334"/>
      <c r="K3010" s="334"/>
      <c r="L3010" s="334"/>
      <c r="M3010" s="334"/>
      <c r="N3010" s="334"/>
      <c r="O3010" s="334"/>
    </row>
    <row r="3011" spans="1:15" ht="12.75" hidden="1" customHeight="1" outlineLevel="1" x14ac:dyDescent="0.2">
      <c r="A3011" s="623" t="s">
        <v>3970</v>
      </c>
      <c r="B3011" s="624" t="s">
        <v>1341</v>
      </c>
      <c r="C3011" s="625" t="s">
        <v>100</v>
      </c>
      <c r="D3011" s="626">
        <v>100.72</v>
      </c>
      <c r="E3011" s="622"/>
      <c r="F3011" s="334"/>
      <c r="G3011" s="334"/>
      <c r="H3011" s="633" t="s">
        <v>1339</v>
      </c>
      <c r="I3011" s="634">
        <f>SUMIF($B$14:$B$4106,H3011,$D$14:$D$4106)</f>
        <v>1774.9500000000012</v>
      </c>
      <c r="J3011" s="334"/>
      <c r="K3011" s="334"/>
      <c r="L3011" s="334"/>
      <c r="M3011" s="334"/>
      <c r="N3011" s="334"/>
      <c r="O3011" s="334"/>
    </row>
    <row r="3012" spans="1:15" ht="12.75" hidden="1" customHeight="1" outlineLevel="1" x14ac:dyDescent="0.2">
      <c r="A3012" s="627" t="s">
        <v>3971</v>
      </c>
      <c r="B3012" s="624" t="s">
        <v>1341</v>
      </c>
      <c r="C3012" s="629" t="s">
        <v>100</v>
      </c>
      <c r="D3012" s="630">
        <v>1.85</v>
      </c>
      <c r="E3012" s="622"/>
      <c r="F3012" s="334"/>
      <c r="G3012" s="334"/>
      <c r="H3012" s="633" t="s">
        <v>1341</v>
      </c>
      <c r="I3012" s="634">
        <f>SUMIF($B$14:$B$4106,H3012,$D$14:$D$4106)</f>
        <v>3359.0400000000036</v>
      </c>
      <c r="J3012" s="334"/>
      <c r="K3012" s="334"/>
      <c r="L3012" s="334"/>
      <c r="M3012" s="334"/>
      <c r="N3012" s="334"/>
      <c r="O3012" s="334"/>
    </row>
    <row r="3013" spans="1:15" ht="12.75" hidden="1" customHeight="1" outlineLevel="1" x14ac:dyDescent="0.2">
      <c r="A3013" s="623" t="s">
        <v>3972</v>
      </c>
      <c r="B3013" s="624" t="s">
        <v>1341</v>
      </c>
      <c r="C3013" s="625" t="s">
        <v>100</v>
      </c>
      <c r="D3013" s="626">
        <v>73.78</v>
      </c>
      <c r="E3013" s="622"/>
      <c r="F3013" s="334"/>
      <c r="G3013" s="334"/>
      <c r="H3013" s="633" t="s">
        <v>1343</v>
      </c>
      <c r="I3013" s="634">
        <f>SUMIF($B$14:$B$4106,H3013,$D$14:$D$4106)</f>
        <v>394.05</v>
      </c>
      <c r="J3013" s="334"/>
      <c r="K3013" s="334"/>
      <c r="L3013" s="334"/>
      <c r="M3013" s="334"/>
      <c r="N3013" s="334"/>
      <c r="O3013" s="334"/>
    </row>
    <row r="3014" spans="1:15" ht="12.75" hidden="1" customHeight="1" outlineLevel="1" x14ac:dyDescent="0.2">
      <c r="A3014" s="627" t="s">
        <v>3973</v>
      </c>
      <c r="B3014" s="624" t="s">
        <v>1341</v>
      </c>
      <c r="C3014" s="629" t="s">
        <v>100</v>
      </c>
      <c r="D3014" s="630">
        <v>78.73</v>
      </c>
      <c r="E3014" s="622"/>
      <c r="F3014" s="334"/>
      <c r="G3014" s="334"/>
      <c r="H3014" s="633" t="s">
        <v>1361</v>
      </c>
      <c r="I3014" s="634">
        <f>SUMIF($B$14:$B$4106,H3014,$D$14:$D$4106)</f>
        <v>394.05</v>
      </c>
      <c r="J3014" s="334"/>
      <c r="K3014" s="334"/>
      <c r="L3014" s="334"/>
      <c r="M3014" s="334"/>
      <c r="N3014" s="334"/>
      <c r="O3014" s="334"/>
    </row>
    <row r="3015" spans="1:15" ht="12.75" hidden="1" customHeight="1" outlineLevel="1" x14ac:dyDescent="0.2">
      <c r="A3015" s="623" t="s">
        <v>3974</v>
      </c>
      <c r="B3015" s="624" t="s">
        <v>1341</v>
      </c>
      <c r="C3015" s="625" t="s">
        <v>100</v>
      </c>
      <c r="D3015" s="626">
        <v>132.59</v>
      </c>
      <c r="E3015" s="622"/>
      <c r="F3015" s="334"/>
      <c r="G3015" s="334"/>
      <c r="J3015" s="334"/>
      <c r="K3015" s="334"/>
      <c r="L3015" s="334"/>
      <c r="M3015" s="334"/>
      <c r="N3015" s="334"/>
      <c r="O3015" s="334"/>
    </row>
    <row r="3016" spans="1:15" ht="12.75" hidden="1" customHeight="1" outlineLevel="1" x14ac:dyDescent="0.2">
      <c r="A3016" s="618" t="s">
        <v>3975</v>
      </c>
      <c r="B3016" s="619" t="s">
        <v>1017</v>
      </c>
      <c r="C3016" s="620"/>
      <c r="D3016" s="621"/>
      <c r="E3016" s="622"/>
      <c r="F3016" s="334"/>
      <c r="G3016" s="334"/>
      <c r="H3016" s="633" t="s">
        <v>1349</v>
      </c>
      <c r="I3016" s="634">
        <f>SUMIF($B$14:$B$4106,H3016,$D$14:$D$4106)</f>
        <v>5.59</v>
      </c>
      <c r="J3016" s="334"/>
      <c r="K3016" s="334"/>
      <c r="L3016" s="334"/>
      <c r="M3016" s="334"/>
      <c r="N3016" s="334"/>
      <c r="O3016" s="334"/>
    </row>
    <row r="3017" spans="1:15" ht="12.75" hidden="1" customHeight="1" outlineLevel="1" x14ac:dyDescent="0.2">
      <c r="A3017" s="627" t="s">
        <v>3976</v>
      </c>
      <c r="B3017" s="624" t="s">
        <v>1341</v>
      </c>
      <c r="C3017" s="629" t="s">
        <v>100</v>
      </c>
      <c r="D3017" s="630">
        <v>58.27</v>
      </c>
      <c r="E3017" s="622"/>
      <c r="F3017" s="334"/>
      <c r="G3017" s="334"/>
      <c r="H3017" s="633" t="s">
        <v>1357</v>
      </c>
      <c r="I3017" s="634">
        <f>SUMIF($B$14:$B$4106,H3017,$D$14:$D$4106)</f>
        <v>573.3599999999999</v>
      </c>
      <c r="J3017" s="334"/>
      <c r="K3017" s="334"/>
      <c r="L3017" s="334"/>
      <c r="M3017" s="334"/>
      <c r="N3017" s="334"/>
      <c r="O3017" s="334"/>
    </row>
    <row r="3018" spans="1:15" ht="12.75" hidden="1" customHeight="1" outlineLevel="1" x14ac:dyDescent="0.2">
      <c r="A3018" s="623" t="s">
        <v>3977</v>
      </c>
      <c r="B3018" s="624" t="s">
        <v>1341</v>
      </c>
      <c r="C3018" s="625" t="s">
        <v>100</v>
      </c>
      <c r="D3018" s="626">
        <v>80.22</v>
      </c>
      <c r="E3018" s="622"/>
      <c r="F3018" s="334"/>
      <c r="G3018" s="334"/>
      <c r="H3018" s="637" t="s">
        <v>1373</v>
      </c>
      <c r="I3018" s="634">
        <f>SUMIF($B$14:$B$4106,H3018,$D$14:$D$4106)</f>
        <v>11.18</v>
      </c>
      <c r="J3018" s="334"/>
      <c r="K3018" s="334"/>
      <c r="L3018" s="334"/>
      <c r="M3018" s="334"/>
      <c r="N3018" s="334"/>
      <c r="O3018" s="334"/>
    </row>
    <row r="3019" spans="1:15" ht="12.75" hidden="1" customHeight="1" outlineLevel="1" x14ac:dyDescent="0.2">
      <c r="A3019" s="627" t="s">
        <v>3978</v>
      </c>
      <c r="B3019" s="624" t="s">
        <v>1341</v>
      </c>
      <c r="C3019" s="629" t="s">
        <v>100</v>
      </c>
      <c r="D3019" s="630">
        <v>90.26</v>
      </c>
      <c r="E3019" s="622"/>
      <c r="F3019" s="334"/>
      <c r="G3019" s="334"/>
      <c r="J3019" s="334"/>
      <c r="K3019" s="334"/>
      <c r="L3019" s="334"/>
      <c r="M3019" s="334"/>
      <c r="N3019" s="334"/>
      <c r="O3019" s="334"/>
    </row>
    <row r="3020" spans="1:15" ht="12.75" hidden="1" customHeight="1" outlineLevel="1" x14ac:dyDescent="0.2">
      <c r="A3020" s="623" t="s">
        <v>3979</v>
      </c>
      <c r="B3020" s="624" t="s">
        <v>1341</v>
      </c>
      <c r="C3020" s="625" t="s">
        <v>100</v>
      </c>
      <c r="D3020" s="626">
        <v>152.28</v>
      </c>
      <c r="E3020" s="622"/>
      <c r="F3020" s="334"/>
      <c r="G3020" s="334"/>
      <c r="J3020" s="334"/>
      <c r="K3020" s="334"/>
      <c r="L3020" s="334"/>
      <c r="M3020" s="334"/>
      <c r="N3020" s="334"/>
      <c r="O3020" s="334"/>
    </row>
    <row r="3021" spans="1:15" ht="12.75" hidden="1" customHeight="1" outlineLevel="1" x14ac:dyDescent="0.2">
      <c r="A3021" s="627" t="s">
        <v>3980</v>
      </c>
      <c r="B3021" s="624" t="s">
        <v>1341</v>
      </c>
      <c r="C3021" s="629" t="s">
        <v>100</v>
      </c>
      <c r="D3021" s="630">
        <v>32.76</v>
      </c>
      <c r="E3021" s="622"/>
      <c r="F3021" s="334"/>
      <c r="G3021" s="334"/>
      <c r="H3021" s="633" t="s">
        <v>1345</v>
      </c>
      <c r="I3021" s="634">
        <f t="shared" ref="I3021:I3026" si="12">SUMIF($B$14:$B$4106,H3021,$D$14:$D$4106)</f>
        <v>437.83000000000004</v>
      </c>
      <c r="J3021" s="334"/>
      <c r="K3021" s="334"/>
      <c r="L3021" s="334"/>
      <c r="M3021" s="334"/>
      <c r="N3021" s="334"/>
      <c r="O3021" s="334"/>
    </row>
    <row r="3022" spans="1:15" ht="12.75" hidden="1" customHeight="1" outlineLevel="1" x14ac:dyDescent="0.2">
      <c r="A3022" s="618" t="s">
        <v>3981</v>
      </c>
      <c r="B3022" s="619" t="s">
        <v>1021</v>
      </c>
      <c r="C3022" s="620"/>
      <c r="D3022" s="621"/>
      <c r="E3022" s="622"/>
      <c r="F3022" s="334"/>
      <c r="G3022" s="334"/>
      <c r="H3022" s="633" t="s">
        <v>1347</v>
      </c>
      <c r="I3022" s="634">
        <f t="shared" si="12"/>
        <v>946.06999999999994</v>
      </c>
      <c r="J3022" s="334"/>
      <c r="K3022" s="1008">
        <v>45627</v>
      </c>
      <c r="L3022" s="334"/>
      <c r="M3022" s="334"/>
      <c r="N3022" s="334"/>
      <c r="O3022" s="334"/>
    </row>
    <row r="3023" spans="1:15" ht="12.75" hidden="1" customHeight="1" outlineLevel="1" x14ac:dyDescent="0.2">
      <c r="A3023" s="623" t="s">
        <v>3982</v>
      </c>
      <c r="B3023" s="624" t="s">
        <v>1341</v>
      </c>
      <c r="C3023" s="625" t="s">
        <v>100</v>
      </c>
      <c r="D3023" s="626">
        <v>53.56</v>
      </c>
      <c r="E3023" s="622"/>
      <c r="F3023" s="334"/>
      <c r="G3023" s="334"/>
      <c r="H3023" s="633" t="s">
        <v>1363</v>
      </c>
      <c r="I3023" s="634">
        <f t="shared" si="12"/>
        <v>1383.8999999999999</v>
      </c>
      <c r="J3023" s="334"/>
      <c r="K3023" s="1008">
        <v>46539</v>
      </c>
      <c r="L3023" s="334"/>
      <c r="M3023" s="334"/>
      <c r="N3023" s="334"/>
      <c r="O3023" s="334"/>
    </row>
    <row r="3024" spans="1:15" ht="12.75" hidden="1" customHeight="1" outlineLevel="1" x14ac:dyDescent="0.2">
      <c r="A3024" s="627" t="s">
        <v>3983</v>
      </c>
      <c r="B3024" s="624" t="s">
        <v>1341</v>
      </c>
      <c r="C3024" s="629" t="s">
        <v>100</v>
      </c>
      <c r="D3024" s="630">
        <v>39.72</v>
      </c>
      <c r="E3024" s="622"/>
      <c r="F3024" s="334"/>
      <c r="G3024" s="334"/>
      <c r="H3024" s="633" t="s">
        <v>1351</v>
      </c>
      <c r="I3024" s="634">
        <f t="shared" si="12"/>
        <v>3049.1700000000033</v>
      </c>
      <c r="J3024" s="334"/>
      <c r="K3024" s="334">
        <f>K3023-K3022</f>
        <v>912</v>
      </c>
      <c r="L3024" s="334"/>
      <c r="M3024" s="334"/>
      <c r="N3024" s="334"/>
      <c r="O3024" s="334"/>
    </row>
    <row r="3025" spans="1:15" ht="12.75" hidden="1" customHeight="1" outlineLevel="1" x14ac:dyDescent="0.2">
      <c r="A3025" s="623" t="s">
        <v>3984</v>
      </c>
      <c r="B3025" s="624" t="s">
        <v>1341</v>
      </c>
      <c r="C3025" s="625" t="s">
        <v>100</v>
      </c>
      <c r="D3025" s="626">
        <v>40.299999999999997</v>
      </c>
      <c r="E3025" s="622"/>
      <c r="F3025" s="334"/>
      <c r="G3025" s="334"/>
      <c r="H3025" s="633" t="s">
        <v>1353</v>
      </c>
      <c r="I3025" s="634">
        <f t="shared" si="12"/>
        <v>240.87</v>
      </c>
      <c r="J3025" s="334"/>
      <c r="K3025" s="334">
        <f>K3024/30</f>
        <v>30.4</v>
      </c>
      <c r="L3025" s="334"/>
      <c r="M3025" s="334"/>
      <c r="N3025" s="334"/>
      <c r="O3025" s="334"/>
    </row>
    <row r="3026" spans="1:15" ht="12.75" hidden="1" customHeight="1" outlineLevel="1" x14ac:dyDescent="0.2">
      <c r="A3026" s="627" t="s">
        <v>3985</v>
      </c>
      <c r="B3026" s="624" t="s">
        <v>1341</v>
      </c>
      <c r="C3026" s="629" t="s">
        <v>100</v>
      </c>
      <c r="D3026" s="630">
        <v>135.12</v>
      </c>
      <c r="E3026" s="622"/>
      <c r="F3026" s="334"/>
      <c r="G3026" s="334"/>
      <c r="H3026" s="633" t="s">
        <v>1355</v>
      </c>
      <c r="I3026" s="634">
        <f t="shared" si="12"/>
        <v>240.87</v>
      </c>
      <c r="J3026" s="334"/>
      <c r="K3026" s="334"/>
      <c r="L3026" s="334"/>
      <c r="M3026" s="334"/>
      <c r="N3026" s="334"/>
      <c r="O3026" s="334"/>
    </row>
    <row r="3027" spans="1:15" ht="12.75" hidden="1" customHeight="1" outlineLevel="1" x14ac:dyDescent="0.2">
      <c r="A3027" s="623" t="s">
        <v>3986</v>
      </c>
      <c r="B3027" s="624" t="s">
        <v>1341</v>
      </c>
      <c r="C3027" s="625" t="s">
        <v>100</v>
      </c>
      <c r="D3027" s="626">
        <v>175.55</v>
      </c>
      <c r="E3027" s="622"/>
      <c r="F3027" s="334"/>
      <c r="G3027" s="334"/>
      <c r="J3027" s="334"/>
      <c r="K3027" s="334"/>
      <c r="L3027" s="334"/>
      <c r="M3027" s="334"/>
      <c r="N3027" s="334"/>
      <c r="O3027" s="334"/>
    </row>
    <row r="3028" spans="1:15" ht="12.75" hidden="1" customHeight="1" outlineLevel="1" x14ac:dyDescent="0.2">
      <c r="A3028" s="618" t="s">
        <v>3987</v>
      </c>
      <c r="B3028" s="619" t="s">
        <v>1030</v>
      </c>
      <c r="C3028" s="620"/>
      <c r="D3028" s="621"/>
      <c r="E3028" s="622"/>
      <c r="F3028" s="334"/>
      <c r="G3028" s="334"/>
      <c r="H3028" s="633" t="s">
        <v>1359</v>
      </c>
      <c r="I3028" s="634">
        <f>SUMIF($B$14:$B$4106,H3028,$D$14:$D$4106)</f>
        <v>145.19999999999999</v>
      </c>
      <c r="J3028" s="334"/>
      <c r="K3028" s="334"/>
      <c r="L3028" s="334"/>
      <c r="M3028" s="334"/>
      <c r="N3028" s="334"/>
      <c r="O3028" s="334"/>
    </row>
    <row r="3029" spans="1:15" ht="12.75" hidden="1" customHeight="1" outlineLevel="1" x14ac:dyDescent="0.2">
      <c r="A3029" s="627" t="s">
        <v>3988</v>
      </c>
      <c r="B3029" s="624" t="s">
        <v>1341</v>
      </c>
      <c r="C3029" s="629" t="s">
        <v>100</v>
      </c>
      <c r="D3029" s="630">
        <v>39.03</v>
      </c>
      <c r="E3029" s="622"/>
      <c r="F3029" s="334"/>
      <c r="G3029" s="334"/>
      <c r="J3029" s="334"/>
      <c r="K3029" s="334"/>
      <c r="L3029" s="334"/>
      <c r="M3029" s="334"/>
      <c r="N3029" s="334"/>
      <c r="O3029" s="334"/>
    </row>
    <row r="3030" spans="1:15" ht="12.75" hidden="1" customHeight="1" outlineLevel="1" x14ac:dyDescent="0.2">
      <c r="A3030" s="623" t="s">
        <v>3989</v>
      </c>
      <c r="B3030" s="624" t="s">
        <v>1341</v>
      </c>
      <c r="C3030" s="625" t="s">
        <v>100</v>
      </c>
      <c r="D3030" s="626">
        <v>2.38</v>
      </c>
      <c r="E3030" s="622"/>
      <c r="F3030" s="334"/>
      <c r="G3030" s="334"/>
      <c r="J3030" s="334"/>
      <c r="K3030" s="334"/>
      <c r="L3030" s="334"/>
      <c r="M3030" s="334"/>
      <c r="N3030" s="334"/>
      <c r="O3030" s="334"/>
    </row>
    <row r="3031" spans="1:15" ht="12.75" hidden="1" customHeight="1" outlineLevel="1" x14ac:dyDescent="0.2">
      <c r="A3031" s="627" t="s">
        <v>3990</v>
      </c>
      <c r="B3031" s="624" t="s">
        <v>1341</v>
      </c>
      <c r="C3031" s="629" t="s">
        <v>100</v>
      </c>
      <c r="D3031" s="630">
        <v>1.1299999999999999</v>
      </c>
      <c r="E3031" s="622"/>
      <c r="F3031" s="334"/>
      <c r="G3031" s="334"/>
      <c r="J3031" s="334"/>
      <c r="K3031" s="334"/>
      <c r="L3031" s="334"/>
      <c r="M3031" s="334"/>
      <c r="N3031" s="334"/>
      <c r="O3031" s="334"/>
    </row>
    <row r="3032" spans="1:15" ht="12.75" hidden="1" customHeight="1" outlineLevel="1" x14ac:dyDescent="0.2">
      <c r="A3032" s="623" t="s">
        <v>3991</v>
      </c>
      <c r="B3032" s="624" t="s">
        <v>1341</v>
      </c>
      <c r="C3032" s="625" t="s">
        <v>100</v>
      </c>
      <c r="D3032" s="626">
        <v>68.489999999999995</v>
      </c>
      <c r="E3032" s="622"/>
      <c r="F3032" s="334"/>
      <c r="G3032" s="334"/>
      <c r="J3032" s="334"/>
      <c r="K3032" s="334"/>
      <c r="L3032" s="334"/>
      <c r="M3032" s="334"/>
      <c r="N3032" s="334"/>
      <c r="O3032" s="334"/>
    </row>
    <row r="3033" spans="1:15" ht="12.75" hidden="1" customHeight="1" outlineLevel="1" x14ac:dyDescent="0.2">
      <c r="A3033" s="627" t="s">
        <v>3992</v>
      </c>
      <c r="B3033" s="624" t="s">
        <v>1341</v>
      </c>
      <c r="C3033" s="629" t="s">
        <v>100</v>
      </c>
      <c r="D3033" s="630">
        <v>49.88</v>
      </c>
      <c r="E3033" s="622"/>
      <c r="F3033" s="334"/>
      <c r="G3033" s="334"/>
      <c r="J3033" s="334"/>
      <c r="K3033" s="334"/>
      <c r="L3033" s="334"/>
      <c r="M3033" s="334"/>
      <c r="N3033" s="334"/>
      <c r="O3033" s="334"/>
    </row>
    <row r="3034" spans="1:15" ht="12.75" hidden="1" customHeight="1" outlineLevel="1" x14ac:dyDescent="0.2">
      <c r="A3034" s="618" t="s">
        <v>3993</v>
      </c>
      <c r="B3034" s="619" t="s">
        <v>1039</v>
      </c>
      <c r="C3034" s="620"/>
      <c r="D3034" s="621"/>
      <c r="E3034" s="622"/>
      <c r="F3034" s="334"/>
      <c r="G3034" s="334"/>
      <c r="J3034" s="334"/>
      <c r="K3034" s="334"/>
      <c r="L3034" s="334"/>
      <c r="M3034" s="334"/>
      <c r="N3034" s="334"/>
      <c r="O3034" s="334"/>
    </row>
    <row r="3035" spans="1:15" ht="12.75" hidden="1" customHeight="1" outlineLevel="1" x14ac:dyDescent="0.2">
      <c r="A3035" s="623" t="s">
        <v>3994</v>
      </c>
      <c r="B3035" s="624" t="s">
        <v>1341</v>
      </c>
      <c r="C3035" s="625" t="s">
        <v>100</v>
      </c>
      <c r="D3035" s="626">
        <v>31.22</v>
      </c>
      <c r="E3035" s="622"/>
      <c r="F3035" s="334"/>
      <c r="G3035" s="334"/>
      <c r="H3035" s="602"/>
      <c r="I3035" s="334"/>
      <c r="J3035" s="334"/>
      <c r="K3035" s="334"/>
      <c r="L3035" s="334"/>
      <c r="M3035" s="334"/>
      <c r="N3035" s="334"/>
      <c r="O3035" s="334"/>
    </row>
    <row r="3036" spans="1:15" ht="12.75" hidden="1" customHeight="1" outlineLevel="1" x14ac:dyDescent="0.2">
      <c r="A3036" s="627" t="s">
        <v>3995</v>
      </c>
      <c r="B3036" s="624" t="s">
        <v>1341</v>
      </c>
      <c r="C3036" s="629" t="s">
        <v>100</v>
      </c>
      <c r="D3036" s="630">
        <v>2.38</v>
      </c>
      <c r="E3036" s="622"/>
      <c r="F3036" s="334"/>
      <c r="G3036" s="334"/>
      <c r="H3036" s="602"/>
      <c r="I3036" s="334"/>
      <c r="J3036" s="334"/>
      <c r="K3036" s="334"/>
      <c r="L3036" s="334"/>
      <c r="M3036" s="334"/>
      <c r="N3036" s="334"/>
      <c r="O3036" s="334"/>
    </row>
    <row r="3037" spans="1:15" ht="12.75" hidden="1" customHeight="1" outlineLevel="1" x14ac:dyDescent="0.2">
      <c r="A3037" s="623" t="s">
        <v>3996</v>
      </c>
      <c r="B3037" s="624" t="s">
        <v>1341</v>
      </c>
      <c r="C3037" s="625" t="s">
        <v>100</v>
      </c>
      <c r="D3037" s="626">
        <v>1.1299999999999999</v>
      </c>
      <c r="E3037" s="622"/>
      <c r="F3037" s="334"/>
      <c r="G3037" s="334"/>
      <c r="H3037" s="602"/>
      <c r="I3037" s="334"/>
      <c r="J3037" s="334"/>
      <c r="K3037" s="334"/>
      <c r="L3037" s="334"/>
      <c r="M3037" s="334"/>
      <c r="N3037" s="334"/>
      <c r="O3037" s="334"/>
    </row>
    <row r="3038" spans="1:15" ht="12.75" hidden="1" customHeight="1" outlineLevel="1" x14ac:dyDescent="0.2">
      <c r="A3038" s="627" t="s">
        <v>3997</v>
      </c>
      <c r="B3038" s="624" t="s">
        <v>1341</v>
      </c>
      <c r="C3038" s="629" t="s">
        <v>100</v>
      </c>
      <c r="D3038" s="630">
        <v>68.11</v>
      </c>
      <c r="E3038" s="622"/>
      <c r="F3038" s="334"/>
      <c r="G3038" s="334"/>
      <c r="H3038" s="633" t="s">
        <v>1365</v>
      </c>
      <c r="I3038" s="634">
        <f>SUMIF($B$14:$B$4106,H3038,$D$14:$D$4106)</f>
        <v>7.98</v>
      </c>
      <c r="J3038" s="334"/>
      <c r="K3038" s="334"/>
      <c r="L3038" s="334"/>
      <c r="M3038" s="334"/>
      <c r="N3038" s="334"/>
      <c r="O3038" s="334"/>
    </row>
    <row r="3039" spans="1:15" ht="12.75" hidden="1" customHeight="1" outlineLevel="1" x14ac:dyDescent="0.2">
      <c r="A3039" s="623" t="s">
        <v>3998</v>
      </c>
      <c r="B3039" s="624" t="s">
        <v>1341</v>
      </c>
      <c r="C3039" s="625" t="s">
        <v>100</v>
      </c>
      <c r="D3039" s="626">
        <v>50.22</v>
      </c>
      <c r="E3039" s="622"/>
      <c r="F3039" s="334"/>
      <c r="G3039" s="334"/>
      <c r="H3039" s="633" t="s">
        <v>1367</v>
      </c>
      <c r="I3039" s="634">
        <f>SUMIF($B$14:$B$4106,H3039,$D$14:$D$4106)</f>
        <v>145.30000000000001</v>
      </c>
      <c r="J3039" s="334"/>
      <c r="K3039" s="334"/>
      <c r="L3039" s="334"/>
      <c r="M3039" s="334"/>
      <c r="N3039" s="334"/>
      <c r="O3039" s="334"/>
    </row>
    <row r="3040" spans="1:15" ht="12.75" hidden="1" customHeight="1" outlineLevel="1" x14ac:dyDescent="0.2">
      <c r="A3040" s="618" t="s">
        <v>3999</v>
      </c>
      <c r="B3040" s="619" t="s">
        <v>1047</v>
      </c>
      <c r="C3040" s="620"/>
      <c r="D3040" s="621"/>
      <c r="E3040" s="622"/>
      <c r="F3040" s="334"/>
      <c r="G3040" s="334"/>
      <c r="H3040" s="633" t="s">
        <v>1369</v>
      </c>
      <c r="I3040" s="634">
        <f>SUMIF($B$14:$B$4106,H3040,$D$14:$D$4106)</f>
        <v>122.76</v>
      </c>
      <c r="J3040" s="334"/>
      <c r="K3040" s="334"/>
      <c r="L3040" s="334"/>
      <c r="M3040" s="334"/>
      <c r="N3040" s="334"/>
      <c r="O3040" s="334"/>
    </row>
    <row r="3041" spans="1:15" ht="12.75" hidden="1" customHeight="1" outlineLevel="1" x14ac:dyDescent="0.2">
      <c r="A3041" s="627" t="s">
        <v>4000</v>
      </c>
      <c r="B3041" s="624" t="s">
        <v>1341</v>
      </c>
      <c r="C3041" s="629" t="s">
        <v>100</v>
      </c>
      <c r="D3041" s="630">
        <v>39.03</v>
      </c>
      <c r="E3041" s="622"/>
      <c r="F3041" s="334"/>
      <c r="G3041" s="334"/>
      <c r="H3041" s="633" t="s">
        <v>1371</v>
      </c>
      <c r="I3041" s="634">
        <f>SUMIF($B$14:$B$4106,H3041,$D$14:$D$4106)</f>
        <v>108.86000000000001</v>
      </c>
      <c r="J3041" s="334"/>
      <c r="K3041" s="334"/>
      <c r="L3041" s="334"/>
      <c r="M3041" s="334"/>
      <c r="N3041" s="334"/>
      <c r="O3041" s="334"/>
    </row>
    <row r="3042" spans="1:15" ht="12.75" hidden="1" customHeight="1" outlineLevel="1" x14ac:dyDescent="0.2">
      <c r="A3042" s="623" t="s">
        <v>4001</v>
      </c>
      <c r="B3042" s="624" t="s">
        <v>1341</v>
      </c>
      <c r="C3042" s="625" t="s">
        <v>100</v>
      </c>
      <c r="D3042" s="626">
        <v>2.38</v>
      </c>
      <c r="E3042" s="622"/>
      <c r="F3042" s="334"/>
      <c r="G3042" s="334"/>
      <c r="H3042" s="602"/>
      <c r="I3042" s="334"/>
      <c r="J3042" s="334"/>
      <c r="K3042" s="334"/>
      <c r="L3042" s="334"/>
      <c r="M3042" s="334"/>
      <c r="N3042" s="334"/>
      <c r="O3042" s="334"/>
    </row>
    <row r="3043" spans="1:15" ht="12.75" hidden="1" customHeight="1" outlineLevel="1" x14ac:dyDescent="0.2">
      <c r="A3043" s="627" t="s">
        <v>4002</v>
      </c>
      <c r="B3043" s="624" t="s">
        <v>1341</v>
      </c>
      <c r="C3043" s="629" t="s">
        <v>100</v>
      </c>
      <c r="D3043" s="630">
        <v>1.1299999999999999</v>
      </c>
      <c r="E3043" s="622"/>
      <c r="F3043" s="334"/>
      <c r="G3043" s="334"/>
      <c r="H3043" s="602"/>
      <c r="I3043" s="334"/>
      <c r="J3043" s="334"/>
      <c r="K3043" s="334"/>
      <c r="L3043" s="334"/>
      <c r="M3043" s="334"/>
      <c r="N3043" s="334"/>
      <c r="O3043" s="334"/>
    </row>
    <row r="3044" spans="1:15" ht="12.75" hidden="1" customHeight="1" outlineLevel="1" x14ac:dyDescent="0.2">
      <c r="A3044" s="623" t="s">
        <v>4003</v>
      </c>
      <c r="B3044" s="624" t="s">
        <v>1341</v>
      </c>
      <c r="C3044" s="625" t="s">
        <v>100</v>
      </c>
      <c r="D3044" s="626">
        <v>68.489999999999995</v>
      </c>
      <c r="E3044" s="622"/>
      <c r="F3044" s="334"/>
      <c r="G3044" s="334"/>
      <c r="H3044" s="602"/>
      <c r="I3044" s="334"/>
      <c r="J3044" s="334"/>
      <c r="K3044" s="334"/>
      <c r="L3044" s="334"/>
      <c r="M3044" s="334"/>
      <c r="N3044" s="334"/>
      <c r="O3044" s="334"/>
    </row>
    <row r="3045" spans="1:15" ht="12.75" hidden="1" customHeight="1" outlineLevel="1" x14ac:dyDescent="0.2">
      <c r="A3045" s="627" t="s">
        <v>4004</v>
      </c>
      <c r="B3045" s="624" t="s">
        <v>1341</v>
      </c>
      <c r="C3045" s="629" t="s">
        <v>100</v>
      </c>
      <c r="D3045" s="630">
        <v>49.88</v>
      </c>
      <c r="E3045" s="622"/>
      <c r="F3045" s="334"/>
      <c r="G3045" s="334"/>
      <c r="H3045" s="602"/>
      <c r="I3045" s="334"/>
      <c r="J3045" s="334"/>
      <c r="K3045" s="334"/>
      <c r="L3045" s="334"/>
      <c r="M3045" s="334"/>
      <c r="N3045" s="334"/>
      <c r="O3045" s="334"/>
    </row>
    <row r="3046" spans="1:15" ht="12.75" hidden="1" customHeight="1" outlineLevel="1" x14ac:dyDescent="0.2">
      <c r="A3046" s="618" t="s">
        <v>4005</v>
      </c>
      <c r="B3046" s="619" t="s">
        <v>1058</v>
      </c>
      <c r="C3046" s="620"/>
      <c r="D3046" s="621"/>
      <c r="E3046" s="622"/>
      <c r="F3046" s="334"/>
      <c r="G3046" s="334"/>
      <c r="H3046" s="602"/>
      <c r="I3046" s="334"/>
      <c r="J3046" s="334"/>
      <c r="K3046" s="334"/>
      <c r="L3046" s="334"/>
      <c r="M3046" s="334"/>
      <c r="N3046" s="334"/>
      <c r="O3046" s="334"/>
    </row>
    <row r="3047" spans="1:15" ht="12.75" hidden="1" customHeight="1" outlineLevel="1" x14ac:dyDescent="0.2">
      <c r="A3047" s="623" t="s">
        <v>4006</v>
      </c>
      <c r="B3047" s="624" t="s">
        <v>1341</v>
      </c>
      <c r="C3047" s="625" t="s">
        <v>100</v>
      </c>
      <c r="D3047" s="626">
        <v>39.03</v>
      </c>
      <c r="E3047" s="622"/>
      <c r="F3047" s="334"/>
      <c r="G3047" s="334"/>
      <c r="H3047" s="602"/>
      <c r="I3047" s="334"/>
      <c r="J3047" s="334"/>
      <c r="K3047" s="334"/>
      <c r="L3047" s="334"/>
      <c r="M3047" s="334"/>
      <c r="N3047" s="334"/>
      <c r="O3047" s="334"/>
    </row>
    <row r="3048" spans="1:15" ht="12.75" hidden="1" customHeight="1" outlineLevel="1" x14ac:dyDescent="0.2">
      <c r="A3048" s="627" t="s">
        <v>4007</v>
      </c>
      <c r="B3048" s="624" t="s">
        <v>1341</v>
      </c>
      <c r="C3048" s="629" t="s">
        <v>100</v>
      </c>
      <c r="D3048" s="630">
        <v>2.38</v>
      </c>
      <c r="E3048" s="622"/>
      <c r="F3048" s="334"/>
      <c r="G3048" s="334"/>
      <c r="H3048" s="602"/>
      <c r="I3048" s="334"/>
      <c r="J3048" s="334"/>
      <c r="K3048" s="334"/>
      <c r="L3048" s="334"/>
      <c r="M3048" s="334"/>
      <c r="N3048" s="334"/>
      <c r="O3048" s="334"/>
    </row>
    <row r="3049" spans="1:15" ht="12.75" hidden="1" customHeight="1" outlineLevel="1" x14ac:dyDescent="0.2">
      <c r="A3049" s="623" t="s">
        <v>4008</v>
      </c>
      <c r="B3049" s="624" t="s">
        <v>1341</v>
      </c>
      <c r="C3049" s="625" t="s">
        <v>100</v>
      </c>
      <c r="D3049" s="626">
        <v>1.1299999999999999</v>
      </c>
      <c r="E3049" s="622"/>
      <c r="F3049" s="334"/>
      <c r="G3049" s="334"/>
      <c r="H3049" s="602"/>
      <c r="I3049" s="334"/>
      <c r="J3049" s="334"/>
      <c r="K3049" s="334"/>
      <c r="L3049" s="334"/>
      <c r="M3049" s="334"/>
      <c r="N3049" s="334"/>
      <c r="O3049" s="334"/>
    </row>
    <row r="3050" spans="1:15" ht="12.75" hidden="1" customHeight="1" outlineLevel="1" x14ac:dyDescent="0.2">
      <c r="A3050" s="627" t="s">
        <v>4009</v>
      </c>
      <c r="B3050" s="624" t="s">
        <v>1341</v>
      </c>
      <c r="C3050" s="629" t="s">
        <v>100</v>
      </c>
      <c r="D3050" s="630">
        <v>68.489999999999995</v>
      </c>
      <c r="E3050" s="622"/>
      <c r="F3050" s="334"/>
      <c r="G3050" s="334"/>
      <c r="H3050" s="602"/>
      <c r="I3050" s="334"/>
      <c r="J3050" s="334"/>
      <c r="K3050" s="334"/>
      <c r="L3050" s="334"/>
      <c r="M3050" s="334"/>
      <c r="N3050" s="334"/>
      <c r="O3050" s="334"/>
    </row>
    <row r="3051" spans="1:15" ht="12.75" hidden="1" customHeight="1" outlineLevel="1" x14ac:dyDescent="0.2">
      <c r="A3051" s="623" t="s">
        <v>4010</v>
      </c>
      <c r="B3051" s="624" t="s">
        <v>1341</v>
      </c>
      <c r="C3051" s="625" t="s">
        <v>100</v>
      </c>
      <c r="D3051" s="626">
        <v>49.88</v>
      </c>
      <c r="E3051" s="622"/>
      <c r="F3051" s="334"/>
      <c r="G3051" s="334"/>
      <c r="H3051" s="602"/>
      <c r="I3051" s="334"/>
      <c r="J3051" s="334"/>
      <c r="K3051" s="334"/>
      <c r="L3051" s="334"/>
      <c r="M3051" s="334"/>
      <c r="N3051" s="334"/>
      <c r="O3051" s="334"/>
    </row>
    <row r="3052" spans="1:15" ht="12.75" hidden="1" customHeight="1" outlineLevel="1" x14ac:dyDescent="0.2">
      <c r="A3052" s="618" t="s">
        <v>4011</v>
      </c>
      <c r="B3052" s="619" t="s">
        <v>1069</v>
      </c>
      <c r="C3052" s="620"/>
      <c r="D3052" s="621"/>
      <c r="E3052" s="622"/>
      <c r="F3052" s="334"/>
      <c r="G3052" s="334"/>
      <c r="H3052" s="602"/>
      <c r="I3052" s="334"/>
      <c r="J3052" s="334"/>
      <c r="K3052" s="334"/>
      <c r="L3052" s="334"/>
      <c r="M3052" s="334"/>
      <c r="N3052" s="334"/>
      <c r="O3052" s="334"/>
    </row>
    <row r="3053" spans="1:15" ht="12.75" hidden="1" customHeight="1" outlineLevel="1" x14ac:dyDescent="0.2">
      <c r="A3053" s="627" t="s">
        <v>4012</v>
      </c>
      <c r="B3053" s="624" t="s">
        <v>1341</v>
      </c>
      <c r="C3053" s="629" t="s">
        <v>100</v>
      </c>
      <c r="D3053" s="630">
        <v>39.03</v>
      </c>
      <c r="E3053" s="622"/>
      <c r="F3053" s="334"/>
      <c r="G3053" s="334"/>
      <c r="H3053" s="602"/>
      <c r="I3053" s="334"/>
      <c r="J3053" s="334"/>
      <c r="K3053" s="334"/>
      <c r="L3053" s="334"/>
      <c r="M3053" s="334"/>
      <c r="N3053" s="334"/>
      <c r="O3053" s="334"/>
    </row>
    <row r="3054" spans="1:15" ht="12.75" hidden="1" customHeight="1" outlineLevel="1" x14ac:dyDescent="0.2">
      <c r="A3054" s="623" t="s">
        <v>4013</v>
      </c>
      <c r="B3054" s="624" t="s">
        <v>1341</v>
      </c>
      <c r="C3054" s="625" t="s">
        <v>100</v>
      </c>
      <c r="D3054" s="626">
        <v>2.38</v>
      </c>
      <c r="E3054" s="622"/>
      <c r="F3054" s="334"/>
      <c r="G3054" s="334"/>
      <c r="H3054" s="602"/>
      <c r="I3054" s="334"/>
      <c r="J3054" s="334"/>
      <c r="K3054" s="334"/>
      <c r="L3054" s="334"/>
      <c r="M3054" s="334"/>
      <c r="N3054" s="334"/>
      <c r="O3054" s="334"/>
    </row>
    <row r="3055" spans="1:15" ht="12.75" hidden="1" customHeight="1" outlineLevel="1" x14ac:dyDescent="0.2">
      <c r="A3055" s="627" t="s">
        <v>4014</v>
      </c>
      <c r="B3055" s="624" t="s">
        <v>1341</v>
      </c>
      <c r="C3055" s="629" t="s">
        <v>100</v>
      </c>
      <c r="D3055" s="630">
        <v>1.1299999999999999</v>
      </c>
      <c r="E3055" s="622"/>
      <c r="F3055" s="334"/>
      <c r="G3055" s="334"/>
      <c r="H3055" s="602"/>
      <c r="I3055" s="334"/>
      <c r="J3055" s="334"/>
      <c r="K3055" s="334"/>
      <c r="L3055" s="334"/>
      <c r="M3055" s="334"/>
      <c r="N3055" s="334"/>
      <c r="O3055" s="334"/>
    </row>
    <row r="3056" spans="1:15" ht="12.75" hidden="1" customHeight="1" outlineLevel="1" x14ac:dyDescent="0.2">
      <c r="A3056" s="623" t="s">
        <v>4015</v>
      </c>
      <c r="B3056" s="624" t="s">
        <v>1341</v>
      </c>
      <c r="C3056" s="625" t="s">
        <v>100</v>
      </c>
      <c r="D3056" s="626">
        <v>68.489999999999995</v>
      </c>
      <c r="E3056" s="622"/>
      <c r="F3056" s="334"/>
      <c r="G3056" s="334"/>
      <c r="H3056" s="602"/>
      <c r="I3056" s="334"/>
      <c r="J3056" s="334"/>
      <c r="K3056" s="334"/>
      <c r="L3056" s="334"/>
      <c r="M3056" s="334"/>
      <c r="N3056" s="334"/>
      <c r="O3056" s="334"/>
    </row>
    <row r="3057" spans="1:15" ht="12.75" hidden="1" customHeight="1" outlineLevel="1" x14ac:dyDescent="0.2">
      <c r="A3057" s="627" t="s">
        <v>4016</v>
      </c>
      <c r="B3057" s="624" t="s">
        <v>1341</v>
      </c>
      <c r="C3057" s="629" t="s">
        <v>100</v>
      </c>
      <c r="D3057" s="630">
        <v>49.88</v>
      </c>
      <c r="E3057" s="622"/>
      <c r="F3057" s="334"/>
      <c r="G3057" s="334"/>
      <c r="H3057" s="602"/>
      <c r="I3057" s="334"/>
      <c r="J3057" s="334"/>
      <c r="K3057" s="334"/>
      <c r="L3057" s="334"/>
      <c r="M3057" s="334"/>
      <c r="N3057" s="334"/>
      <c r="O3057" s="334"/>
    </row>
    <row r="3058" spans="1:15" ht="12.75" hidden="1" customHeight="1" outlineLevel="1" x14ac:dyDescent="0.2">
      <c r="A3058" s="618" t="s">
        <v>4017</v>
      </c>
      <c r="B3058" s="619" t="s">
        <v>1079</v>
      </c>
      <c r="C3058" s="620"/>
      <c r="D3058" s="621"/>
      <c r="E3058" s="622"/>
      <c r="F3058" s="334"/>
      <c r="G3058" s="334"/>
      <c r="H3058" s="602"/>
      <c r="I3058" s="334"/>
      <c r="J3058" s="334"/>
      <c r="K3058" s="334"/>
      <c r="L3058" s="334"/>
      <c r="M3058" s="334"/>
      <c r="N3058" s="334"/>
      <c r="O3058" s="334"/>
    </row>
    <row r="3059" spans="1:15" ht="12.75" hidden="1" customHeight="1" outlineLevel="1" x14ac:dyDescent="0.2">
      <c r="A3059" s="623" t="s">
        <v>4018</v>
      </c>
      <c r="B3059" s="624" t="s">
        <v>1341</v>
      </c>
      <c r="C3059" s="625" t="s">
        <v>100</v>
      </c>
      <c r="D3059" s="626">
        <v>39.03</v>
      </c>
      <c r="E3059" s="622"/>
      <c r="F3059" s="334"/>
      <c r="G3059" s="334"/>
      <c r="H3059" s="602"/>
      <c r="I3059" s="334"/>
      <c r="J3059" s="334"/>
      <c r="K3059" s="334"/>
      <c r="L3059" s="334"/>
      <c r="M3059" s="334"/>
      <c r="N3059" s="334"/>
      <c r="O3059" s="334"/>
    </row>
    <row r="3060" spans="1:15" ht="12.75" hidden="1" customHeight="1" outlineLevel="1" x14ac:dyDescent="0.2">
      <c r="A3060" s="627" t="s">
        <v>4019</v>
      </c>
      <c r="B3060" s="624" t="s">
        <v>1341</v>
      </c>
      <c r="C3060" s="629" t="s">
        <v>100</v>
      </c>
      <c r="D3060" s="630">
        <v>2.38</v>
      </c>
      <c r="E3060" s="622"/>
      <c r="F3060" s="334"/>
      <c r="G3060" s="334"/>
      <c r="H3060" s="602"/>
      <c r="I3060" s="334"/>
      <c r="J3060" s="334"/>
      <c r="K3060" s="334"/>
      <c r="L3060" s="334"/>
      <c r="M3060" s="334"/>
      <c r="N3060" s="334"/>
      <c r="O3060" s="334"/>
    </row>
    <row r="3061" spans="1:15" ht="12.75" hidden="1" customHeight="1" outlineLevel="1" x14ac:dyDescent="0.2">
      <c r="A3061" s="623" t="s">
        <v>4020</v>
      </c>
      <c r="B3061" s="624" t="s">
        <v>1341</v>
      </c>
      <c r="C3061" s="625" t="s">
        <v>100</v>
      </c>
      <c r="D3061" s="626">
        <v>1.1299999999999999</v>
      </c>
      <c r="E3061" s="622"/>
      <c r="F3061" s="334"/>
      <c r="G3061" s="334"/>
      <c r="H3061" s="602"/>
      <c r="I3061" s="334"/>
      <c r="J3061" s="334"/>
      <c r="K3061" s="334"/>
      <c r="L3061" s="334"/>
      <c r="M3061" s="334"/>
      <c r="N3061" s="334"/>
      <c r="O3061" s="334"/>
    </row>
    <row r="3062" spans="1:15" ht="12.75" hidden="1" customHeight="1" outlineLevel="1" x14ac:dyDescent="0.2">
      <c r="A3062" s="627" t="s">
        <v>4021</v>
      </c>
      <c r="B3062" s="624" t="s">
        <v>1341</v>
      </c>
      <c r="C3062" s="629" t="s">
        <v>100</v>
      </c>
      <c r="D3062" s="630">
        <v>68.489999999999995</v>
      </c>
      <c r="E3062" s="622"/>
      <c r="F3062" s="334"/>
      <c r="G3062" s="334"/>
      <c r="H3062" s="602"/>
      <c r="I3062" s="334"/>
      <c r="J3062" s="334"/>
      <c r="K3062" s="334"/>
      <c r="L3062" s="334"/>
      <c r="M3062" s="334"/>
      <c r="N3062" s="334"/>
      <c r="O3062" s="334"/>
    </row>
    <row r="3063" spans="1:15" ht="12.75" hidden="1" customHeight="1" outlineLevel="1" x14ac:dyDescent="0.2">
      <c r="A3063" s="623" t="s">
        <v>4022</v>
      </c>
      <c r="B3063" s="624" t="s">
        <v>1341</v>
      </c>
      <c r="C3063" s="625" t="s">
        <v>100</v>
      </c>
      <c r="D3063" s="626">
        <v>49.88</v>
      </c>
      <c r="E3063" s="622"/>
      <c r="F3063" s="334"/>
      <c r="G3063" s="334"/>
      <c r="H3063" s="602"/>
      <c r="I3063" s="334"/>
      <c r="J3063" s="334"/>
      <c r="K3063" s="334"/>
      <c r="L3063" s="334"/>
      <c r="M3063" s="334"/>
      <c r="N3063" s="334"/>
      <c r="O3063" s="334"/>
    </row>
    <row r="3064" spans="1:15" ht="12.75" hidden="1" customHeight="1" outlineLevel="1" x14ac:dyDescent="0.2">
      <c r="A3064" s="618" t="s">
        <v>4023</v>
      </c>
      <c r="B3064" s="619" t="s">
        <v>1086</v>
      </c>
      <c r="C3064" s="620"/>
      <c r="D3064" s="621"/>
      <c r="E3064" s="622"/>
      <c r="F3064" s="334"/>
      <c r="G3064" s="334"/>
      <c r="H3064" s="602"/>
      <c r="I3064" s="334"/>
      <c r="J3064" s="334"/>
      <c r="K3064" s="334"/>
      <c r="L3064" s="334"/>
      <c r="M3064" s="334"/>
      <c r="N3064" s="334"/>
      <c r="O3064" s="334"/>
    </row>
    <row r="3065" spans="1:15" ht="12.75" hidden="1" customHeight="1" outlineLevel="1" x14ac:dyDescent="0.2">
      <c r="A3065" s="627" t="s">
        <v>4024</v>
      </c>
      <c r="B3065" s="624" t="s">
        <v>1341</v>
      </c>
      <c r="C3065" s="629" t="s">
        <v>100</v>
      </c>
      <c r="D3065" s="630">
        <v>39.03</v>
      </c>
      <c r="E3065" s="622"/>
      <c r="F3065" s="334"/>
      <c r="G3065" s="334"/>
      <c r="H3065" s="602"/>
      <c r="I3065" s="334"/>
      <c r="J3065" s="334"/>
      <c r="K3065" s="334"/>
      <c r="L3065" s="334"/>
      <c r="M3065" s="334"/>
      <c r="N3065" s="334"/>
      <c r="O3065" s="334"/>
    </row>
    <row r="3066" spans="1:15" ht="12.75" hidden="1" customHeight="1" outlineLevel="1" x14ac:dyDescent="0.2">
      <c r="A3066" s="623" t="s">
        <v>4025</v>
      </c>
      <c r="B3066" s="624" t="s">
        <v>1341</v>
      </c>
      <c r="C3066" s="625" t="s">
        <v>100</v>
      </c>
      <c r="D3066" s="626">
        <v>2.38</v>
      </c>
      <c r="E3066" s="622"/>
      <c r="F3066" s="334"/>
      <c r="G3066" s="334"/>
      <c r="H3066" s="602"/>
      <c r="I3066" s="334"/>
      <c r="J3066" s="334"/>
      <c r="K3066" s="334"/>
      <c r="L3066" s="334"/>
      <c r="M3066" s="334"/>
      <c r="N3066" s="334"/>
      <c r="O3066" s="334"/>
    </row>
    <row r="3067" spans="1:15" ht="12.75" hidden="1" customHeight="1" outlineLevel="1" x14ac:dyDescent="0.2">
      <c r="A3067" s="627" t="s">
        <v>4026</v>
      </c>
      <c r="B3067" s="624" t="s">
        <v>1341</v>
      </c>
      <c r="C3067" s="629" t="s">
        <v>100</v>
      </c>
      <c r="D3067" s="630">
        <v>1.1299999999999999</v>
      </c>
      <c r="E3067" s="622"/>
      <c r="F3067" s="334"/>
      <c r="G3067" s="334"/>
      <c r="H3067" s="602"/>
      <c r="I3067" s="334"/>
      <c r="J3067" s="334"/>
      <c r="K3067" s="334"/>
      <c r="L3067" s="334"/>
      <c r="M3067" s="334"/>
      <c r="N3067" s="334"/>
      <c r="O3067" s="334"/>
    </row>
    <row r="3068" spans="1:15" ht="12.75" hidden="1" customHeight="1" outlineLevel="1" x14ac:dyDescent="0.2">
      <c r="A3068" s="623" t="s">
        <v>4027</v>
      </c>
      <c r="B3068" s="624" t="s">
        <v>1341</v>
      </c>
      <c r="C3068" s="625" t="s">
        <v>100</v>
      </c>
      <c r="D3068" s="626">
        <v>68.489999999999995</v>
      </c>
      <c r="E3068" s="622"/>
      <c r="F3068" s="334"/>
      <c r="G3068" s="334"/>
      <c r="H3068" s="602"/>
      <c r="I3068" s="334"/>
      <c r="J3068" s="334"/>
      <c r="K3068" s="334"/>
      <c r="L3068" s="334"/>
      <c r="M3068" s="334"/>
      <c r="N3068" s="334"/>
      <c r="O3068" s="334"/>
    </row>
    <row r="3069" spans="1:15" ht="12.75" hidden="1" customHeight="1" outlineLevel="1" x14ac:dyDescent="0.2">
      <c r="A3069" s="627" t="s">
        <v>4028</v>
      </c>
      <c r="B3069" s="624" t="s">
        <v>1341</v>
      </c>
      <c r="C3069" s="629" t="s">
        <v>100</v>
      </c>
      <c r="D3069" s="630">
        <v>49.88</v>
      </c>
      <c r="E3069" s="622"/>
      <c r="F3069" s="334"/>
      <c r="G3069" s="334"/>
      <c r="H3069" s="602"/>
      <c r="I3069" s="334"/>
      <c r="J3069" s="334"/>
      <c r="K3069" s="334"/>
      <c r="L3069" s="334"/>
      <c r="M3069" s="334"/>
      <c r="N3069" s="334"/>
      <c r="O3069" s="334"/>
    </row>
    <row r="3070" spans="1:15" ht="12.75" hidden="1" customHeight="1" outlineLevel="1" x14ac:dyDescent="0.2">
      <c r="A3070" s="618" t="s">
        <v>4029</v>
      </c>
      <c r="B3070" s="619" t="s">
        <v>1094</v>
      </c>
      <c r="C3070" s="620"/>
      <c r="D3070" s="621"/>
      <c r="E3070" s="622"/>
      <c r="F3070" s="334"/>
      <c r="G3070" s="334"/>
      <c r="H3070" s="602"/>
      <c r="I3070" s="334"/>
      <c r="J3070" s="334"/>
      <c r="K3070" s="334"/>
      <c r="L3070" s="334"/>
      <c r="M3070" s="334"/>
      <c r="N3070" s="334"/>
      <c r="O3070" s="334"/>
    </row>
    <row r="3071" spans="1:15" ht="12.75" hidden="1" customHeight="1" outlineLevel="1" x14ac:dyDescent="0.2">
      <c r="A3071" s="623" t="s">
        <v>4030</v>
      </c>
      <c r="B3071" s="624" t="s">
        <v>1341</v>
      </c>
      <c r="C3071" s="625" t="s">
        <v>100</v>
      </c>
      <c r="D3071" s="626">
        <v>39.03</v>
      </c>
      <c r="E3071" s="622"/>
      <c r="F3071" s="334"/>
      <c r="G3071" s="334"/>
      <c r="H3071" s="602"/>
      <c r="I3071" s="334"/>
      <c r="J3071" s="334"/>
      <c r="K3071" s="334"/>
      <c r="L3071" s="334"/>
      <c r="M3071" s="334"/>
      <c r="N3071" s="334"/>
      <c r="O3071" s="334"/>
    </row>
    <row r="3072" spans="1:15" ht="12.75" hidden="1" customHeight="1" outlineLevel="1" x14ac:dyDescent="0.2">
      <c r="A3072" s="627" t="s">
        <v>4031</v>
      </c>
      <c r="B3072" s="624" t="s">
        <v>1341</v>
      </c>
      <c r="C3072" s="629" t="s">
        <v>100</v>
      </c>
      <c r="D3072" s="630">
        <v>2.38</v>
      </c>
      <c r="E3072" s="622"/>
      <c r="F3072" s="334"/>
      <c r="G3072" s="334"/>
      <c r="H3072" s="602"/>
      <c r="I3072" s="334"/>
      <c r="J3072" s="334"/>
      <c r="K3072" s="334"/>
      <c r="L3072" s="334"/>
      <c r="M3072" s="334"/>
      <c r="N3072" s="334"/>
      <c r="O3072" s="334"/>
    </row>
    <row r="3073" spans="1:15" ht="12.75" hidden="1" customHeight="1" outlineLevel="1" x14ac:dyDescent="0.2">
      <c r="A3073" s="623" t="s">
        <v>4032</v>
      </c>
      <c r="B3073" s="624" t="s">
        <v>1341</v>
      </c>
      <c r="C3073" s="625" t="s">
        <v>100</v>
      </c>
      <c r="D3073" s="626">
        <v>1.1299999999999999</v>
      </c>
      <c r="E3073" s="622"/>
      <c r="F3073" s="334"/>
      <c r="G3073" s="334"/>
      <c r="H3073" s="602"/>
      <c r="I3073" s="334"/>
      <c r="J3073" s="334"/>
      <c r="K3073" s="334"/>
      <c r="L3073" s="334"/>
      <c r="M3073" s="334"/>
      <c r="N3073" s="334"/>
      <c r="O3073" s="334"/>
    </row>
    <row r="3074" spans="1:15" ht="12.75" hidden="1" customHeight="1" outlineLevel="1" x14ac:dyDescent="0.2">
      <c r="A3074" s="627" t="s">
        <v>4033</v>
      </c>
      <c r="B3074" s="624" t="s">
        <v>1341</v>
      </c>
      <c r="C3074" s="629" t="s">
        <v>100</v>
      </c>
      <c r="D3074" s="630">
        <v>68.489999999999995</v>
      </c>
      <c r="E3074" s="622"/>
      <c r="F3074" s="334"/>
      <c r="G3074" s="334"/>
      <c r="H3074" s="602"/>
      <c r="I3074" s="334"/>
      <c r="J3074" s="334"/>
      <c r="K3074" s="334"/>
      <c r="L3074" s="334"/>
      <c r="M3074" s="334"/>
      <c r="N3074" s="334"/>
      <c r="O3074" s="334"/>
    </row>
    <row r="3075" spans="1:15" ht="12.75" hidden="1" customHeight="1" outlineLevel="1" x14ac:dyDescent="0.2">
      <c r="A3075" s="623" t="s">
        <v>4034</v>
      </c>
      <c r="B3075" s="624" t="s">
        <v>1341</v>
      </c>
      <c r="C3075" s="625" t="s">
        <v>100</v>
      </c>
      <c r="D3075" s="626">
        <v>49.88</v>
      </c>
      <c r="E3075" s="622"/>
      <c r="F3075" s="334"/>
      <c r="G3075" s="334"/>
      <c r="H3075" s="602"/>
      <c r="I3075" s="334"/>
      <c r="J3075" s="334"/>
      <c r="K3075" s="334"/>
      <c r="L3075" s="334"/>
      <c r="M3075" s="334"/>
      <c r="N3075" s="334"/>
      <c r="O3075" s="334"/>
    </row>
    <row r="3076" spans="1:15" ht="12.75" hidden="1" customHeight="1" outlineLevel="1" x14ac:dyDescent="0.2">
      <c r="A3076" s="618" t="s">
        <v>4035</v>
      </c>
      <c r="B3076" s="619" t="s">
        <v>1102</v>
      </c>
      <c r="C3076" s="620"/>
      <c r="D3076" s="621"/>
      <c r="E3076" s="622"/>
      <c r="F3076" s="334"/>
      <c r="G3076" s="334"/>
      <c r="H3076" s="602"/>
      <c r="I3076" s="334"/>
      <c r="J3076" s="334"/>
      <c r="K3076" s="334"/>
      <c r="L3076" s="334"/>
      <c r="M3076" s="334"/>
      <c r="N3076" s="334"/>
      <c r="O3076" s="334"/>
    </row>
    <row r="3077" spans="1:15" ht="12.75" hidden="1" customHeight="1" outlineLevel="1" x14ac:dyDescent="0.2">
      <c r="A3077" s="627" t="s">
        <v>4036</v>
      </c>
      <c r="B3077" s="624" t="s">
        <v>1341</v>
      </c>
      <c r="C3077" s="629" t="s">
        <v>100</v>
      </c>
      <c r="D3077" s="630">
        <v>29.15</v>
      </c>
      <c r="E3077" s="622"/>
      <c r="F3077" s="334"/>
      <c r="G3077" s="334"/>
      <c r="H3077" s="602"/>
      <c r="I3077" s="334"/>
      <c r="J3077" s="334"/>
      <c r="K3077" s="334"/>
      <c r="L3077" s="334"/>
      <c r="M3077" s="334"/>
      <c r="N3077" s="334"/>
      <c r="O3077" s="334"/>
    </row>
    <row r="3078" spans="1:15" ht="12.75" hidden="1" customHeight="1" outlineLevel="1" x14ac:dyDescent="0.2">
      <c r="A3078" s="623" t="s">
        <v>4037</v>
      </c>
      <c r="B3078" s="624" t="s">
        <v>1341</v>
      </c>
      <c r="C3078" s="625" t="s">
        <v>100</v>
      </c>
      <c r="D3078" s="626">
        <v>33.85</v>
      </c>
      <c r="E3078" s="622"/>
      <c r="F3078" s="334"/>
      <c r="G3078" s="334"/>
      <c r="H3078" s="602"/>
      <c r="I3078" s="334"/>
      <c r="J3078" s="334"/>
      <c r="K3078" s="334"/>
      <c r="L3078" s="334"/>
      <c r="M3078" s="334"/>
      <c r="N3078" s="334"/>
      <c r="O3078" s="334"/>
    </row>
    <row r="3079" spans="1:15" ht="12.75" hidden="1" customHeight="1" outlineLevel="1" x14ac:dyDescent="0.2">
      <c r="A3079" s="627" t="s">
        <v>4038</v>
      </c>
      <c r="B3079" s="624" t="s">
        <v>1341</v>
      </c>
      <c r="C3079" s="629" t="s">
        <v>100</v>
      </c>
      <c r="D3079" s="630">
        <v>34.01</v>
      </c>
      <c r="E3079" s="622"/>
      <c r="F3079" s="334"/>
      <c r="G3079" s="334"/>
      <c r="H3079" s="602"/>
      <c r="I3079" s="334"/>
      <c r="J3079" s="334"/>
      <c r="K3079" s="334"/>
      <c r="L3079" s="334"/>
      <c r="M3079" s="334"/>
      <c r="N3079" s="334"/>
      <c r="O3079" s="334"/>
    </row>
    <row r="3080" spans="1:15" ht="12.75" hidden="1" customHeight="1" outlineLevel="1" x14ac:dyDescent="0.2">
      <c r="A3080" s="623" t="s">
        <v>4039</v>
      </c>
      <c r="B3080" s="624" t="s">
        <v>1341</v>
      </c>
      <c r="C3080" s="625" t="s">
        <v>100</v>
      </c>
      <c r="D3080" s="626">
        <v>52.76</v>
      </c>
      <c r="E3080" s="622"/>
      <c r="F3080" s="334"/>
      <c r="G3080" s="334"/>
      <c r="H3080" s="602"/>
      <c r="I3080" s="334"/>
      <c r="J3080" s="334"/>
      <c r="K3080" s="334"/>
      <c r="L3080" s="334"/>
      <c r="M3080" s="334"/>
      <c r="N3080" s="334"/>
      <c r="O3080" s="334"/>
    </row>
    <row r="3081" spans="1:15" ht="12.75" hidden="1" customHeight="1" outlineLevel="1" x14ac:dyDescent="0.2">
      <c r="A3081" s="627" t="s">
        <v>4040</v>
      </c>
      <c r="B3081" s="624" t="s">
        <v>1341</v>
      </c>
      <c r="C3081" s="629" t="s">
        <v>100</v>
      </c>
      <c r="D3081" s="630">
        <v>14.77</v>
      </c>
      <c r="E3081" s="622"/>
      <c r="F3081" s="334"/>
      <c r="G3081" s="334"/>
      <c r="H3081" s="602"/>
      <c r="I3081" s="334"/>
      <c r="J3081" s="334"/>
      <c r="K3081" s="334"/>
      <c r="L3081" s="334"/>
      <c r="M3081" s="334"/>
      <c r="N3081" s="334"/>
      <c r="O3081" s="334"/>
    </row>
    <row r="3082" spans="1:15" ht="12.75" hidden="1" customHeight="1" outlineLevel="1" x14ac:dyDescent="0.2">
      <c r="A3082" s="618" t="s">
        <v>4041</v>
      </c>
      <c r="B3082" s="619" t="s">
        <v>1112</v>
      </c>
      <c r="C3082" s="620"/>
      <c r="D3082" s="621"/>
      <c r="E3082" s="622"/>
      <c r="F3082" s="334"/>
      <c r="G3082" s="334"/>
      <c r="H3082" s="602"/>
      <c r="I3082" s="334"/>
      <c r="J3082" s="334"/>
      <c r="K3082" s="334"/>
      <c r="L3082" s="334"/>
      <c r="M3082" s="334"/>
      <c r="N3082" s="334"/>
      <c r="O3082" s="334"/>
    </row>
    <row r="3083" spans="1:15" ht="12.75" hidden="1" customHeight="1" outlineLevel="1" x14ac:dyDescent="0.2">
      <c r="A3083" s="623" t="s">
        <v>4042</v>
      </c>
      <c r="B3083" s="624" t="s">
        <v>1341</v>
      </c>
      <c r="C3083" s="625" t="s">
        <v>100</v>
      </c>
      <c r="D3083" s="626">
        <v>35.21</v>
      </c>
      <c r="E3083" s="622"/>
      <c r="F3083" s="334"/>
      <c r="G3083" s="334"/>
      <c r="H3083" s="602"/>
      <c r="I3083" s="334"/>
      <c r="J3083" s="334"/>
      <c r="K3083" s="334"/>
      <c r="L3083" s="334"/>
      <c r="M3083" s="334"/>
      <c r="N3083" s="334"/>
      <c r="O3083" s="334"/>
    </row>
    <row r="3084" spans="1:15" ht="12.75" hidden="1" customHeight="1" outlineLevel="1" x14ac:dyDescent="0.2">
      <c r="A3084" s="627" t="s">
        <v>4043</v>
      </c>
      <c r="B3084" s="624" t="s">
        <v>1341</v>
      </c>
      <c r="C3084" s="629" t="s">
        <v>100</v>
      </c>
      <c r="D3084" s="630">
        <v>35.61</v>
      </c>
      <c r="E3084" s="622"/>
      <c r="F3084" s="334"/>
      <c r="G3084" s="334"/>
      <c r="H3084" s="602"/>
      <c r="I3084" s="334"/>
      <c r="J3084" s="334"/>
      <c r="K3084" s="334"/>
      <c r="L3084" s="334"/>
      <c r="M3084" s="334"/>
      <c r="N3084" s="334"/>
      <c r="O3084" s="334"/>
    </row>
    <row r="3085" spans="1:15" ht="12.75" hidden="1" customHeight="1" outlineLevel="1" x14ac:dyDescent="0.2">
      <c r="A3085" s="623" t="s">
        <v>4044</v>
      </c>
      <c r="B3085" s="624" t="s">
        <v>1341</v>
      </c>
      <c r="C3085" s="625" t="s">
        <v>100</v>
      </c>
      <c r="D3085" s="626">
        <v>35.47</v>
      </c>
      <c r="E3085" s="622"/>
      <c r="F3085" s="334"/>
      <c r="G3085" s="334"/>
      <c r="H3085" s="602"/>
      <c r="I3085" s="334"/>
      <c r="J3085" s="334"/>
      <c r="K3085" s="334"/>
      <c r="L3085" s="334"/>
      <c r="M3085" s="334"/>
      <c r="N3085" s="334"/>
      <c r="O3085" s="334"/>
    </row>
    <row r="3086" spans="1:15" ht="12.75" hidden="1" customHeight="1" outlineLevel="1" x14ac:dyDescent="0.2">
      <c r="A3086" s="627" t="s">
        <v>4045</v>
      </c>
      <c r="B3086" s="624" t="s">
        <v>1341</v>
      </c>
      <c r="C3086" s="629" t="s">
        <v>100</v>
      </c>
      <c r="D3086" s="630">
        <v>59.88</v>
      </c>
      <c r="E3086" s="622"/>
      <c r="F3086" s="334"/>
      <c r="G3086" s="334"/>
      <c r="H3086" s="602"/>
      <c r="I3086" s="334"/>
      <c r="J3086" s="334"/>
      <c r="K3086" s="334"/>
      <c r="L3086" s="334"/>
      <c r="M3086" s="334"/>
      <c r="N3086" s="334"/>
      <c r="O3086" s="334"/>
    </row>
    <row r="3087" spans="1:15" ht="12.75" hidden="1" customHeight="1" outlineLevel="1" x14ac:dyDescent="0.2">
      <c r="A3087" s="623" t="s">
        <v>4046</v>
      </c>
      <c r="B3087" s="624" t="s">
        <v>1341</v>
      </c>
      <c r="C3087" s="625" t="s">
        <v>100</v>
      </c>
      <c r="D3087" s="626">
        <v>30.23</v>
      </c>
      <c r="E3087" s="622"/>
      <c r="F3087" s="334"/>
      <c r="G3087" s="334"/>
      <c r="H3087" s="602"/>
      <c r="I3087" s="334"/>
      <c r="J3087" s="334"/>
      <c r="K3087" s="334"/>
      <c r="L3087" s="334"/>
      <c r="M3087" s="334"/>
      <c r="N3087" s="334"/>
      <c r="O3087" s="334"/>
    </row>
    <row r="3088" spans="1:15" ht="12.75" hidden="1" customHeight="1" outlineLevel="1" x14ac:dyDescent="0.2">
      <c r="A3088" s="618" t="s">
        <v>4047</v>
      </c>
      <c r="B3088" s="619" t="s">
        <v>1120</v>
      </c>
      <c r="C3088" s="620"/>
      <c r="D3088" s="621"/>
      <c r="E3088" s="622"/>
      <c r="F3088" s="334"/>
      <c r="G3088" s="334"/>
      <c r="H3088" s="602"/>
      <c r="I3088" s="334"/>
      <c r="J3088" s="334"/>
      <c r="K3088" s="334"/>
      <c r="L3088" s="334"/>
      <c r="M3088" s="334"/>
      <c r="N3088" s="334"/>
      <c r="O3088" s="334"/>
    </row>
    <row r="3089" spans="1:15" ht="12.75" hidden="1" customHeight="1" outlineLevel="1" x14ac:dyDescent="0.2">
      <c r="A3089" s="627" t="s">
        <v>4048</v>
      </c>
      <c r="B3089" s="624" t="s">
        <v>1341</v>
      </c>
      <c r="C3089" s="629" t="s">
        <v>100</v>
      </c>
      <c r="D3089" s="630">
        <v>35.4</v>
      </c>
      <c r="E3089" s="622"/>
      <c r="F3089" s="334"/>
      <c r="G3089" s="334"/>
      <c r="H3089" s="602"/>
      <c r="I3089" s="334"/>
      <c r="J3089" s="334"/>
      <c r="K3089" s="334"/>
      <c r="L3089" s="334"/>
      <c r="M3089" s="334"/>
      <c r="N3089" s="334"/>
      <c r="O3089" s="334"/>
    </row>
    <row r="3090" spans="1:15" ht="12.75" hidden="1" customHeight="1" outlineLevel="1" x14ac:dyDescent="0.2">
      <c r="A3090" s="623" t="s">
        <v>4049</v>
      </c>
      <c r="B3090" s="624" t="s">
        <v>1341</v>
      </c>
      <c r="C3090" s="625" t="s">
        <v>100</v>
      </c>
      <c r="D3090" s="626">
        <v>17.84</v>
      </c>
      <c r="E3090" s="622"/>
      <c r="F3090" s="334"/>
      <c r="G3090" s="334"/>
      <c r="H3090" s="602"/>
      <c r="I3090" s="334"/>
      <c r="J3090" s="334"/>
      <c r="K3090" s="334"/>
      <c r="L3090" s="334"/>
      <c r="M3090" s="334"/>
      <c r="N3090" s="334"/>
      <c r="O3090" s="334"/>
    </row>
    <row r="3091" spans="1:15" ht="12.75" hidden="1" customHeight="1" outlineLevel="1" x14ac:dyDescent="0.2">
      <c r="A3091" s="627" t="s">
        <v>4050</v>
      </c>
      <c r="B3091" s="624" t="s">
        <v>1341</v>
      </c>
      <c r="C3091" s="629" t="s">
        <v>100</v>
      </c>
      <c r="D3091" s="630">
        <v>17.53</v>
      </c>
      <c r="E3091" s="622"/>
      <c r="F3091" s="334"/>
      <c r="G3091" s="334"/>
      <c r="H3091" s="602"/>
      <c r="I3091" s="334"/>
      <c r="J3091" s="334"/>
      <c r="K3091" s="334"/>
      <c r="L3091" s="334"/>
      <c r="M3091" s="334"/>
      <c r="N3091" s="334"/>
      <c r="O3091" s="334"/>
    </row>
    <row r="3092" spans="1:15" ht="12.75" hidden="1" customHeight="1" outlineLevel="1" x14ac:dyDescent="0.2">
      <c r="A3092" s="623" t="s">
        <v>4051</v>
      </c>
      <c r="B3092" s="624" t="s">
        <v>1341</v>
      </c>
      <c r="C3092" s="625" t="s">
        <v>100</v>
      </c>
      <c r="D3092" s="626">
        <v>39.270000000000003</v>
      </c>
      <c r="E3092" s="622"/>
      <c r="F3092" s="334"/>
      <c r="G3092" s="334"/>
      <c r="H3092" s="602"/>
      <c r="I3092" s="334"/>
      <c r="J3092" s="334"/>
      <c r="K3092" s="334"/>
      <c r="L3092" s="334"/>
      <c r="M3092" s="334"/>
      <c r="N3092" s="334"/>
      <c r="O3092" s="334"/>
    </row>
    <row r="3093" spans="1:15" ht="12.75" hidden="1" customHeight="1" outlineLevel="1" x14ac:dyDescent="0.2">
      <c r="A3093" s="627" t="s">
        <v>4052</v>
      </c>
      <c r="B3093" s="624" t="s">
        <v>1341</v>
      </c>
      <c r="C3093" s="629" t="s">
        <v>100</v>
      </c>
      <c r="D3093" s="630">
        <v>3.91</v>
      </c>
      <c r="E3093" s="622"/>
      <c r="F3093" s="334"/>
      <c r="G3093" s="334"/>
      <c r="H3093" s="602"/>
      <c r="I3093" s="334"/>
      <c r="J3093" s="334"/>
      <c r="K3093" s="334"/>
      <c r="L3093" s="334"/>
      <c r="M3093" s="334"/>
      <c r="N3093" s="334"/>
      <c r="O3093" s="334"/>
    </row>
    <row r="3094" spans="1:15" ht="12.75" hidden="1" customHeight="1" outlineLevel="1" x14ac:dyDescent="0.2">
      <c r="A3094" s="618" t="s">
        <v>4053</v>
      </c>
      <c r="B3094" s="619" t="s">
        <v>1127</v>
      </c>
      <c r="C3094" s="620"/>
      <c r="D3094" s="621"/>
      <c r="E3094" s="622"/>
      <c r="F3094" s="334"/>
      <c r="G3094" s="334"/>
      <c r="H3094" s="602"/>
      <c r="I3094" s="334"/>
      <c r="J3094" s="334"/>
      <c r="K3094" s="334"/>
      <c r="L3094" s="334"/>
      <c r="M3094" s="334"/>
      <c r="N3094" s="334"/>
      <c r="O3094" s="334"/>
    </row>
    <row r="3095" spans="1:15" ht="12.75" hidden="1" customHeight="1" outlineLevel="1" x14ac:dyDescent="0.2">
      <c r="A3095" s="623" t="s">
        <v>4054</v>
      </c>
      <c r="B3095" s="624" t="s">
        <v>1341</v>
      </c>
      <c r="C3095" s="625" t="s">
        <v>100</v>
      </c>
      <c r="D3095" s="626">
        <v>45.51</v>
      </c>
      <c r="E3095" s="622"/>
      <c r="F3095" s="334"/>
      <c r="G3095" s="334"/>
      <c r="H3095" s="602"/>
      <c r="I3095" s="334"/>
      <c r="J3095" s="334"/>
      <c r="K3095" s="334"/>
      <c r="L3095" s="334"/>
      <c r="M3095" s="334"/>
      <c r="N3095" s="334"/>
      <c r="O3095" s="334"/>
    </row>
    <row r="3096" spans="1:15" ht="12.75" hidden="1" customHeight="1" outlineLevel="1" x14ac:dyDescent="0.2">
      <c r="A3096" s="627" t="s">
        <v>4055</v>
      </c>
      <c r="B3096" s="624" t="s">
        <v>1341</v>
      </c>
      <c r="C3096" s="629" t="s">
        <v>100</v>
      </c>
      <c r="D3096" s="630">
        <v>37.78</v>
      </c>
      <c r="E3096" s="622"/>
      <c r="F3096" s="334"/>
      <c r="G3096" s="334"/>
      <c r="H3096" s="602"/>
      <c r="I3096" s="334"/>
      <c r="J3096" s="334"/>
      <c r="K3096" s="334"/>
      <c r="L3096" s="334"/>
      <c r="M3096" s="334"/>
      <c r="N3096" s="334"/>
      <c r="O3096" s="334"/>
    </row>
    <row r="3097" spans="1:15" ht="12.75" hidden="1" customHeight="1" outlineLevel="1" x14ac:dyDescent="0.2">
      <c r="A3097" s="623" t="s">
        <v>4056</v>
      </c>
      <c r="B3097" s="624" t="s">
        <v>1341</v>
      </c>
      <c r="C3097" s="625" t="s">
        <v>100</v>
      </c>
      <c r="D3097" s="626">
        <v>13.31</v>
      </c>
      <c r="E3097" s="622"/>
      <c r="F3097" s="334"/>
      <c r="G3097" s="334"/>
      <c r="H3097" s="602"/>
      <c r="I3097" s="334"/>
      <c r="J3097" s="334"/>
      <c r="K3097" s="334"/>
      <c r="L3097" s="334"/>
      <c r="M3097" s="334"/>
      <c r="N3097" s="334"/>
      <c r="O3097" s="334"/>
    </row>
    <row r="3098" spans="1:15" ht="12.75" hidden="1" customHeight="1" outlineLevel="1" x14ac:dyDescent="0.2">
      <c r="A3098" s="627" t="s">
        <v>4057</v>
      </c>
      <c r="B3098" s="624" t="s">
        <v>1341</v>
      </c>
      <c r="C3098" s="629" t="s">
        <v>100</v>
      </c>
      <c r="D3098" s="630">
        <v>53.56</v>
      </c>
      <c r="E3098" s="622"/>
      <c r="F3098" s="334"/>
      <c r="G3098" s="334"/>
      <c r="H3098" s="602"/>
      <c r="I3098" s="334"/>
      <c r="J3098" s="334"/>
      <c r="K3098" s="334"/>
      <c r="L3098" s="334"/>
      <c r="M3098" s="334"/>
      <c r="N3098" s="334"/>
      <c r="O3098" s="334"/>
    </row>
    <row r="3099" spans="1:15" ht="12.75" hidden="1" customHeight="1" outlineLevel="1" x14ac:dyDescent="0.2">
      <c r="A3099" s="618" t="s">
        <v>4058</v>
      </c>
      <c r="B3099" s="619" t="s">
        <v>1137</v>
      </c>
      <c r="C3099" s="620"/>
      <c r="D3099" s="621"/>
      <c r="E3099" s="622"/>
      <c r="F3099" s="334"/>
      <c r="G3099" s="334"/>
      <c r="H3099" s="602"/>
      <c r="I3099" s="334"/>
      <c r="J3099" s="334"/>
      <c r="K3099" s="334"/>
      <c r="L3099" s="334"/>
      <c r="M3099" s="334"/>
      <c r="N3099" s="334"/>
      <c r="O3099" s="334"/>
    </row>
    <row r="3100" spans="1:15" ht="12.75" hidden="1" customHeight="1" outlineLevel="1" x14ac:dyDescent="0.2">
      <c r="A3100" s="623" t="s">
        <v>4059</v>
      </c>
      <c r="B3100" s="624" t="s">
        <v>1341</v>
      </c>
      <c r="C3100" s="625" t="s">
        <v>100</v>
      </c>
      <c r="D3100" s="626">
        <v>91.82</v>
      </c>
      <c r="E3100" s="622"/>
      <c r="F3100" s="334"/>
      <c r="G3100" s="334"/>
      <c r="H3100" s="602"/>
      <c r="I3100" s="334"/>
      <c r="J3100" s="334"/>
      <c r="K3100" s="334"/>
      <c r="L3100" s="334"/>
      <c r="M3100" s="334"/>
      <c r="N3100" s="334"/>
      <c r="O3100" s="334"/>
    </row>
    <row r="3101" spans="1:15" ht="12.75" hidden="1" customHeight="1" outlineLevel="1" x14ac:dyDescent="0.2">
      <c r="A3101" s="627" t="s">
        <v>4060</v>
      </c>
      <c r="B3101" s="624" t="s">
        <v>1341</v>
      </c>
      <c r="C3101" s="629" t="s">
        <v>100</v>
      </c>
      <c r="D3101" s="630">
        <v>4.3499999999999996</v>
      </c>
      <c r="E3101" s="622"/>
      <c r="F3101" s="334"/>
      <c r="G3101" s="334"/>
      <c r="H3101" s="602"/>
      <c r="I3101" s="334"/>
      <c r="J3101" s="334"/>
      <c r="K3101" s="334"/>
      <c r="L3101" s="334"/>
      <c r="M3101" s="334"/>
      <c r="N3101" s="334"/>
      <c r="O3101" s="334"/>
    </row>
    <row r="3102" spans="1:15" ht="12.75" hidden="1" customHeight="1" outlineLevel="1" x14ac:dyDescent="0.2">
      <c r="A3102" s="623" t="s">
        <v>4061</v>
      </c>
      <c r="B3102" s="624" t="s">
        <v>1341</v>
      </c>
      <c r="C3102" s="625" t="s">
        <v>100</v>
      </c>
      <c r="D3102" s="626">
        <v>4.9400000000000004</v>
      </c>
      <c r="E3102" s="622"/>
      <c r="F3102" s="334"/>
      <c r="G3102" s="334"/>
      <c r="H3102" s="602"/>
      <c r="I3102" s="334"/>
      <c r="J3102" s="334"/>
      <c r="K3102" s="334"/>
      <c r="L3102" s="334"/>
      <c r="M3102" s="334"/>
      <c r="N3102" s="334"/>
      <c r="O3102" s="334"/>
    </row>
    <row r="3103" spans="1:15" ht="12.75" hidden="1" customHeight="1" outlineLevel="1" x14ac:dyDescent="0.2">
      <c r="A3103" s="627" t="s">
        <v>4062</v>
      </c>
      <c r="B3103" s="624" t="s">
        <v>1341</v>
      </c>
      <c r="C3103" s="629" t="s">
        <v>100</v>
      </c>
      <c r="D3103" s="630">
        <v>13.27</v>
      </c>
      <c r="E3103" s="622"/>
      <c r="F3103" s="334"/>
      <c r="G3103" s="334"/>
      <c r="H3103" s="602"/>
      <c r="I3103" s="334"/>
      <c r="J3103" s="334"/>
      <c r="K3103" s="334"/>
      <c r="L3103" s="334"/>
      <c r="M3103" s="334"/>
      <c r="N3103" s="334"/>
      <c r="O3103" s="334"/>
    </row>
    <row r="3104" spans="1:15" ht="12.75" hidden="1" customHeight="1" outlineLevel="1" x14ac:dyDescent="0.2">
      <c r="A3104" s="618" t="s">
        <v>4063</v>
      </c>
      <c r="B3104" s="619" t="s">
        <v>1140</v>
      </c>
      <c r="C3104" s="620"/>
      <c r="D3104" s="621"/>
      <c r="E3104" s="622"/>
      <c r="F3104" s="334"/>
      <c r="G3104" s="334"/>
      <c r="H3104" s="602"/>
      <c r="I3104" s="334"/>
      <c r="J3104" s="334"/>
      <c r="K3104" s="334"/>
      <c r="L3104" s="334"/>
      <c r="M3104" s="334"/>
      <c r="N3104" s="334"/>
      <c r="O3104" s="334"/>
    </row>
    <row r="3105" spans="1:15" ht="12.75" hidden="1" customHeight="1" outlineLevel="1" x14ac:dyDescent="0.2">
      <c r="A3105" s="623" t="s">
        <v>4064</v>
      </c>
      <c r="B3105" s="624" t="s">
        <v>1341</v>
      </c>
      <c r="C3105" s="625" t="s">
        <v>100</v>
      </c>
      <c r="D3105" s="626">
        <v>38.92</v>
      </c>
      <c r="E3105" s="622"/>
      <c r="F3105" s="334"/>
      <c r="G3105" s="334"/>
      <c r="H3105" s="602"/>
      <c r="I3105" s="334"/>
      <c r="J3105" s="334"/>
      <c r="K3105" s="334"/>
      <c r="L3105" s="334"/>
      <c r="M3105" s="334"/>
      <c r="N3105" s="334"/>
      <c r="O3105" s="334"/>
    </row>
    <row r="3106" spans="1:15" ht="12.75" hidden="1" customHeight="1" outlineLevel="1" x14ac:dyDescent="0.2">
      <c r="A3106" s="618" t="s">
        <v>4065</v>
      </c>
      <c r="B3106" s="619" t="s">
        <v>1462</v>
      </c>
      <c r="C3106" s="620"/>
      <c r="D3106" s="621"/>
      <c r="E3106" s="622"/>
      <c r="F3106" s="334"/>
      <c r="G3106" s="334"/>
      <c r="H3106" s="602"/>
      <c r="I3106" s="334"/>
      <c r="J3106" s="334"/>
      <c r="K3106" s="334"/>
      <c r="L3106" s="334"/>
      <c r="M3106" s="334"/>
      <c r="N3106" s="334"/>
      <c r="O3106" s="334"/>
    </row>
    <row r="3107" spans="1:15" ht="12.75" hidden="1" customHeight="1" outlineLevel="1" x14ac:dyDescent="0.2">
      <c r="A3107" s="627" t="s">
        <v>4066</v>
      </c>
      <c r="B3107" s="628" t="s">
        <v>1341</v>
      </c>
      <c r="C3107" s="629" t="s">
        <v>100</v>
      </c>
      <c r="D3107" s="630">
        <v>55.55</v>
      </c>
      <c r="E3107" s="622"/>
      <c r="F3107" s="334"/>
      <c r="G3107" s="334"/>
      <c r="H3107" s="602"/>
      <c r="I3107" s="334"/>
      <c r="J3107" s="334"/>
      <c r="K3107" s="334"/>
      <c r="L3107" s="334"/>
      <c r="M3107" s="334"/>
      <c r="N3107" s="334"/>
      <c r="O3107" s="334"/>
    </row>
    <row r="3108" spans="1:15" ht="12.75" hidden="1" customHeight="1" outlineLevel="1" x14ac:dyDescent="0.2">
      <c r="A3108" s="976" t="s">
        <v>4227</v>
      </c>
      <c r="B3108" s="977" t="s">
        <v>5336</v>
      </c>
      <c r="C3108" s="978"/>
      <c r="D3108" s="979"/>
      <c r="E3108" s="975"/>
      <c r="F3108" s="334"/>
      <c r="G3108" s="334"/>
      <c r="H3108" s="602"/>
      <c r="I3108" s="334"/>
      <c r="J3108" s="334"/>
      <c r="K3108" s="334"/>
      <c r="L3108" s="334"/>
      <c r="M3108" s="334"/>
      <c r="N3108" s="334"/>
      <c r="O3108" s="334"/>
    </row>
    <row r="3109" spans="1:15" ht="12.75" hidden="1" customHeight="1" outlineLevel="1" x14ac:dyDescent="0.2">
      <c r="A3109" s="980" t="s">
        <v>4228</v>
      </c>
      <c r="B3109" s="981" t="s">
        <v>1009</v>
      </c>
      <c r="C3109" s="982"/>
      <c r="D3109" s="983"/>
      <c r="E3109" s="975"/>
      <c r="F3109" s="334"/>
      <c r="G3109" s="334"/>
      <c r="H3109" s="602"/>
      <c r="I3109" s="334"/>
      <c r="J3109" s="334"/>
      <c r="K3109" s="334"/>
      <c r="L3109" s="334"/>
      <c r="M3109" s="334"/>
      <c r="N3109" s="334"/>
      <c r="O3109" s="334"/>
    </row>
    <row r="3110" spans="1:15" ht="12.75" hidden="1" customHeight="1" outlineLevel="1" x14ac:dyDescent="0.2">
      <c r="A3110" s="984" t="s">
        <v>4229</v>
      </c>
      <c r="B3110" s="985" t="s">
        <v>5337</v>
      </c>
      <c r="C3110" s="986" t="s">
        <v>100</v>
      </c>
      <c r="D3110" s="987">
        <v>120.53</v>
      </c>
      <c r="E3110" s="975"/>
      <c r="F3110" s="334"/>
      <c r="G3110" s="334"/>
      <c r="H3110" s="602"/>
      <c r="I3110" s="334"/>
      <c r="J3110" s="334"/>
      <c r="K3110" s="334"/>
      <c r="L3110" s="334"/>
      <c r="M3110" s="334"/>
      <c r="N3110" s="334"/>
      <c r="O3110" s="334"/>
    </row>
    <row r="3111" spans="1:15" ht="12.75" hidden="1" customHeight="1" outlineLevel="1" x14ac:dyDescent="0.2">
      <c r="A3111" s="988" t="s">
        <v>5338</v>
      </c>
      <c r="B3111" s="989" t="s">
        <v>5339</v>
      </c>
      <c r="C3111" s="990" t="s">
        <v>100</v>
      </c>
      <c r="D3111" s="991">
        <v>1.85</v>
      </c>
      <c r="E3111" s="975"/>
      <c r="F3111" s="334"/>
      <c r="G3111" s="334"/>
      <c r="H3111" s="602"/>
      <c r="I3111" s="334"/>
      <c r="J3111" s="334"/>
      <c r="K3111" s="334"/>
      <c r="L3111" s="334"/>
      <c r="M3111" s="334"/>
      <c r="N3111" s="334"/>
      <c r="O3111" s="334"/>
    </row>
    <row r="3112" spans="1:15" ht="12.75" hidden="1" customHeight="1" outlineLevel="1" x14ac:dyDescent="0.2">
      <c r="A3112" s="984" t="s">
        <v>5340</v>
      </c>
      <c r="B3112" s="985" t="s">
        <v>5341</v>
      </c>
      <c r="C3112" s="986" t="s">
        <v>100</v>
      </c>
      <c r="D3112" s="987">
        <v>73.78</v>
      </c>
      <c r="E3112" s="975"/>
      <c r="F3112" s="334"/>
      <c r="G3112" s="334"/>
      <c r="H3112" s="602"/>
      <c r="I3112" s="334"/>
      <c r="J3112" s="334"/>
      <c r="K3112" s="334"/>
      <c r="L3112" s="334"/>
      <c r="M3112" s="334"/>
      <c r="N3112" s="334"/>
      <c r="O3112" s="334"/>
    </row>
    <row r="3113" spans="1:15" ht="12.75" hidden="1" customHeight="1" outlineLevel="1" x14ac:dyDescent="0.2">
      <c r="A3113" s="988" t="s">
        <v>5342</v>
      </c>
      <c r="B3113" s="989" t="s">
        <v>5343</v>
      </c>
      <c r="C3113" s="990" t="s">
        <v>100</v>
      </c>
      <c r="D3113" s="991">
        <v>77.760000000000005</v>
      </c>
      <c r="E3113" s="975"/>
      <c r="F3113" s="334"/>
      <c r="G3113" s="334"/>
      <c r="H3113" s="602"/>
      <c r="I3113" s="334"/>
      <c r="J3113" s="334"/>
      <c r="K3113" s="334"/>
      <c r="L3113" s="334"/>
      <c r="M3113" s="334"/>
      <c r="N3113" s="334"/>
      <c r="O3113" s="334"/>
    </row>
    <row r="3114" spans="1:15" ht="12.75" hidden="1" customHeight="1" outlineLevel="1" x14ac:dyDescent="0.2">
      <c r="A3114" s="980" t="s">
        <v>4230</v>
      </c>
      <c r="B3114" s="981" t="s">
        <v>1017</v>
      </c>
      <c r="C3114" s="982"/>
      <c r="D3114" s="983"/>
      <c r="E3114" s="975"/>
      <c r="F3114" s="334"/>
      <c r="G3114" s="334"/>
      <c r="H3114" s="602"/>
      <c r="I3114" s="334"/>
      <c r="J3114" s="334"/>
      <c r="K3114" s="334"/>
      <c r="L3114" s="334"/>
      <c r="M3114" s="334"/>
      <c r="N3114" s="334"/>
      <c r="O3114" s="334"/>
    </row>
    <row r="3115" spans="1:15" ht="12.75" hidden="1" customHeight="1" outlineLevel="1" x14ac:dyDescent="0.2">
      <c r="A3115" s="984" t="s">
        <v>4231</v>
      </c>
      <c r="B3115" s="985" t="s">
        <v>5337</v>
      </c>
      <c r="C3115" s="986" t="s">
        <v>100</v>
      </c>
      <c r="D3115" s="987">
        <v>58.35</v>
      </c>
      <c r="E3115" s="975"/>
      <c r="F3115" s="334"/>
      <c r="G3115" s="334"/>
      <c r="H3115" s="602"/>
      <c r="I3115" s="334"/>
      <c r="J3115" s="334"/>
      <c r="K3115" s="334"/>
      <c r="L3115" s="334"/>
      <c r="M3115" s="334"/>
      <c r="N3115" s="334"/>
      <c r="O3115" s="334"/>
    </row>
    <row r="3116" spans="1:15" ht="12.75" hidden="1" customHeight="1" outlineLevel="1" x14ac:dyDescent="0.2">
      <c r="A3116" s="988" t="s">
        <v>5344</v>
      </c>
      <c r="B3116" s="989" t="s">
        <v>5339</v>
      </c>
      <c r="C3116" s="990" t="s">
        <v>100</v>
      </c>
      <c r="D3116" s="991">
        <v>80.28</v>
      </c>
      <c r="E3116" s="975"/>
      <c r="F3116" s="334"/>
      <c r="G3116" s="334"/>
      <c r="H3116" s="602"/>
      <c r="I3116" s="334"/>
      <c r="J3116" s="334"/>
      <c r="K3116" s="334"/>
      <c r="L3116" s="334"/>
      <c r="M3116" s="334"/>
      <c r="N3116" s="334"/>
      <c r="O3116" s="334"/>
    </row>
    <row r="3117" spans="1:15" ht="12.75" hidden="1" customHeight="1" outlineLevel="1" x14ac:dyDescent="0.2">
      <c r="A3117" s="984" t="s">
        <v>5345</v>
      </c>
      <c r="B3117" s="985" t="s">
        <v>5341</v>
      </c>
      <c r="C3117" s="986" t="s">
        <v>100</v>
      </c>
      <c r="D3117" s="987">
        <v>90.26</v>
      </c>
      <c r="E3117" s="975"/>
      <c r="F3117" s="334"/>
      <c r="G3117" s="334"/>
      <c r="H3117" s="602"/>
      <c r="I3117" s="334"/>
      <c r="J3117" s="334"/>
      <c r="K3117" s="334"/>
      <c r="L3117" s="334"/>
      <c r="M3117" s="334"/>
      <c r="N3117" s="334"/>
      <c r="O3117" s="334"/>
    </row>
    <row r="3118" spans="1:15" ht="12.75" hidden="1" customHeight="1" outlineLevel="1" x14ac:dyDescent="0.2">
      <c r="A3118" s="988" t="s">
        <v>5346</v>
      </c>
      <c r="B3118" s="989" t="s">
        <v>5343</v>
      </c>
      <c r="C3118" s="990" t="s">
        <v>100</v>
      </c>
      <c r="D3118" s="991">
        <v>152.22999999999999</v>
      </c>
      <c r="E3118" s="975"/>
      <c r="F3118" s="334"/>
      <c r="G3118" s="334"/>
      <c r="H3118" s="602"/>
      <c r="I3118" s="334"/>
      <c r="J3118" s="334"/>
      <c r="K3118" s="334"/>
      <c r="L3118" s="334"/>
      <c r="M3118" s="334"/>
      <c r="N3118" s="334"/>
      <c r="O3118" s="334"/>
    </row>
    <row r="3119" spans="1:15" ht="12.75" hidden="1" customHeight="1" outlineLevel="1" x14ac:dyDescent="0.2">
      <c r="A3119" s="980" t="s">
        <v>4232</v>
      </c>
      <c r="B3119" s="981" t="s">
        <v>1021</v>
      </c>
      <c r="C3119" s="982"/>
      <c r="D3119" s="983"/>
      <c r="E3119" s="975"/>
      <c r="F3119" s="334"/>
      <c r="G3119" s="334"/>
      <c r="H3119" s="602"/>
      <c r="I3119" s="334"/>
      <c r="J3119" s="334"/>
      <c r="K3119" s="334"/>
      <c r="L3119" s="334"/>
      <c r="M3119" s="334"/>
      <c r="N3119" s="334"/>
      <c r="O3119" s="334"/>
    </row>
    <row r="3120" spans="1:15" ht="12.75" hidden="1" customHeight="1" outlineLevel="1" x14ac:dyDescent="0.2">
      <c r="A3120" s="984" t="s">
        <v>4233</v>
      </c>
      <c r="B3120" s="985" t="s">
        <v>5337</v>
      </c>
      <c r="C3120" s="986" t="s">
        <v>100</v>
      </c>
      <c r="D3120" s="987">
        <v>122.35</v>
      </c>
      <c r="E3120" s="975"/>
      <c r="F3120" s="334"/>
      <c r="G3120" s="334"/>
      <c r="H3120" s="602"/>
      <c r="I3120" s="334"/>
      <c r="J3120" s="334"/>
      <c r="K3120" s="334"/>
      <c r="L3120" s="334"/>
      <c r="M3120" s="334"/>
      <c r="N3120" s="334"/>
      <c r="O3120" s="334"/>
    </row>
    <row r="3121" spans="1:15" ht="12.75" hidden="1" customHeight="1" outlineLevel="1" x14ac:dyDescent="0.2">
      <c r="A3121" s="988" t="s">
        <v>4234</v>
      </c>
      <c r="B3121" s="989" t="s">
        <v>5339</v>
      </c>
      <c r="C3121" s="990" t="s">
        <v>100</v>
      </c>
      <c r="D3121" s="991">
        <v>39.89</v>
      </c>
      <c r="E3121" s="975"/>
      <c r="F3121" s="334"/>
      <c r="G3121" s="334"/>
      <c r="H3121" s="602"/>
      <c r="I3121" s="334"/>
      <c r="J3121" s="334"/>
      <c r="K3121" s="334"/>
      <c r="L3121" s="334"/>
      <c r="M3121" s="334"/>
      <c r="N3121" s="334"/>
      <c r="O3121" s="334"/>
    </row>
    <row r="3122" spans="1:15" ht="12.75" hidden="1" customHeight="1" outlineLevel="1" x14ac:dyDescent="0.2">
      <c r="A3122" s="984" t="s">
        <v>5347</v>
      </c>
      <c r="B3122" s="985" t="s">
        <v>5341</v>
      </c>
      <c r="C3122" s="986" t="s">
        <v>100</v>
      </c>
      <c r="D3122" s="987">
        <v>40.369999999999997</v>
      </c>
      <c r="E3122" s="975"/>
      <c r="F3122" s="334"/>
      <c r="G3122" s="334"/>
      <c r="H3122" s="602"/>
      <c r="I3122" s="334"/>
      <c r="J3122" s="334"/>
      <c r="K3122" s="334"/>
      <c r="L3122" s="334"/>
      <c r="M3122" s="334"/>
      <c r="N3122" s="334"/>
      <c r="O3122" s="334"/>
    </row>
    <row r="3123" spans="1:15" ht="12.75" hidden="1" customHeight="1" outlineLevel="1" x14ac:dyDescent="0.2">
      <c r="A3123" s="988" t="s">
        <v>5348</v>
      </c>
      <c r="B3123" s="989" t="s">
        <v>5343</v>
      </c>
      <c r="C3123" s="990" t="s">
        <v>100</v>
      </c>
      <c r="D3123" s="991">
        <v>161.54</v>
      </c>
      <c r="E3123" s="975"/>
      <c r="F3123" s="334"/>
      <c r="G3123" s="334"/>
      <c r="H3123" s="602"/>
      <c r="I3123" s="334"/>
      <c r="J3123" s="334"/>
      <c r="K3123" s="334"/>
      <c r="L3123" s="334"/>
      <c r="M3123" s="334"/>
      <c r="N3123" s="334"/>
      <c r="O3123" s="334"/>
    </row>
    <row r="3124" spans="1:15" ht="12.75" hidden="1" customHeight="1" outlineLevel="1" x14ac:dyDescent="0.2">
      <c r="A3124" s="984" t="s">
        <v>5349</v>
      </c>
      <c r="B3124" s="985" t="s">
        <v>5350</v>
      </c>
      <c r="C3124" s="986" t="s">
        <v>100</v>
      </c>
      <c r="D3124" s="987">
        <v>21.4</v>
      </c>
      <c r="E3124" s="975"/>
      <c r="F3124" s="334"/>
      <c r="G3124" s="334"/>
      <c r="H3124" s="602"/>
      <c r="I3124" s="334"/>
      <c r="J3124" s="334"/>
      <c r="K3124" s="334"/>
      <c r="L3124" s="334"/>
      <c r="M3124" s="334"/>
      <c r="N3124" s="334"/>
      <c r="O3124" s="334"/>
    </row>
    <row r="3125" spans="1:15" ht="12.75" hidden="1" customHeight="1" outlineLevel="1" x14ac:dyDescent="0.2">
      <c r="A3125" s="980" t="s">
        <v>4235</v>
      </c>
      <c r="B3125" s="981" t="s">
        <v>1030</v>
      </c>
      <c r="C3125" s="982"/>
      <c r="D3125" s="983"/>
      <c r="E3125" s="975"/>
      <c r="F3125" s="334"/>
      <c r="G3125" s="334"/>
      <c r="H3125" s="602"/>
      <c r="I3125" s="334"/>
      <c r="J3125" s="334"/>
      <c r="K3125" s="334"/>
      <c r="L3125" s="334"/>
      <c r="M3125" s="334"/>
      <c r="N3125" s="334"/>
      <c r="O3125" s="334"/>
    </row>
    <row r="3126" spans="1:15" ht="12.75" hidden="1" customHeight="1" outlineLevel="1" x14ac:dyDescent="0.2">
      <c r="A3126" s="988" t="s">
        <v>4236</v>
      </c>
      <c r="B3126" s="989" t="s">
        <v>5337</v>
      </c>
      <c r="C3126" s="990" t="s">
        <v>100</v>
      </c>
      <c r="D3126" s="991">
        <v>108.14</v>
      </c>
      <c r="E3126" s="975"/>
      <c r="F3126" s="334"/>
      <c r="G3126" s="334"/>
      <c r="H3126" s="602"/>
      <c r="I3126" s="334"/>
      <c r="J3126" s="334"/>
      <c r="K3126" s="334"/>
      <c r="L3126" s="334"/>
      <c r="M3126" s="334"/>
      <c r="N3126" s="334"/>
      <c r="O3126" s="334"/>
    </row>
    <row r="3127" spans="1:15" ht="12.75" hidden="1" customHeight="1" outlineLevel="1" x14ac:dyDescent="0.2">
      <c r="A3127" s="984" t="s">
        <v>4237</v>
      </c>
      <c r="B3127" s="985" t="s">
        <v>5339</v>
      </c>
      <c r="C3127" s="986" t="s">
        <v>100</v>
      </c>
      <c r="D3127" s="987">
        <v>4.09</v>
      </c>
      <c r="E3127" s="975"/>
      <c r="F3127" s="334"/>
      <c r="G3127" s="334"/>
      <c r="H3127" s="602"/>
      <c r="I3127" s="334"/>
      <c r="J3127" s="334"/>
      <c r="K3127" s="334"/>
      <c r="L3127" s="334"/>
      <c r="M3127" s="334"/>
      <c r="N3127" s="334"/>
      <c r="O3127" s="334"/>
    </row>
    <row r="3128" spans="1:15" ht="12.75" hidden="1" customHeight="1" outlineLevel="1" x14ac:dyDescent="0.2">
      <c r="A3128" s="988" t="s">
        <v>4238</v>
      </c>
      <c r="B3128" s="989" t="s">
        <v>5341</v>
      </c>
      <c r="C3128" s="990" t="s">
        <v>100</v>
      </c>
      <c r="D3128" s="991">
        <v>2.84</v>
      </c>
      <c r="E3128" s="975"/>
      <c r="F3128" s="334"/>
      <c r="G3128" s="334"/>
      <c r="H3128" s="602"/>
      <c r="I3128" s="334"/>
      <c r="J3128" s="334"/>
      <c r="K3128" s="334"/>
      <c r="L3128" s="334"/>
      <c r="M3128" s="334"/>
      <c r="N3128" s="334"/>
      <c r="O3128" s="334"/>
    </row>
    <row r="3129" spans="1:15" ht="12.75" hidden="1" customHeight="1" outlineLevel="1" x14ac:dyDescent="0.2">
      <c r="A3129" s="984" t="s">
        <v>5351</v>
      </c>
      <c r="B3129" s="985" t="s">
        <v>5343</v>
      </c>
      <c r="C3129" s="986" t="s">
        <v>100</v>
      </c>
      <c r="D3129" s="987">
        <v>81.319999999999993</v>
      </c>
      <c r="E3129" s="975"/>
      <c r="F3129" s="334"/>
      <c r="G3129" s="334"/>
      <c r="H3129" s="602"/>
      <c r="I3129" s="334"/>
      <c r="J3129" s="334"/>
      <c r="K3129" s="334"/>
      <c r="L3129" s="334"/>
      <c r="M3129" s="334"/>
      <c r="N3129" s="334"/>
      <c r="O3129" s="334"/>
    </row>
    <row r="3130" spans="1:15" ht="12.75" hidden="1" customHeight="1" outlineLevel="1" x14ac:dyDescent="0.2">
      <c r="A3130" s="988" t="s">
        <v>5352</v>
      </c>
      <c r="B3130" s="989" t="s">
        <v>5350</v>
      </c>
      <c r="C3130" s="990" t="s">
        <v>100</v>
      </c>
      <c r="D3130" s="991">
        <v>17.47</v>
      </c>
      <c r="E3130" s="975"/>
      <c r="F3130" s="334"/>
      <c r="G3130" s="334"/>
      <c r="H3130" s="602"/>
      <c r="I3130" s="334"/>
      <c r="J3130" s="334"/>
      <c r="K3130" s="334"/>
      <c r="L3130" s="334"/>
      <c r="M3130" s="334"/>
      <c r="N3130" s="334"/>
      <c r="O3130" s="334"/>
    </row>
    <row r="3131" spans="1:15" ht="12.75" hidden="1" customHeight="1" outlineLevel="1" x14ac:dyDescent="0.2">
      <c r="A3131" s="980" t="s">
        <v>4239</v>
      </c>
      <c r="B3131" s="981" t="s">
        <v>1039</v>
      </c>
      <c r="C3131" s="982"/>
      <c r="D3131" s="983"/>
      <c r="E3131" s="975"/>
      <c r="F3131" s="334"/>
      <c r="G3131" s="334"/>
      <c r="H3131" s="602"/>
      <c r="I3131" s="334"/>
      <c r="J3131" s="334"/>
      <c r="K3131" s="334"/>
      <c r="L3131" s="334"/>
      <c r="M3131" s="334"/>
      <c r="N3131" s="334"/>
      <c r="O3131" s="334"/>
    </row>
    <row r="3132" spans="1:15" ht="12.75" hidden="1" customHeight="1" outlineLevel="1" x14ac:dyDescent="0.2">
      <c r="A3132" s="984" t="s">
        <v>4240</v>
      </c>
      <c r="B3132" s="985" t="s">
        <v>5337</v>
      </c>
      <c r="C3132" s="986" t="s">
        <v>100</v>
      </c>
      <c r="D3132" s="987">
        <v>100.33</v>
      </c>
      <c r="E3132" s="975"/>
      <c r="F3132" s="334"/>
      <c r="G3132" s="334"/>
      <c r="H3132" s="602"/>
      <c r="I3132" s="334"/>
      <c r="J3132" s="334"/>
      <c r="K3132" s="334"/>
      <c r="L3132" s="334"/>
      <c r="M3132" s="334"/>
      <c r="N3132" s="334"/>
      <c r="O3132" s="334"/>
    </row>
    <row r="3133" spans="1:15" ht="12.75" hidden="1" customHeight="1" outlineLevel="1" x14ac:dyDescent="0.2">
      <c r="A3133" s="988" t="s">
        <v>4241</v>
      </c>
      <c r="B3133" s="989" t="s">
        <v>5339</v>
      </c>
      <c r="C3133" s="990" t="s">
        <v>100</v>
      </c>
      <c r="D3133" s="991">
        <v>4.09</v>
      </c>
      <c r="E3133" s="975"/>
      <c r="F3133" s="334"/>
      <c r="G3133" s="334"/>
      <c r="H3133" s="602"/>
      <c r="I3133" s="334"/>
      <c r="J3133" s="334"/>
      <c r="K3133" s="334"/>
      <c r="L3133" s="334"/>
      <c r="M3133" s="334"/>
      <c r="N3133" s="334"/>
      <c r="O3133" s="334"/>
    </row>
    <row r="3134" spans="1:15" ht="12.75" hidden="1" customHeight="1" outlineLevel="1" x14ac:dyDescent="0.2">
      <c r="A3134" s="984" t="s">
        <v>4242</v>
      </c>
      <c r="B3134" s="985" t="s">
        <v>5341</v>
      </c>
      <c r="C3134" s="986" t="s">
        <v>100</v>
      </c>
      <c r="D3134" s="987">
        <v>2.84</v>
      </c>
      <c r="E3134" s="975"/>
      <c r="F3134" s="334"/>
      <c r="G3134" s="334"/>
      <c r="H3134" s="602"/>
      <c r="I3134" s="334"/>
      <c r="J3134" s="334"/>
      <c r="K3134" s="334"/>
      <c r="L3134" s="334"/>
      <c r="M3134" s="334"/>
      <c r="N3134" s="334"/>
      <c r="O3134" s="334"/>
    </row>
    <row r="3135" spans="1:15" ht="12.75" hidden="1" customHeight="1" outlineLevel="1" x14ac:dyDescent="0.2">
      <c r="A3135" s="988" t="s">
        <v>5353</v>
      </c>
      <c r="B3135" s="989" t="s">
        <v>5343</v>
      </c>
      <c r="C3135" s="990" t="s">
        <v>100</v>
      </c>
      <c r="D3135" s="991">
        <v>81.069999999999993</v>
      </c>
      <c r="E3135" s="975"/>
      <c r="F3135" s="334"/>
      <c r="G3135" s="334"/>
      <c r="H3135" s="602"/>
      <c r="I3135" s="334"/>
      <c r="J3135" s="334"/>
      <c r="K3135" s="334"/>
      <c r="L3135" s="334"/>
      <c r="M3135" s="334"/>
      <c r="N3135" s="334"/>
      <c r="O3135" s="334"/>
    </row>
    <row r="3136" spans="1:15" ht="12.75" hidden="1" customHeight="1" outlineLevel="1" x14ac:dyDescent="0.2">
      <c r="A3136" s="984" t="s">
        <v>5354</v>
      </c>
      <c r="B3136" s="985" t="s">
        <v>5350</v>
      </c>
      <c r="C3136" s="986" t="s">
        <v>100</v>
      </c>
      <c r="D3136" s="987">
        <v>17.82</v>
      </c>
      <c r="E3136" s="975"/>
      <c r="F3136" s="334"/>
      <c r="G3136" s="334"/>
      <c r="H3136" s="602"/>
      <c r="I3136" s="334"/>
      <c r="J3136" s="334"/>
      <c r="K3136" s="334"/>
      <c r="L3136" s="334"/>
      <c r="M3136" s="334"/>
      <c r="N3136" s="334"/>
      <c r="O3136" s="334"/>
    </row>
    <row r="3137" spans="1:15" ht="12.75" hidden="1" customHeight="1" outlineLevel="1" x14ac:dyDescent="0.2">
      <c r="A3137" s="980" t="s">
        <v>4243</v>
      </c>
      <c r="B3137" s="981" t="s">
        <v>1047</v>
      </c>
      <c r="C3137" s="982"/>
      <c r="D3137" s="983"/>
      <c r="E3137" s="975"/>
      <c r="F3137" s="334"/>
      <c r="G3137" s="334"/>
      <c r="H3137" s="602"/>
      <c r="I3137" s="334"/>
      <c r="J3137" s="334"/>
      <c r="K3137" s="334"/>
      <c r="L3137" s="334"/>
      <c r="M3137" s="334"/>
      <c r="N3137" s="334"/>
      <c r="O3137" s="334"/>
    </row>
    <row r="3138" spans="1:15" ht="12.75" hidden="1" customHeight="1" outlineLevel="1" x14ac:dyDescent="0.2">
      <c r="A3138" s="988" t="s">
        <v>4244</v>
      </c>
      <c r="B3138" s="989" t="s">
        <v>5337</v>
      </c>
      <c r="C3138" s="990" t="s">
        <v>100</v>
      </c>
      <c r="D3138" s="991">
        <v>108.14</v>
      </c>
      <c r="E3138" s="975"/>
      <c r="F3138" s="334"/>
      <c r="G3138" s="334"/>
      <c r="H3138" s="602"/>
      <c r="I3138" s="334"/>
      <c r="J3138" s="334"/>
      <c r="K3138" s="334"/>
      <c r="L3138" s="334"/>
      <c r="M3138" s="334"/>
      <c r="N3138" s="334"/>
      <c r="O3138" s="334"/>
    </row>
    <row r="3139" spans="1:15" ht="12.75" hidden="1" customHeight="1" outlineLevel="1" x14ac:dyDescent="0.2">
      <c r="A3139" s="984" t="s">
        <v>4245</v>
      </c>
      <c r="B3139" s="985" t="s">
        <v>5339</v>
      </c>
      <c r="C3139" s="986" t="s">
        <v>100</v>
      </c>
      <c r="D3139" s="987">
        <v>4.09</v>
      </c>
      <c r="E3139" s="975"/>
      <c r="F3139" s="334"/>
      <c r="G3139" s="334"/>
      <c r="H3139" s="602"/>
      <c r="I3139" s="334"/>
      <c r="J3139" s="334"/>
      <c r="K3139" s="334"/>
      <c r="L3139" s="334"/>
      <c r="M3139" s="334"/>
      <c r="N3139" s="334"/>
      <c r="O3139" s="334"/>
    </row>
    <row r="3140" spans="1:15" ht="12.75" hidden="1" customHeight="1" outlineLevel="1" x14ac:dyDescent="0.2">
      <c r="A3140" s="988" t="s">
        <v>4246</v>
      </c>
      <c r="B3140" s="989" t="s">
        <v>5341</v>
      </c>
      <c r="C3140" s="990" t="s">
        <v>100</v>
      </c>
      <c r="D3140" s="991">
        <v>2.84</v>
      </c>
      <c r="E3140" s="975"/>
      <c r="F3140" s="334"/>
      <c r="G3140" s="334"/>
      <c r="H3140" s="602"/>
      <c r="I3140" s="334"/>
      <c r="J3140" s="334"/>
      <c r="K3140" s="334"/>
      <c r="L3140" s="334"/>
      <c r="M3140" s="334"/>
      <c r="N3140" s="334"/>
      <c r="O3140" s="334"/>
    </row>
    <row r="3141" spans="1:15" ht="12.75" hidden="1" customHeight="1" outlineLevel="1" x14ac:dyDescent="0.2">
      <c r="A3141" s="984" t="s">
        <v>5355</v>
      </c>
      <c r="B3141" s="985" t="s">
        <v>5343</v>
      </c>
      <c r="C3141" s="986" t="s">
        <v>100</v>
      </c>
      <c r="D3141" s="987">
        <v>81.319999999999993</v>
      </c>
      <c r="E3141" s="975"/>
      <c r="F3141" s="334"/>
      <c r="G3141" s="334"/>
      <c r="H3141" s="602"/>
      <c r="I3141" s="334"/>
      <c r="J3141" s="334"/>
      <c r="K3141" s="334"/>
      <c r="L3141" s="334"/>
      <c r="M3141" s="334"/>
      <c r="N3141" s="334"/>
      <c r="O3141" s="334"/>
    </row>
    <row r="3142" spans="1:15" ht="12.75" hidden="1" customHeight="1" outlineLevel="1" x14ac:dyDescent="0.2">
      <c r="A3142" s="988" t="s">
        <v>5356</v>
      </c>
      <c r="B3142" s="989" t="s">
        <v>5350</v>
      </c>
      <c r="C3142" s="990" t="s">
        <v>100</v>
      </c>
      <c r="D3142" s="991">
        <v>17.47</v>
      </c>
      <c r="E3142" s="975"/>
      <c r="F3142" s="334"/>
      <c r="G3142" s="334"/>
      <c r="H3142" s="602"/>
      <c r="I3142" s="334"/>
      <c r="J3142" s="334"/>
      <c r="K3142" s="334"/>
      <c r="L3142" s="334"/>
      <c r="M3142" s="334"/>
      <c r="N3142" s="334"/>
      <c r="O3142" s="334"/>
    </row>
    <row r="3143" spans="1:15" ht="12.75" hidden="1" customHeight="1" outlineLevel="1" x14ac:dyDescent="0.2">
      <c r="A3143" s="980" t="s">
        <v>4247</v>
      </c>
      <c r="B3143" s="981" t="s">
        <v>1058</v>
      </c>
      <c r="C3143" s="982"/>
      <c r="D3143" s="983"/>
      <c r="E3143" s="975"/>
      <c r="F3143" s="334"/>
      <c r="G3143" s="334"/>
      <c r="H3143" s="602"/>
      <c r="I3143" s="334"/>
      <c r="J3143" s="334"/>
      <c r="K3143" s="334"/>
      <c r="L3143" s="334"/>
      <c r="M3143" s="334"/>
      <c r="N3143" s="334"/>
      <c r="O3143" s="334"/>
    </row>
    <row r="3144" spans="1:15" ht="12.75" hidden="1" customHeight="1" outlineLevel="1" x14ac:dyDescent="0.2">
      <c r="A3144" s="984" t="s">
        <v>4248</v>
      </c>
      <c r="B3144" s="985" t="s">
        <v>5337</v>
      </c>
      <c r="C3144" s="986" t="s">
        <v>100</v>
      </c>
      <c r="D3144" s="987">
        <v>108.14</v>
      </c>
      <c r="E3144" s="975"/>
      <c r="F3144" s="334"/>
      <c r="G3144" s="334"/>
      <c r="H3144" s="602"/>
      <c r="I3144" s="334"/>
      <c r="J3144" s="334"/>
      <c r="K3144" s="334"/>
      <c r="L3144" s="334"/>
      <c r="M3144" s="334"/>
      <c r="N3144" s="334"/>
      <c r="O3144" s="334"/>
    </row>
    <row r="3145" spans="1:15" ht="12.75" hidden="1" customHeight="1" outlineLevel="1" x14ac:dyDescent="0.2">
      <c r="A3145" s="988" t="s">
        <v>4249</v>
      </c>
      <c r="B3145" s="989" t="s">
        <v>5339</v>
      </c>
      <c r="C3145" s="990" t="s">
        <v>100</v>
      </c>
      <c r="D3145" s="991">
        <v>4.09</v>
      </c>
      <c r="E3145" s="975"/>
      <c r="F3145" s="334"/>
      <c r="G3145" s="334"/>
      <c r="H3145" s="602"/>
      <c r="I3145" s="334"/>
      <c r="J3145" s="334"/>
      <c r="K3145" s="334"/>
      <c r="L3145" s="334"/>
      <c r="M3145" s="334"/>
      <c r="N3145" s="334"/>
      <c r="O3145" s="334"/>
    </row>
    <row r="3146" spans="1:15" ht="12.75" hidden="1" customHeight="1" outlineLevel="1" x14ac:dyDescent="0.2">
      <c r="A3146" s="984" t="s">
        <v>4250</v>
      </c>
      <c r="B3146" s="985" t="s">
        <v>5341</v>
      </c>
      <c r="C3146" s="986" t="s">
        <v>100</v>
      </c>
      <c r="D3146" s="987">
        <v>2.84</v>
      </c>
      <c r="E3146" s="975"/>
      <c r="F3146" s="334"/>
      <c r="G3146" s="334"/>
      <c r="H3146" s="602"/>
      <c r="I3146" s="334"/>
      <c r="J3146" s="334"/>
      <c r="K3146" s="334"/>
      <c r="L3146" s="334"/>
      <c r="M3146" s="334"/>
      <c r="N3146" s="334"/>
      <c r="O3146" s="334"/>
    </row>
    <row r="3147" spans="1:15" ht="12.75" hidden="1" customHeight="1" outlineLevel="1" x14ac:dyDescent="0.2">
      <c r="A3147" s="988" t="s">
        <v>5357</v>
      </c>
      <c r="B3147" s="989" t="s">
        <v>5343</v>
      </c>
      <c r="C3147" s="990" t="s">
        <v>100</v>
      </c>
      <c r="D3147" s="991">
        <v>81.319999999999993</v>
      </c>
      <c r="E3147" s="975"/>
      <c r="F3147" s="334"/>
      <c r="G3147" s="334"/>
      <c r="H3147" s="602"/>
      <c r="I3147" s="334"/>
      <c r="J3147" s="334"/>
      <c r="K3147" s="334"/>
      <c r="L3147" s="334"/>
      <c r="M3147" s="334"/>
      <c r="N3147" s="334"/>
      <c r="O3147" s="334"/>
    </row>
    <row r="3148" spans="1:15" ht="12.75" hidden="1" customHeight="1" outlineLevel="1" x14ac:dyDescent="0.2">
      <c r="A3148" s="984" t="s">
        <v>5358</v>
      </c>
      <c r="B3148" s="985" t="s">
        <v>5350</v>
      </c>
      <c r="C3148" s="986" t="s">
        <v>100</v>
      </c>
      <c r="D3148" s="987">
        <v>17.47</v>
      </c>
      <c r="E3148" s="975"/>
      <c r="F3148" s="334"/>
      <c r="G3148" s="334"/>
      <c r="H3148" s="602"/>
      <c r="I3148" s="334"/>
      <c r="J3148" s="334"/>
      <c r="K3148" s="334"/>
      <c r="L3148" s="334"/>
      <c r="M3148" s="334"/>
      <c r="N3148" s="334"/>
      <c r="O3148" s="334"/>
    </row>
    <row r="3149" spans="1:15" ht="12.75" hidden="1" customHeight="1" outlineLevel="1" x14ac:dyDescent="0.2">
      <c r="A3149" s="980" t="s">
        <v>4251</v>
      </c>
      <c r="B3149" s="981" t="s">
        <v>1069</v>
      </c>
      <c r="C3149" s="982"/>
      <c r="D3149" s="983"/>
      <c r="E3149" s="975"/>
      <c r="F3149" s="334"/>
      <c r="G3149" s="334"/>
      <c r="H3149" s="602"/>
      <c r="I3149" s="334"/>
      <c r="J3149" s="334"/>
      <c r="K3149" s="334"/>
      <c r="L3149" s="334"/>
      <c r="M3149" s="334"/>
      <c r="N3149" s="334"/>
      <c r="O3149" s="334"/>
    </row>
    <row r="3150" spans="1:15" ht="12.75" hidden="1" customHeight="1" outlineLevel="1" x14ac:dyDescent="0.2">
      <c r="A3150" s="988" t="s">
        <v>4252</v>
      </c>
      <c r="B3150" s="989" t="s">
        <v>5337</v>
      </c>
      <c r="C3150" s="990" t="s">
        <v>100</v>
      </c>
      <c r="D3150" s="991">
        <v>108.14</v>
      </c>
      <c r="E3150" s="975"/>
      <c r="F3150" s="334"/>
      <c r="G3150" s="334"/>
      <c r="H3150" s="602"/>
      <c r="I3150" s="334"/>
      <c r="J3150" s="334"/>
      <c r="K3150" s="334"/>
      <c r="L3150" s="334"/>
      <c r="M3150" s="334"/>
      <c r="N3150" s="334"/>
      <c r="O3150" s="334"/>
    </row>
    <row r="3151" spans="1:15" ht="12.75" hidden="1" customHeight="1" outlineLevel="1" x14ac:dyDescent="0.2">
      <c r="A3151" s="984" t="s">
        <v>4253</v>
      </c>
      <c r="B3151" s="985" t="s">
        <v>5339</v>
      </c>
      <c r="C3151" s="986" t="s">
        <v>100</v>
      </c>
      <c r="D3151" s="987">
        <v>4.09</v>
      </c>
      <c r="E3151" s="975"/>
      <c r="F3151" s="334"/>
      <c r="G3151" s="334"/>
      <c r="H3151" s="602"/>
      <c r="I3151" s="334"/>
      <c r="J3151" s="334"/>
      <c r="K3151" s="334"/>
      <c r="L3151" s="334"/>
      <c r="M3151" s="334"/>
      <c r="N3151" s="334"/>
      <c r="O3151" s="334"/>
    </row>
    <row r="3152" spans="1:15" ht="12.75" hidden="1" customHeight="1" outlineLevel="1" x14ac:dyDescent="0.2">
      <c r="A3152" s="988" t="s">
        <v>4254</v>
      </c>
      <c r="B3152" s="989" t="s">
        <v>5341</v>
      </c>
      <c r="C3152" s="990" t="s">
        <v>100</v>
      </c>
      <c r="D3152" s="991">
        <v>2.84</v>
      </c>
      <c r="E3152" s="975"/>
      <c r="F3152" s="334"/>
      <c r="G3152" s="334"/>
      <c r="H3152" s="602"/>
      <c r="I3152" s="334"/>
      <c r="J3152" s="334"/>
      <c r="K3152" s="334"/>
      <c r="L3152" s="334"/>
      <c r="M3152" s="334"/>
      <c r="N3152" s="334"/>
      <c r="O3152" s="334"/>
    </row>
    <row r="3153" spans="1:15" ht="12.75" hidden="1" customHeight="1" outlineLevel="1" x14ac:dyDescent="0.2">
      <c r="A3153" s="984" t="s">
        <v>5359</v>
      </c>
      <c r="B3153" s="985" t="s">
        <v>5343</v>
      </c>
      <c r="C3153" s="986" t="s">
        <v>100</v>
      </c>
      <c r="D3153" s="987">
        <v>81.319999999999993</v>
      </c>
      <c r="E3153" s="975"/>
      <c r="F3153" s="334"/>
      <c r="G3153" s="334"/>
      <c r="H3153" s="602"/>
      <c r="I3153" s="334"/>
      <c r="J3153" s="334"/>
      <c r="K3153" s="334"/>
      <c r="L3153" s="334"/>
      <c r="M3153" s="334"/>
      <c r="N3153" s="334"/>
      <c r="O3153" s="334"/>
    </row>
    <row r="3154" spans="1:15" ht="12.75" hidden="1" customHeight="1" outlineLevel="1" x14ac:dyDescent="0.2">
      <c r="A3154" s="988" t="s">
        <v>5360</v>
      </c>
      <c r="B3154" s="989" t="s">
        <v>5350</v>
      </c>
      <c r="C3154" s="990" t="s">
        <v>100</v>
      </c>
      <c r="D3154" s="991">
        <v>17.47</v>
      </c>
      <c r="E3154" s="975"/>
      <c r="F3154" s="334"/>
      <c r="G3154" s="334"/>
      <c r="H3154" s="602"/>
      <c r="I3154" s="334"/>
      <c r="J3154" s="334"/>
      <c r="K3154" s="334"/>
      <c r="L3154" s="334"/>
      <c r="M3154" s="334"/>
      <c r="N3154" s="334"/>
      <c r="O3154" s="334"/>
    </row>
    <row r="3155" spans="1:15" ht="12.75" hidden="1" customHeight="1" outlineLevel="1" x14ac:dyDescent="0.2">
      <c r="A3155" s="980" t="s">
        <v>4255</v>
      </c>
      <c r="B3155" s="981" t="s">
        <v>1079</v>
      </c>
      <c r="C3155" s="982"/>
      <c r="D3155" s="983"/>
      <c r="E3155" s="975"/>
      <c r="F3155" s="334"/>
      <c r="G3155" s="334"/>
      <c r="H3155" s="602"/>
      <c r="I3155" s="334"/>
      <c r="J3155" s="334"/>
      <c r="K3155" s="334"/>
      <c r="L3155" s="334"/>
      <c r="M3155" s="334"/>
      <c r="N3155" s="334"/>
      <c r="O3155" s="334"/>
    </row>
    <row r="3156" spans="1:15" ht="12.75" hidden="1" customHeight="1" outlineLevel="1" x14ac:dyDescent="0.2">
      <c r="A3156" s="984" t="s">
        <v>4256</v>
      </c>
      <c r="B3156" s="985" t="s">
        <v>5337</v>
      </c>
      <c r="C3156" s="986" t="s">
        <v>100</v>
      </c>
      <c r="D3156" s="987">
        <v>108.14</v>
      </c>
      <c r="E3156" s="975"/>
      <c r="F3156" s="334"/>
      <c r="G3156" s="334"/>
      <c r="H3156" s="602"/>
      <c r="I3156" s="334"/>
      <c r="J3156" s="334"/>
      <c r="K3156" s="334"/>
      <c r="L3156" s="334"/>
      <c r="M3156" s="334"/>
      <c r="N3156" s="334"/>
      <c r="O3156" s="334"/>
    </row>
    <row r="3157" spans="1:15" ht="12.75" hidden="1" customHeight="1" outlineLevel="1" x14ac:dyDescent="0.2">
      <c r="A3157" s="988" t="s">
        <v>4257</v>
      </c>
      <c r="B3157" s="989" t="s">
        <v>5339</v>
      </c>
      <c r="C3157" s="990" t="s">
        <v>100</v>
      </c>
      <c r="D3157" s="991">
        <v>4.09</v>
      </c>
      <c r="E3157" s="975"/>
      <c r="F3157" s="334"/>
      <c r="G3157" s="334"/>
      <c r="H3157" s="602"/>
      <c r="I3157" s="334"/>
      <c r="J3157" s="334"/>
      <c r="K3157" s="334"/>
      <c r="L3157" s="334"/>
      <c r="M3157" s="334"/>
      <c r="N3157" s="334"/>
      <c r="O3157" s="334"/>
    </row>
    <row r="3158" spans="1:15" ht="12.75" hidden="1" customHeight="1" outlineLevel="1" x14ac:dyDescent="0.2">
      <c r="A3158" s="984" t="s">
        <v>4258</v>
      </c>
      <c r="B3158" s="985" t="s">
        <v>5341</v>
      </c>
      <c r="C3158" s="986" t="s">
        <v>100</v>
      </c>
      <c r="D3158" s="987">
        <v>2.84</v>
      </c>
      <c r="E3158" s="975"/>
      <c r="F3158" s="334"/>
      <c r="G3158" s="334"/>
      <c r="H3158" s="602"/>
      <c r="I3158" s="334"/>
      <c r="J3158" s="334"/>
      <c r="K3158" s="334"/>
      <c r="L3158" s="334"/>
      <c r="M3158" s="334"/>
      <c r="N3158" s="334"/>
      <c r="O3158" s="334"/>
    </row>
    <row r="3159" spans="1:15" ht="12.75" hidden="1" customHeight="1" outlineLevel="1" x14ac:dyDescent="0.2">
      <c r="A3159" s="988" t="s">
        <v>5361</v>
      </c>
      <c r="B3159" s="989" t="s">
        <v>5343</v>
      </c>
      <c r="C3159" s="990" t="s">
        <v>100</v>
      </c>
      <c r="D3159" s="991">
        <v>81.319999999999993</v>
      </c>
      <c r="E3159" s="975"/>
      <c r="F3159" s="334"/>
      <c r="G3159" s="334"/>
      <c r="H3159" s="602"/>
      <c r="I3159" s="334"/>
      <c r="J3159" s="334"/>
      <c r="K3159" s="334"/>
      <c r="L3159" s="334"/>
      <c r="M3159" s="334"/>
      <c r="N3159" s="334"/>
      <c r="O3159" s="334"/>
    </row>
    <row r="3160" spans="1:15" ht="12.75" hidden="1" customHeight="1" outlineLevel="1" x14ac:dyDescent="0.2">
      <c r="A3160" s="984" t="s">
        <v>5362</v>
      </c>
      <c r="B3160" s="985" t="s">
        <v>5350</v>
      </c>
      <c r="C3160" s="986" t="s">
        <v>100</v>
      </c>
      <c r="D3160" s="987">
        <v>17.47</v>
      </c>
      <c r="E3160" s="975"/>
      <c r="F3160" s="334"/>
      <c r="G3160" s="334"/>
      <c r="H3160" s="602"/>
      <c r="I3160" s="334"/>
      <c r="J3160" s="334"/>
      <c r="K3160" s="334"/>
      <c r="L3160" s="334"/>
      <c r="M3160" s="334"/>
      <c r="N3160" s="334"/>
      <c r="O3160" s="334"/>
    </row>
    <row r="3161" spans="1:15" ht="12.75" hidden="1" customHeight="1" outlineLevel="1" x14ac:dyDescent="0.2">
      <c r="A3161" s="980" t="s">
        <v>4259</v>
      </c>
      <c r="B3161" s="981" t="s">
        <v>1086</v>
      </c>
      <c r="C3161" s="982"/>
      <c r="D3161" s="983"/>
      <c r="E3161" s="975"/>
      <c r="F3161" s="334"/>
      <c r="G3161" s="334"/>
      <c r="H3161" s="602"/>
      <c r="I3161" s="334"/>
      <c r="J3161" s="334"/>
      <c r="K3161" s="334"/>
      <c r="L3161" s="334"/>
      <c r="M3161" s="334"/>
      <c r="N3161" s="334"/>
      <c r="O3161" s="334"/>
    </row>
    <row r="3162" spans="1:15" ht="12.75" hidden="1" customHeight="1" outlineLevel="1" x14ac:dyDescent="0.2">
      <c r="A3162" s="988" t="s">
        <v>4260</v>
      </c>
      <c r="B3162" s="989" t="s">
        <v>5337</v>
      </c>
      <c r="C3162" s="990" t="s">
        <v>100</v>
      </c>
      <c r="D3162" s="991">
        <v>108.14</v>
      </c>
      <c r="E3162" s="975"/>
      <c r="F3162" s="334"/>
      <c r="G3162" s="334"/>
      <c r="H3162" s="602"/>
      <c r="I3162" s="334"/>
      <c r="J3162" s="334"/>
      <c r="K3162" s="334"/>
      <c r="L3162" s="334"/>
      <c r="M3162" s="334"/>
      <c r="N3162" s="334"/>
      <c r="O3162" s="334"/>
    </row>
    <row r="3163" spans="1:15" ht="12.75" hidden="1" customHeight="1" outlineLevel="1" x14ac:dyDescent="0.2">
      <c r="A3163" s="984" t="s">
        <v>4261</v>
      </c>
      <c r="B3163" s="985" t="s">
        <v>5339</v>
      </c>
      <c r="C3163" s="986" t="s">
        <v>100</v>
      </c>
      <c r="D3163" s="987">
        <v>4.09</v>
      </c>
      <c r="E3163" s="975"/>
      <c r="F3163" s="334"/>
      <c r="G3163" s="334"/>
      <c r="H3163" s="602"/>
      <c r="I3163" s="334"/>
      <c r="J3163" s="334"/>
      <c r="K3163" s="334"/>
      <c r="L3163" s="334"/>
      <c r="M3163" s="334"/>
      <c r="N3163" s="334"/>
      <c r="O3163" s="334"/>
    </row>
    <row r="3164" spans="1:15" ht="12.75" hidden="1" customHeight="1" outlineLevel="1" x14ac:dyDescent="0.2">
      <c r="A3164" s="988" t="s">
        <v>4262</v>
      </c>
      <c r="B3164" s="989" t="s">
        <v>5341</v>
      </c>
      <c r="C3164" s="990" t="s">
        <v>100</v>
      </c>
      <c r="D3164" s="991">
        <v>2.84</v>
      </c>
      <c r="E3164" s="975"/>
      <c r="F3164" s="334"/>
      <c r="G3164" s="334"/>
      <c r="H3164" s="602"/>
      <c r="I3164" s="334"/>
      <c r="J3164" s="334"/>
      <c r="K3164" s="334"/>
      <c r="L3164" s="334"/>
      <c r="M3164" s="334"/>
      <c r="N3164" s="334"/>
      <c r="O3164" s="334"/>
    </row>
    <row r="3165" spans="1:15" ht="12.75" hidden="1" customHeight="1" outlineLevel="1" x14ac:dyDescent="0.2">
      <c r="A3165" s="984" t="s">
        <v>5363</v>
      </c>
      <c r="B3165" s="985" t="s">
        <v>5343</v>
      </c>
      <c r="C3165" s="986" t="s">
        <v>100</v>
      </c>
      <c r="D3165" s="987">
        <v>81.319999999999993</v>
      </c>
      <c r="E3165" s="975"/>
      <c r="F3165" s="334"/>
      <c r="G3165" s="334"/>
      <c r="H3165" s="602"/>
      <c r="I3165" s="334"/>
      <c r="J3165" s="334"/>
      <c r="K3165" s="334"/>
      <c r="L3165" s="334"/>
      <c r="M3165" s="334"/>
      <c r="N3165" s="334"/>
      <c r="O3165" s="334"/>
    </row>
    <row r="3166" spans="1:15" ht="12.75" hidden="1" customHeight="1" outlineLevel="1" x14ac:dyDescent="0.2">
      <c r="A3166" s="988" t="s">
        <v>5364</v>
      </c>
      <c r="B3166" s="989" t="s">
        <v>5350</v>
      </c>
      <c r="C3166" s="990" t="s">
        <v>100</v>
      </c>
      <c r="D3166" s="991">
        <v>17.47</v>
      </c>
      <c r="E3166" s="975"/>
      <c r="F3166" s="334"/>
      <c r="G3166" s="334"/>
      <c r="H3166" s="602"/>
      <c r="I3166" s="334"/>
      <c r="J3166" s="334"/>
      <c r="K3166" s="334"/>
      <c r="L3166" s="334"/>
      <c r="M3166" s="334"/>
      <c r="N3166" s="334"/>
      <c r="O3166" s="334"/>
    </row>
    <row r="3167" spans="1:15" ht="12.75" hidden="1" customHeight="1" outlineLevel="1" x14ac:dyDescent="0.2">
      <c r="A3167" s="980" t="s">
        <v>4263</v>
      </c>
      <c r="B3167" s="981" t="s">
        <v>1094</v>
      </c>
      <c r="C3167" s="982"/>
      <c r="D3167" s="983"/>
      <c r="E3167" s="975"/>
      <c r="F3167" s="334"/>
      <c r="G3167" s="334"/>
      <c r="H3167" s="602"/>
      <c r="I3167" s="334"/>
      <c r="J3167" s="334"/>
      <c r="K3167" s="334"/>
      <c r="L3167" s="334"/>
      <c r="M3167" s="334"/>
      <c r="N3167" s="334"/>
      <c r="O3167" s="334"/>
    </row>
    <row r="3168" spans="1:15" ht="12.75" hidden="1" customHeight="1" outlineLevel="1" x14ac:dyDescent="0.2">
      <c r="A3168" s="984" t="s">
        <v>4264</v>
      </c>
      <c r="B3168" s="985" t="s">
        <v>5337</v>
      </c>
      <c r="C3168" s="986" t="s">
        <v>100</v>
      </c>
      <c r="D3168" s="987">
        <v>108.14</v>
      </c>
      <c r="E3168" s="975"/>
      <c r="F3168" s="334"/>
      <c r="G3168" s="334"/>
      <c r="H3168" s="602"/>
      <c r="I3168" s="334"/>
      <c r="J3168" s="334"/>
      <c r="K3168" s="334"/>
      <c r="L3168" s="334"/>
      <c r="M3168" s="334"/>
      <c r="N3168" s="334"/>
      <c r="O3168" s="334"/>
    </row>
    <row r="3169" spans="1:15" ht="12.75" hidden="1" customHeight="1" outlineLevel="1" x14ac:dyDescent="0.2">
      <c r="A3169" s="988" t="s">
        <v>4265</v>
      </c>
      <c r="B3169" s="989" t="s">
        <v>5339</v>
      </c>
      <c r="C3169" s="990" t="s">
        <v>100</v>
      </c>
      <c r="D3169" s="991">
        <v>4.09</v>
      </c>
      <c r="E3169" s="975"/>
      <c r="F3169" s="334"/>
      <c r="G3169" s="334"/>
      <c r="H3169" s="602"/>
      <c r="I3169" s="334"/>
      <c r="J3169" s="334"/>
      <c r="K3169" s="334"/>
      <c r="L3169" s="334"/>
      <c r="M3169" s="334"/>
      <c r="N3169" s="334"/>
      <c r="O3169" s="334"/>
    </row>
    <row r="3170" spans="1:15" ht="12.75" hidden="1" customHeight="1" outlineLevel="1" x14ac:dyDescent="0.2">
      <c r="A3170" s="984" t="s">
        <v>4266</v>
      </c>
      <c r="B3170" s="985" t="s">
        <v>5341</v>
      </c>
      <c r="C3170" s="986" t="s">
        <v>100</v>
      </c>
      <c r="D3170" s="987">
        <v>2.84</v>
      </c>
      <c r="E3170" s="975"/>
      <c r="F3170" s="334"/>
      <c r="G3170" s="334"/>
      <c r="H3170" s="602"/>
      <c r="I3170" s="334"/>
      <c r="J3170" s="334"/>
      <c r="K3170" s="334"/>
      <c r="L3170" s="334"/>
      <c r="M3170" s="334"/>
      <c r="N3170" s="334"/>
      <c r="O3170" s="334"/>
    </row>
    <row r="3171" spans="1:15" ht="12.75" hidden="1" customHeight="1" outlineLevel="1" x14ac:dyDescent="0.2">
      <c r="A3171" s="988" t="s">
        <v>5365</v>
      </c>
      <c r="B3171" s="989" t="s">
        <v>5343</v>
      </c>
      <c r="C3171" s="990" t="s">
        <v>100</v>
      </c>
      <c r="D3171" s="991">
        <v>81.319999999999993</v>
      </c>
      <c r="E3171" s="975"/>
      <c r="F3171" s="334"/>
      <c r="G3171" s="334"/>
      <c r="H3171" s="602"/>
      <c r="I3171" s="334"/>
      <c r="J3171" s="334"/>
      <c r="K3171" s="334"/>
      <c r="L3171" s="334"/>
      <c r="M3171" s="334"/>
      <c r="N3171" s="334"/>
      <c r="O3171" s="334"/>
    </row>
    <row r="3172" spans="1:15" ht="12.75" hidden="1" customHeight="1" outlineLevel="1" x14ac:dyDescent="0.2">
      <c r="A3172" s="984" t="s">
        <v>5366</v>
      </c>
      <c r="B3172" s="985" t="s">
        <v>5350</v>
      </c>
      <c r="C3172" s="986" t="s">
        <v>100</v>
      </c>
      <c r="D3172" s="987">
        <v>17.47</v>
      </c>
      <c r="E3172" s="975"/>
      <c r="F3172" s="334"/>
      <c r="G3172" s="334"/>
      <c r="H3172" s="602"/>
      <c r="I3172" s="334"/>
      <c r="J3172" s="334"/>
      <c r="K3172" s="334"/>
      <c r="L3172" s="334"/>
      <c r="M3172" s="334"/>
      <c r="N3172" s="334"/>
      <c r="O3172" s="334"/>
    </row>
    <row r="3173" spans="1:15" ht="12.75" hidden="1" customHeight="1" outlineLevel="1" x14ac:dyDescent="0.2">
      <c r="A3173" s="980" t="s">
        <v>4267</v>
      </c>
      <c r="B3173" s="981" t="s">
        <v>1102</v>
      </c>
      <c r="C3173" s="982"/>
      <c r="D3173" s="983"/>
      <c r="E3173" s="975"/>
      <c r="F3173" s="334"/>
      <c r="G3173" s="334"/>
      <c r="H3173" s="602"/>
      <c r="I3173" s="334"/>
      <c r="J3173" s="334"/>
      <c r="K3173" s="334"/>
      <c r="L3173" s="334"/>
      <c r="M3173" s="334"/>
      <c r="N3173" s="334"/>
      <c r="O3173" s="334"/>
    </row>
    <row r="3174" spans="1:15" ht="12.75" hidden="1" customHeight="1" outlineLevel="1" x14ac:dyDescent="0.2">
      <c r="A3174" s="988" t="s">
        <v>4268</v>
      </c>
      <c r="B3174" s="989" t="s">
        <v>5337</v>
      </c>
      <c r="C3174" s="990" t="s">
        <v>100</v>
      </c>
      <c r="D3174" s="991">
        <v>51.88</v>
      </c>
      <c r="E3174" s="975"/>
      <c r="F3174" s="334"/>
      <c r="G3174" s="334"/>
      <c r="H3174" s="602"/>
      <c r="I3174" s="334"/>
      <c r="J3174" s="334"/>
      <c r="K3174" s="334"/>
      <c r="L3174" s="334"/>
      <c r="M3174" s="334"/>
      <c r="N3174" s="334"/>
      <c r="O3174" s="334"/>
    </row>
    <row r="3175" spans="1:15" ht="12.75" hidden="1" customHeight="1" outlineLevel="1" x14ac:dyDescent="0.2">
      <c r="A3175" s="984" t="s">
        <v>4269</v>
      </c>
      <c r="B3175" s="985" t="s">
        <v>5339</v>
      </c>
      <c r="C3175" s="986" t="s">
        <v>100</v>
      </c>
      <c r="D3175" s="987">
        <v>34.58</v>
      </c>
      <c r="E3175" s="975"/>
      <c r="F3175" s="334"/>
      <c r="G3175" s="334"/>
      <c r="H3175" s="602"/>
      <c r="I3175" s="334"/>
      <c r="J3175" s="334"/>
      <c r="K3175" s="334"/>
      <c r="L3175" s="334"/>
      <c r="M3175" s="334"/>
      <c r="N3175" s="334"/>
      <c r="O3175" s="334"/>
    </row>
    <row r="3176" spans="1:15" ht="12.75" hidden="1" customHeight="1" outlineLevel="1" x14ac:dyDescent="0.2">
      <c r="A3176" s="988" t="s">
        <v>5367</v>
      </c>
      <c r="B3176" s="989" t="s">
        <v>5341</v>
      </c>
      <c r="C3176" s="990" t="s">
        <v>100</v>
      </c>
      <c r="D3176" s="991">
        <v>34.869999999999997</v>
      </c>
      <c r="E3176" s="975"/>
      <c r="F3176" s="334"/>
      <c r="G3176" s="334"/>
      <c r="H3176" s="602"/>
      <c r="I3176" s="334"/>
      <c r="J3176" s="334"/>
      <c r="K3176" s="334"/>
      <c r="L3176" s="334"/>
      <c r="M3176" s="334"/>
      <c r="N3176" s="334"/>
      <c r="O3176" s="334"/>
    </row>
    <row r="3177" spans="1:15" ht="12.75" hidden="1" customHeight="1" outlineLevel="1" x14ac:dyDescent="0.2">
      <c r="A3177" s="984" t="s">
        <v>5368</v>
      </c>
      <c r="B3177" s="985" t="s">
        <v>5343</v>
      </c>
      <c r="C3177" s="986" t="s">
        <v>100</v>
      </c>
      <c r="D3177" s="987">
        <v>53.29</v>
      </c>
      <c r="E3177" s="975"/>
      <c r="F3177" s="334"/>
      <c r="G3177" s="334"/>
      <c r="H3177" s="602"/>
      <c r="I3177" s="334"/>
      <c r="J3177" s="334"/>
      <c r="K3177" s="334"/>
      <c r="L3177" s="334"/>
      <c r="M3177" s="334"/>
      <c r="N3177" s="334"/>
      <c r="O3177" s="334"/>
    </row>
    <row r="3178" spans="1:15" ht="12.75" hidden="1" customHeight="1" outlineLevel="1" x14ac:dyDescent="0.2">
      <c r="A3178" s="988" t="s">
        <v>5369</v>
      </c>
      <c r="B3178" s="989" t="s">
        <v>5350</v>
      </c>
      <c r="C3178" s="990" t="s">
        <v>100</v>
      </c>
      <c r="D3178" s="991">
        <v>16.7</v>
      </c>
      <c r="E3178" s="975"/>
      <c r="F3178" s="334"/>
      <c r="G3178" s="334"/>
      <c r="H3178" s="602"/>
      <c r="I3178" s="334"/>
      <c r="J3178" s="334"/>
      <c r="K3178" s="334"/>
      <c r="L3178" s="334"/>
      <c r="M3178" s="334"/>
      <c r="N3178" s="334"/>
      <c r="O3178" s="334"/>
    </row>
    <row r="3179" spans="1:15" ht="12.75" hidden="1" customHeight="1" outlineLevel="1" x14ac:dyDescent="0.2">
      <c r="A3179" s="980" t="s">
        <v>4270</v>
      </c>
      <c r="B3179" s="981" t="s">
        <v>1112</v>
      </c>
      <c r="C3179" s="982"/>
      <c r="D3179" s="983"/>
      <c r="E3179" s="975"/>
      <c r="F3179" s="334"/>
      <c r="G3179" s="334"/>
      <c r="H3179" s="602"/>
      <c r="I3179" s="334"/>
      <c r="J3179" s="334"/>
      <c r="K3179" s="334"/>
      <c r="L3179" s="334"/>
      <c r="M3179" s="334"/>
      <c r="N3179" s="334"/>
      <c r="O3179" s="334"/>
    </row>
    <row r="3180" spans="1:15" ht="12.75" hidden="1" customHeight="1" outlineLevel="1" x14ac:dyDescent="0.2">
      <c r="A3180" s="984" t="s">
        <v>4271</v>
      </c>
      <c r="B3180" s="985" t="s">
        <v>5337</v>
      </c>
      <c r="C3180" s="986" t="s">
        <v>100</v>
      </c>
      <c r="D3180" s="987">
        <v>35.200000000000003</v>
      </c>
      <c r="E3180" s="975"/>
      <c r="F3180" s="334"/>
      <c r="G3180" s="334"/>
      <c r="H3180" s="602"/>
      <c r="I3180" s="334"/>
      <c r="J3180" s="334"/>
      <c r="K3180" s="334"/>
      <c r="L3180" s="334"/>
      <c r="M3180" s="334"/>
      <c r="N3180" s="334"/>
      <c r="O3180" s="334"/>
    </row>
    <row r="3181" spans="1:15" ht="12.75" hidden="1" customHeight="1" outlineLevel="1" x14ac:dyDescent="0.2">
      <c r="A3181" s="988" t="s">
        <v>4272</v>
      </c>
      <c r="B3181" s="989" t="s">
        <v>5339</v>
      </c>
      <c r="C3181" s="990" t="s">
        <v>100</v>
      </c>
      <c r="D3181" s="991">
        <v>36.72</v>
      </c>
      <c r="E3181" s="975"/>
      <c r="F3181" s="334"/>
      <c r="G3181" s="334"/>
      <c r="H3181" s="602"/>
      <c r="I3181" s="334"/>
      <c r="J3181" s="334"/>
      <c r="K3181" s="334"/>
      <c r="L3181" s="334"/>
      <c r="M3181" s="334"/>
      <c r="N3181" s="334"/>
      <c r="O3181" s="334"/>
    </row>
    <row r="3182" spans="1:15" ht="12.75" hidden="1" customHeight="1" outlineLevel="1" x14ac:dyDescent="0.2">
      <c r="A3182" s="984" t="s">
        <v>4273</v>
      </c>
      <c r="B3182" s="985" t="s">
        <v>5341</v>
      </c>
      <c r="C3182" s="986" t="s">
        <v>100</v>
      </c>
      <c r="D3182" s="987">
        <v>36.69</v>
      </c>
      <c r="E3182" s="975"/>
      <c r="F3182" s="334"/>
      <c r="G3182" s="334"/>
      <c r="H3182" s="602"/>
      <c r="I3182" s="334"/>
      <c r="J3182" s="334"/>
      <c r="K3182" s="334"/>
      <c r="L3182" s="334"/>
      <c r="M3182" s="334"/>
      <c r="N3182" s="334"/>
      <c r="O3182" s="334"/>
    </row>
    <row r="3183" spans="1:15" ht="12.75" hidden="1" customHeight="1" outlineLevel="1" x14ac:dyDescent="0.2">
      <c r="A3183" s="988" t="s">
        <v>5370</v>
      </c>
      <c r="B3183" s="989" t="s">
        <v>5343</v>
      </c>
      <c r="C3183" s="990" t="s">
        <v>100</v>
      </c>
      <c r="D3183" s="991">
        <v>80.39</v>
      </c>
      <c r="E3183" s="975"/>
      <c r="F3183" s="334"/>
      <c r="G3183" s="334"/>
      <c r="H3183" s="602"/>
      <c r="I3183" s="334"/>
      <c r="J3183" s="334"/>
      <c r="K3183" s="334"/>
      <c r="L3183" s="334"/>
      <c r="M3183" s="334"/>
      <c r="N3183" s="334"/>
      <c r="O3183" s="334"/>
    </row>
    <row r="3184" spans="1:15" ht="12.75" hidden="1" customHeight="1" outlineLevel="1" x14ac:dyDescent="0.2">
      <c r="A3184" s="980" t="s">
        <v>4275</v>
      </c>
      <c r="B3184" s="981" t="s">
        <v>1120</v>
      </c>
      <c r="C3184" s="982"/>
      <c r="D3184" s="983"/>
      <c r="E3184" s="975"/>
      <c r="F3184" s="334"/>
      <c r="G3184" s="334"/>
      <c r="H3184" s="602"/>
      <c r="I3184" s="334"/>
      <c r="J3184" s="334"/>
      <c r="K3184" s="334"/>
      <c r="L3184" s="334"/>
      <c r="M3184" s="334"/>
      <c r="N3184" s="334"/>
      <c r="O3184" s="334"/>
    </row>
    <row r="3185" spans="1:15" ht="12.75" hidden="1" customHeight="1" outlineLevel="1" x14ac:dyDescent="0.2">
      <c r="A3185" s="984" t="s">
        <v>4276</v>
      </c>
      <c r="B3185" s="985" t="s">
        <v>5337</v>
      </c>
      <c r="C3185" s="986" t="s">
        <v>100</v>
      </c>
      <c r="D3185" s="987">
        <v>34.909999999999997</v>
      </c>
      <c r="E3185" s="975"/>
      <c r="F3185" s="334"/>
      <c r="G3185" s="334"/>
      <c r="H3185" s="602"/>
      <c r="I3185" s="334"/>
      <c r="J3185" s="334"/>
      <c r="K3185" s="334"/>
      <c r="L3185" s="334"/>
      <c r="M3185" s="334"/>
      <c r="N3185" s="334"/>
      <c r="O3185" s="334"/>
    </row>
    <row r="3186" spans="1:15" ht="12.75" hidden="1" customHeight="1" outlineLevel="1" x14ac:dyDescent="0.2">
      <c r="A3186" s="988" t="s">
        <v>5371</v>
      </c>
      <c r="B3186" s="989" t="s">
        <v>5339</v>
      </c>
      <c r="C3186" s="990" t="s">
        <v>100</v>
      </c>
      <c r="D3186" s="991">
        <v>17.82</v>
      </c>
      <c r="E3186" s="975"/>
      <c r="F3186" s="334"/>
      <c r="G3186" s="334"/>
      <c r="H3186" s="602"/>
      <c r="I3186" s="334"/>
      <c r="J3186" s="334"/>
      <c r="K3186" s="334"/>
      <c r="L3186" s="334"/>
      <c r="M3186" s="334"/>
      <c r="N3186" s="334"/>
      <c r="O3186" s="334"/>
    </row>
    <row r="3187" spans="1:15" ht="12.75" hidden="1" customHeight="1" outlineLevel="1" x14ac:dyDescent="0.2">
      <c r="A3187" s="984" t="s">
        <v>5372</v>
      </c>
      <c r="B3187" s="985" t="s">
        <v>5341</v>
      </c>
      <c r="C3187" s="986" t="s">
        <v>100</v>
      </c>
      <c r="D3187" s="987">
        <v>17.420000000000002</v>
      </c>
      <c r="E3187" s="975"/>
      <c r="F3187" s="334"/>
      <c r="G3187" s="334"/>
      <c r="H3187" s="602"/>
      <c r="I3187" s="334"/>
      <c r="J3187" s="334"/>
      <c r="K3187" s="334"/>
      <c r="L3187" s="334"/>
      <c r="M3187" s="334"/>
      <c r="N3187" s="334"/>
      <c r="O3187" s="334"/>
    </row>
    <row r="3188" spans="1:15" ht="12.75" hidden="1" customHeight="1" outlineLevel="1" x14ac:dyDescent="0.2">
      <c r="A3188" s="988" t="s">
        <v>5373</v>
      </c>
      <c r="B3188" s="989" t="s">
        <v>5343</v>
      </c>
      <c r="C3188" s="990" t="s">
        <v>100</v>
      </c>
      <c r="D3188" s="991">
        <v>39.4</v>
      </c>
      <c r="E3188" s="975"/>
      <c r="F3188" s="334"/>
      <c r="G3188" s="334"/>
      <c r="H3188" s="602"/>
      <c r="I3188" s="334"/>
      <c r="J3188" s="334"/>
      <c r="K3188" s="334"/>
      <c r="L3188" s="334"/>
      <c r="M3188" s="334"/>
      <c r="N3188" s="334"/>
      <c r="O3188" s="334"/>
    </row>
    <row r="3189" spans="1:15" ht="12.75" hidden="1" customHeight="1" outlineLevel="1" x14ac:dyDescent="0.2">
      <c r="A3189" s="984" t="s">
        <v>5374</v>
      </c>
      <c r="B3189" s="985" t="s">
        <v>5350</v>
      </c>
      <c r="C3189" s="986" t="s">
        <v>100</v>
      </c>
      <c r="D3189" s="987">
        <v>3.94</v>
      </c>
      <c r="E3189" s="975"/>
      <c r="F3189" s="334"/>
      <c r="G3189" s="334"/>
      <c r="H3189" s="602"/>
      <c r="I3189" s="334"/>
      <c r="J3189" s="334"/>
      <c r="K3189" s="334"/>
      <c r="L3189" s="334"/>
      <c r="M3189" s="334"/>
      <c r="N3189" s="334"/>
      <c r="O3189" s="334"/>
    </row>
    <row r="3190" spans="1:15" ht="12.75" hidden="1" customHeight="1" outlineLevel="1" x14ac:dyDescent="0.2">
      <c r="A3190" s="980" t="s">
        <v>5375</v>
      </c>
      <c r="B3190" s="981" t="s">
        <v>1127</v>
      </c>
      <c r="C3190" s="982"/>
      <c r="D3190" s="983"/>
      <c r="E3190" s="975"/>
      <c r="F3190" s="334"/>
      <c r="G3190" s="334"/>
      <c r="H3190" s="602"/>
      <c r="I3190" s="334"/>
      <c r="J3190" s="334"/>
      <c r="K3190" s="334"/>
      <c r="L3190" s="334"/>
      <c r="M3190" s="334"/>
      <c r="N3190" s="334"/>
      <c r="O3190" s="334"/>
    </row>
    <row r="3191" spans="1:15" ht="12.75" hidden="1" customHeight="1" outlineLevel="1" x14ac:dyDescent="0.2">
      <c r="A3191" s="988" t="s">
        <v>5376</v>
      </c>
      <c r="B3191" s="989" t="s">
        <v>5337</v>
      </c>
      <c r="C3191" s="990" t="s">
        <v>100</v>
      </c>
      <c r="D3191" s="991">
        <v>68.260000000000005</v>
      </c>
      <c r="E3191" s="975"/>
      <c r="F3191" s="334"/>
      <c r="G3191" s="334"/>
      <c r="H3191" s="602"/>
      <c r="I3191" s="334"/>
      <c r="J3191" s="334"/>
      <c r="K3191" s="334"/>
      <c r="L3191" s="334"/>
      <c r="M3191" s="334"/>
      <c r="N3191" s="334"/>
      <c r="O3191" s="334"/>
    </row>
    <row r="3192" spans="1:15" ht="12.75" hidden="1" customHeight="1" outlineLevel="1" x14ac:dyDescent="0.2">
      <c r="A3192" s="984" t="s">
        <v>5377</v>
      </c>
      <c r="B3192" s="985" t="s">
        <v>5339</v>
      </c>
      <c r="C3192" s="986" t="s">
        <v>100</v>
      </c>
      <c r="D3192" s="987">
        <v>56.97</v>
      </c>
      <c r="E3192" s="975"/>
      <c r="F3192" s="334"/>
      <c r="G3192" s="334"/>
      <c r="H3192" s="602"/>
      <c r="I3192" s="334"/>
      <c r="J3192" s="334"/>
      <c r="K3192" s="334"/>
      <c r="L3192" s="334"/>
      <c r="M3192" s="334"/>
      <c r="N3192" s="334"/>
      <c r="O3192" s="334"/>
    </row>
    <row r="3193" spans="1:15" ht="12.75" hidden="1" customHeight="1" outlineLevel="1" x14ac:dyDescent="0.2">
      <c r="A3193" s="988" t="s">
        <v>5378</v>
      </c>
      <c r="B3193" s="989" t="s">
        <v>5341</v>
      </c>
      <c r="C3193" s="990" t="s">
        <v>100</v>
      </c>
      <c r="D3193" s="991">
        <v>13.3</v>
      </c>
      <c r="E3193" s="975"/>
      <c r="F3193" s="334"/>
      <c r="G3193" s="334"/>
      <c r="H3193" s="602"/>
      <c r="I3193" s="334"/>
      <c r="J3193" s="334"/>
      <c r="K3193" s="334"/>
      <c r="L3193" s="334"/>
      <c r="M3193" s="334"/>
      <c r="N3193" s="334"/>
      <c r="O3193" s="334"/>
    </row>
    <row r="3194" spans="1:15" ht="12.75" hidden="1" customHeight="1" outlineLevel="1" x14ac:dyDescent="0.2">
      <c r="A3194" s="984" t="s">
        <v>5379</v>
      </c>
      <c r="B3194" s="985" t="s">
        <v>5343</v>
      </c>
      <c r="C3194" s="986" t="s">
        <v>100</v>
      </c>
      <c r="D3194" s="987">
        <v>67.849999999999994</v>
      </c>
      <c r="E3194" s="975"/>
      <c r="F3194" s="334"/>
      <c r="G3194" s="334"/>
      <c r="H3194" s="602"/>
      <c r="I3194" s="334"/>
      <c r="J3194" s="334"/>
      <c r="K3194" s="334"/>
      <c r="L3194" s="334"/>
      <c r="M3194" s="334"/>
      <c r="N3194" s="334"/>
      <c r="O3194" s="334"/>
    </row>
    <row r="3195" spans="1:15" ht="12.75" hidden="1" customHeight="1" outlineLevel="1" x14ac:dyDescent="0.2">
      <c r="A3195" s="980" t="s">
        <v>5380</v>
      </c>
      <c r="B3195" s="981" t="s">
        <v>1137</v>
      </c>
      <c r="C3195" s="982"/>
      <c r="D3195" s="983"/>
      <c r="E3195" s="975"/>
      <c r="F3195" s="334"/>
      <c r="G3195" s="334"/>
      <c r="H3195" s="602"/>
      <c r="I3195" s="334"/>
      <c r="J3195" s="334"/>
      <c r="K3195" s="334"/>
      <c r="L3195" s="334"/>
      <c r="M3195" s="334"/>
      <c r="N3195" s="334"/>
      <c r="O3195" s="334"/>
    </row>
    <row r="3196" spans="1:15" ht="12.75" hidden="1" customHeight="1" outlineLevel="1" x14ac:dyDescent="0.2">
      <c r="A3196" s="988" t="s">
        <v>5381</v>
      </c>
      <c r="B3196" s="989" t="s">
        <v>5337</v>
      </c>
      <c r="C3196" s="990" t="s">
        <v>100</v>
      </c>
      <c r="D3196" s="991">
        <v>93.42</v>
      </c>
      <c r="E3196" s="975"/>
      <c r="F3196" s="334"/>
      <c r="G3196" s="334"/>
      <c r="H3196" s="602"/>
      <c r="I3196" s="334"/>
      <c r="J3196" s="334"/>
      <c r="K3196" s="334"/>
      <c r="L3196" s="334"/>
      <c r="M3196" s="334"/>
      <c r="N3196" s="334"/>
      <c r="O3196" s="334"/>
    </row>
    <row r="3197" spans="1:15" ht="12.75" hidden="1" customHeight="1" outlineLevel="1" x14ac:dyDescent="0.2">
      <c r="A3197" s="984" t="s">
        <v>5382</v>
      </c>
      <c r="B3197" s="985" t="s">
        <v>5339</v>
      </c>
      <c r="C3197" s="986" t="s">
        <v>100</v>
      </c>
      <c r="D3197" s="987">
        <v>4.41</v>
      </c>
      <c r="E3197" s="975"/>
      <c r="F3197" s="334"/>
      <c r="G3197" s="334"/>
      <c r="H3197" s="602"/>
      <c r="I3197" s="334"/>
      <c r="J3197" s="334"/>
      <c r="K3197" s="334"/>
      <c r="L3197" s="334"/>
      <c r="M3197" s="334"/>
      <c r="N3197" s="334"/>
      <c r="O3197" s="334"/>
    </row>
    <row r="3198" spans="1:15" ht="12.75" hidden="1" customHeight="1" outlineLevel="1" x14ac:dyDescent="0.2">
      <c r="A3198" s="988" t="s">
        <v>5383</v>
      </c>
      <c r="B3198" s="989" t="s">
        <v>5341</v>
      </c>
      <c r="C3198" s="990" t="s">
        <v>100</v>
      </c>
      <c r="D3198" s="991">
        <v>4.87</v>
      </c>
      <c r="E3198" s="975"/>
      <c r="F3198" s="334"/>
      <c r="G3198" s="334"/>
      <c r="H3198" s="602"/>
      <c r="I3198" s="334"/>
      <c r="J3198" s="334"/>
      <c r="K3198" s="334"/>
      <c r="L3198" s="334"/>
      <c r="M3198" s="334"/>
      <c r="N3198" s="334"/>
      <c r="O3198" s="334"/>
    </row>
    <row r="3199" spans="1:15" ht="12.75" hidden="1" customHeight="1" outlineLevel="1" x14ac:dyDescent="0.2">
      <c r="A3199" s="984" t="s">
        <v>5384</v>
      </c>
      <c r="B3199" s="985" t="s">
        <v>5343</v>
      </c>
      <c r="C3199" s="986" t="s">
        <v>100</v>
      </c>
      <c r="D3199" s="987">
        <v>13.23</v>
      </c>
      <c r="E3199" s="975"/>
      <c r="F3199" s="334"/>
      <c r="G3199" s="334"/>
      <c r="H3199" s="602"/>
      <c r="I3199" s="334"/>
      <c r="J3199" s="334"/>
      <c r="K3199" s="334"/>
      <c r="L3199" s="334"/>
      <c r="M3199" s="334"/>
      <c r="N3199" s="334"/>
      <c r="O3199" s="334"/>
    </row>
    <row r="3200" spans="1:15" ht="12.75" hidden="1" customHeight="1" outlineLevel="1" x14ac:dyDescent="0.2">
      <c r="A3200" s="980" t="s">
        <v>5385</v>
      </c>
      <c r="B3200" s="981" t="s">
        <v>1140</v>
      </c>
      <c r="C3200" s="982"/>
      <c r="D3200" s="983"/>
      <c r="E3200" s="975"/>
      <c r="F3200" s="334"/>
      <c r="G3200" s="334"/>
      <c r="H3200" s="602"/>
      <c r="I3200" s="334"/>
      <c r="J3200" s="334"/>
      <c r="K3200" s="334"/>
      <c r="L3200" s="334"/>
      <c r="M3200" s="334"/>
      <c r="N3200" s="334"/>
      <c r="O3200" s="334"/>
    </row>
    <row r="3201" spans="1:15" ht="12.75" hidden="1" customHeight="1" outlineLevel="1" x14ac:dyDescent="0.2">
      <c r="A3201" s="988" t="s">
        <v>5386</v>
      </c>
      <c r="B3201" s="989" t="s">
        <v>5337</v>
      </c>
      <c r="C3201" s="990" t="s">
        <v>100</v>
      </c>
      <c r="D3201" s="991">
        <v>38.909999999999997</v>
      </c>
      <c r="E3201" s="975"/>
      <c r="F3201" s="334"/>
      <c r="G3201" s="334"/>
      <c r="H3201" s="602"/>
      <c r="I3201" s="334"/>
      <c r="J3201" s="334"/>
      <c r="K3201" s="334"/>
      <c r="L3201" s="334"/>
      <c r="M3201" s="334"/>
      <c r="N3201" s="334"/>
      <c r="O3201" s="334"/>
    </row>
    <row r="3202" spans="1:15" ht="12.75" hidden="1" customHeight="1" outlineLevel="1" x14ac:dyDescent="0.2">
      <c r="A3202" s="980" t="s">
        <v>5387</v>
      </c>
      <c r="B3202" s="981" t="s">
        <v>1462</v>
      </c>
      <c r="C3202" s="982"/>
      <c r="D3202" s="983"/>
      <c r="E3202" s="975"/>
      <c r="F3202" s="334"/>
      <c r="G3202" s="334"/>
      <c r="H3202" s="602"/>
      <c r="I3202" s="334"/>
      <c r="J3202" s="334"/>
      <c r="K3202" s="334"/>
      <c r="L3202" s="334"/>
      <c r="M3202" s="334"/>
      <c r="N3202" s="334"/>
      <c r="O3202" s="334"/>
    </row>
    <row r="3203" spans="1:15" ht="12.75" hidden="1" customHeight="1" outlineLevel="1" x14ac:dyDescent="0.2">
      <c r="A3203" s="984" t="s">
        <v>5388</v>
      </c>
      <c r="B3203" s="985" t="s">
        <v>5337</v>
      </c>
      <c r="C3203" s="986" t="s">
        <v>100</v>
      </c>
      <c r="D3203" s="987">
        <v>37.85</v>
      </c>
      <c r="E3203" s="975"/>
      <c r="F3203" s="334"/>
      <c r="G3203" s="334"/>
      <c r="H3203" s="602"/>
      <c r="I3203" s="334"/>
      <c r="J3203" s="334"/>
      <c r="K3203" s="334"/>
      <c r="L3203" s="334"/>
      <c r="M3203" s="334"/>
      <c r="N3203" s="334"/>
      <c r="O3203" s="334"/>
    </row>
    <row r="3204" spans="1:15" ht="12.75" customHeight="1" collapsed="1" x14ac:dyDescent="0.2">
      <c r="A3204" s="614" t="s">
        <v>4067</v>
      </c>
      <c r="B3204" s="615" t="s">
        <v>4068</v>
      </c>
      <c r="C3204" s="616"/>
      <c r="D3204" s="617"/>
      <c r="E3204" s="622"/>
      <c r="F3204" s="334"/>
      <c r="G3204" s="334"/>
      <c r="H3204" s="602"/>
      <c r="I3204" s="334"/>
      <c r="J3204" s="334"/>
      <c r="K3204" s="334"/>
      <c r="L3204" s="334"/>
      <c r="M3204" s="334"/>
      <c r="N3204" s="334"/>
      <c r="O3204" s="334"/>
    </row>
    <row r="3205" spans="1:15" ht="12.75" hidden="1" customHeight="1" outlineLevel="1" x14ac:dyDescent="0.2">
      <c r="A3205" s="618" t="s">
        <v>4069</v>
      </c>
      <c r="B3205" s="619" t="s">
        <v>1021</v>
      </c>
      <c r="C3205" s="620"/>
      <c r="D3205" s="621"/>
      <c r="E3205" s="622"/>
      <c r="F3205" s="334"/>
      <c r="G3205" s="334"/>
      <c r="H3205" s="602"/>
      <c r="I3205" s="334"/>
      <c r="J3205" s="334"/>
      <c r="K3205" s="334"/>
      <c r="L3205" s="334"/>
      <c r="M3205" s="334"/>
      <c r="N3205" s="334"/>
      <c r="O3205" s="334"/>
    </row>
    <row r="3206" spans="1:15" ht="12.75" hidden="1" customHeight="1" outlineLevel="1" x14ac:dyDescent="0.2">
      <c r="A3206" s="623" t="s">
        <v>4070</v>
      </c>
      <c r="B3206" s="624" t="s">
        <v>1343</v>
      </c>
      <c r="C3206" s="625" t="s">
        <v>100</v>
      </c>
      <c r="D3206" s="626">
        <v>43.01</v>
      </c>
      <c r="E3206" s="622"/>
      <c r="F3206" s="334"/>
      <c r="G3206" s="334"/>
      <c r="H3206" s="602"/>
      <c r="I3206" s="334"/>
      <c r="J3206" s="334"/>
      <c r="K3206" s="334"/>
      <c r="L3206" s="334"/>
      <c r="M3206" s="334"/>
      <c r="N3206" s="334"/>
      <c r="O3206" s="334"/>
    </row>
    <row r="3207" spans="1:15" ht="12.75" hidden="1" customHeight="1" outlineLevel="1" x14ac:dyDescent="0.2">
      <c r="A3207" s="618" t="s">
        <v>4071</v>
      </c>
      <c r="B3207" s="619" t="s">
        <v>1030</v>
      </c>
      <c r="C3207" s="620"/>
      <c r="D3207" s="621"/>
      <c r="E3207" s="622"/>
      <c r="F3207" s="334"/>
      <c r="G3207" s="334"/>
      <c r="H3207" s="602"/>
      <c r="I3207" s="334"/>
      <c r="J3207" s="334"/>
      <c r="K3207" s="334"/>
      <c r="L3207" s="334"/>
      <c r="M3207" s="334"/>
      <c r="N3207" s="334"/>
      <c r="O3207" s="334"/>
    </row>
    <row r="3208" spans="1:15" ht="12.75" hidden="1" customHeight="1" outlineLevel="1" x14ac:dyDescent="0.2">
      <c r="A3208" s="627" t="s">
        <v>4072</v>
      </c>
      <c r="B3208" s="628" t="s">
        <v>1343</v>
      </c>
      <c r="C3208" s="629" t="s">
        <v>100</v>
      </c>
      <c r="D3208" s="630">
        <v>43.88</v>
      </c>
      <c r="E3208" s="622"/>
      <c r="F3208" s="334"/>
      <c r="G3208" s="334"/>
      <c r="H3208" s="602"/>
      <c r="I3208" s="334"/>
      <c r="J3208" s="334"/>
      <c r="K3208" s="334"/>
      <c r="L3208" s="334"/>
      <c r="M3208" s="334"/>
      <c r="N3208" s="334"/>
      <c r="O3208" s="334"/>
    </row>
    <row r="3209" spans="1:15" ht="12.75" hidden="1" customHeight="1" outlineLevel="1" x14ac:dyDescent="0.2">
      <c r="A3209" s="618" t="s">
        <v>4073</v>
      </c>
      <c r="B3209" s="619" t="s">
        <v>1039</v>
      </c>
      <c r="C3209" s="620"/>
      <c r="D3209" s="621"/>
      <c r="E3209" s="622"/>
      <c r="F3209" s="334"/>
      <c r="G3209" s="334"/>
      <c r="H3209" s="602"/>
      <c r="I3209" s="334"/>
      <c r="J3209" s="334"/>
      <c r="K3209" s="334"/>
      <c r="L3209" s="334"/>
      <c r="M3209" s="334"/>
      <c r="N3209" s="334"/>
      <c r="O3209" s="334"/>
    </row>
    <row r="3210" spans="1:15" ht="12.75" hidden="1" customHeight="1" outlineLevel="1" x14ac:dyDescent="0.2">
      <c r="A3210" s="623" t="s">
        <v>4074</v>
      </c>
      <c r="B3210" s="624" t="s">
        <v>1343</v>
      </c>
      <c r="C3210" s="625" t="s">
        <v>100</v>
      </c>
      <c r="D3210" s="626">
        <v>43.88</v>
      </c>
      <c r="E3210" s="622"/>
      <c r="F3210" s="334"/>
      <c r="G3210" s="334"/>
      <c r="H3210" s="602"/>
      <c r="I3210" s="334"/>
      <c r="J3210" s="334"/>
      <c r="K3210" s="334"/>
      <c r="L3210" s="334"/>
      <c r="M3210" s="334"/>
      <c r="N3210" s="334"/>
      <c r="O3210" s="334"/>
    </row>
    <row r="3211" spans="1:15" ht="12.75" hidden="1" customHeight="1" outlineLevel="1" x14ac:dyDescent="0.2">
      <c r="A3211" s="618" t="s">
        <v>4075</v>
      </c>
      <c r="B3211" s="619" t="s">
        <v>1047</v>
      </c>
      <c r="C3211" s="620"/>
      <c r="D3211" s="621"/>
      <c r="E3211" s="622"/>
      <c r="F3211" s="334"/>
      <c r="G3211" s="334"/>
      <c r="H3211" s="602"/>
      <c r="I3211" s="334"/>
      <c r="J3211" s="334"/>
      <c r="K3211" s="334"/>
      <c r="L3211" s="334"/>
      <c r="M3211" s="334"/>
      <c r="N3211" s="334"/>
      <c r="O3211" s="334"/>
    </row>
    <row r="3212" spans="1:15" ht="12.75" hidden="1" customHeight="1" outlineLevel="1" x14ac:dyDescent="0.2">
      <c r="A3212" s="627" t="s">
        <v>4076</v>
      </c>
      <c r="B3212" s="628" t="s">
        <v>1343</v>
      </c>
      <c r="C3212" s="629" t="s">
        <v>100</v>
      </c>
      <c r="D3212" s="630">
        <v>43.88</v>
      </c>
      <c r="E3212" s="622"/>
      <c r="F3212" s="334"/>
      <c r="G3212" s="334"/>
      <c r="H3212" s="602"/>
      <c r="I3212" s="334"/>
      <c r="J3212" s="334"/>
      <c r="K3212" s="334"/>
      <c r="L3212" s="334"/>
      <c r="M3212" s="334"/>
      <c r="N3212" s="334"/>
      <c r="O3212" s="334"/>
    </row>
    <row r="3213" spans="1:15" ht="12.75" hidden="1" customHeight="1" outlineLevel="1" x14ac:dyDescent="0.2">
      <c r="A3213" s="618" t="s">
        <v>4077</v>
      </c>
      <c r="B3213" s="619" t="s">
        <v>1058</v>
      </c>
      <c r="C3213" s="620"/>
      <c r="D3213" s="621"/>
      <c r="E3213" s="622"/>
      <c r="F3213" s="334"/>
      <c r="G3213" s="334"/>
      <c r="H3213" s="602"/>
      <c r="I3213" s="334"/>
      <c r="J3213" s="334"/>
      <c r="K3213" s="334"/>
      <c r="L3213" s="334"/>
      <c r="M3213" s="334"/>
      <c r="N3213" s="334"/>
      <c r="O3213" s="334"/>
    </row>
    <row r="3214" spans="1:15" ht="12.75" hidden="1" customHeight="1" outlineLevel="1" x14ac:dyDescent="0.2">
      <c r="A3214" s="623" t="s">
        <v>4078</v>
      </c>
      <c r="B3214" s="624" t="s">
        <v>1343</v>
      </c>
      <c r="C3214" s="625" t="s">
        <v>100</v>
      </c>
      <c r="D3214" s="626">
        <v>43.88</v>
      </c>
      <c r="E3214" s="622"/>
      <c r="F3214" s="334"/>
      <c r="G3214" s="334"/>
      <c r="H3214" s="602"/>
      <c r="I3214" s="334"/>
      <c r="J3214" s="334"/>
      <c r="K3214" s="334"/>
      <c r="L3214" s="334"/>
      <c r="M3214" s="334"/>
      <c r="N3214" s="334"/>
      <c r="O3214" s="334"/>
    </row>
    <row r="3215" spans="1:15" ht="12.75" hidden="1" customHeight="1" outlineLevel="1" x14ac:dyDescent="0.2">
      <c r="A3215" s="618" t="s">
        <v>4079</v>
      </c>
      <c r="B3215" s="619" t="s">
        <v>1069</v>
      </c>
      <c r="C3215" s="620"/>
      <c r="D3215" s="621"/>
      <c r="E3215" s="622"/>
      <c r="F3215" s="334"/>
      <c r="G3215" s="334"/>
      <c r="H3215" s="602"/>
      <c r="I3215" s="334"/>
      <c r="J3215" s="334"/>
      <c r="K3215" s="334"/>
      <c r="L3215" s="334"/>
      <c r="M3215" s="334"/>
      <c r="N3215" s="334"/>
      <c r="O3215" s="334"/>
    </row>
    <row r="3216" spans="1:15" ht="12.75" hidden="1" customHeight="1" outlineLevel="1" x14ac:dyDescent="0.2">
      <c r="A3216" s="627" t="s">
        <v>4080</v>
      </c>
      <c r="B3216" s="628" t="s">
        <v>1343</v>
      </c>
      <c r="C3216" s="629" t="s">
        <v>100</v>
      </c>
      <c r="D3216" s="630">
        <v>43.88</v>
      </c>
      <c r="E3216" s="622"/>
      <c r="F3216" s="334"/>
      <c r="G3216" s="334"/>
      <c r="H3216" s="602"/>
      <c r="I3216" s="334"/>
      <c r="J3216" s="334"/>
      <c r="K3216" s="334"/>
      <c r="L3216" s="334"/>
      <c r="M3216" s="334"/>
      <c r="N3216" s="334"/>
      <c r="O3216" s="334"/>
    </row>
    <row r="3217" spans="1:15" ht="12.75" hidden="1" customHeight="1" outlineLevel="1" x14ac:dyDescent="0.2">
      <c r="A3217" s="618" t="s">
        <v>4081</v>
      </c>
      <c r="B3217" s="619" t="s">
        <v>1079</v>
      </c>
      <c r="C3217" s="620"/>
      <c r="D3217" s="621"/>
      <c r="E3217" s="622"/>
      <c r="F3217" s="334"/>
      <c r="G3217" s="334"/>
      <c r="H3217" s="602"/>
      <c r="I3217" s="334"/>
      <c r="J3217" s="334"/>
      <c r="K3217" s="334"/>
      <c r="L3217" s="334"/>
      <c r="M3217" s="334"/>
      <c r="N3217" s="334"/>
      <c r="O3217" s="334"/>
    </row>
    <row r="3218" spans="1:15" ht="12.75" hidden="1" customHeight="1" outlineLevel="1" x14ac:dyDescent="0.2">
      <c r="A3218" s="623" t="s">
        <v>4082</v>
      </c>
      <c r="B3218" s="624" t="s">
        <v>1343</v>
      </c>
      <c r="C3218" s="625" t="s">
        <v>100</v>
      </c>
      <c r="D3218" s="626">
        <v>43.88</v>
      </c>
      <c r="E3218" s="622"/>
      <c r="F3218" s="334"/>
      <c r="G3218" s="334"/>
      <c r="H3218" s="602"/>
      <c r="I3218" s="334"/>
      <c r="J3218" s="334"/>
      <c r="K3218" s="334"/>
      <c r="L3218" s="334"/>
      <c r="M3218" s="334"/>
      <c r="N3218" s="334"/>
      <c r="O3218" s="334"/>
    </row>
    <row r="3219" spans="1:15" ht="12.75" hidden="1" customHeight="1" outlineLevel="1" x14ac:dyDescent="0.2">
      <c r="A3219" s="618" t="s">
        <v>4083</v>
      </c>
      <c r="B3219" s="619" t="s">
        <v>1086</v>
      </c>
      <c r="C3219" s="620"/>
      <c r="D3219" s="621"/>
      <c r="E3219" s="622"/>
      <c r="F3219" s="334"/>
      <c r="G3219" s="334"/>
      <c r="H3219" s="602"/>
      <c r="I3219" s="334"/>
      <c r="J3219" s="334"/>
      <c r="K3219" s="334"/>
      <c r="L3219" s="334"/>
      <c r="M3219" s="334"/>
      <c r="N3219" s="334"/>
      <c r="O3219" s="334"/>
    </row>
    <row r="3220" spans="1:15" ht="12.75" hidden="1" customHeight="1" outlineLevel="1" x14ac:dyDescent="0.2">
      <c r="A3220" s="627" t="s">
        <v>4084</v>
      </c>
      <c r="B3220" s="628" t="s">
        <v>1343</v>
      </c>
      <c r="C3220" s="629" t="s">
        <v>100</v>
      </c>
      <c r="D3220" s="630">
        <v>43.88</v>
      </c>
      <c r="E3220" s="622"/>
      <c r="F3220" s="334"/>
      <c r="G3220" s="334"/>
      <c r="H3220" s="602"/>
      <c r="I3220" s="334"/>
      <c r="J3220" s="334"/>
      <c r="K3220" s="334"/>
      <c r="L3220" s="334"/>
      <c r="M3220" s="334"/>
      <c r="N3220" s="334"/>
      <c r="O3220" s="334"/>
    </row>
    <row r="3221" spans="1:15" ht="12.75" hidden="1" customHeight="1" outlineLevel="1" x14ac:dyDescent="0.2">
      <c r="A3221" s="618" t="s">
        <v>4085</v>
      </c>
      <c r="B3221" s="619" t="s">
        <v>1094</v>
      </c>
      <c r="C3221" s="620"/>
      <c r="D3221" s="621"/>
      <c r="E3221" s="622"/>
      <c r="F3221" s="334"/>
      <c r="G3221" s="334"/>
      <c r="H3221" s="602"/>
      <c r="I3221" s="334"/>
      <c r="J3221" s="334"/>
      <c r="K3221" s="334"/>
      <c r="L3221" s="334"/>
      <c r="M3221" s="334"/>
      <c r="N3221" s="334"/>
      <c r="O3221" s="334"/>
    </row>
    <row r="3222" spans="1:15" ht="12.75" hidden="1" customHeight="1" outlineLevel="1" x14ac:dyDescent="0.2">
      <c r="A3222" s="623" t="s">
        <v>4086</v>
      </c>
      <c r="B3222" s="624" t="s">
        <v>1343</v>
      </c>
      <c r="C3222" s="625" t="s">
        <v>100</v>
      </c>
      <c r="D3222" s="626">
        <v>43.88</v>
      </c>
      <c r="E3222" s="622"/>
      <c r="F3222" s="334"/>
      <c r="G3222" s="334"/>
      <c r="H3222" s="602"/>
      <c r="I3222" s="334"/>
      <c r="J3222" s="334"/>
      <c r="K3222" s="334"/>
      <c r="L3222" s="334"/>
      <c r="M3222" s="334"/>
      <c r="N3222" s="334"/>
      <c r="O3222" s="334"/>
    </row>
    <row r="3223" spans="1:15" ht="12.75" customHeight="1" collapsed="1" x14ac:dyDescent="0.2">
      <c r="A3223" s="614" t="s">
        <v>4087</v>
      </c>
      <c r="B3223" s="615" t="s">
        <v>4088</v>
      </c>
      <c r="C3223" s="616"/>
      <c r="D3223" s="617"/>
      <c r="E3223" s="622"/>
      <c r="F3223" s="334"/>
      <c r="G3223" s="334"/>
      <c r="H3223" s="602"/>
      <c r="I3223" s="334"/>
      <c r="J3223" s="334"/>
      <c r="K3223" s="334"/>
      <c r="L3223" s="334"/>
      <c r="M3223" s="334"/>
      <c r="N3223" s="334"/>
      <c r="O3223" s="334"/>
    </row>
    <row r="3224" spans="1:15" ht="12.75" hidden="1" customHeight="1" outlineLevel="1" x14ac:dyDescent="0.2">
      <c r="A3224" s="618" t="s">
        <v>4089</v>
      </c>
      <c r="B3224" s="619" t="s">
        <v>1021</v>
      </c>
      <c r="C3224" s="620"/>
      <c r="D3224" s="621"/>
      <c r="E3224" s="622"/>
      <c r="F3224" s="334"/>
      <c r="G3224" s="334"/>
      <c r="H3224" s="602"/>
      <c r="I3224" s="334"/>
      <c r="J3224" s="334"/>
      <c r="K3224" s="334"/>
      <c r="L3224" s="334"/>
      <c r="M3224" s="334"/>
      <c r="N3224" s="334"/>
      <c r="O3224" s="334"/>
    </row>
    <row r="3225" spans="1:15" ht="12.75" hidden="1" customHeight="1" outlineLevel="1" x14ac:dyDescent="0.2">
      <c r="A3225" s="627" t="s">
        <v>4090</v>
      </c>
      <c r="B3225" s="628" t="s">
        <v>1345</v>
      </c>
      <c r="C3225" s="629" t="s">
        <v>100</v>
      </c>
      <c r="D3225" s="630">
        <v>38.99</v>
      </c>
      <c r="E3225" s="622"/>
      <c r="F3225" s="334"/>
      <c r="G3225" s="334"/>
      <c r="H3225" s="602"/>
      <c r="I3225" s="334"/>
      <c r="J3225" s="334"/>
      <c r="K3225" s="334"/>
      <c r="L3225" s="334"/>
      <c r="M3225" s="334"/>
      <c r="N3225" s="334"/>
      <c r="O3225" s="334"/>
    </row>
    <row r="3226" spans="1:15" ht="12.75" hidden="1" customHeight="1" outlineLevel="1" x14ac:dyDescent="0.2">
      <c r="A3226" s="623" t="s">
        <v>4091</v>
      </c>
      <c r="B3226" s="624" t="s">
        <v>1347</v>
      </c>
      <c r="C3226" s="625" t="s">
        <v>100</v>
      </c>
      <c r="D3226" s="626">
        <v>52.15</v>
      </c>
      <c r="E3226" s="622"/>
      <c r="F3226" s="334"/>
      <c r="G3226" s="334"/>
      <c r="H3226" s="602"/>
      <c r="I3226" s="334"/>
      <c r="J3226" s="334"/>
      <c r="K3226" s="334"/>
      <c r="L3226" s="334"/>
      <c r="M3226" s="334"/>
      <c r="N3226" s="334"/>
      <c r="O3226" s="334"/>
    </row>
    <row r="3227" spans="1:15" ht="12.75" hidden="1" customHeight="1" outlineLevel="1" x14ac:dyDescent="0.2">
      <c r="A3227" s="618" t="s">
        <v>4092</v>
      </c>
      <c r="B3227" s="619" t="s">
        <v>1030</v>
      </c>
      <c r="C3227" s="620"/>
      <c r="D3227" s="621"/>
      <c r="E3227" s="622"/>
      <c r="F3227" s="334"/>
      <c r="G3227" s="334"/>
      <c r="H3227" s="602"/>
      <c r="I3227" s="334"/>
      <c r="J3227" s="334"/>
      <c r="K3227" s="334"/>
      <c r="L3227" s="334"/>
      <c r="M3227" s="334"/>
      <c r="N3227" s="334"/>
      <c r="O3227" s="334"/>
    </row>
    <row r="3228" spans="1:15" ht="12.75" hidden="1" customHeight="1" outlineLevel="1" x14ac:dyDescent="0.2">
      <c r="A3228" s="627" t="s">
        <v>4093</v>
      </c>
      <c r="B3228" s="628" t="s">
        <v>1345</v>
      </c>
      <c r="C3228" s="629" t="s">
        <v>100</v>
      </c>
      <c r="D3228" s="630">
        <v>49.48</v>
      </c>
      <c r="E3228" s="622"/>
      <c r="F3228" s="334"/>
      <c r="G3228" s="334"/>
      <c r="H3228" s="602"/>
      <c r="I3228" s="334"/>
      <c r="J3228" s="334"/>
      <c r="K3228" s="334"/>
      <c r="L3228" s="334"/>
      <c r="M3228" s="334"/>
      <c r="N3228" s="334"/>
      <c r="O3228" s="334"/>
    </row>
    <row r="3229" spans="1:15" ht="12.75" hidden="1" customHeight="1" outlineLevel="1" x14ac:dyDescent="0.2">
      <c r="A3229" s="623" t="s">
        <v>4094</v>
      </c>
      <c r="B3229" s="624" t="s">
        <v>1347</v>
      </c>
      <c r="C3229" s="625" t="s">
        <v>100</v>
      </c>
      <c r="D3229" s="626">
        <v>101.05</v>
      </c>
      <c r="E3229" s="622"/>
      <c r="F3229" s="334"/>
      <c r="G3229" s="334"/>
      <c r="H3229" s="602"/>
      <c r="I3229" s="334"/>
      <c r="J3229" s="334"/>
      <c r="K3229" s="334"/>
      <c r="L3229" s="334"/>
      <c r="M3229" s="334"/>
      <c r="N3229" s="334"/>
      <c r="O3229" s="334"/>
    </row>
    <row r="3230" spans="1:15" ht="12.75" hidden="1" customHeight="1" outlineLevel="1" x14ac:dyDescent="0.2">
      <c r="A3230" s="618" t="s">
        <v>4095</v>
      </c>
      <c r="B3230" s="619" t="s">
        <v>1039</v>
      </c>
      <c r="C3230" s="620"/>
      <c r="D3230" s="621"/>
      <c r="E3230" s="622"/>
      <c r="F3230" s="334"/>
      <c r="G3230" s="334"/>
      <c r="H3230" s="602"/>
      <c r="I3230" s="334"/>
      <c r="J3230" s="334"/>
      <c r="K3230" s="334"/>
      <c r="L3230" s="334"/>
      <c r="M3230" s="334"/>
      <c r="N3230" s="334"/>
      <c r="O3230" s="334"/>
    </row>
    <row r="3231" spans="1:15" ht="12.75" hidden="1" customHeight="1" outlineLevel="1" x14ac:dyDescent="0.2">
      <c r="A3231" s="627" t="s">
        <v>4096</v>
      </c>
      <c r="B3231" s="628" t="s">
        <v>1345</v>
      </c>
      <c r="C3231" s="629" t="s">
        <v>100</v>
      </c>
      <c r="D3231" s="630">
        <v>50.92</v>
      </c>
      <c r="E3231" s="622"/>
      <c r="F3231" s="334"/>
      <c r="G3231" s="334"/>
      <c r="H3231" s="602"/>
      <c r="I3231" s="334"/>
      <c r="J3231" s="334"/>
      <c r="K3231" s="334"/>
      <c r="L3231" s="334"/>
      <c r="M3231" s="334"/>
      <c r="N3231" s="334"/>
      <c r="O3231" s="334"/>
    </row>
    <row r="3232" spans="1:15" ht="12.75" hidden="1" customHeight="1" outlineLevel="1" x14ac:dyDescent="0.2">
      <c r="A3232" s="623" t="s">
        <v>4097</v>
      </c>
      <c r="B3232" s="624" t="s">
        <v>1347</v>
      </c>
      <c r="C3232" s="625" t="s">
        <v>100</v>
      </c>
      <c r="D3232" s="626">
        <v>96.48</v>
      </c>
      <c r="E3232" s="622"/>
      <c r="F3232" s="334"/>
      <c r="G3232" s="334"/>
      <c r="H3232" s="602"/>
      <c r="I3232" s="334"/>
      <c r="J3232" s="334"/>
      <c r="K3232" s="334"/>
      <c r="L3232" s="334"/>
      <c r="M3232" s="334"/>
      <c r="N3232" s="334"/>
      <c r="O3232" s="334"/>
    </row>
    <row r="3233" spans="1:15" ht="12.75" hidden="1" customHeight="1" outlineLevel="1" x14ac:dyDescent="0.2">
      <c r="A3233" s="618" t="s">
        <v>4098</v>
      </c>
      <c r="B3233" s="619" t="s">
        <v>1047</v>
      </c>
      <c r="C3233" s="620"/>
      <c r="D3233" s="621"/>
      <c r="E3233" s="622"/>
      <c r="F3233" s="334"/>
      <c r="G3233" s="334"/>
      <c r="H3233" s="602"/>
      <c r="I3233" s="334"/>
      <c r="J3233" s="334"/>
      <c r="K3233" s="334"/>
      <c r="L3233" s="334"/>
      <c r="M3233" s="334"/>
      <c r="N3233" s="334"/>
      <c r="O3233" s="334"/>
    </row>
    <row r="3234" spans="1:15" ht="12.75" hidden="1" customHeight="1" outlineLevel="1" x14ac:dyDescent="0.2">
      <c r="A3234" s="627" t="s">
        <v>4099</v>
      </c>
      <c r="B3234" s="628" t="s">
        <v>1345</v>
      </c>
      <c r="C3234" s="629" t="s">
        <v>100</v>
      </c>
      <c r="D3234" s="630">
        <v>49.48</v>
      </c>
      <c r="E3234" s="622"/>
      <c r="F3234" s="334"/>
      <c r="G3234" s="334"/>
      <c r="H3234" s="602"/>
      <c r="I3234" s="334"/>
      <c r="J3234" s="334"/>
      <c r="K3234" s="334"/>
      <c r="L3234" s="334"/>
      <c r="M3234" s="334"/>
      <c r="N3234" s="334"/>
      <c r="O3234" s="334"/>
    </row>
    <row r="3235" spans="1:15" ht="12.75" hidden="1" customHeight="1" outlineLevel="1" x14ac:dyDescent="0.2">
      <c r="A3235" s="623" t="s">
        <v>4100</v>
      </c>
      <c r="B3235" s="624" t="s">
        <v>1347</v>
      </c>
      <c r="C3235" s="625" t="s">
        <v>100</v>
      </c>
      <c r="D3235" s="626">
        <v>101.05</v>
      </c>
      <c r="E3235" s="622"/>
      <c r="F3235" s="334"/>
      <c r="G3235" s="334"/>
      <c r="H3235" s="602"/>
      <c r="I3235" s="334"/>
      <c r="J3235" s="334"/>
      <c r="K3235" s="334"/>
      <c r="L3235" s="334"/>
      <c r="M3235" s="334"/>
      <c r="N3235" s="334"/>
      <c r="O3235" s="334"/>
    </row>
    <row r="3236" spans="1:15" ht="12.75" hidden="1" customHeight="1" outlineLevel="1" x14ac:dyDescent="0.2">
      <c r="A3236" s="618" t="s">
        <v>4101</v>
      </c>
      <c r="B3236" s="619" t="s">
        <v>1058</v>
      </c>
      <c r="C3236" s="620"/>
      <c r="D3236" s="621"/>
      <c r="E3236" s="622"/>
      <c r="F3236" s="334"/>
      <c r="G3236" s="334"/>
      <c r="H3236" s="602"/>
      <c r="I3236" s="334"/>
      <c r="J3236" s="334"/>
      <c r="K3236" s="334"/>
      <c r="L3236" s="334"/>
      <c r="M3236" s="334"/>
      <c r="N3236" s="334"/>
      <c r="O3236" s="334"/>
    </row>
    <row r="3237" spans="1:15" ht="12.75" hidden="1" customHeight="1" outlineLevel="1" x14ac:dyDescent="0.2">
      <c r="A3237" s="627" t="s">
        <v>4102</v>
      </c>
      <c r="B3237" s="628" t="s">
        <v>1345</v>
      </c>
      <c r="C3237" s="629" t="s">
        <v>100</v>
      </c>
      <c r="D3237" s="630">
        <v>49.48</v>
      </c>
      <c r="E3237" s="622"/>
      <c r="F3237" s="334"/>
      <c r="G3237" s="334"/>
      <c r="H3237" s="602"/>
      <c r="I3237" s="334"/>
      <c r="J3237" s="334"/>
      <c r="K3237" s="334"/>
      <c r="L3237" s="334"/>
      <c r="M3237" s="334"/>
      <c r="N3237" s="334"/>
      <c r="O3237" s="334"/>
    </row>
    <row r="3238" spans="1:15" ht="12.75" hidden="1" customHeight="1" outlineLevel="1" x14ac:dyDescent="0.2">
      <c r="A3238" s="623" t="s">
        <v>4103</v>
      </c>
      <c r="B3238" s="624" t="s">
        <v>1347</v>
      </c>
      <c r="C3238" s="625" t="s">
        <v>100</v>
      </c>
      <c r="D3238" s="626">
        <v>101.05</v>
      </c>
      <c r="E3238" s="622"/>
      <c r="F3238" s="334"/>
      <c r="G3238" s="334"/>
      <c r="H3238" s="602"/>
      <c r="I3238" s="334"/>
      <c r="J3238" s="334"/>
      <c r="K3238" s="334"/>
      <c r="L3238" s="334"/>
      <c r="M3238" s="334"/>
      <c r="N3238" s="334"/>
      <c r="O3238" s="334"/>
    </row>
    <row r="3239" spans="1:15" ht="12.75" hidden="1" customHeight="1" outlineLevel="1" x14ac:dyDescent="0.2">
      <c r="A3239" s="618" t="s">
        <v>4104</v>
      </c>
      <c r="B3239" s="619" t="s">
        <v>1069</v>
      </c>
      <c r="C3239" s="620"/>
      <c r="D3239" s="621"/>
      <c r="E3239" s="622"/>
      <c r="F3239" s="334"/>
      <c r="G3239" s="334"/>
      <c r="H3239" s="602"/>
      <c r="I3239" s="334"/>
      <c r="J3239" s="334"/>
      <c r="K3239" s="334"/>
      <c r="L3239" s="334"/>
      <c r="M3239" s="334"/>
      <c r="N3239" s="334"/>
      <c r="O3239" s="334"/>
    </row>
    <row r="3240" spans="1:15" ht="12.75" hidden="1" customHeight="1" outlineLevel="1" x14ac:dyDescent="0.2">
      <c r="A3240" s="627" t="s">
        <v>4105</v>
      </c>
      <c r="B3240" s="628" t="s">
        <v>1345</v>
      </c>
      <c r="C3240" s="629" t="s">
        <v>100</v>
      </c>
      <c r="D3240" s="630">
        <v>49.48</v>
      </c>
      <c r="E3240" s="622"/>
      <c r="F3240" s="334"/>
      <c r="G3240" s="334"/>
      <c r="H3240" s="602"/>
      <c r="I3240" s="334"/>
      <c r="J3240" s="334"/>
      <c r="K3240" s="334"/>
      <c r="L3240" s="334"/>
      <c r="M3240" s="334"/>
      <c r="N3240" s="334"/>
      <c r="O3240" s="334"/>
    </row>
    <row r="3241" spans="1:15" ht="12.75" hidden="1" customHeight="1" outlineLevel="1" x14ac:dyDescent="0.2">
      <c r="A3241" s="623" t="s">
        <v>4106</v>
      </c>
      <c r="B3241" s="624" t="s">
        <v>1347</v>
      </c>
      <c r="C3241" s="625" t="s">
        <v>100</v>
      </c>
      <c r="D3241" s="626">
        <v>101.05</v>
      </c>
      <c r="E3241" s="622"/>
      <c r="F3241" s="334"/>
      <c r="G3241" s="334"/>
      <c r="H3241" s="602"/>
      <c r="I3241" s="334"/>
      <c r="J3241" s="334"/>
      <c r="K3241" s="334"/>
      <c r="L3241" s="334"/>
      <c r="M3241" s="334"/>
      <c r="N3241" s="334"/>
      <c r="O3241" s="334"/>
    </row>
    <row r="3242" spans="1:15" ht="12.75" hidden="1" customHeight="1" outlineLevel="1" x14ac:dyDescent="0.2">
      <c r="A3242" s="618" t="s">
        <v>4107</v>
      </c>
      <c r="B3242" s="619" t="s">
        <v>1079</v>
      </c>
      <c r="C3242" s="620"/>
      <c r="D3242" s="621"/>
      <c r="E3242" s="622"/>
      <c r="F3242" s="334"/>
      <c r="G3242" s="334"/>
      <c r="H3242" s="602"/>
      <c r="I3242" s="334"/>
      <c r="J3242" s="334"/>
      <c r="K3242" s="334"/>
      <c r="L3242" s="334"/>
      <c r="M3242" s="334"/>
      <c r="N3242" s="334"/>
      <c r="O3242" s="334"/>
    </row>
    <row r="3243" spans="1:15" ht="12.75" hidden="1" customHeight="1" outlineLevel="1" x14ac:dyDescent="0.2">
      <c r="A3243" s="627" t="s">
        <v>4108</v>
      </c>
      <c r="B3243" s="628" t="s">
        <v>1345</v>
      </c>
      <c r="C3243" s="629" t="s">
        <v>100</v>
      </c>
      <c r="D3243" s="630">
        <v>49.48</v>
      </c>
      <c r="E3243" s="622"/>
      <c r="F3243" s="334"/>
      <c r="G3243" s="334"/>
      <c r="H3243" s="602"/>
      <c r="I3243" s="334"/>
      <c r="J3243" s="334"/>
      <c r="K3243" s="334"/>
      <c r="L3243" s="334"/>
      <c r="M3243" s="334"/>
      <c r="N3243" s="334"/>
      <c r="O3243" s="334"/>
    </row>
    <row r="3244" spans="1:15" ht="12.75" hidden="1" customHeight="1" outlineLevel="1" x14ac:dyDescent="0.2">
      <c r="A3244" s="623" t="s">
        <v>4109</v>
      </c>
      <c r="B3244" s="624" t="s">
        <v>1347</v>
      </c>
      <c r="C3244" s="625" t="s">
        <v>100</v>
      </c>
      <c r="D3244" s="626">
        <v>101.05</v>
      </c>
      <c r="E3244" s="622"/>
      <c r="F3244" s="334"/>
      <c r="G3244" s="334"/>
      <c r="H3244" s="602"/>
      <c r="I3244" s="334"/>
      <c r="J3244" s="334"/>
      <c r="K3244" s="334"/>
      <c r="L3244" s="334"/>
      <c r="M3244" s="334"/>
      <c r="N3244" s="334"/>
      <c r="O3244" s="334"/>
    </row>
    <row r="3245" spans="1:15" ht="12.75" hidden="1" customHeight="1" outlineLevel="1" x14ac:dyDescent="0.2">
      <c r="A3245" s="618" t="s">
        <v>4110</v>
      </c>
      <c r="B3245" s="619" t="s">
        <v>1086</v>
      </c>
      <c r="C3245" s="620"/>
      <c r="D3245" s="621"/>
      <c r="E3245" s="622"/>
      <c r="F3245" s="334"/>
      <c r="G3245" s="334"/>
      <c r="H3245" s="602"/>
      <c r="I3245" s="334"/>
      <c r="J3245" s="334"/>
      <c r="K3245" s="334"/>
      <c r="L3245" s="334"/>
      <c r="M3245" s="334"/>
      <c r="N3245" s="334"/>
      <c r="O3245" s="334"/>
    </row>
    <row r="3246" spans="1:15" ht="12.75" hidden="1" customHeight="1" outlineLevel="1" x14ac:dyDescent="0.2">
      <c r="A3246" s="627" t="s">
        <v>4111</v>
      </c>
      <c r="B3246" s="628" t="s">
        <v>1345</v>
      </c>
      <c r="C3246" s="629" t="s">
        <v>100</v>
      </c>
      <c r="D3246" s="630">
        <v>49.48</v>
      </c>
      <c r="E3246" s="622"/>
      <c r="F3246" s="334"/>
      <c r="G3246" s="334"/>
      <c r="H3246" s="602"/>
      <c r="I3246" s="334"/>
      <c r="J3246" s="334"/>
      <c r="K3246" s="334"/>
      <c r="L3246" s="334"/>
      <c r="M3246" s="334"/>
      <c r="N3246" s="334"/>
      <c r="O3246" s="334"/>
    </row>
    <row r="3247" spans="1:15" ht="12.75" hidden="1" customHeight="1" outlineLevel="1" x14ac:dyDescent="0.2">
      <c r="A3247" s="623" t="s">
        <v>4112</v>
      </c>
      <c r="B3247" s="624" t="s">
        <v>1347</v>
      </c>
      <c r="C3247" s="625" t="s">
        <v>100</v>
      </c>
      <c r="D3247" s="626">
        <v>101.05</v>
      </c>
      <c r="E3247" s="622"/>
      <c r="F3247" s="334"/>
      <c r="G3247" s="334"/>
      <c r="H3247" s="602"/>
      <c r="I3247" s="334"/>
      <c r="J3247" s="334"/>
      <c r="K3247" s="334"/>
      <c r="L3247" s="334"/>
      <c r="M3247" s="334"/>
      <c r="N3247" s="334"/>
      <c r="O3247" s="334"/>
    </row>
    <row r="3248" spans="1:15" ht="12.75" hidden="1" customHeight="1" outlineLevel="1" x14ac:dyDescent="0.2">
      <c r="A3248" s="618" t="s">
        <v>4113</v>
      </c>
      <c r="B3248" s="619" t="s">
        <v>1094</v>
      </c>
      <c r="C3248" s="620"/>
      <c r="D3248" s="621"/>
      <c r="E3248" s="622"/>
      <c r="F3248" s="334"/>
      <c r="G3248" s="334"/>
      <c r="H3248" s="602"/>
      <c r="I3248" s="334"/>
      <c r="J3248" s="334"/>
      <c r="K3248" s="334"/>
      <c r="L3248" s="334"/>
      <c r="M3248" s="334"/>
      <c r="N3248" s="334"/>
      <c r="O3248" s="334"/>
    </row>
    <row r="3249" spans="1:15" ht="12.75" hidden="1" customHeight="1" outlineLevel="1" x14ac:dyDescent="0.2">
      <c r="A3249" s="627" t="s">
        <v>4114</v>
      </c>
      <c r="B3249" s="628" t="s">
        <v>1345</v>
      </c>
      <c r="C3249" s="629" t="s">
        <v>100</v>
      </c>
      <c r="D3249" s="630">
        <v>49.48</v>
      </c>
      <c r="E3249" s="622"/>
      <c r="F3249" s="334"/>
      <c r="G3249" s="334"/>
      <c r="H3249" s="602"/>
      <c r="I3249" s="334"/>
      <c r="J3249" s="334"/>
      <c r="K3249" s="334"/>
      <c r="L3249" s="334"/>
      <c r="M3249" s="334"/>
      <c r="N3249" s="334"/>
      <c r="O3249" s="334"/>
    </row>
    <row r="3250" spans="1:15" ht="12.75" hidden="1" customHeight="1" outlineLevel="1" x14ac:dyDescent="0.2">
      <c r="A3250" s="623" t="s">
        <v>4115</v>
      </c>
      <c r="B3250" s="624" t="s">
        <v>1347</v>
      </c>
      <c r="C3250" s="625" t="s">
        <v>100</v>
      </c>
      <c r="D3250" s="626">
        <v>101.05</v>
      </c>
      <c r="E3250" s="622"/>
      <c r="F3250" s="334"/>
      <c r="G3250" s="334"/>
      <c r="H3250" s="602"/>
      <c r="I3250" s="334"/>
      <c r="J3250" s="334"/>
      <c r="K3250" s="334"/>
      <c r="L3250" s="334"/>
      <c r="M3250" s="334"/>
      <c r="N3250" s="334"/>
      <c r="O3250" s="334"/>
    </row>
    <row r="3251" spans="1:15" ht="12.75" hidden="1" customHeight="1" outlineLevel="1" x14ac:dyDescent="0.2">
      <c r="A3251" s="618" t="s">
        <v>4116</v>
      </c>
      <c r="B3251" s="619" t="s">
        <v>1102</v>
      </c>
      <c r="C3251" s="620"/>
      <c r="D3251" s="621"/>
      <c r="E3251" s="622"/>
      <c r="F3251" s="334"/>
      <c r="G3251" s="334"/>
      <c r="H3251" s="602"/>
      <c r="I3251" s="334"/>
      <c r="J3251" s="334"/>
      <c r="K3251" s="334"/>
      <c r="L3251" s="334"/>
      <c r="M3251" s="334"/>
      <c r="N3251" s="334"/>
      <c r="O3251" s="334"/>
    </row>
    <row r="3252" spans="1:15" ht="12.75" hidden="1" customHeight="1" outlineLevel="1" x14ac:dyDescent="0.2">
      <c r="A3252" s="627" t="s">
        <v>4117</v>
      </c>
      <c r="B3252" s="628" t="s">
        <v>1347</v>
      </c>
      <c r="C3252" s="629" t="s">
        <v>100</v>
      </c>
      <c r="D3252" s="630">
        <v>76.06</v>
      </c>
      <c r="E3252" s="622"/>
      <c r="F3252" s="334"/>
      <c r="G3252" s="334"/>
      <c r="H3252" s="602"/>
      <c r="I3252" s="334"/>
      <c r="J3252" s="334"/>
      <c r="K3252" s="334"/>
      <c r="L3252" s="334"/>
      <c r="M3252" s="334"/>
      <c r="N3252" s="334"/>
      <c r="O3252" s="334"/>
    </row>
    <row r="3253" spans="1:15" ht="12.75" hidden="1" customHeight="1" outlineLevel="1" x14ac:dyDescent="0.2">
      <c r="A3253" s="618" t="s">
        <v>4118</v>
      </c>
      <c r="B3253" s="619" t="s">
        <v>1112</v>
      </c>
      <c r="C3253" s="620"/>
      <c r="D3253" s="621"/>
      <c r="E3253" s="622"/>
      <c r="F3253" s="334"/>
      <c r="G3253" s="334"/>
      <c r="H3253" s="602"/>
      <c r="I3253" s="334"/>
      <c r="J3253" s="334"/>
      <c r="K3253" s="334"/>
      <c r="L3253" s="334"/>
      <c r="M3253" s="334"/>
      <c r="N3253" s="334"/>
      <c r="O3253" s="334"/>
    </row>
    <row r="3254" spans="1:15" ht="12.75" hidden="1" customHeight="1" outlineLevel="1" x14ac:dyDescent="0.2">
      <c r="A3254" s="623" t="s">
        <v>4119</v>
      </c>
      <c r="B3254" s="624" t="s">
        <v>1345</v>
      </c>
      <c r="C3254" s="625" t="s">
        <v>100</v>
      </c>
      <c r="D3254" s="626">
        <v>1.56</v>
      </c>
      <c r="E3254" s="622"/>
      <c r="F3254" s="334"/>
      <c r="G3254" s="334"/>
      <c r="H3254" s="602"/>
      <c r="I3254" s="334"/>
      <c r="J3254" s="334"/>
      <c r="K3254" s="334"/>
      <c r="L3254" s="334"/>
      <c r="M3254" s="334"/>
      <c r="N3254" s="334"/>
      <c r="O3254" s="334"/>
    </row>
    <row r="3255" spans="1:15" ht="12.75" hidden="1" customHeight="1" outlineLevel="1" x14ac:dyDescent="0.2">
      <c r="A3255" s="627" t="s">
        <v>4120</v>
      </c>
      <c r="B3255" s="628" t="s">
        <v>1347</v>
      </c>
      <c r="C3255" s="629" t="s">
        <v>100</v>
      </c>
      <c r="D3255" s="630">
        <v>14.03</v>
      </c>
      <c r="E3255" s="622"/>
      <c r="F3255" s="334"/>
      <c r="G3255" s="334"/>
      <c r="H3255" s="602"/>
      <c r="I3255" s="334"/>
      <c r="J3255" s="334"/>
      <c r="K3255" s="334"/>
      <c r="L3255" s="334"/>
      <c r="M3255" s="334"/>
      <c r="N3255" s="334"/>
      <c r="O3255" s="334"/>
    </row>
    <row r="3256" spans="1:15" ht="12.75" hidden="1" customHeight="1" outlineLevel="1" x14ac:dyDescent="0.2">
      <c r="A3256" s="618" t="s">
        <v>4121</v>
      </c>
      <c r="B3256" s="619" t="s">
        <v>1127</v>
      </c>
      <c r="C3256" s="620"/>
      <c r="D3256" s="621"/>
      <c r="E3256" s="622"/>
      <c r="F3256" s="334"/>
      <c r="G3256" s="334"/>
      <c r="H3256" s="602"/>
      <c r="I3256" s="334"/>
      <c r="J3256" s="334"/>
      <c r="K3256" s="334"/>
      <c r="L3256" s="334"/>
      <c r="M3256" s="334"/>
      <c r="N3256" s="334"/>
      <c r="O3256" s="334"/>
    </row>
    <row r="3257" spans="1:15" ht="12.75" hidden="1" customHeight="1" outlineLevel="1" x14ac:dyDescent="0.2">
      <c r="A3257" s="623" t="s">
        <v>4122</v>
      </c>
      <c r="B3257" s="624" t="s">
        <v>1349</v>
      </c>
      <c r="C3257" s="625" t="s">
        <v>100</v>
      </c>
      <c r="D3257" s="626">
        <v>5.59</v>
      </c>
      <c r="E3257" s="622"/>
      <c r="F3257" s="334"/>
      <c r="G3257" s="334"/>
      <c r="H3257" s="602"/>
      <c r="I3257" s="334"/>
      <c r="J3257" s="334"/>
      <c r="K3257" s="334"/>
      <c r="L3257" s="334"/>
      <c r="M3257" s="334"/>
      <c r="N3257" s="334"/>
      <c r="O3257" s="334"/>
    </row>
    <row r="3258" spans="1:15" ht="12.75" customHeight="1" x14ac:dyDescent="0.2">
      <c r="A3258" s="614" t="s">
        <v>4123</v>
      </c>
      <c r="B3258" s="615" t="s">
        <v>558</v>
      </c>
      <c r="C3258" s="616"/>
      <c r="D3258" s="617"/>
      <c r="E3258" s="622"/>
      <c r="F3258" s="334"/>
      <c r="G3258" s="334"/>
      <c r="H3258" s="602"/>
      <c r="I3258" s="334"/>
      <c r="J3258" s="334"/>
      <c r="K3258" s="334"/>
      <c r="L3258" s="334"/>
      <c r="M3258" s="334"/>
      <c r="N3258" s="334"/>
      <c r="O3258" s="334"/>
    </row>
    <row r="3259" spans="1:15" ht="12.75" customHeight="1" outlineLevel="1" x14ac:dyDescent="0.2">
      <c r="A3259" s="618" t="s">
        <v>4124</v>
      </c>
      <c r="B3259" s="619" t="s">
        <v>1009</v>
      </c>
      <c r="C3259" s="620"/>
      <c r="D3259" s="621"/>
      <c r="E3259" s="622"/>
      <c r="F3259" s="334"/>
      <c r="G3259" s="334"/>
      <c r="H3259" s="602"/>
      <c r="I3259" s="334"/>
      <c r="J3259" s="334"/>
      <c r="K3259" s="334"/>
      <c r="L3259" s="334"/>
      <c r="M3259" s="334"/>
      <c r="N3259" s="334"/>
      <c r="O3259" s="334"/>
    </row>
    <row r="3260" spans="1:15" ht="12.75" customHeight="1" outlineLevel="1" x14ac:dyDescent="0.2">
      <c r="A3260" s="627" t="s">
        <v>4125</v>
      </c>
      <c r="B3260" s="628" t="s">
        <v>1351</v>
      </c>
      <c r="C3260" s="629" t="s">
        <v>100</v>
      </c>
      <c r="D3260" s="630">
        <v>100.72</v>
      </c>
      <c r="E3260" s="622"/>
      <c r="F3260" s="334"/>
      <c r="G3260" s="334"/>
      <c r="H3260" s="602"/>
      <c r="I3260" s="334"/>
      <c r="J3260" s="334"/>
      <c r="K3260" s="334"/>
      <c r="L3260" s="334"/>
      <c r="M3260" s="334"/>
      <c r="N3260" s="334"/>
      <c r="O3260" s="334"/>
    </row>
    <row r="3261" spans="1:15" ht="12.75" customHeight="1" outlineLevel="1" x14ac:dyDescent="0.2">
      <c r="A3261" s="623" t="s">
        <v>4126</v>
      </c>
      <c r="B3261" s="628" t="s">
        <v>1351</v>
      </c>
      <c r="C3261" s="625" t="s">
        <v>100</v>
      </c>
      <c r="D3261" s="626">
        <v>1.85</v>
      </c>
      <c r="E3261" s="622"/>
      <c r="F3261" s="334"/>
      <c r="G3261" s="334"/>
      <c r="H3261" s="602"/>
      <c r="I3261" s="334"/>
      <c r="J3261" s="334"/>
      <c r="K3261" s="334"/>
      <c r="L3261" s="334"/>
      <c r="M3261" s="334"/>
      <c r="N3261" s="334"/>
      <c r="O3261" s="334"/>
    </row>
    <row r="3262" spans="1:15" ht="12.75" customHeight="1" outlineLevel="1" x14ac:dyDescent="0.2">
      <c r="A3262" s="627" t="s">
        <v>4127</v>
      </c>
      <c r="B3262" s="628" t="s">
        <v>1351</v>
      </c>
      <c r="C3262" s="629" t="s">
        <v>100</v>
      </c>
      <c r="D3262" s="630">
        <v>73.78</v>
      </c>
      <c r="E3262" s="622"/>
      <c r="F3262" s="334"/>
      <c r="G3262" s="334"/>
      <c r="H3262" s="602"/>
      <c r="I3262" s="334"/>
      <c r="J3262" s="334"/>
      <c r="K3262" s="334"/>
      <c r="L3262" s="334"/>
      <c r="M3262" s="334"/>
      <c r="N3262" s="334"/>
      <c r="O3262" s="334"/>
    </row>
    <row r="3263" spans="1:15" ht="12.75" customHeight="1" outlineLevel="1" x14ac:dyDescent="0.2">
      <c r="A3263" s="623" t="s">
        <v>4128</v>
      </c>
      <c r="B3263" s="628" t="s">
        <v>1351</v>
      </c>
      <c r="C3263" s="625" t="s">
        <v>100</v>
      </c>
      <c r="D3263" s="626">
        <v>78.73</v>
      </c>
      <c r="E3263" s="622"/>
      <c r="F3263" s="334"/>
      <c r="G3263" s="334"/>
      <c r="H3263" s="602"/>
      <c r="I3263" s="334"/>
      <c r="J3263" s="334"/>
      <c r="K3263" s="334"/>
      <c r="L3263" s="334"/>
      <c r="M3263" s="334"/>
      <c r="N3263" s="334"/>
      <c r="O3263" s="334"/>
    </row>
    <row r="3264" spans="1:15" ht="12.75" customHeight="1" outlineLevel="1" x14ac:dyDescent="0.2">
      <c r="A3264" s="627" t="s">
        <v>4129</v>
      </c>
      <c r="B3264" s="628" t="s">
        <v>1353</v>
      </c>
      <c r="C3264" s="629" t="s">
        <v>100</v>
      </c>
      <c r="D3264" s="630">
        <v>126.58</v>
      </c>
      <c r="E3264" s="622"/>
      <c r="F3264" s="334"/>
      <c r="G3264" s="334"/>
      <c r="H3264" s="602"/>
      <c r="I3264" s="334"/>
      <c r="J3264" s="334"/>
      <c r="K3264" s="334"/>
      <c r="L3264" s="334"/>
      <c r="M3264" s="334"/>
      <c r="N3264" s="334"/>
      <c r="O3264" s="334"/>
    </row>
    <row r="3265" spans="1:15" ht="12.75" customHeight="1" outlineLevel="1" x14ac:dyDescent="0.2">
      <c r="A3265" s="623" t="s">
        <v>4130</v>
      </c>
      <c r="B3265" s="624" t="s">
        <v>1355</v>
      </c>
      <c r="C3265" s="625" t="s">
        <v>100</v>
      </c>
      <c r="D3265" s="626">
        <v>126.58</v>
      </c>
      <c r="E3265" s="622"/>
      <c r="F3265" s="334"/>
      <c r="G3265" s="334"/>
      <c r="H3265" s="602"/>
      <c r="I3265" s="334"/>
      <c r="J3265" s="334"/>
      <c r="K3265" s="334"/>
      <c r="L3265" s="334"/>
      <c r="M3265" s="334"/>
      <c r="N3265" s="334"/>
      <c r="O3265" s="334"/>
    </row>
    <row r="3266" spans="1:15" ht="12.75" customHeight="1" outlineLevel="1" x14ac:dyDescent="0.2">
      <c r="A3266" s="627" t="s">
        <v>4131</v>
      </c>
      <c r="B3266" s="628" t="s">
        <v>4132</v>
      </c>
      <c r="C3266" s="629" t="s">
        <v>100</v>
      </c>
      <c r="D3266" s="630">
        <v>6</v>
      </c>
      <c r="E3266" s="622"/>
      <c r="F3266" s="334"/>
      <c r="G3266" s="334"/>
      <c r="H3266" s="602"/>
      <c r="I3266" s="334"/>
      <c r="J3266" s="334"/>
      <c r="K3266" s="334"/>
      <c r="L3266" s="334"/>
      <c r="M3266" s="334"/>
      <c r="N3266" s="334"/>
      <c r="O3266" s="334"/>
    </row>
    <row r="3267" spans="1:15" ht="12.75" customHeight="1" outlineLevel="1" x14ac:dyDescent="0.2">
      <c r="A3267" s="618" t="s">
        <v>4133</v>
      </c>
      <c r="B3267" s="619" t="s">
        <v>1017</v>
      </c>
      <c r="C3267" s="620"/>
      <c r="D3267" s="621"/>
      <c r="E3267" s="622"/>
      <c r="F3267" s="334"/>
      <c r="G3267" s="334"/>
      <c r="H3267" s="602"/>
      <c r="I3267" s="334"/>
      <c r="J3267" s="334"/>
      <c r="K3267" s="334"/>
      <c r="L3267" s="334"/>
      <c r="M3267" s="334"/>
      <c r="N3267" s="334"/>
      <c r="O3267" s="334"/>
    </row>
    <row r="3268" spans="1:15" ht="12.75" customHeight="1" outlineLevel="1" x14ac:dyDescent="0.2">
      <c r="A3268" s="623" t="s">
        <v>4134</v>
      </c>
      <c r="B3268" s="628" t="s">
        <v>1351</v>
      </c>
      <c r="C3268" s="625" t="s">
        <v>100</v>
      </c>
      <c r="D3268" s="626">
        <v>58.27</v>
      </c>
      <c r="E3268" s="622"/>
      <c r="F3268" s="334"/>
      <c r="G3268" s="334"/>
      <c r="H3268" s="602"/>
      <c r="I3268" s="334"/>
      <c r="J3268" s="334"/>
      <c r="K3268" s="334"/>
      <c r="L3268" s="334"/>
      <c r="M3268" s="334"/>
      <c r="N3268" s="334"/>
      <c r="O3268" s="334"/>
    </row>
    <row r="3269" spans="1:15" ht="12.75" customHeight="1" outlineLevel="1" x14ac:dyDescent="0.2">
      <c r="A3269" s="627" t="s">
        <v>4135</v>
      </c>
      <c r="B3269" s="628" t="s">
        <v>1351</v>
      </c>
      <c r="C3269" s="629" t="s">
        <v>100</v>
      </c>
      <c r="D3269" s="630">
        <v>80.22</v>
      </c>
      <c r="E3269" s="622"/>
      <c r="F3269" s="334"/>
      <c r="G3269" s="334"/>
      <c r="H3269" s="602"/>
      <c r="I3269" s="334"/>
      <c r="J3269" s="334"/>
      <c r="K3269" s="334"/>
      <c r="L3269" s="334"/>
      <c r="M3269" s="334"/>
      <c r="N3269" s="334"/>
      <c r="O3269" s="334"/>
    </row>
    <row r="3270" spans="1:15" ht="12.75" customHeight="1" outlineLevel="1" x14ac:dyDescent="0.2">
      <c r="A3270" s="623" t="s">
        <v>4136</v>
      </c>
      <c r="B3270" s="628" t="s">
        <v>1351</v>
      </c>
      <c r="C3270" s="625" t="s">
        <v>100</v>
      </c>
      <c r="D3270" s="626">
        <v>90.26</v>
      </c>
      <c r="E3270" s="622"/>
      <c r="F3270" s="334"/>
      <c r="G3270" s="334"/>
      <c r="H3270" s="602"/>
      <c r="I3270" s="334"/>
      <c r="J3270" s="334"/>
      <c r="K3270" s="334"/>
      <c r="L3270" s="334"/>
      <c r="M3270" s="334"/>
      <c r="N3270" s="334"/>
      <c r="O3270" s="334"/>
    </row>
    <row r="3271" spans="1:15" ht="12.75" customHeight="1" outlineLevel="1" x14ac:dyDescent="0.2">
      <c r="A3271" s="627" t="s">
        <v>4137</v>
      </c>
      <c r="B3271" s="628" t="s">
        <v>1351</v>
      </c>
      <c r="C3271" s="629" t="s">
        <v>100</v>
      </c>
      <c r="D3271" s="630">
        <v>152.28</v>
      </c>
      <c r="E3271" s="622"/>
      <c r="F3271" s="334"/>
      <c r="G3271" s="334"/>
      <c r="H3271" s="602"/>
      <c r="I3271" s="334"/>
      <c r="J3271" s="334"/>
      <c r="K3271" s="334"/>
      <c r="L3271" s="334"/>
      <c r="M3271" s="334"/>
      <c r="N3271" s="334"/>
      <c r="O3271" s="334"/>
    </row>
    <row r="3272" spans="1:15" ht="12.75" customHeight="1" outlineLevel="1" x14ac:dyDescent="0.2">
      <c r="A3272" s="623" t="s">
        <v>4138</v>
      </c>
      <c r="B3272" s="624" t="s">
        <v>4132</v>
      </c>
      <c r="C3272" s="625" t="s">
        <v>100</v>
      </c>
      <c r="D3272" s="626">
        <v>32.76</v>
      </c>
      <c r="E3272" s="622"/>
      <c r="F3272" s="334"/>
      <c r="G3272" s="334"/>
      <c r="H3272" s="602"/>
      <c r="I3272" s="334"/>
      <c r="J3272" s="334"/>
      <c r="K3272" s="334"/>
      <c r="L3272" s="334"/>
      <c r="M3272" s="334"/>
      <c r="N3272" s="334"/>
      <c r="O3272" s="334"/>
    </row>
    <row r="3273" spans="1:15" ht="12.75" customHeight="1" outlineLevel="1" x14ac:dyDescent="0.2">
      <c r="A3273" s="618" t="s">
        <v>4139</v>
      </c>
      <c r="B3273" s="619" t="s">
        <v>1021</v>
      </c>
      <c r="C3273" s="620"/>
      <c r="D3273" s="621"/>
      <c r="E3273" s="622"/>
      <c r="F3273" s="334"/>
      <c r="G3273" s="334"/>
      <c r="H3273" s="602"/>
      <c r="I3273" s="334"/>
      <c r="J3273" s="334"/>
      <c r="K3273" s="334"/>
      <c r="L3273" s="334"/>
      <c r="M3273" s="334"/>
      <c r="N3273" s="334"/>
      <c r="O3273" s="334"/>
    </row>
    <row r="3274" spans="1:15" ht="12.75" customHeight="1" outlineLevel="1" x14ac:dyDescent="0.2">
      <c r="A3274" s="627" t="s">
        <v>4140</v>
      </c>
      <c r="B3274" s="628" t="s">
        <v>1351</v>
      </c>
      <c r="C3274" s="629" t="s">
        <v>100</v>
      </c>
      <c r="D3274" s="630">
        <v>53.56</v>
      </c>
      <c r="E3274" s="622"/>
      <c r="F3274" s="334"/>
      <c r="G3274" s="334"/>
      <c r="H3274" s="602"/>
      <c r="I3274" s="334"/>
      <c r="J3274" s="334"/>
      <c r="K3274" s="334"/>
      <c r="L3274" s="334"/>
      <c r="M3274" s="334"/>
      <c r="N3274" s="334"/>
      <c r="O3274" s="334"/>
    </row>
    <row r="3275" spans="1:15" ht="12.75" customHeight="1" outlineLevel="1" x14ac:dyDescent="0.2">
      <c r="A3275" s="623" t="s">
        <v>4141</v>
      </c>
      <c r="B3275" s="628" t="s">
        <v>1351</v>
      </c>
      <c r="C3275" s="625" t="s">
        <v>100</v>
      </c>
      <c r="D3275" s="626">
        <v>39.72</v>
      </c>
      <c r="E3275" s="622"/>
      <c r="F3275" s="334"/>
      <c r="G3275" s="334"/>
      <c r="H3275" s="602"/>
      <c r="I3275" s="334"/>
      <c r="J3275" s="334"/>
      <c r="K3275" s="334"/>
      <c r="L3275" s="334"/>
      <c r="M3275" s="334"/>
      <c r="N3275" s="334"/>
      <c r="O3275" s="334"/>
    </row>
    <row r="3276" spans="1:15" ht="12.75" customHeight="1" outlineLevel="1" x14ac:dyDescent="0.2">
      <c r="A3276" s="627" t="s">
        <v>4142</v>
      </c>
      <c r="B3276" s="628" t="s">
        <v>1351</v>
      </c>
      <c r="C3276" s="629" t="s">
        <v>100</v>
      </c>
      <c r="D3276" s="630">
        <v>40.299999999999997</v>
      </c>
      <c r="E3276" s="622"/>
      <c r="F3276" s="334"/>
      <c r="G3276" s="334"/>
      <c r="H3276" s="602"/>
      <c r="I3276" s="334"/>
      <c r="J3276" s="334"/>
      <c r="K3276" s="334"/>
      <c r="L3276" s="334"/>
      <c r="M3276" s="334"/>
      <c r="N3276" s="334"/>
      <c r="O3276" s="334"/>
    </row>
    <row r="3277" spans="1:15" ht="12.75" customHeight="1" outlineLevel="1" x14ac:dyDescent="0.2">
      <c r="A3277" s="623" t="s">
        <v>4143</v>
      </c>
      <c r="B3277" s="628" t="s">
        <v>1351</v>
      </c>
      <c r="C3277" s="625" t="s">
        <v>100</v>
      </c>
      <c r="D3277" s="626">
        <v>135.12</v>
      </c>
      <c r="E3277" s="622"/>
      <c r="F3277" s="334"/>
      <c r="G3277" s="334"/>
      <c r="H3277" s="602"/>
      <c r="I3277" s="334"/>
      <c r="J3277" s="334"/>
      <c r="K3277" s="334"/>
      <c r="L3277" s="334"/>
      <c r="M3277" s="334"/>
      <c r="N3277" s="334"/>
      <c r="O3277" s="334"/>
    </row>
    <row r="3278" spans="1:15" ht="12.75" customHeight="1" outlineLevel="1" x14ac:dyDescent="0.2">
      <c r="A3278" s="627" t="s">
        <v>4144</v>
      </c>
      <c r="B3278" s="628" t="s">
        <v>1353</v>
      </c>
      <c r="C3278" s="629" t="s">
        <v>100</v>
      </c>
      <c r="D3278" s="630">
        <v>114.29</v>
      </c>
      <c r="E3278" s="622"/>
      <c r="F3278" s="334"/>
      <c r="G3278" s="334"/>
      <c r="H3278" s="602"/>
      <c r="I3278" s="334"/>
      <c r="J3278" s="334"/>
      <c r="K3278" s="334"/>
      <c r="L3278" s="334"/>
      <c r="M3278" s="334"/>
      <c r="N3278" s="334"/>
      <c r="O3278" s="334"/>
    </row>
    <row r="3279" spans="1:15" ht="12.75" customHeight="1" outlineLevel="1" x14ac:dyDescent="0.2">
      <c r="A3279" s="623" t="s">
        <v>4145</v>
      </c>
      <c r="B3279" s="624" t="s">
        <v>1355</v>
      </c>
      <c r="C3279" s="625" t="s">
        <v>100</v>
      </c>
      <c r="D3279" s="626">
        <v>114.29</v>
      </c>
      <c r="E3279" s="622"/>
      <c r="F3279" s="334"/>
      <c r="G3279" s="334"/>
      <c r="H3279" s="602"/>
      <c r="I3279" s="334"/>
      <c r="J3279" s="334"/>
      <c r="K3279" s="334"/>
      <c r="L3279" s="334"/>
      <c r="M3279" s="334"/>
      <c r="N3279" s="334"/>
      <c r="O3279" s="334"/>
    </row>
    <row r="3280" spans="1:15" ht="12.75" customHeight="1" outlineLevel="1" x14ac:dyDescent="0.2">
      <c r="A3280" s="627" t="s">
        <v>4146</v>
      </c>
      <c r="B3280" s="628" t="s">
        <v>1351</v>
      </c>
      <c r="C3280" s="629" t="s">
        <v>100</v>
      </c>
      <c r="D3280" s="630">
        <v>61.26</v>
      </c>
      <c r="E3280" s="622"/>
      <c r="F3280" s="334"/>
      <c r="G3280" s="334"/>
      <c r="H3280" s="602"/>
      <c r="I3280" s="334"/>
      <c r="J3280" s="334"/>
      <c r="K3280" s="334"/>
      <c r="L3280" s="334"/>
      <c r="M3280" s="334"/>
      <c r="N3280" s="334"/>
      <c r="O3280" s="334"/>
    </row>
    <row r="3281" spans="1:15" ht="12.75" customHeight="1" outlineLevel="1" x14ac:dyDescent="0.2">
      <c r="A3281" s="618" t="s">
        <v>4147</v>
      </c>
      <c r="B3281" s="619" t="s">
        <v>1030</v>
      </c>
      <c r="C3281" s="620"/>
      <c r="D3281" s="621"/>
      <c r="E3281" s="622"/>
      <c r="F3281" s="334"/>
      <c r="G3281" s="334"/>
      <c r="H3281" s="602"/>
      <c r="I3281" s="334"/>
      <c r="J3281" s="334"/>
      <c r="K3281" s="334"/>
      <c r="L3281" s="334"/>
      <c r="M3281" s="334"/>
      <c r="N3281" s="334"/>
      <c r="O3281" s="334"/>
    </row>
    <row r="3282" spans="1:15" ht="12.75" customHeight="1" outlineLevel="1" x14ac:dyDescent="0.2">
      <c r="A3282" s="623" t="s">
        <v>4148</v>
      </c>
      <c r="B3282" s="628" t="s">
        <v>1351</v>
      </c>
      <c r="C3282" s="625" t="s">
        <v>100</v>
      </c>
      <c r="D3282" s="626">
        <v>39.03</v>
      </c>
      <c r="E3282" s="622"/>
      <c r="F3282" s="334"/>
      <c r="G3282" s="334"/>
      <c r="H3282" s="602"/>
      <c r="I3282" s="334"/>
      <c r="J3282" s="334"/>
      <c r="K3282" s="334"/>
      <c r="L3282" s="334"/>
      <c r="M3282" s="334"/>
      <c r="N3282" s="334"/>
      <c r="O3282" s="334"/>
    </row>
    <row r="3283" spans="1:15" ht="12.75" customHeight="1" outlineLevel="1" x14ac:dyDescent="0.2">
      <c r="A3283" s="627" t="s">
        <v>4149</v>
      </c>
      <c r="B3283" s="628" t="s">
        <v>1351</v>
      </c>
      <c r="C3283" s="629" t="s">
        <v>100</v>
      </c>
      <c r="D3283" s="630">
        <v>2.38</v>
      </c>
      <c r="E3283" s="622"/>
      <c r="F3283" s="334"/>
      <c r="G3283" s="334"/>
      <c r="H3283" s="602"/>
      <c r="I3283" s="334"/>
      <c r="J3283" s="334"/>
      <c r="K3283" s="334"/>
      <c r="L3283" s="334"/>
      <c r="M3283" s="334"/>
      <c r="N3283" s="334"/>
      <c r="O3283" s="334"/>
    </row>
    <row r="3284" spans="1:15" ht="12.75" customHeight="1" outlineLevel="1" x14ac:dyDescent="0.2">
      <c r="A3284" s="623" t="s">
        <v>4150</v>
      </c>
      <c r="B3284" s="628" t="s">
        <v>1351</v>
      </c>
      <c r="C3284" s="625" t="s">
        <v>100</v>
      </c>
      <c r="D3284" s="626">
        <v>1.1299999999999999</v>
      </c>
      <c r="E3284" s="622"/>
      <c r="F3284" s="334"/>
      <c r="G3284" s="334"/>
      <c r="H3284" s="602"/>
      <c r="I3284" s="334"/>
      <c r="J3284" s="334"/>
      <c r="K3284" s="334"/>
      <c r="L3284" s="334"/>
      <c r="M3284" s="334"/>
      <c r="N3284" s="334"/>
      <c r="O3284" s="334"/>
    </row>
    <row r="3285" spans="1:15" ht="12.75" customHeight="1" outlineLevel="1" x14ac:dyDescent="0.2">
      <c r="A3285" s="627" t="s">
        <v>4151</v>
      </c>
      <c r="B3285" s="628" t="s">
        <v>1351</v>
      </c>
      <c r="C3285" s="629" t="s">
        <v>100</v>
      </c>
      <c r="D3285" s="630">
        <v>68.489999999999995</v>
      </c>
      <c r="E3285" s="622"/>
      <c r="F3285" s="334"/>
      <c r="G3285" s="334"/>
      <c r="H3285" s="602"/>
      <c r="I3285" s="334"/>
      <c r="J3285" s="334"/>
      <c r="K3285" s="334"/>
      <c r="L3285" s="334"/>
      <c r="M3285" s="334"/>
      <c r="N3285" s="334"/>
      <c r="O3285" s="334"/>
    </row>
    <row r="3286" spans="1:15" ht="12.75" customHeight="1" outlineLevel="1" x14ac:dyDescent="0.2">
      <c r="A3286" s="623" t="s">
        <v>4152</v>
      </c>
      <c r="B3286" s="624" t="s">
        <v>1351</v>
      </c>
      <c r="C3286" s="625" t="s">
        <v>100</v>
      </c>
      <c r="D3286" s="626">
        <v>49.88</v>
      </c>
      <c r="E3286" s="622"/>
      <c r="F3286" s="334"/>
      <c r="G3286" s="334"/>
      <c r="H3286" s="602"/>
      <c r="I3286" s="334"/>
      <c r="J3286" s="334"/>
      <c r="K3286" s="334"/>
      <c r="L3286" s="334"/>
      <c r="M3286" s="334"/>
      <c r="N3286" s="334"/>
      <c r="O3286" s="334"/>
    </row>
    <row r="3287" spans="1:15" ht="12.75" customHeight="1" outlineLevel="1" x14ac:dyDescent="0.2">
      <c r="A3287" s="618" t="s">
        <v>4153</v>
      </c>
      <c r="B3287" s="619" t="s">
        <v>1039</v>
      </c>
      <c r="C3287" s="620"/>
      <c r="D3287" s="621"/>
      <c r="E3287" s="622"/>
      <c r="F3287" s="334"/>
      <c r="G3287" s="334"/>
      <c r="H3287" s="602"/>
      <c r="I3287" s="334"/>
      <c r="J3287" s="334"/>
      <c r="K3287" s="334"/>
      <c r="L3287" s="334"/>
      <c r="M3287" s="334"/>
      <c r="N3287" s="334"/>
      <c r="O3287" s="334"/>
    </row>
    <row r="3288" spans="1:15" ht="12.75" customHeight="1" outlineLevel="1" x14ac:dyDescent="0.2">
      <c r="A3288" s="627" t="s">
        <v>4154</v>
      </c>
      <c r="B3288" s="628" t="s">
        <v>1351</v>
      </c>
      <c r="C3288" s="629" t="s">
        <v>100</v>
      </c>
      <c r="D3288" s="630">
        <v>31.22</v>
      </c>
      <c r="E3288" s="622"/>
      <c r="F3288" s="334"/>
      <c r="G3288" s="334"/>
      <c r="H3288" s="602"/>
      <c r="I3288" s="334"/>
      <c r="J3288" s="334"/>
      <c r="K3288" s="334"/>
      <c r="L3288" s="334"/>
      <c r="M3288" s="334"/>
      <c r="N3288" s="334"/>
      <c r="O3288" s="334"/>
    </row>
    <row r="3289" spans="1:15" ht="12.75" customHeight="1" outlineLevel="1" x14ac:dyDescent="0.2">
      <c r="A3289" s="623" t="s">
        <v>4155</v>
      </c>
      <c r="B3289" s="628" t="s">
        <v>1351</v>
      </c>
      <c r="C3289" s="625" t="s">
        <v>100</v>
      </c>
      <c r="D3289" s="626">
        <v>2.38</v>
      </c>
      <c r="E3289" s="622"/>
      <c r="F3289" s="334"/>
      <c r="G3289" s="334"/>
      <c r="H3289" s="602"/>
      <c r="I3289" s="334"/>
      <c r="J3289" s="334"/>
      <c r="K3289" s="334"/>
      <c r="L3289" s="334"/>
      <c r="M3289" s="334"/>
      <c r="N3289" s="334"/>
      <c r="O3289" s="334"/>
    </row>
    <row r="3290" spans="1:15" ht="12.75" customHeight="1" outlineLevel="1" x14ac:dyDescent="0.2">
      <c r="A3290" s="627" t="s">
        <v>4156</v>
      </c>
      <c r="B3290" s="628" t="s">
        <v>1351</v>
      </c>
      <c r="C3290" s="629" t="s">
        <v>100</v>
      </c>
      <c r="D3290" s="630">
        <v>1.1299999999999999</v>
      </c>
      <c r="E3290" s="622"/>
      <c r="F3290" s="334"/>
      <c r="G3290" s="334"/>
      <c r="H3290" s="602"/>
      <c r="I3290" s="334"/>
      <c r="J3290" s="334"/>
      <c r="K3290" s="334"/>
      <c r="L3290" s="334"/>
      <c r="M3290" s="334"/>
      <c r="N3290" s="334"/>
      <c r="O3290" s="334"/>
    </row>
    <row r="3291" spans="1:15" ht="12.75" customHeight="1" outlineLevel="1" x14ac:dyDescent="0.2">
      <c r="A3291" s="623" t="s">
        <v>4157</v>
      </c>
      <c r="B3291" s="628" t="s">
        <v>1351</v>
      </c>
      <c r="C3291" s="625" t="s">
        <v>100</v>
      </c>
      <c r="D3291" s="626">
        <v>68.11</v>
      </c>
      <c r="E3291" s="622"/>
      <c r="F3291" s="334"/>
      <c r="G3291" s="334"/>
      <c r="H3291" s="602"/>
      <c r="I3291" s="334"/>
      <c r="J3291" s="334"/>
      <c r="K3291" s="334"/>
      <c r="L3291" s="334"/>
      <c r="M3291" s="334"/>
      <c r="N3291" s="334"/>
      <c r="O3291" s="334"/>
    </row>
    <row r="3292" spans="1:15" ht="12.75" customHeight="1" outlineLevel="1" x14ac:dyDescent="0.2">
      <c r="A3292" s="627" t="s">
        <v>4158</v>
      </c>
      <c r="B3292" s="628" t="s">
        <v>1351</v>
      </c>
      <c r="C3292" s="629" t="s">
        <v>100</v>
      </c>
      <c r="D3292" s="630">
        <v>50.22</v>
      </c>
      <c r="E3292" s="622"/>
      <c r="F3292" s="334"/>
      <c r="G3292" s="334"/>
      <c r="H3292" s="602"/>
      <c r="I3292" s="334"/>
      <c r="J3292" s="334"/>
      <c r="K3292" s="334"/>
      <c r="L3292" s="334"/>
      <c r="M3292" s="334"/>
      <c r="N3292" s="334"/>
      <c r="O3292" s="334"/>
    </row>
    <row r="3293" spans="1:15" ht="12.75" customHeight="1" outlineLevel="1" x14ac:dyDescent="0.2">
      <c r="A3293" s="618" t="s">
        <v>4159</v>
      </c>
      <c r="B3293" s="619" t="s">
        <v>1047</v>
      </c>
      <c r="C3293" s="620"/>
      <c r="D3293" s="621"/>
      <c r="E3293" s="622"/>
      <c r="F3293" s="334"/>
      <c r="G3293" s="334"/>
      <c r="H3293" s="602"/>
      <c r="I3293" s="334"/>
      <c r="J3293" s="334"/>
      <c r="K3293" s="334"/>
      <c r="L3293" s="334"/>
      <c r="M3293" s="334"/>
      <c r="N3293" s="334"/>
      <c r="O3293" s="334"/>
    </row>
    <row r="3294" spans="1:15" ht="12.75" customHeight="1" outlineLevel="1" x14ac:dyDescent="0.2">
      <c r="A3294" s="623" t="s">
        <v>4160</v>
      </c>
      <c r="B3294" s="628" t="s">
        <v>1351</v>
      </c>
      <c r="C3294" s="625" t="s">
        <v>100</v>
      </c>
      <c r="D3294" s="626">
        <v>39.03</v>
      </c>
      <c r="E3294" s="622"/>
      <c r="F3294" s="334"/>
      <c r="G3294" s="334"/>
      <c r="H3294" s="602"/>
      <c r="I3294" s="334"/>
      <c r="J3294" s="334"/>
      <c r="K3294" s="334"/>
      <c r="L3294" s="334"/>
      <c r="M3294" s="334"/>
      <c r="N3294" s="334"/>
      <c r="O3294" s="334"/>
    </row>
    <row r="3295" spans="1:15" ht="12.75" customHeight="1" outlineLevel="1" x14ac:dyDescent="0.2">
      <c r="A3295" s="627" t="s">
        <v>4161</v>
      </c>
      <c r="B3295" s="628" t="s">
        <v>1351</v>
      </c>
      <c r="C3295" s="629" t="s">
        <v>100</v>
      </c>
      <c r="D3295" s="630">
        <v>2.38</v>
      </c>
      <c r="E3295" s="622"/>
      <c r="F3295" s="334"/>
      <c r="G3295" s="334"/>
      <c r="H3295" s="602"/>
      <c r="I3295" s="334"/>
      <c r="J3295" s="334"/>
      <c r="K3295" s="334"/>
      <c r="L3295" s="334"/>
      <c r="M3295" s="334"/>
      <c r="N3295" s="334"/>
      <c r="O3295" s="334"/>
    </row>
    <row r="3296" spans="1:15" ht="12.75" customHeight="1" outlineLevel="1" x14ac:dyDescent="0.2">
      <c r="A3296" s="623" t="s">
        <v>4162</v>
      </c>
      <c r="B3296" s="628" t="s">
        <v>1351</v>
      </c>
      <c r="C3296" s="625" t="s">
        <v>100</v>
      </c>
      <c r="D3296" s="626">
        <v>1.1299999999999999</v>
      </c>
      <c r="E3296" s="622"/>
      <c r="F3296" s="334"/>
      <c r="G3296" s="334"/>
      <c r="H3296" s="602"/>
      <c r="I3296" s="334"/>
      <c r="J3296" s="334"/>
      <c r="K3296" s="334"/>
      <c r="L3296" s="334"/>
      <c r="M3296" s="334"/>
      <c r="N3296" s="334"/>
      <c r="O3296" s="334"/>
    </row>
    <row r="3297" spans="1:15" ht="12.75" customHeight="1" outlineLevel="1" x14ac:dyDescent="0.2">
      <c r="A3297" s="627" t="s">
        <v>4163</v>
      </c>
      <c r="B3297" s="628" t="s">
        <v>1351</v>
      </c>
      <c r="C3297" s="629" t="s">
        <v>100</v>
      </c>
      <c r="D3297" s="630">
        <v>68.489999999999995</v>
      </c>
      <c r="E3297" s="622"/>
      <c r="F3297" s="334"/>
      <c r="G3297" s="334"/>
      <c r="H3297" s="602"/>
      <c r="I3297" s="334"/>
      <c r="J3297" s="334"/>
      <c r="K3297" s="334"/>
      <c r="L3297" s="334"/>
      <c r="M3297" s="334"/>
      <c r="N3297" s="334"/>
      <c r="O3297" s="334"/>
    </row>
    <row r="3298" spans="1:15" ht="12.75" customHeight="1" outlineLevel="1" x14ac:dyDescent="0.2">
      <c r="A3298" s="623" t="s">
        <v>4164</v>
      </c>
      <c r="B3298" s="624" t="s">
        <v>1351</v>
      </c>
      <c r="C3298" s="625" t="s">
        <v>100</v>
      </c>
      <c r="D3298" s="626">
        <v>49.88</v>
      </c>
      <c r="E3298" s="622"/>
      <c r="F3298" s="334"/>
      <c r="G3298" s="334"/>
      <c r="H3298" s="602"/>
      <c r="I3298" s="334"/>
      <c r="J3298" s="334"/>
      <c r="K3298" s="334"/>
      <c r="L3298" s="334"/>
      <c r="M3298" s="334"/>
      <c r="N3298" s="334"/>
      <c r="O3298" s="334"/>
    </row>
    <row r="3299" spans="1:15" ht="12.75" customHeight="1" outlineLevel="1" x14ac:dyDescent="0.2">
      <c r="A3299" s="618" t="s">
        <v>4165</v>
      </c>
      <c r="B3299" s="619" t="s">
        <v>1058</v>
      </c>
      <c r="C3299" s="620"/>
      <c r="D3299" s="621"/>
      <c r="E3299" s="622"/>
      <c r="F3299" s="334"/>
      <c r="G3299" s="334"/>
      <c r="H3299" s="602"/>
      <c r="I3299" s="334"/>
      <c r="J3299" s="334"/>
      <c r="K3299" s="334"/>
      <c r="L3299" s="334"/>
      <c r="M3299" s="334"/>
      <c r="N3299" s="334"/>
      <c r="O3299" s="334"/>
    </row>
    <row r="3300" spans="1:15" ht="12.75" customHeight="1" outlineLevel="1" x14ac:dyDescent="0.2">
      <c r="A3300" s="627" t="s">
        <v>4166</v>
      </c>
      <c r="B3300" s="628" t="s">
        <v>1351</v>
      </c>
      <c r="C3300" s="629" t="s">
        <v>100</v>
      </c>
      <c r="D3300" s="630">
        <v>39.03</v>
      </c>
      <c r="E3300" s="622"/>
      <c r="F3300" s="334"/>
      <c r="G3300" s="334"/>
      <c r="H3300" s="602"/>
      <c r="I3300" s="334"/>
      <c r="J3300" s="334"/>
      <c r="K3300" s="334"/>
      <c r="L3300" s="334"/>
      <c r="M3300" s="334"/>
      <c r="N3300" s="334"/>
      <c r="O3300" s="334"/>
    </row>
    <row r="3301" spans="1:15" ht="12.75" customHeight="1" outlineLevel="1" x14ac:dyDescent="0.2">
      <c r="A3301" s="623" t="s">
        <v>4167</v>
      </c>
      <c r="B3301" s="628" t="s">
        <v>1351</v>
      </c>
      <c r="C3301" s="625" t="s">
        <v>100</v>
      </c>
      <c r="D3301" s="626">
        <v>2.38</v>
      </c>
      <c r="E3301" s="622"/>
      <c r="F3301" s="334"/>
      <c r="G3301" s="334"/>
      <c r="H3301" s="602"/>
      <c r="I3301" s="334"/>
      <c r="J3301" s="334"/>
      <c r="K3301" s="334"/>
      <c r="L3301" s="334"/>
      <c r="M3301" s="334"/>
      <c r="N3301" s="334"/>
      <c r="O3301" s="334"/>
    </row>
    <row r="3302" spans="1:15" ht="12.75" customHeight="1" outlineLevel="1" x14ac:dyDescent="0.2">
      <c r="A3302" s="627" t="s">
        <v>4168</v>
      </c>
      <c r="B3302" s="628" t="s">
        <v>1351</v>
      </c>
      <c r="C3302" s="629" t="s">
        <v>100</v>
      </c>
      <c r="D3302" s="630">
        <v>1.1299999999999999</v>
      </c>
      <c r="E3302" s="622"/>
      <c r="F3302" s="334"/>
      <c r="G3302" s="334"/>
      <c r="H3302" s="602"/>
      <c r="I3302" s="334"/>
      <c r="J3302" s="334"/>
      <c r="K3302" s="334"/>
      <c r="L3302" s="334"/>
      <c r="M3302" s="334"/>
      <c r="N3302" s="334"/>
      <c r="O3302" s="334"/>
    </row>
    <row r="3303" spans="1:15" ht="12.75" customHeight="1" outlineLevel="1" x14ac:dyDescent="0.2">
      <c r="A3303" s="623" t="s">
        <v>4169</v>
      </c>
      <c r="B3303" s="628" t="s">
        <v>1351</v>
      </c>
      <c r="C3303" s="625" t="s">
        <v>100</v>
      </c>
      <c r="D3303" s="626">
        <v>68.489999999999995</v>
      </c>
      <c r="E3303" s="622"/>
      <c r="F3303" s="334"/>
      <c r="G3303" s="334"/>
      <c r="H3303" s="602"/>
      <c r="I3303" s="334"/>
      <c r="J3303" s="334"/>
      <c r="K3303" s="334"/>
      <c r="L3303" s="334"/>
      <c r="M3303" s="334"/>
      <c r="N3303" s="334"/>
      <c r="O3303" s="334"/>
    </row>
    <row r="3304" spans="1:15" ht="12.75" customHeight="1" outlineLevel="1" x14ac:dyDescent="0.2">
      <c r="A3304" s="627" t="s">
        <v>4170</v>
      </c>
      <c r="B3304" s="628" t="s">
        <v>1351</v>
      </c>
      <c r="C3304" s="629" t="s">
        <v>100</v>
      </c>
      <c r="D3304" s="630">
        <v>49.88</v>
      </c>
      <c r="E3304" s="622"/>
      <c r="F3304" s="334"/>
      <c r="G3304" s="334"/>
      <c r="H3304" s="602"/>
      <c r="I3304" s="334"/>
      <c r="J3304" s="334"/>
      <c r="K3304" s="334"/>
      <c r="L3304" s="334"/>
      <c r="M3304" s="334"/>
      <c r="N3304" s="334"/>
      <c r="O3304" s="334"/>
    </row>
    <row r="3305" spans="1:15" ht="12.75" customHeight="1" outlineLevel="1" x14ac:dyDescent="0.2">
      <c r="A3305" s="618" t="s">
        <v>4171</v>
      </c>
      <c r="B3305" s="619" t="s">
        <v>1069</v>
      </c>
      <c r="C3305" s="620"/>
      <c r="D3305" s="621"/>
      <c r="E3305" s="622"/>
      <c r="F3305" s="334"/>
      <c r="G3305" s="334"/>
      <c r="H3305" s="602"/>
      <c r="I3305" s="334"/>
      <c r="J3305" s="334"/>
      <c r="K3305" s="334"/>
      <c r="L3305" s="334"/>
      <c r="M3305" s="334"/>
      <c r="N3305" s="334"/>
      <c r="O3305" s="334"/>
    </row>
    <row r="3306" spans="1:15" ht="12.75" customHeight="1" outlineLevel="1" x14ac:dyDescent="0.2">
      <c r="A3306" s="623" t="s">
        <v>4172</v>
      </c>
      <c r="B3306" s="628" t="s">
        <v>1351</v>
      </c>
      <c r="C3306" s="625" t="s">
        <v>100</v>
      </c>
      <c r="D3306" s="626">
        <v>39.03</v>
      </c>
      <c r="E3306" s="622"/>
      <c r="F3306" s="334"/>
      <c r="G3306" s="334"/>
      <c r="H3306" s="602"/>
      <c r="I3306" s="334"/>
      <c r="J3306" s="334"/>
      <c r="K3306" s="334"/>
      <c r="L3306" s="334"/>
      <c r="M3306" s="334"/>
      <c r="N3306" s="334"/>
      <c r="O3306" s="334"/>
    </row>
    <row r="3307" spans="1:15" ht="12.75" customHeight="1" outlineLevel="1" x14ac:dyDescent="0.2">
      <c r="A3307" s="627" t="s">
        <v>4173</v>
      </c>
      <c r="B3307" s="628" t="s">
        <v>1351</v>
      </c>
      <c r="C3307" s="629" t="s">
        <v>100</v>
      </c>
      <c r="D3307" s="630">
        <v>2.38</v>
      </c>
      <c r="E3307" s="622"/>
      <c r="F3307" s="334"/>
      <c r="G3307" s="334"/>
      <c r="H3307" s="602"/>
      <c r="I3307" s="334"/>
      <c r="J3307" s="334"/>
      <c r="K3307" s="334"/>
      <c r="L3307" s="334"/>
      <c r="M3307" s="334"/>
      <c r="N3307" s="334"/>
      <c r="O3307" s="334"/>
    </row>
    <row r="3308" spans="1:15" ht="12.75" customHeight="1" outlineLevel="1" x14ac:dyDescent="0.2">
      <c r="A3308" s="623" t="s">
        <v>4174</v>
      </c>
      <c r="B3308" s="628" t="s">
        <v>1351</v>
      </c>
      <c r="C3308" s="625" t="s">
        <v>100</v>
      </c>
      <c r="D3308" s="626">
        <v>1.1299999999999999</v>
      </c>
      <c r="E3308" s="622"/>
      <c r="F3308" s="334"/>
      <c r="G3308" s="334"/>
      <c r="H3308" s="602"/>
      <c r="I3308" s="334"/>
      <c r="J3308" s="334"/>
      <c r="K3308" s="334"/>
      <c r="L3308" s="334"/>
      <c r="M3308" s="334"/>
      <c r="N3308" s="334"/>
      <c r="O3308" s="334"/>
    </row>
    <row r="3309" spans="1:15" ht="12.75" customHeight="1" outlineLevel="1" x14ac:dyDescent="0.2">
      <c r="A3309" s="627" t="s">
        <v>4175</v>
      </c>
      <c r="B3309" s="628" t="s">
        <v>1351</v>
      </c>
      <c r="C3309" s="629" t="s">
        <v>100</v>
      </c>
      <c r="D3309" s="630">
        <v>68.489999999999995</v>
      </c>
      <c r="E3309" s="622"/>
      <c r="F3309" s="334"/>
      <c r="G3309" s="334"/>
      <c r="H3309" s="602"/>
      <c r="I3309" s="334"/>
      <c r="J3309" s="334"/>
      <c r="K3309" s="334"/>
      <c r="L3309" s="334"/>
      <c r="M3309" s="334"/>
      <c r="N3309" s="334"/>
      <c r="O3309" s="334"/>
    </row>
    <row r="3310" spans="1:15" ht="12.75" customHeight="1" outlineLevel="1" x14ac:dyDescent="0.2">
      <c r="A3310" s="623" t="s">
        <v>4176</v>
      </c>
      <c r="B3310" s="624" t="s">
        <v>1351</v>
      </c>
      <c r="C3310" s="625" t="s">
        <v>100</v>
      </c>
      <c r="D3310" s="626">
        <v>49.88</v>
      </c>
      <c r="E3310" s="622"/>
      <c r="F3310" s="334"/>
      <c r="G3310" s="334"/>
      <c r="H3310" s="602"/>
      <c r="I3310" s="334"/>
      <c r="J3310" s="334"/>
      <c r="K3310" s="334"/>
      <c r="L3310" s="334"/>
      <c r="M3310" s="334"/>
      <c r="N3310" s="334"/>
      <c r="O3310" s="334"/>
    </row>
    <row r="3311" spans="1:15" ht="12.75" customHeight="1" outlineLevel="1" x14ac:dyDescent="0.2">
      <c r="A3311" s="618" t="s">
        <v>4177</v>
      </c>
      <c r="B3311" s="619" t="s">
        <v>1079</v>
      </c>
      <c r="C3311" s="620"/>
      <c r="D3311" s="621"/>
      <c r="E3311" s="622"/>
      <c r="F3311" s="334"/>
      <c r="G3311" s="334"/>
      <c r="H3311" s="602"/>
      <c r="I3311" s="334"/>
      <c r="J3311" s="334"/>
      <c r="K3311" s="334"/>
      <c r="L3311" s="334"/>
      <c r="M3311" s="334"/>
      <c r="N3311" s="334"/>
      <c r="O3311" s="334"/>
    </row>
    <row r="3312" spans="1:15" ht="12.75" customHeight="1" outlineLevel="1" x14ac:dyDescent="0.2">
      <c r="A3312" s="627" t="s">
        <v>4178</v>
      </c>
      <c r="B3312" s="628" t="s">
        <v>1351</v>
      </c>
      <c r="C3312" s="629" t="s">
        <v>100</v>
      </c>
      <c r="D3312" s="630">
        <v>39.03</v>
      </c>
      <c r="E3312" s="622"/>
      <c r="F3312" s="334"/>
      <c r="G3312" s="334"/>
      <c r="H3312" s="602"/>
      <c r="I3312" s="334"/>
      <c r="J3312" s="334"/>
      <c r="K3312" s="334"/>
      <c r="L3312" s="334"/>
      <c r="M3312" s="334"/>
      <c r="N3312" s="334"/>
      <c r="O3312" s="334"/>
    </row>
    <row r="3313" spans="1:15" ht="12.75" customHeight="1" outlineLevel="1" x14ac:dyDescent="0.2">
      <c r="A3313" s="623" t="s">
        <v>4179</v>
      </c>
      <c r="B3313" s="628" t="s">
        <v>1351</v>
      </c>
      <c r="C3313" s="625" t="s">
        <v>100</v>
      </c>
      <c r="D3313" s="626">
        <v>2.38</v>
      </c>
      <c r="E3313" s="622"/>
      <c r="F3313" s="334"/>
      <c r="G3313" s="334"/>
      <c r="H3313" s="602"/>
      <c r="I3313" s="334"/>
      <c r="J3313" s="334"/>
      <c r="K3313" s="334"/>
      <c r="L3313" s="334"/>
      <c r="M3313" s="334"/>
      <c r="N3313" s="334"/>
      <c r="O3313" s="334"/>
    </row>
    <row r="3314" spans="1:15" ht="12.75" customHeight="1" outlineLevel="1" x14ac:dyDescent="0.2">
      <c r="A3314" s="627" t="s">
        <v>4180</v>
      </c>
      <c r="B3314" s="628" t="s">
        <v>1351</v>
      </c>
      <c r="C3314" s="629" t="s">
        <v>100</v>
      </c>
      <c r="D3314" s="630">
        <v>1.1299999999999999</v>
      </c>
      <c r="E3314" s="622"/>
      <c r="F3314" s="334"/>
      <c r="G3314" s="334"/>
      <c r="H3314" s="602"/>
      <c r="I3314" s="334"/>
      <c r="J3314" s="334"/>
      <c r="K3314" s="334"/>
      <c r="L3314" s="334"/>
      <c r="M3314" s="334"/>
      <c r="N3314" s="334"/>
      <c r="O3314" s="334"/>
    </row>
    <row r="3315" spans="1:15" ht="12.75" customHeight="1" outlineLevel="1" x14ac:dyDescent="0.2">
      <c r="A3315" s="623" t="s">
        <v>4181</v>
      </c>
      <c r="B3315" s="628" t="s">
        <v>1351</v>
      </c>
      <c r="C3315" s="625" t="s">
        <v>100</v>
      </c>
      <c r="D3315" s="626">
        <v>68.489999999999995</v>
      </c>
      <c r="E3315" s="622"/>
      <c r="F3315" s="334"/>
      <c r="G3315" s="334"/>
      <c r="H3315" s="602"/>
      <c r="I3315" s="334"/>
      <c r="J3315" s="334"/>
      <c r="K3315" s="334"/>
      <c r="L3315" s="334"/>
      <c r="M3315" s="334"/>
      <c r="N3315" s="334"/>
      <c r="O3315" s="334"/>
    </row>
    <row r="3316" spans="1:15" ht="12.75" customHeight="1" outlineLevel="1" x14ac:dyDescent="0.2">
      <c r="A3316" s="627" t="s">
        <v>4182</v>
      </c>
      <c r="B3316" s="628" t="s">
        <v>1351</v>
      </c>
      <c r="C3316" s="629" t="s">
        <v>100</v>
      </c>
      <c r="D3316" s="630">
        <v>49.88</v>
      </c>
      <c r="E3316" s="622"/>
      <c r="F3316" s="334"/>
      <c r="G3316" s="334"/>
      <c r="H3316" s="602"/>
      <c r="I3316" s="334"/>
      <c r="J3316" s="334"/>
      <c r="K3316" s="334"/>
      <c r="L3316" s="334"/>
      <c r="M3316" s="334"/>
      <c r="N3316" s="334"/>
      <c r="O3316" s="334"/>
    </row>
    <row r="3317" spans="1:15" ht="12.75" customHeight="1" outlineLevel="1" x14ac:dyDescent="0.2">
      <c r="A3317" s="618" t="s">
        <v>4183</v>
      </c>
      <c r="B3317" s="619" t="s">
        <v>1086</v>
      </c>
      <c r="C3317" s="620"/>
      <c r="D3317" s="621"/>
      <c r="E3317" s="622"/>
      <c r="F3317" s="334"/>
      <c r="G3317" s="334"/>
      <c r="H3317" s="602"/>
      <c r="I3317" s="334"/>
      <c r="J3317" s="334"/>
      <c r="K3317" s="334"/>
      <c r="L3317" s="334"/>
      <c r="M3317" s="334"/>
      <c r="N3317" s="334"/>
      <c r="O3317" s="334"/>
    </row>
    <row r="3318" spans="1:15" ht="12.75" customHeight="1" outlineLevel="1" x14ac:dyDescent="0.2">
      <c r="A3318" s="623" t="s">
        <v>4184</v>
      </c>
      <c r="B3318" s="628" t="s">
        <v>1351</v>
      </c>
      <c r="C3318" s="625" t="s">
        <v>100</v>
      </c>
      <c r="D3318" s="626">
        <v>39.03</v>
      </c>
      <c r="E3318" s="622"/>
      <c r="F3318" s="334"/>
      <c r="G3318" s="334"/>
      <c r="H3318" s="602"/>
      <c r="I3318" s="334"/>
      <c r="J3318" s="334"/>
      <c r="K3318" s="334"/>
      <c r="L3318" s="334"/>
      <c r="M3318" s="334"/>
      <c r="N3318" s="334"/>
      <c r="O3318" s="334"/>
    </row>
    <row r="3319" spans="1:15" ht="12.75" customHeight="1" outlineLevel="1" x14ac:dyDescent="0.2">
      <c r="A3319" s="627" t="s">
        <v>4185</v>
      </c>
      <c r="B3319" s="628" t="s">
        <v>1351</v>
      </c>
      <c r="C3319" s="629" t="s">
        <v>100</v>
      </c>
      <c r="D3319" s="630">
        <v>2.38</v>
      </c>
      <c r="E3319" s="622"/>
      <c r="F3319" s="334"/>
      <c r="G3319" s="334"/>
      <c r="H3319" s="602"/>
      <c r="I3319" s="334"/>
      <c r="J3319" s="334"/>
      <c r="K3319" s="334"/>
      <c r="L3319" s="334"/>
      <c r="M3319" s="334"/>
      <c r="N3319" s="334"/>
      <c r="O3319" s="334"/>
    </row>
    <row r="3320" spans="1:15" ht="12.75" customHeight="1" outlineLevel="1" x14ac:dyDescent="0.2">
      <c r="A3320" s="623" t="s">
        <v>4186</v>
      </c>
      <c r="B3320" s="628" t="s">
        <v>1351</v>
      </c>
      <c r="C3320" s="625" t="s">
        <v>100</v>
      </c>
      <c r="D3320" s="626">
        <v>1.1299999999999999</v>
      </c>
      <c r="E3320" s="622"/>
      <c r="F3320" s="334"/>
      <c r="G3320" s="334"/>
      <c r="H3320" s="602"/>
      <c r="I3320" s="334"/>
      <c r="J3320" s="334"/>
      <c r="K3320" s="334"/>
      <c r="L3320" s="334"/>
      <c r="M3320" s="334"/>
      <c r="N3320" s="334"/>
      <c r="O3320" s="334"/>
    </row>
    <row r="3321" spans="1:15" ht="12.75" customHeight="1" outlineLevel="1" x14ac:dyDescent="0.2">
      <c r="A3321" s="627" t="s">
        <v>4187</v>
      </c>
      <c r="B3321" s="628" t="s">
        <v>1351</v>
      </c>
      <c r="C3321" s="629" t="s">
        <v>100</v>
      </c>
      <c r="D3321" s="630">
        <v>68.489999999999995</v>
      </c>
      <c r="E3321" s="622"/>
      <c r="F3321" s="334"/>
      <c r="G3321" s="334"/>
      <c r="H3321" s="602"/>
      <c r="I3321" s="334"/>
      <c r="J3321" s="334"/>
      <c r="K3321" s="334"/>
      <c r="L3321" s="334"/>
      <c r="M3321" s="334"/>
      <c r="N3321" s="334"/>
      <c r="O3321" s="334"/>
    </row>
    <row r="3322" spans="1:15" ht="12.75" customHeight="1" outlineLevel="1" x14ac:dyDescent="0.2">
      <c r="A3322" s="623" t="s">
        <v>4188</v>
      </c>
      <c r="B3322" s="624" t="s">
        <v>1351</v>
      </c>
      <c r="C3322" s="625" t="s">
        <v>100</v>
      </c>
      <c r="D3322" s="626">
        <v>49.88</v>
      </c>
      <c r="E3322" s="622"/>
      <c r="F3322" s="334"/>
      <c r="G3322" s="334"/>
      <c r="H3322" s="602"/>
      <c r="I3322" s="334"/>
      <c r="J3322" s="334"/>
      <c r="K3322" s="334"/>
      <c r="L3322" s="334"/>
      <c r="M3322" s="334"/>
      <c r="N3322" s="334"/>
      <c r="O3322" s="334"/>
    </row>
    <row r="3323" spans="1:15" ht="12.75" customHeight="1" outlineLevel="1" x14ac:dyDescent="0.2">
      <c r="A3323" s="618" t="s">
        <v>4189</v>
      </c>
      <c r="B3323" s="619" t="s">
        <v>1094</v>
      </c>
      <c r="C3323" s="620"/>
      <c r="D3323" s="621"/>
      <c r="E3323" s="622"/>
      <c r="F3323" s="334"/>
      <c r="G3323" s="334"/>
      <c r="H3323" s="602"/>
      <c r="I3323" s="334"/>
      <c r="J3323" s="334"/>
      <c r="K3323" s="334"/>
      <c r="L3323" s="334"/>
      <c r="M3323" s="334"/>
      <c r="N3323" s="334"/>
      <c r="O3323" s="334"/>
    </row>
    <row r="3324" spans="1:15" ht="12.75" customHeight="1" outlineLevel="1" x14ac:dyDescent="0.2">
      <c r="A3324" s="627" t="s">
        <v>4190</v>
      </c>
      <c r="B3324" s="628" t="s">
        <v>1351</v>
      </c>
      <c r="C3324" s="629" t="s">
        <v>100</v>
      </c>
      <c r="D3324" s="630">
        <v>39.03</v>
      </c>
      <c r="E3324" s="622"/>
      <c r="F3324" s="334"/>
      <c r="G3324" s="334"/>
      <c r="H3324" s="602"/>
      <c r="I3324" s="334"/>
      <c r="J3324" s="334"/>
      <c r="K3324" s="334"/>
      <c r="L3324" s="334"/>
      <c r="M3324" s="334"/>
      <c r="N3324" s="334"/>
      <c r="O3324" s="334"/>
    </row>
    <row r="3325" spans="1:15" ht="12.75" customHeight="1" outlineLevel="1" x14ac:dyDescent="0.2">
      <c r="A3325" s="623" t="s">
        <v>4191</v>
      </c>
      <c r="B3325" s="628" t="s">
        <v>1351</v>
      </c>
      <c r="C3325" s="625" t="s">
        <v>100</v>
      </c>
      <c r="D3325" s="626">
        <v>2.38</v>
      </c>
      <c r="E3325" s="622"/>
      <c r="F3325" s="334"/>
      <c r="G3325" s="334"/>
      <c r="H3325" s="602"/>
      <c r="I3325" s="334"/>
      <c r="J3325" s="334"/>
      <c r="K3325" s="334"/>
      <c r="L3325" s="334"/>
      <c r="M3325" s="334"/>
      <c r="N3325" s="334"/>
      <c r="O3325" s="334"/>
    </row>
    <row r="3326" spans="1:15" ht="12.75" customHeight="1" outlineLevel="1" x14ac:dyDescent="0.2">
      <c r="A3326" s="627" t="s">
        <v>4192</v>
      </c>
      <c r="B3326" s="628" t="s">
        <v>1351</v>
      </c>
      <c r="C3326" s="629" t="s">
        <v>100</v>
      </c>
      <c r="D3326" s="630">
        <v>1.1299999999999999</v>
      </c>
      <c r="E3326" s="622"/>
      <c r="F3326" s="334"/>
      <c r="G3326" s="334"/>
      <c r="H3326" s="602"/>
      <c r="I3326" s="334"/>
      <c r="J3326" s="334"/>
      <c r="K3326" s="334"/>
      <c r="L3326" s="334"/>
      <c r="M3326" s="334"/>
      <c r="N3326" s="334"/>
      <c r="O3326" s="334"/>
    </row>
    <row r="3327" spans="1:15" ht="12.75" customHeight="1" outlineLevel="1" x14ac:dyDescent="0.2">
      <c r="A3327" s="623" t="s">
        <v>4193</v>
      </c>
      <c r="B3327" s="628" t="s">
        <v>1351</v>
      </c>
      <c r="C3327" s="625" t="s">
        <v>100</v>
      </c>
      <c r="D3327" s="626">
        <v>68.489999999999995</v>
      </c>
      <c r="E3327" s="622"/>
      <c r="F3327" s="334"/>
      <c r="G3327" s="334"/>
      <c r="H3327" s="602"/>
      <c r="I3327" s="334"/>
      <c r="J3327" s="334"/>
      <c r="K3327" s="334"/>
      <c r="L3327" s="334"/>
      <c r="M3327" s="334"/>
      <c r="N3327" s="334"/>
      <c r="O3327" s="334"/>
    </row>
    <row r="3328" spans="1:15" ht="12.75" customHeight="1" outlineLevel="1" x14ac:dyDescent="0.2">
      <c r="A3328" s="627" t="s">
        <v>4194</v>
      </c>
      <c r="B3328" s="628" t="s">
        <v>1351</v>
      </c>
      <c r="C3328" s="629" t="s">
        <v>100</v>
      </c>
      <c r="D3328" s="630">
        <v>49.88</v>
      </c>
      <c r="E3328" s="622"/>
      <c r="F3328" s="334"/>
      <c r="G3328" s="334"/>
      <c r="H3328" s="602"/>
      <c r="I3328" s="334"/>
      <c r="J3328" s="334"/>
      <c r="K3328" s="334"/>
      <c r="L3328" s="334"/>
      <c r="M3328" s="334"/>
      <c r="N3328" s="334"/>
      <c r="O3328" s="334"/>
    </row>
    <row r="3329" spans="1:15" ht="12.75" customHeight="1" outlineLevel="1" x14ac:dyDescent="0.2">
      <c r="A3329" s="618" t="s">
        <v>4195</v>
      </c>
      <c r="B3329" s="619" t="s">
        <v>1102</v>
      </c>
      <c r="C3329" s="620"/>
      <c r="D3329" s="621"/>
      <c r="E3329" s="622"/>
      <c r="F3329" s="334"/>
      <c r="G3329" s="334"/>
      <c r="H3329" s="602"/>
      <c r="I3329" s="334"/>
      <c r="J3329" s="334"/>
      <c r="K3329" s="334"/>
      <c r="L3329" s="334"/>
      <c r="M3329" s="334"/>
      <c r="N3329" s="334"/>
      <c r="O3329" s="334"/>
    </row>
    <row r="3330" spans="1:15" ht="12.75" customHeight="1" outlineLevel="1" x14ac:dyDescent="0.2">
      <c r="A3330" s="623" t="s">
        <v>4196</v>
      </c>
      <c r="B3330" s="628" t="s">
        <v>1351</v>
      </c>
      <c r="C3330" s="625" t="s">
        <v>100</v>
      </c>
      <c r="D3330" s="626">
        <v>29.15</v>
      </c>
      <c r="E3330" s="622"/>
      <c r="F3330" s="334"/>
      <c r="G3330" s="334"/>
      <c r="H3330" s="602"/>
      <c r="I3330" s="334"/>
      <c r="J3330" s="334"/>
      <c r="K3330" s="334"/>
      <c r="L3330" s="334"/>
      <c r="M3330" s="334"/>
      <c r="N3330" s="334"/>
      <c r="O3330" s="334"/>
    </row>
    <row r="3331" spans="1:15" ht="12.75" customHeight="1" outlineLevel="1" x14ac:dyDescent="0.2">
      <c r="A3331" s="627" t="s">
        <v>4197</v>
      </c>
      <c r="B3331" s="628" t="s">
        <v>1351</v>
      </c>
      <c r="C3331" s="629" t="s">
        <v>100</v>
      </c>
      <c r="D3331" s="630">
        <v>33.85</v>
      </c>
      <c r="E3331" s="622"/>
      <c r="F3331" s="334"/>
      <c r="G3331" s="334"/>
      <c r="H3331" s="602"/>
      <c r="I3331" s="334"/>
      <c r="J3331" s="334"/>
      <c r="K3331" s="334"/>
      <c r="L3331" s="334"/>
      <c r="M3331" s="334"/>
      <c r="N3331" s="334"/>
      <c r="O3331" s="334"/>
    </row>
    <row r="3332" spans="1:15" ht="12.75" customHeight="1" outlineLevel="1" x14ac:dyDescent="0.2">
      <c r="A3332" s="623" t="s">
        <v>4198</v>
      </c>
      <c r="B3332" s="628" t="s">
        <v>1351</v>
      </c>
      <c r="C3332" s="625" t="s">
        <v>100</v>
      </c>
      <c r="D3332" s="626">
        <v>34.01</v>
      </c>
      <c r="E3332" s="622"/>
      <c r="F3332" s="334"/>
      <c r="G3332" s="334"/>
      <c r="H3332" s="602"/>
      <c r="I3332" s="334"/>
      <c r="J3332" s="334"/>
      <c r="K3332" s="334"/>
      <c r="L3332" s="334"/>
      <c r="M3332" s="334"/>
      <c r="N3332" s="334"/>
      <c r="O3332" s="334"/>
    </row>
    <row r="3333" spans="1:15" ht="12.75" customHeight="1" outlineLevel="1" x14ac:dyDescent="0.2">
      <c r="A3333" s="627" t="s">
        <v>4199</v>
      </c>
      <c r="B3333" s="628" t="s">
        <v>1351</v>
      </c>
      <c r="C3333" s="629" t="s">
        <v>100</v>
      </c>
      <c r="D3333" s="630">
        <v>52.76</v>
      </c>
      <c r="E3333" s="622"/>
      <c r="F3333" s="334"/>
      <c r="G3333" s="334"/>
      <c r="H3333" s="602"/>
      <c r="I3333" s="334"/>
      <c r="J3333" s="334"/>
      <c r="K3333" s="334"/>
      <c r="L3333" s="334"/>
      <c r="M3333" s="334"/>
      <c r="N3333" s="334"/>
      <c r="O3333" s="334"/>
    </row>
    <row r="3334" spans="1:15" ht="12.75" customHeight="1" outlineLevel="1" x14ac:dyDescent="0.2">
      <c r="A3334" s="623" t="s">
        <v>4200</v>
      </c>
      <c r="B3334" s="624" t="s">
        <v>1351</v>
      </c>
      <c r="C3334" s="625" t="s">
        <v>100</v>
      </c>
      <c r="D3334" s="626">
        <v>14.77</v>
      </c>
      <c r="E3334" s="622"/>
      <c r="F3334" s="334"/>
      <c r="G3334" s="334"/>
      <c r="H3334" s="602"/>
      <c r="I3334" s="334"/>
      <c r="J3334" s="334"/>
      <c r="K3334" s="334"/>
      <c r="L3334" s="334"/>
      <c r="M3334" s="334"/>
      <c r="N3334" s="334"/>
      <c r="O3334" s="334"/>
    </row>
    <row r="3335" spans="1:15" ht="12.75" customHeight="1" outlineLevel="1" x14ac:dyDescent="0.2">
      <c r="A3335" s="618" t="s">
        <v>4201</v>
      </c>
      <c r="B3335" s="619" t="s">
        <v>1112</v>
      </c>
      <c r="C3335" s="620"/>
      <c r="D3335" s="621"/>
      <c r="E3335" s="622"/>
      <c r="F3335" s="334"/>
      <c r="G3335" s="334"/>
      <c r="H3335" s="602"/>
      <c r="I3335" s="334"/>
      <c r="J3335" s="334"/>
      <c r="K3335" s="334"/>
      <c r="L3335" s="334"/>
      <c r="M3335" s="334"/>
      <c r="N3335" s="334"/>
      <c r="O3335" s="334"/>
    </row>
    <row r="3336" spans="1:15" ht="12.75" customHeight="1" outlineLevel="1" x14ac:dyDescent="0.2">
      <c r="A3336" s="627" t="s">
        <v>4202</v>
      </c>
      <c r="B3336" s="628" t="s">
        <v>1351</v>
      </c>
      <c r="C3336" s="629" t="s">
        <v>100</v>
      </c>
      <c r="D3336" s="630">
        <v>35.21</v>
      </c>
      <c r="E3336" s="622"/>
      <c r="F3336" s="334"/>
      <c r="G3336" s="334"/>
      <c r="H3336" s="602"/>
      <c r="I3336" s="334"/>
      <c r="J3336" s="334"/>
      <c r="K3336" s="334"/>
      <c r="L3336" s="334"/>
      <c r="M3336" s="334"/>
      <c r="N3336" s="334"/>
      <c r="O3336" s="334"/>
    </row>
    <row r="3337" spans="1:15" ht="12.75" customHeight="1" outlineLevel="1" x14ac:dyDescent="0.2">
      <c r="A3337" s="623" t="s">
        <v>4203</v>
      </c>
      <c r="B3337" s="628" t="s">
        <v>1351</v>
      </c>
      <c r="C3337" s="625" t="s">
        <v>100</v>
      </c>
      <c r="D3337" s="626">
        <v>35.61</v>
      </c>
      <c r="E3337" s="622"/>
      <c r="F3337" s="334"/>
      <c r="G3337" s="334"/>
      <c r="H3337" s="602"/>
      <c r="I3337" s="334"/>
      <c r="J3337" s="334"/>
      <c r="K3337" s="334"/>
      <c r="L3337" s="334"/>
      <c r="M3337" s="334"/>
      <c r="N3337" s="334"/>
      <c r="O3337" s="334"/>
    </row>
    <row r="3338" spans="1:15" ht="12.75" customHeight="1" outlineLevel="1" x14ac:dyDescent="0.2">
      <c r="A3338" s="627" t="s">
        <v>4204</v>
      </c>
      <c r="B3338" s="628" t="s">
        <v>1351</v>
      </c>
      <c r="C3338" s="629" t="s">
        <v>100</v>
      </c>
      <c r="D3338" s="630">
        <v>35.47</v>
      </c>
      <c r="E3338" s="622"/>
      <c r="F3338" s="334"/>
      <c r="G3338" s="334"/>
      <c r="H3338" s="602"/>
      <c r="I3338" s="334"/>
      <c r="J3338" s="334"/>
      <c r="K3338" s="334"/>
      <c r="L3338" s="334"/>
      <c r="M3338" s="334"/>
      <c r="N3338" s="334"/>
      <c r="O3338" s="334"/>
    </row>
    <row r="3339" spans="1:15" ht="12.75" customHeight="1" outlineLevel="1" x14ac:dyDescent="0.2">
      <c r="A3339" s="623" t="s">
        <v>4205</v>
      </c>
      <c r="B3339" s="628" t="s">
        <v>1351</v>
      </c>
      <c r="C3339" s="625" t="s">
        <v>100</v>
      </c>
      <c r="D3339" s="626">
        <v>59.88</v>
      </c>
      <c r="E3339" s="622"/>
      <c r="F3339" s="334"/>
      <c r="G3339" s="334"/>
      <c r="H3339" s="602"/>
      <c r="I3339" s="334"/>
      <c r="J3339" s="334"/>
      <c r="K3339" s="334"/>
      <c r="L3339" s="334"/>
      <c r="M3339" s="334"/>
      <c r="N3339" s="334"/>
      <c r="O3339" s="334"/>
    </row>
    <row r="3340" spans="1:15" ht="12.75" customHeight="1" outlineLevel="1" x14ac:dyDescent="0.2">
      <c r="A3340" s="627" t="s">
        <v>4206</v>
      </c>
      <c r="B3340" s="628" t="s">
        <v>4132</v>
      </c>
      <c r="C3340" s="629" t="s">
        <v>100</v>
      </c>
      <c r="D3340" s="630">
        <v>30.23</v>
      </c>
      <c r="E3340" s="622"/>
      <c r="F3340" s="334"/>
      <c r="G3340" s="334"/>
      <c r="H3340" s="602"/>
      <c r="I3340" s="334"/>
      <c r="J3340" s="334"/>
      <c r="K3340" s="334"/>
      <c r="L3340" s="334"/>
      <c r="M3340" s="334"/>
      <c r="N3340" s="334"/>
      <c r="O3340" s="334"/>
    </row>
    <row r="3341" spans="1:15" ht="12.75" customHeight="1" outlineLevel="1" x14ac:dyDescent="0.2">
      <c r="A3341" s="618" t="s">
        <v>4207</v>
      </c>
      <c r="B3341" s="619" t="s">
        <v>1120</v>
      </c>
      <c r="C3341" s="620"/>
      <c r="D3341" s="621"/>
      <c r="E3341" s="622"/>
      <c r="F3341" s="334"/>
      <c r="G3341" s="334"/>
      <c r="H3341" s="602"/>
      <c r="I3341" s="334"/>
      <c r="J3341" s="334"/>
      <c r="K3341" s="334"/>
      <c r="L3341" s="334"/>
      <c r="M3341" s="334"/>
      <c r="N3341" s="334"/>
      <c r="O3341" s="334"/>
    </row>
    <row r="3342" spans="1:15" ht="12.75" customHeight="1" outlineLevel="1" x14ac:dyDescent="0.2">
      <c r="A3342" s="623" t="s">
        <v>4208</v>
      </c>
      <c r="B3342" s="628" t="s">
        <v>1351</v>
      </c>
      <c r="C3342" s="625" t="s">
        <v>100</v>
      </c>
      <c r="D3342" s="626">
        <v>35.4</v>
      </c>
      <c r="E3342" s="622"/>
      <c r="F3342" s="334"/>
      <c r="G3342" s="334"/>
      <c r="H3342" s="602"/>
      <c r="I3342" s="334"/>
      <c r="J3342" s="334"/>
      <c r="K3342" s="334"/>
      <c r="L3342" s="334"/>
      <c r="M3342" s="334"/>
      <c r="N3342" s="334"/>
      <c r="O3342" s="334"/>
    </row>
    <row r="3343" spans="1:15" ht="12.75" customHeight="1" outlineLevel="1" x14ac:dyDescent="0.2">
      <c r="A3343" s="627" t="s">
        <v>4209</v>
      </c>
      <c r="B3343" s="628" t="s">
        <v>1351</v>
      </c>
      <c r="C3343" s="629" t="s">
        <v>100</v>
      </c>
      <c r="D3343" s="630">
        <v>17.84</v>
      </c>
      <c r="E3343" s="622"/>
      <c r="F3343" s="334"/>
      <c r="G3343" s="334"/>
      <c r="H3343" s="602"/>
      <c r="I3343" s="334"/>
      <c r="J3343" s="334"/>
      <c r="K3343" s="334"/>
      <c r="L3343" s="334"/>
      <c r="M3343" s="334"/>
      <c r="N3343" s="334"/>
      <c r="O3343" s="334"/>
    </row>
    <row r="3344" spans="1:15" ht="12.75" customHeight="1" outlineLevel="1" x14ac:dyDescent="0.2">
      <c r="A3344" s="623" t="s">
        <v>4210</v>
      </c>
      <c r="B3344" s="628" t="s">
        <v>1351</v>
      </c>
      <c r="C3344" s="625" t="s">
        <v>100</v>
      </c>
      <c r="D3344" s="626">
        <v>17.53</v>
      </c>
      <c r="E3344" s="622"/>
      <c r="F3344" s="334"/>
      <c r="G3344" s="334"/>
      <c r="H3344" s="602"/>
      <c r="I3344" s="334"/>
      <c r="J3344" s="334"/>
      <c r="K3344" s="334"/>
      <c r="L3344" s="334"/>
      <c r="M3344" s="334"/>
      <c r="N3344" s="334"/>
      <c r="O3344" s="334"/>
    </row>
    <row r="3345" spans="1:15" ht="12.75" customHeight="1" outlineLevel="1" x14ac:dyDescent="0.2">
      <c r="A3345" s="627" t="s">
        <v>4211</v>
      </c>
      <c r="B3345" s="628" t="s">
        <v>1351</v>
      </c>
      <c r="C3345" s="629" t="s">
        <v>100</v>
      </c>
      <c r="D3345" s="630">
        <v>39.270000000000003</v>
      </c>
      <c r="E3345" s="622"/>
      <c r="F3345" s="334"/>
      <c r="G3345" s="334"/>
      <c r="H3345" s="602"/>
      <c r="I3345" s="334"/>
      <c r="J3345" s="334"/>
      <c r="K3345" s="334"/>
      <c r="L3345" s="334"/>
      <c r="M3345" s="334"/>
      <c r="N3345" s="334"/>
      <c r="O3345" s="334"/>
    </row>
    <row r="3346" spans="1:15" ht="12.75" customHeight="1" outlineLevel="1" x14ac:dyDescent="0.2">
      <c r="A3346" s="623" t="s">
        <v>4212</v>
      </c>
      <c r="B3346" s="624" t="s">
        <v>1351</v>
      </c>
      <c r="C3346" s="625" t="s">
        <v>100</v>
      </c>
      <c r="D3346" s="626">
        <v>3.91</v>
      </c>
      <c r="E3346" s="622"/>
      <c r="F3346" s="334"/>
      <c r="G3346" s="334"/>
      <c r="H3346" s="602"/>
      <c r="I3346" s="334"/>
      <c r="J3346" s="334"/>
      <c r="K3346" s="334"/>
      <c r="L3346" s="334"/>
      <c r="M3346" s="334"/>
      <c r="N3346" s="334"/>
      <c r="O3346" s="334"/>
    </row>
    <row r="3347" spans="1:15" ht="12.75" customHeight="1" outlineLevel="1" x14ac:dyDescent="0.2">
      <c r="A3347" s="618" t="s">
        <v>4213</v>
      </c>
      <c r="B3347" s="619" t="s">
        <v>1127</v>
      </c>
      <c r="C3347" s="620"/>
      <c r="D3347" s="621"/>
      <c r="E3347" s="622"/>
      <c r="F3347" s="334"/>
      <c r="G3347" s="334"/>
      <c r="H3347" s="602"/>
      <c r="I3347" s="334"/>
      <c r="J3347" s="334"/>
      <c r="K3347" s="334"/>
      <c r="L3347" s="334"/>
      <c r="M3347" s="334"/>
      <c r="N3347" s="334"/>
      <c r="O3347" s="334"/>
    </row>
    <row r="3348" spans="1:15" ht="12.75" customHeight="1" outlineLevel="1" x14ac:dyDescent="0.2">
      <c r="A3348" s="627" t="s">
        <v>4214</v>
      </c>
      <c r="B3348" s="628" t="s">
        <v>1351</v>
      </c>
      <c r="C3348" s="629" t="s">
        <v>100</v>
      </c>
      <c r="D3348" s="630">
        <v>45.51</v>
      </c>
      <c r="E3348" s="622"/>
      <c r="F3348" s="334"/>
      <c r="G3348" s="334"/>
      <c r="H3348" s="602"/>
      <c r="I3348" s="334"/>
      <c r="J3348" s="334"/>
      <c r="K3348" s="334"/>
      <c r="L3348" s="334"/>
      <c r="M3348" s="334"/>
      <c r="N3348" s="334"/>
      <c r="O3348" s="334"/>
    </row>
    <row r="3349" spans="1:15" ht="12.75" customHeight="1" outlineLevel="1" x14ac:dyDescent="0.2">
      <c r="A3349" s="623" t="s">
        <v>4215</v>
      </c>
      <c r="B3349" s="628" t="s">
        <v>1351</v>
      </c>
      <c r="C3349" s="625" t="s">
        <v>100</v>
      </c>
      <c r="D3349" s="626">
        <v>37.78</v>
      </c>
      <c r="E3349" s="622"/>
      <c r="F3349" s="334"/>
      <c r="G3349" s="334"/>
      <c r="H3349" s="602"/>
      <c r="I3349" s="334"/>
      <c r="J3349" s="334"/>
      <c r="K3349" s="334"/>
      <c r="L3349" s="334"/>
      <c r="M3349" s="334"/>
      <c r="N3349" s="334"/>
      <c r="O3349" s="334"/>
    </row>
    <row r="3350" spans="1:15" ht="12.75" customHeight="1" outlineLevel="1" x14ac:dyDescent="0.2">
      <c r="A3350" s="627" t="s">
        <v>4216</v>
      </c>
      <c r="B3350" s="628" t="s">
        <v>1351</v>
      </c>
      <c r="C3350" s="629" t="s">
        <v>100</v>
      </c>
      <c r="D3350" s="630">
        <v>13.31</v>
      </c>
      <c r="E3350" s="622"/>
      <c r="F3350" s="334"/>
      <c r="G3350" s="334"/>
      <c r="H3350" s="602"/>
      <c r="I3350" s="334"/>
      <c r="J3350" s="334"/>
      <c r="K3350" s="334"/>
      <c r="L3350" s="334"/>
      <c r="M3350" s="334"/>
      <c r="N3350" s="334"/>
      <c r="O3350" s="334"/>
    </row>
    <row r="3351" spans="1:15" ht="12.75" customHeight="1" outlineLevel="1" x14ac:dyDescent="0.2">
      <c r="A3351" s="623" t="s">
        <v>4217</v>
      </c>
      <c r="B3351" s="628" t="s">
        <v>1351</v>
      </c>
      <c r="C3351" s="625" t="s">
        <v>100</v>
      </c>
      <c r="D3351" s="626">
        <v>53.56</v>
      </c>
      <c r="E3351" s="622"/>
      <c r="F3351" s="334"/>
      <c r="G3351" s="334"/>
      <c r="H3351" s="602"/>
      <c r="I3351" s="334"/>
      <c r="J3351" s="334"/>
      <c r="K3351" s="334"/>
      <c r="L3351" s="334"/>
      <c r="M3351" s="334"/>
      <c r="N3351" s="334"/>
      <c r="O3351" s="334"/>
    </row>
    <row r="3352" spans="1:15" ht="12.75" customHeight="1" outlineLevel="1" x14ac:dyDescent="0.2">
      <c r="A3352" s="618" t="s">
        <v>4218</v>
      </c>
      <c r="B3352" s="619" t="s">
        <v>1137</v>
      </c>
      <c r="C3352" s="620"/>
      <c r="D3352" s="621"/>
      <c r="E3352" s="622"/>
      <c r="F3352" s="334"/>
      <c r="G3352" s="334"/>
      <c r="H3352" s="602"/>
      <c r="I3352" s="334"/>
      <c r="J3352" s="334"/>
      <c r="K3352" s="334"/>
      <c r="L3352" s="334"/>
      <c r="M3352" s="334"/>
      <c r="N3352" s="334"/>
      <c r="O3352" s="334"/>
    </row>
    <row r="3353" spans="1:15" ht="12.75" customHeight="1" outlineLevel="1" x14ac:dyDescent="0.2">
      <c r="A3353" s="627" t="s">
        <v>4219</v>
      </c>
      <c r="B3353" s="628" t="s">
        <v>1351</v>
      </c>
      <c r="C3353" s="629" t="s">
        <v>100</v>
      </c>
      <c r="D3353" s="630">
        <v>91.82</v>
      </c>
      <c r="E3353" s="622"/>
      <c r="F3353" s="334"/>
      <c r="G3353" s="334"/>
      <c r="H3353" s="602"/>
      <c r="I3353" s="334"/>
      <c r="J3353" s="334"/>
      <c r="K3353" s="334"/>
      <c r="L3353" s="334"/>
      <c r="M3353" s="334"/>
      <c r="N3353" s="334"/>
      <c r="O3353" s="334"/>
    </row>
    <row r="3354" spans="1:15" ht="12.75" customHeight="1" outlineLevel="1" x14ac:dyDescent="0.2">
      <c r="A3354" s="623" t="s">
        <v>4220</v>
      </c>
      <c r="B3354" s="628" t="s">
        <v>1351</v>
      </c>
      <c r="C3354" s="625" t="s">
        <v>100</v>
      </c>
      <c r="D3354" s="626">
        <v>4.3499999999999996</v>
      </c>
      <c r="E3354" s="622"/>
      <c r="F3354" s="334"/>
      <c r="G3354" s="334"/>
      <c r="H3354" s="602"/>
      <c r="I3354" s="334"/>
      <c r="J3354" s="334"/>
      <c r="K3354" s="334"/>
      <c r="L3354" s="334"/>
      <c r="M3354" s="334"/>
      <c r="N3354" s="334"/>
      <c r="O3354" s="334"/>
    </row>
    <row r="3355" spans="1:15" ht="12.75" customHeight="1" outlineLevel="1" x14ac:dyDescent="0.2">
      <c r="A3355" s="627" t="s">
        <v>4221</v>
      </c>
      <c r="B3355" s="628" t="s">
        <v>1351</v>
      </c>
      <c r="C3355" s="629" t="s">
        <v>100</v>
      </c>
      <c r="D3355" s="630">
        <v>4.9400000000000004</v>
      </c>
      <c r="E3355" s="622"/>
      <c r="F3355" s="334"/>
      <c r="G3355" s="334"/>
      <c r="H3355" s="602"/>
      <c r="I3355" s="334"/>
      <c r="J3355" s="334"/>
      <c r="K3355" s="334"/>
      <c r="L3355" s="334"/>
      <c r="M3355" s="334"/>
      <c r="N3355" s="334"/>
      <c r="O3355" s="334"/>
    </row>
    <row r="3356" spans="1:15" ht="12.75" customHeight="1" outlineLevel="1" x14ac:dyDescent="0.2">
      <c r="A3356" s="623" t="s">
        <v>4222</v>
      </c>
      <c r="B3356" s="628" t="s">
        <v>1351</v>
      </c>
      <c r="C3356" s="625" t="s">
        <v>100</v>
      </c>
      <c r="D3356" s="626">
        <v>13.27</v>
      </c>
      <c r="E3356" s="622"/>
      <c r="F3356" s="334"/>
      <c r="G3356" s="334"/>
      <c r="H3356" s="602"/>
      <c r="I3356" s="334"/>
      <c r="J3356" s="334"/>
      <c r="K3356" s="334"/>
      <c r="L3356" s="334"/>
      <c r="M3356" s="334"/>
      <c r="N3356" s="334"/>
      <c r="O3356" s="334"/>
    </row>
    <row r="3357" spans="1:15" ht="12.75" customHeight="1" outlineLevel="1" x14ac:dyDescent="0.2">
      <c r="A3357" s="618" t="s">
        <v>4223</v>
      </c>
      <c r="B3357" s="619" t="s">
        <v>1140</v>
      </c>
      <c r="C3357" s="620"/>
      <c r="D3357" s="621"/>
      <c r="E3357" s="622"/>
      <c r="F3357" s="334"/>
      <c r="G3357" s="334"/>
      <c r="H3357" s="602"/>
      <c r="I3357" s="334"/>
      <c r="J3357" s="334"/>
      <c r="K3357" s="334"/>
      <c r="L3357" s="334"/>
      <c r="M3357" s="334"/>
      <c r="N3357" s="334"/>
      <c r="O3357" s="334"/>
    </row>
    <row r="3358" spans="1:15" ht="12.75" customHeight="1" outlineLevel="1" x14ac:dyDescent="0.2">
      <c r="A3358" s="627" t="s">
        <v>4224</v>
      </c>
      <c r="B3358" s="628" t="s">
        <v>1351</v>
      </c>
      <c r="C3358" s="629" t="s">
        <v>100</v>
      </c>
      <c r="D3358" s="630">
        <v>38.92</v>
      </c>
      <c r="E3358" s="622"/>
      <c r="F3358" s="334"/>
      <c r="G3358" s="334"/>
      <c r="H3358" s="602"/>
      <c r="I3358" s="334"/>
      <c r="J3358" s="334"/>
      <c r="K3358" s="334"/>
      <c r="L3358" s="334"/>
      <c r="M3358" s="334"/>
      <c r="N3358" s="334"/>
      <c r="O3358" s="334"/>
    </row>
    <row r="3359" spans="1:15" ht="12.75" customHeight="1" outlineLevel="1" x14ac:dyDescent="0.2">
      <c r="A3359" s="618" t="s">
        <v>4225</v>
      </c>
      <c r="B3359" s="619" t="s">
        <v>1462</v>
      </c>
      <c r="C3359" s="620"/>
      <c r="D3359" s="621"/>
      <c r="E3359" s="622"/>
      <c r="F3359" s="334"/>
      <c r="G3359" s="334"/>
      <c r="H3359" s="602"/>
      <c r="I3359" s="334"/>
      <c r="J3359" s="334"/>
      <c r="K3359" s="334"/>
      <c r="L3359" s="334"/>
      <c r="M3359" s="334"/>
      <c r="N3359" s="334"/>
      <c r="O3359" s="334"/>
    </row>
    <row r="3360" spans="1:15" ht="12.75" customHeight="1" outlineLevel="1" x14ac:dyDescent="0.2">
      <c r="A3360" s="623" t="s">
        <v>4226</v>
      </c>
      <c r="B3360" s="628" t="s">
        <v>1351</v>
      </c>
      <c r="C3360" s="625" t="s">
        <v>100</v>
      </c>
      <c r="D3360" s="626">
        <v>55.55</v>
      </c>
      <c r="E3360" s="622"/>
      <c r="F3360" s="334"/>
      <c r="G3360" s="334"/>
      <c r="H3360" s="602"/>
      <c r="I3360" s="334"/>
      <c r="J3360" s="334"/>
      <c r="K3360" s="334"/>
      <c r="L3360" s="334"/>
      <c r="M3360" s="334"/>
      <c r="N3360" s="334"/>
      <c r="O3360" s="334"/>
    </row>
    <row r="3361" spans="1:15" ht="12.75" customHeight="1" collapsed="1" x14ac:dyDescent="0.2">
      <c r="A3361" s="614" t="s">
        <v>4227</v>
      </c>
      <c r="B3361" s="615" t="s">
        <v>561</v>
      </c>
      <c r="C3361" s="616"/>
      <c r="D3361" s="617"/>
      <c r="E3361" s="622"/>
      <c r="F3361" s="334"/>
      <c r="G3361" s="334"/>
      <c r="H3361" s="602"/>
      <c r="I3361" s="334"/>
      <c r="J3361" s="334"/>
      <c r="K3361" s="334"/>
      <c r="L3361" s="334"/>
      <c r="M3361" s="334"/>
      <c r="N3361" s="334"/>
      <c r="O3361" s="334"/>
    </row>
    <row r="3362" spans="1:15" ht="12.75" hidden="1" customHeight="1" outlineLevel="1" x14ac:dyDescent="0.2">
      <c r="A3362" s="618" t="s">
        <v>4228</v>
      </c>
      <c r="B3362" s="619" t="s">
        <v>1009</v>
      </c>
      <c r="C3362" s="620"/>
      <c r="D3362" s="621"/>
      <c r="E3362" s="622"/>
      <c r="F3362" s="334"/>
      <c r="G3362" s="334"/>
      <c r="H3362" s="602"/>
      <c r="I3362" s="334"/>
      <c r="J3362" s="334"/>
      <c r="K3362" s="334"/>
      <c r="L3362" s="334"/>
      <c r="M3362" s="334"/>
      <c r="N3362" s="334"/>
      <c r="O3362" s="334"/>
    </row>
    <row r="3363" spans="1:15" ht="12.75" hidden="1" customHeight="1" outlineLevel="1" x14ac:dyDescent="0.2">
      <c r="A3363" s="627" t="s">
        <v>4229</v>
      </c>
      <c r="B3363" s="628" t="s">
        <v>1357</v>
      </c>
      <c r="C3363" s="629" t="s">
        <v>100</v>
      </c>
      <c r="D3363" s="630">
        <v>69.400000000000006</v>
      </c>
      <c r="E3363" s="622"/>
      <c r="F3363" s="334"/>
      <c r="G3363" s="334"/>
      <c r="H3363" s="602"/>
      <c r="I3363" s="334"/>
      <c r="J3363" s="334"/>
      <c r="K3363" s="334"/>
      <c r="L3363" s="334"/>
      <c r="M3363" s="334"/>
      <c r="N3363" s="334"/>
      <c r="O3363" s="334"/>
    </row>
    <row r="3364" spans="1:15" ht="12.75" hidden="1" customHeight="1" outlineLevel="1" x14ac:dyDescent="0.2">
      <c r="A3364" s="618" t="s">
        <v>4230</v>
      </c>
      <c r="B3364" s="619" t="s">
        <v>1017</v>
      </c>
      <c r="C3364" s="620"/>
      <c r="D3364" s="621"/>
      <c r="E3364" s="622"/>
      <c r="F3364" s="334"/>
      <c r="G3364" s="334"/>
      <c r="H3364" s="602"/>
      <c r="I3364" s="334"/>
      <c r="J3364" s="334"/>
      <c r="K3364" s="334"/>
      <c r="L3364" s="334"/>
      <c r="M3364" s="334"/>
      <c r="N3364" s="334"/>
      <c r="O3364" s="334"/>
    </row>
    <row r="3365" spans="1:15" ht="12.75" hidden="1" customHeight="1" outlineLevel="1" x14ac:dyDescent="0.2">
      <c r="A3365" s="623" t="s">
        <v>4231</v>
      </c>
      <c r="B3365" s="624" t="s">
        <v>1359</v>
      </c>
      <c r="C3365" s="625" t="s">
        <v>100</v>
      </c>
      <c r="D3365" s="626">
        <v>145.19999999999999</v>
      </c>
      <c r="E3365" s="622"/>
      <c r="F3365" s="334"/>
      <c r="G3365" s="334"/>
      <c r="H3365" s="602"/>
      <c r="I3365" s="334"/>
      <c r="J3365" s="334"/>
      <c r="K3365" s="334"/>
      <c r="L3365" s="334"/>
      <c r="M3365" s="334"/>
      <c r="N3365" s="334"/>
      <c r="O3365" s="334"/>
    </row>
    <row r="3366" spans="1:15" ht="12.75" hidden="1" customHeight="1" outlineLevel="1" x14ac:dyDescent="0.2">
      <c r="A3366" s="618" t="s">
        <v>4232</v>
      </c>
      <c r="B3366" s="619" t="s">
        <v>1021</v>
      </c>
      <c r="C3366" s="620"/>
      <c r="D3366" s="621"/>
      <c r="E3366" s="622"/>
      <c r="F3366" s="334"/>
      <c r="G3366" s="334"/>
      <c r="H3366" s="602"/>
      <c r="I3366" s="334"/>
      <c r="J3366" s="334"/>
      <c r="K3366" s="334"/>
      <c r="L3366" s="334"/>
      <c r="M3366" s="334"/>
      <c r="N3366" s="334"/>
      <c r="O3366" s="334"/>
    </row>
    <row r="3367" spans="1:15" ht="12.75" hidden="1" customHeight="1" outlineLevel="1" x14ac:dyDescent="0.2">
      <c r="A3367" s="627" t="s">
        <v>4233</v>
      </c>
      <c r="B3367" s="628" t="s">
        <v>1361</v>
      </c>
      <c r="C3367" s="629" t="s">
        <v>100</v>
      </c>
      <c r="D3367" s="630">
        <v>43.01</v>
      </c>
      <c r="E3367" s="622"/>
      <c r="F3367" s="334"/>
      <c r="G3367" s="334"/>
      <c r="H3367" s="602"/>
      <c r="I3367" s="334"/>
      <c r="J3367" s="334"/>
      <c r="K3367" s="334"/>
      <c r="L3367" s="334"/>
      <c r="M3367" s="334"/>
      <c r="N3367" s="334"/>
      <c r="O3367" s="334"/>
    </row>
    <row r="3368" spans="1:15" ht="12.75" hidden="1" customHeight="1" outlineLevel="1" x14ac:dyDescent="0.2">
      <c r="A3368" s="623" t="s">
        <v>4234</v>
      </c>
      <c r="B3368" s="624" t="s">
        <v>1363</v>
      </c>
      <c r="C3368" s="625" t="s">
        <v>100</v>
      </c>
      <c r="D3368" s="626">
        <v>91.14</v>
      </c>
      <c r="E3368" s="622"/>
      <c r="F3368" s="334"/>
      <c r="G3368" s="334"/>
      <c r="H3368" s="602"/>
      <c r="I3368" s="334"/>
      <c r="J3368" s="334"/>
      <c r="K3368" s="334"/>
      <c r="L3368" s="334"/>
      <c r="M3368" s="334"/>
      <c r="N3368" s="334"/>
      <c r="O3368" s="334"/>
    </row>
    <row r="3369" spans="1:15" ht="12.75" hidden="1" customHeight="1" outlineLevel="1" x14ac:dyDescent="0.2">
      <c r="A3369" s="618" t="s">
        <v>4235</v>
      </c>
      <c r="B3369" s="619" t="s">
        <v>1030</v>
      </c>
      <c r="C3369" s="620"/>
      <c r="D3369" s="621"/>
      <c r="E3369" s="622"/>
      <c r="F3369" s="334"/>
      <c r="G3369" s="334"/>
      <c r="H3369" s="602"/>
      <c r="I3369" s="334"/>
      <c r="J3369" s="334"/>
      <c r="K3369" s="334"/>
      <c r="L3369" s="334"/>
      <c r="M3369" s="334"/>
      <c r="N3369" s="334"/>
      <c r="O3369" s="334"/>
    </row>
    <row r="3370" spans="1:15" ht="12.75" hidden="1" customHeight="1" outlineLevel="1" x14ac:dyDescent="0.2">
      <c r="A3370" s="627" t="s">
        <v>4236</v>
      </c>
      <c r="B3370" s="628" t="s">
        <v>1361</v>
      </c>
      <c r="C3370" s="629" t="s">
        <v>100</v>
      </c>
      <c r="D3370" s="630">
        <v>43.88</v>
      </c>
      <c r="E3370" s="622"/>
      <c r="F3370" s="334"/>
      <c r="G3370" s="334"/>
      <c r="H3370" s="602"/>
      <c r="I3370" s="334"/>
      <c r="J3370" s="334"/>
      <c r="K3370" s="334"/>
      <c r="L3370" s="334"/>
      <c r="M3370" s="334"/>
      <c r="N3370" s="334"/>
      <c r="O3370" s="334"/>
    </row>
    <row r="3371" spans="1:15" ht="12.75" hidden="1" customHeight="1" outlineLevel="1" x14ac:dyDescent="0.2">
      <c r="A3371" s="623" t="s">
        <v>4237</v>
      </c>
      <c r="B3371" s="624" t="s">
        <v>1357</v>
      </c>
      <c r="C3371" s="625" t="s">
        <v>100</v>
      </c>
      <c r="D3371" s="626">
        <v>51.83</v>
      </c>
      <c r="E3371" s="622"/>
      <c r="F3371" s="334"/>
      <c r="G3371" s="334"/>
      <c r="H3371" s="602"/>
      <c r="I3371" s="334"/>
      <c r="J3371" s="334"/>
      <c r="K3371" s="334"/>
      <c r="L3371" s="334"/>
      <c r="M3371" s="334"/>
      <c r="N3371" s="334"/>
      <c r="O3371" s="334"/>
    </row>
    <row r="3372" spans="1:15" ht="12.75" hidden="1" customHeight="1" outlineLevel="1" x14ac:dyDescent="0.2">
      <c r="A3372" s="627" t="s">
        <v>4238</v>
      </c>
      <c r="B3372" s="628" t="s">
        <v>1363</v>
      </c>
      <c r="C3372" s="629" t="s">
        <v>100</v>
      </c>
      <c r="D3372" s="630">
        <v>150.53</v>
      </c>
      <c r="E3372" s="622"/>
      <c r="F3372" s="334"/>
      <c r="G3372" s="334"/>
      <c r="H3372" s="602"/>
      <c r="I3372" s="334"/>
      <c r="J3372" s="334"/>
      <c r="K3372" s="334"/>
      <c r="L3372" s="334"/>
      <c r="M3372" s="334"/>
      <c r="N3372" s="334"/>
      <c r="O3372" s="334"/>
    </row>
    <row r="3373" spans="1:15" ht="12.75" hidden="1" customHeight="1" outlineLevel="1" x14ac:dyDescent="0.2">
      <c r="A3373" s="618" t="s">
        <v>4239</v>
      </c>
      <c r="B3373" s="619" t="s">
        <v>1039</v>
      </c>
      <c r="C3373" s="620"/>
      <c r="D3373" s="621"/>
      <c r="E3373" s="622"/>
      <c r="F3373" s="334"/>
      <c r="G3373" s="334"/>
      <c r="H3373" s="602"/>
      <c r="I3373" s="334"/>
      <c r="J3373" s="334"/>
      <c r="K3373" s="334"/>
      <c r="L3373" s="334"/>
      <c r="M3373" s="334"/>
      <c r="N3373" s="334"/>
      <c r="O3373" s="334"/>
    </row>
    <row r="3374" spans="1:15" ht="12.75" hidden="1" customHeight="1" outlineLevel="1" x14ac:dyDescent="0.2">
      <c r="A3374" s="623" t="s">
        <v>4240</v>
      </c>
      <c r="B3374" s="624" t="s">
        <v>1361</v>
      </c>
      <c r="C3374" s="625" t="s">
        <v>100</v>
      </c>
      <c r="D3374" s="626">
        <v>43.88</v>
      </c>
      <c r="E3374" s="622"/>
      <c r="F3374" s="334"/>
      <c r="G3374" s="334"/>
      <c r="H3374" s="602"/>
      <c r="I3374" s="334"/>
      <c r="J3374" s="334"/>
      <c r="K3374" s="334"/>
      <c r="L3374" s="334"/>
      <c r="M3374" s="334"/>
      <c r="N3374" s="334"/>
      <c r="O3374" s="334"/>
    </row>
    <row r="3375" spans="1:15" ht="12.75" hidden="1" customHeight="1" outlineLevel="1" x14ac:dyDescent="0.2">
      <c r="A3375" s="627" t="s">
        <v>4241</v>
      </c>
      <c r="B3375" s="628" t="s">
        <v>1357</v>
      </c>
      <c r="C3375" s="629" t="s">
        <v>100</v>
      </c>
      <c r="D3375" s="630">
        <v>51.83</v>
      </c>
      <c r="E3375" s="622"/>
      <c r="F3375" s="334"/>
      <c r="G3375" s="334"/>
      <c r="H3375" s="602"/>
      <c r="I3375" s="334"/>
      <c r="J3375" s="334"/>
      <c r="K3375" s="334"/>
      <c r="L3375" s="334"/>
      <c r="M3375" s="334"/>
      <c r="N3375" s="334"/>
      <c r="O3375" s="334"/>
    </row>
    <row r="3376" spans="1:15" ht="12.75" hidden="1" customHeight="1" outlineLevel="1" x14ac:dyDescent="0.2">
      <c r="A3376" s="623" t="s">
        <v>4242</v>
      </c>
      <c r="B3376" s="624" t="s">
        <v>1363</v>
      </c>
      <c r="C3376" s="625" t="s">
        <v>100</v>
      </c>
      <c r="D3376" s="626">
        <v>147.41</v>
      </c>
      <c r="E3376" s="622"/>
      <c r="F3376" s="334"/>
      <c r="G3376" s="334"/>
      <c r="H3376" s="602"/>
      <c r="I3376" s="334"/>
      <c r="J3376" s="334"/>
      <c r="K3376" s="334"/>
      <c r="L3376" s="334"/>
      <c r="M3376" s="334"/>
      <c r="N3376" s="334"/>
      <c r="O3376" s="334"/>
    </row>
    <row r="3377" spans="1:15" ht="12.75" hidden="1" customHeight="1" outlineLevel="1" x14ac:dyDescent="0.2">
      <c r="A3377" s="618" t="s">
        <v>4243</v>
      </c>
      <c r="B3377" s="619" t="s">
        <v>1047</v>
      </c>
      <c r="C3377" s="620"/>
      <c r="D3377" s="621"/>
      <c r="E3377" s="622"/>
      <c r="F3377" s="334"/>
      <c r="G3377" s="334"/>
      <c r="H3377" s="602"/>
      <c r="I3377" s="334"/>
      <c r="J3377" s="334"/>
      <c r="K3377" s="334"/>
      <c r="L3377" s="334"/>
      <c r="M3377" s="334"/>
      <c r="N3377" s="334"/>
      <c r="O3377" s="334"/>
    </row>
    <row r="3378" spans="1:15" ht="12.75" hidden="1" customHeight="1" outlineLevel="1" x14ac:dyDescent="0.2">
      <c r="A3378" s="627" t="s">
        <v>4244</v>
      </c>
      <c r="B3378" s="628" t="s">
        <v>1361</v>
      </c>
      <c r="C3378" s="629" t="s">
        <v>100</v>
      </c>
      <c r="D3378" s="630">
        <v>43.88</v>
      </c>
      <c r="E3378" s="622"/>
      <c r="F3378" s="334"/>
      <c r="G3378" s="334"/>
      <c r="H3378" s="602"/>
      <c r="I3378" s="334"/>
      <c r="J3378" s="334"/>
      <c r="K3378" s="334"/>
      <c r="L3378" s="334"/>
      <c r="M3378" s="334"/>
      <c r="N3378" s="334"/>
      <c r="O3378" s="334"/>
    </row>
    <row r="3379" spans="1:15" ht="12.75" hidden="1" customHeight="1" outlineLevel="1" x14ac:dyDescent="0.2">
      <c r="A3379" s="623" t="s">
        <v>4245</v>
      </c>
      <c r="B3379" s="624" t="s">
        <v>1357</v>
      </c>
      <c r="C3379" s="625" t="s">
        <v>100</v>
      </c>
      <c r="D3379" s="626">
        <v>51.83</v>
      </c>
      <c r="E3379" s="622"/>
      <c r="F3379" s="334"/>
      <c r="G3379" s="334"/>
      <c r="H3379" s="602"/>
      <c r="I3379" s="334"/>
      <c r="J3379" s="334"/>
      <c r="K3379" s="334"/>
      <c r="L3379" s="334"/>
      <c r="M3379" s="334"/>
      <c r="N3379" s="334"/>
      <c r="O3379" s="334"/>
    </row>
    <row r="3380" spans="1:15" ht="12.75" hidden="1" customHeight="1" outlineLevel="1" x14ac:dyDescent="0.2">
      <c r="A3380" s="627" t="s">
        <v>4246</v>
      </c>
      <c r="B3380" s="628" t="s">
        <v>1363</v>
      </c>
      <c r="C3380" s="629" t="s">
        <v>100</v>
      </c>
      <c r="D3380" s="630">
        <v>150.53</v>
      </c>
      <c r="E3380" s="622"/>
      <c r="F3380" s="334"/>
      <c r="G3380" s="334"/>
      <c r="H3380" s="602"/>
      <c r="I3380" s="334"/>
      <c r="J3380" s="334"/>
      <c r="K3380" s="334"/>
      <c r="L3380" s="334"/>
      <c r="M3380" s="334"/>
      <c r="N3380" s="334"/>
      <c r="O3380" s="334"/>
    </row>
    <row r="3381" spans="1:15" ht="12.75" hidden="1" customHeight="1" outlineLevel="1" x14ac:dyDescent="0.2">
      <c r="A3381" s="618" t="s">
        <v>4247</v>
      </c>
      <c r="B3381" s="619" t="s">
        <v>1058</v>
      </c>
      <c r="C3381" s="620"/>
      <c r="D3381" s="621"/>
      <c r="E3381" s="622"/>
      <c r="F3381" s="334"/>
      <c r="G3381" s="334"/>
      <c r="H3381" s="602"/>
      <c r="I3381" s="334"/>
      <c r="J3381" s="334"/>
      <c r="K3381" s="334"/>
      <c r="L3381" s="334"/>
      <c r="M3381" s="334"/>
      <c r="N3381" s="334"/>
      <c r="O3381" s="334"/>
    </row>
    <row r="3382" spans="1:15" ht="12.75" hidden="1" customHeight="1" outlineLevel="1" x14ac:dyDescent="0.2">
      <c r="A3382" s="623" t="s">
        <v>4248</v>
      </c>
      <c r="B3382" s="624" t="s">
        <v>1361</v>
      </c>
      <c r="C3382" s="625" t="s">
        <v>100</v>
      </c>
      <c r="D3382" s="626">
        <v>43.88</v>
      </c>
      <c r="E3382" s="622"/>
      <c r="F3382" s="334"/>
      <c r="G3382" s="334"/>
      <c r="H3382" s="602"/>
      <c r="I3382" s="334"/>
      <c r="J3382" s="334"/>
      <c r="K3382" s="334"/>
      <c r="L3382" s="334"/>
      <c r="M3382" s="334"/>
      <c r="N3382" s="334"/>
      <c r="O3382" s="334"/>
    </row>
    <row r="3383" spans="1:15" ht="12.75" hidden="1" customHeight="1" outlineLevel="1" x14ac:dyDescent="0.2">
      <c r="A3383" s="627" t="s">
        <v>4249</v>
      </c>
      <c r="B3383" s="628" t="s">
        <v>1357</v>
      </c>
      <c r="C3383" s="629" t="s">
        <v>100</v>
      </c>
      <c r="D3383" s="630">
        <v>51.83</v>
      </c>
      <c r="E3383" s="622"/>
      <c r="F3383" s="334"/>
      <c r="G3383" s="334"/>
      <c r="H3383" s="602"/>
      <c r="I3383" s="334"/>
      <c r="J3383" s="334"/>
      <c r="K3383" s="334"/>
      <c r="L3383" s="334"/>
      <c r="M3383" s="334"/>
      <c r="N3383" s="334"/>
      <c r="O3383" s="334"/>
    </row>
    <row r="3384" spans="1:15" ht="12.75" hidden="1" customHeight="1" outlineLevel="1" x14ac:dyDescent="0.2">
      <c r="A3384" s="623" t="s">
        <v>4250</v>
      </c>
      <c r="B3384" s="624" t="s">
        <v>1363</v>
      </c>
      <c r="C3384" s="625" t="s">
        <v>100</v>
      </c>
      <c r="D3384" s="626">
        <v>150.53</v>
      </c>
      <c r="E3384" s="622"/>
      <c r="F3384" s="334"/>
      <c r="G3384" s="334"/>
      <c r="H3384" s="602"/>
      <c r="I3384" s="334"/>
      <c r="J3384" s="334"/>
      <c r="K3384" s="334"/>
      <c r="L3384" s="334"/>
      <c r="M3384" s="334"/>
      <c r="N3384" s="334"/>
      <c r="O3384" s="334"/>
    </row>
    <row r="3385" spans="1:15" ht="12.75" hidden="1" customHeight="1" outlineLevel="1" x14ac:dyDescent="0.2">
      <c r="A3385" s="618" t="s">
        <v>4251</v>
      </c>
      <c r="B3385" s="619" t="s">
        <v>1069</v>
      </c>
      <c r="C3385" s="620"/>
      <c r="D3385" s="621"/>
      <c r="E3385" s="622"/>
      <c r="F3385" s="334"/>
      <c r="G3385" s="334"/>
      <c r="H3385" s="602"/>
      <c r="I3385" s="334"/>
      <c r="J3385" s="334"/>
      <c r="K3385" s="334"/>
      <c r="L3385" s="334"/>
      <c r="M3385" s="334"/>
      <c r="N3385" s="334"/>
      <c r="O3385" s="334"/>
    </row>
    <row r="3386" spans="1:15" ht="12.75" hidden="1" customHeight="1" outlineLevel="1" x14ac:dyDescent="0.2">
      <c r="A3386" s="627" t="s">
        <v>4252</v>
      </c>
      <c r="B3386" s="628" t="s">
        <v>1361</v>
      </c>
      <c r="C3386" s="629" t="s">
        <v>100</v>
      </c>
      <c r="D3386" s="630">
        <v>43.88</v>
      </c>
      <c r="E3386" s="622"/>
      <c r="F3386" s="334"/>
      <c r="G3386" s="334"/>
      <c r="H3386" s="602"/>
      <c r="I3386" s="334"/>
      <c r="J3386" s="334"/>
      <c r="K3386" s="334"/>
      <c r="L3386" s="334"/>
      <c r="M3386" s="334"/>
      <c r="N3386" s="334"/>
      <c r="O3386" s="334"/>
    </row>
    <row r="3387" spans="1:15" ht="12.75" hidden="1" customHeight="1" outlineLevel="1" x14ac:dyDescent="0.2">
      <c r="A3387" s="623" t="s">
        <v>4253</v>
      </c>
      <c r="B3387" s="624" t="s">
        <v>1357</v>
      </c>
      <c r="C3387" s="625" t="s">
        <v>100</v>
      </c>
      <c r="D3387" s="626">
        <v>51.83</v>
      </c>
      <c r="E3387" s="622"/>
      <c r="F3387" s="334"/>
      <c r="G3387" s="334"/>
      <c r="H3387" s="602"/>
      <c r="I3387" s="334"/>
      <c r="J3387" s="334"/>
      <c r="K3387" s="334"/>
      <c r="L3387" s="334"/>
      <c r="M3387" s="334"/>
      <c r="N3387" s="334"/>
      <c r="O3387" s="334"/>
    </row>
    <row r="3388" spans="1:15" ht="12.75" hidden="1" customHeight="1" outlineLevel="1" x14ac:dyDescent="0.2">
      <c r="A3388" s="627" t="s">
        <v>4254</v>
      </c>
      <c r="B3388" s="628" t="s">
        <v>1363</v>
      </c>
      <c r="C3388" s="629" t="s">
        <v>100</v>
      </c>
      <c r="D3388" s="630">
        <v>150.53</v>
      </c>
      <c r="E3388" s="622"/>
      <c r="F3388" s="334"/>
      <c r="G3388" s="334"/>
      <c r="H3388" s="602"/>
      <c r="I3388" s="334"/>
      <c r="J3388" s="334"/>
      <c r="K3388" s="334"/>
      <c r="L3388" s="334"/>
      <c r="M3388" s="334"/>
      <c r="N3388" s="334"/>
      <c r="O3388" s="334"/>
    </row>
    <row r="3389" spans="1:15" ht="12.75" hidden="1" customHeight="1" outlineLevel="1" x14ac:dyDescent="0.2">
      <c r="A3389" s="618" t="s">
        <v>4255</v>
      </c>
      <c r="B3389" s="619" t="s">
        <v>1079</v>
      </c>
      <c r="C3389" s="620"/>
      <c r="D3389" s="621"/>
      <c r="E3389" s="622"/>
      <c r="F3389" s="334"/>
      <c r="G3389" s="334"/>
      <c r="H3389" s="602"/>
      <c r="I3389" s="334"/>
      <c r="J3389" s="334"/>
      <c r="K3389" s="334"/>
      <c r="L3389" s="334"/>
      <c r="M3389" s="334"/>
      <c r="N3389" s="334"/>
      <c r="O3389" s="334"/>
    </row>
    <row r="3390" spans="1:15" ht="12.75" hidden="1" customHeight="1" outlineLevel="1" x14ac:dyDescent="0.2">
      <c r="A3390" s="623" t="s">
        <v>4256</v>
      </c>
      <c r="B3390" s="624" t="s">
        <v>1361</v>
      </c>
      <c r="C3390" s="625" t="s">
        <v>100</v>
      </c>
      <c r="D3390" s="626">
        <v>43.88</v>
      </c>
      <c r="E3390" s="622"/>
      <c r="F3390" s="334"/>
      <c r="G3390" s="334"/>
      <c r="H3390" s="602"/>
      <c r="I3390" s="334"/>
      <c r="J3390" s="334"/>
      <c r="K3390" s="334"/>
      <c r="L3390" s="334"/>
      <c r="M3390" s="334"/>
      <c r="N3390" s="334"/>
      <c r="O3390" s="334"/>
    </row>
    <row r="3391" spans="1:15" ht="12.75" hidden="1" customHeight="1" outlineLevel="1" x14ac:dyDescent="0.2">
      <c r="A3391" s="627" t="s">
        <v>4257</v>
      </c>
      <c r="B3391" s="628" t="s">
        <v>1357</v>
      </c>
      <c r="C3391" s="629" t="s">
        <v>100</v>
      </c>
      <c r="D3391" s="630">
        <v>51.83</v>
      </c>
      <c r="E3391" s="622"/>
      <c r="F3391" s="334"/>
      <c r="G3391" s="334"/>
      <c r="H3391" s="602"/>
      <c r="I3391" s="334"/>
      <c r="J3391" s="334"/>
      <c r="K3391" s="334"/>
      <c r="L3391" s="334"/>
      <c r="M3391" s="334"/>
      <c r="N3391" s="334"/>
      <c r="O3391" s="334"/>
    </row>
    <row r="3392" spans="1:15" ht="12.75" hidden="1" customHeight="1" outlineLevel="1" x14ac:dyDescent="0.2">
      <c r="A3392" s="623" t="s">
        <v>4258</v>
      </c>
      <c r="B3392" s="624" t="s">
        <v>1363</v>
      </c>
      <c r="C3392" s="625" t="s">
        <v>100</v>
      </c>
      <c r="D3392" s="626">
        <v>150.53</v>
      </c>
      <c r="E3392" s="622"/>
      <c r="F3392" s="334"/>
      <c r="G3392" s="334"/>
      <c r="H3392" s="602"/>
      <c r="I3392" s="334"/>
      <c r="J3392" s="334"/>
      <c r="K3392" s="334"/>
      <c r="L3392" s="334"/>
      <c r="M3392" s="334"/>
      <c r="N3392" s="334"/>
      <c r="O3392" s="334"/>
    </row>
    <row r="3393" spans="1:15" ht="12.75" hidden="1" customHeight="1" outlineLevel="1" x14ac:dyDescent="0.2">
      <c r="A3393" s="618" t="s">
        <v>4259</v>
      </c>
      <c r="B3393" s="619" t="s">
        <v>1086</v>
      </c>
      <c r="C3393" s="620"/>
      <c r="D3393" s="621"/>
      <c r="E3393" s="622"/>
      <c r="F3393" s="334"/>
      <c r="G3393" s="334"/>
      <c r="H3393" s="602"/>
      <c r="I3393" s="334"/>
      <c r="J3393" s="334"/>
      <c r="K3393" s="334"/>
      <c r="L3393" s="334"/>
      <c r="M3393" s="334"/>
      <c r="N3393" s="334"/>
      <c r="O3393" s="334"/>
    </row>
    <row r="3394" spans="1:15" ht="12.75" hidden="1" customHeight="1" outlineLevel="1" x14ac:dyDescent="0.2">
      <c r="A3394" s="627" t="s">
        <v>4260</v>
      </c>
      <c r="B3394" s="628" t="s">
        <v>1361</v>
      </c>
      <c r="C3394" s="629" t="s">
        <v>100</v>
      </c>
      <c r="D3394" s="630">
        <v>43.88</v>
      </c>
      <c r="E3394" s="622"/>
      <c r="F3394" s="334"/>
      <c r="G3394" s="334"/>
      <c r="H3394" s="602"/>
      <c r="I3394" s="334"/>
      <c r="J3394" s="334"/>
      <c r="K3394" s="334"/>
      <c r="L3394" s="334"/>
      <c r="M3394" s="334"/>
      <c r="N3394" s="334"/>
      <c r="O3394" s="334"/>
    </row>
    <row r="3395" spans="1:15" ht="12.75" hidden="1" customHeight="1" outlineLevel="1" x14ac:dyDescent="0.2">
      <c r="A3395" s="623" t="s">
        <v>4261</v>
      </c>
      <c r="B3395" s="624" t="s">
        <v>1357</v>
      </c>
      <c r="C3395" s="625" t="s">
        <v>100</v>
      </c>
      <c r="D3395" s="626">
        <v>51.83</v>
      </c>
      <c r="E3395" s="622"/>
      <c r="F3395" s="334"/>
      <c r="G3395" s="334"/>
      <c r="H3395" s="602"/>
      <c r="I3395" s="334"/>
      <c r="J3395" s="334"/>
      <c r="K3395" s="334"/>
      <c r="L3395" s="334"/>
      <c r="M3395" s="334"/>
      <c r="N3395" s="334"/>
      <c r="O3395" s="334"/>
    </row>
    <row r="3396" spans="1:15" ht="12.75" hidden="1" customHeight="1" outlineLevel="1" x14ac:dyDescent="0.2">
      <c r="A3396" s="627" t="s">
        <v>4262</v>
      </c>
      <c r="B3396" s="628" t="s">
        <v>1363</v>
      </c>
      <c r="C3396" s="629" t="s">
        <v>100</v>
      </c>
      <c r="D3396" s="630">
        <v>150.53</v>
      </c>
      <c r="E3396" s="622"/>
      <c r="F3396" s="334"/>
      <c r="G3396" s="334"/>
      <c r="H3396" s="602"/>
      <c r="I3396" s="334"/>
      <c r="J3396" s="334"/>
      <c r="K3396" s="334"/>
      <c r="L3396" s="334"/>
      <c r="M3396" s="334"/>
      <c r="N3396" s="334"/>
      <c r="O3396" s="334"/>
    </row>
    <row r="3397" spans="1:15" ht="12.75" hidden="1" customHeight="1" outlineLevel="1" x14ac:dyDescent="0.2">
      <c r="A3397" s="618" t="s">
        <v>4263</v>
      </c>
      <c r="B3397" s="619" t="s">
        <v>1094</v>
      </c>
      <c r="C3397" s="620"/>
      <c r="D3397" s="621"/>
      <c r="E3397" s="622"/>
      <c r="F3397" s="334"/>
      <c r="G3397" s="334"/>
      <c r="H3397" s="602"/>
      <c r="I3397" s="334"/>
      <c r="J3397" s="334"/>
      <c r="K3397" s="334"/>
      <c r="L3397" s="334"/>
      <c r="M3397" s="334"/>
      <c r="N3397" s="334"/>
      <c r="O3397" s="334"/>
    </row>
    <row r="3398" spans="1:15" ht="12.75" hidden="1" customHeight="1" outlineLevel="1" x14ac:dyDescent="0.2">
      <c r="A3398" s="623" t="s">
        <v>4264</v>
      </c>
      <c r="B3398" s="624" t="s">
        <v>1361</v>
      </c>
      <c r="C3398" s="625" t="s">
        <v>100</v>
      </c>
      <c r="D3398" s="626">
        <v>43.88</v>
      </c>
      <c r="E3398" s="622"/>
      <c r="F3398" s="334"/>
      <c r="G3398" s="334"/>
      <c r="H3398" s="602"/>
      <c r="I3398" s="334"/>
      <c r="J3398" s="334"/>
      <c r="K3398" s="334"/>
      <c r="L3398" s="334"/>
      <c r="M3398" s="334"/>
      <c r="N3398" s="334"/>
      <c r="O3398" s="334"/>
    </row>
    <row r="3399" spans="1:15" ht="12.75" hidden="1" customHeight="1" outlineLevel="1" x14ac:dyDescent="0.2">
      <c r="A3399" s="627" t="s">
        <v>4265</v>
      </c>
      <c r="B3399" s="628" t="s">
        <v>1357</v>
      </c>
      <c r="C3399" s="629" t="s">
        <v>100</v>
      </c>
      <c r="D3399" s="630">
        <v>51.83</v>
      </c>
      <c r="E3399" s="622"/>
      <c r="F3399" s="334"/>
      <c r="G3399" s="334"/>
      <c r="H3399" s="602"/>
      <c r="I3399" s="334"/>
      <c r="J3399" s="334"/>
      <c r="K3399" s="334"/>
      <c r="L3399" s="334"/>
      <c r="M3399" s="334"/>
      <c r="N3399" s="334"/>
      <c r="O3399" s="334"/>
    </row>
    <row r="3400" spans="1:15" ht="12.75" hidden="1" customHeight="1" outlineLevel="1" x14ac:dyDescent="0.2">
      <c r="A3400" s="623" t="s">
        <v>4266</v>
      </c>
      <c r="B3400" s="624" t="s">
        <v>1363</v>
      </c>
      <c r="C3400" s="625" t="s">
        <v>100</v>
      </c>
      <c r="D3400" s="626">
        <v>150.53</v>
      </c>
      <c r="E3400" s="622"/>
      <c r="F3400" s="334"/>
      <c r="G3400" s="334"/>
      <c r="H3400" s="602"/>
      <c r="I3400" s="334"/>
      <c r="J3400" s="334"/>
      <c r="K3400" s="334"/>
      <c r="L3400" s="334"/>
      <c r="M3400" s="334"/>
      <c r="N3400" s="334"/>
      <c r="O3400" s="334"/>
    </row>
    <row r="3401" spans="1:15" ht="12.75" hidden="1" customHeight="1" outlineLevel="1" x14ac:dyDescent="0.2">
      <c r="A3401" s="618" t="s">
        <v>4267</v>
      </c>
      <c r="B3401" s="619" t="s">
        <v>1102</v>
      </c>
      <c r="C3401" s="620"/>
      <c r="D3401" s="621"/>
      <c r="E3401" s="622"/>
      <c r="F3401" s="334"/>
      <c r="G3401" s="334"/>
      <c r="H3401" s="602"/>
      <c r="I3401" s="334"/>
      <c r="J3401" s="334"/>
      <c r="K3401" s="334"/>
      <c r="L3401" s="334"/>
      <c r="M3401" s="334"/>
      <c r="N3401" s="334"/>
      <c r="O3401" s="334"/>
    </row>
    <row r="3402" spans="1:15" ht="12.75" hidden="1" customHeight="1" outlineLevel="1" x14ac:dyDescent="0.2">
      <c r="A3402" s="627" t="s">
        <v>4268</v>
      </c>
      <c r="B3402" s="628" t="s">
        <v>1357</v>
      </c>
      <c r="C3402" s="629" t="s">
        <v>100</v>
      </c>
      <c r="D3402" s="630">
        <v>46.12</v>
      </c>
      <c r="E3402" s="622"/>
      <c r="F3402" s="334"/>
      <c r="G3402" s="334"/>
      <c r="H3402" s="602"/>
      <c r="I3402" s="334"/>
      <c r="J3402" s="334"/>
      <c r="K3402" s="334"/>
      <c r="L3402" s="334"/>
      <c r="M3402" s="334"/>
      <c r="N3402" s="334"/>
      <c r="O3402" s="334"/>
    </row>
    <row r="3403" spans="1:15" ht="12.75" hidden="1" customHeight="1" outlineLevel="1" x14ac:dyDescent="0.2">
      <c r="A3403" s="623" t="s">
        <v>4269</v>
      </c>
      <c r="B3403" s="624" t="s">
        <v>1363</v>
      </c>
      <c r="C3403" s="625" t="s">
        <v>100</v>
      </c>
      <c r="D3403" s="626">
        <v>76.06</v>
      </c>
      <c r="E3403" s="622"/>
      <c r="F3403" s="334"/>
      <c r="G3403" s="334"/>
      <c r="H3403" s="602"/>
      <c r="I3403" s="334"/>
      <c r="J3403" s="334"/>
      <c r="K3403" s="334"/>
      <c r="L3403" s="334"/>
      <c r="M3403" s="334"/>
      <c r="N3403" s="334"/>
      <c r="O3403" s="334"/>
    </row>
    <row r="3404" spans="1:15" ht="12.75" hidden="1" customHeight="1" outlineLevel="1" x14ac:dyDescent="0.2">
      <c r="A3404" s="618" t="s">
        <v>4270</v>
      </c>
      <c r="B3404" s="619" t="s">
        <v>1112</v>
      </c>
      <c r="C3404" s="620"/>
      <c r="D3404" s="621"/>
      <c r="E3404" s="622"/>
      <c r="F3404" s="334"/>
      <c r="G3404" s="334"/>
      <c r="H3404" s="602"/>
      <c r="I3404" s="334"/>
      <c r="J3404" s="334"/>
      <c r="K3404" s="334"/>
      <c r="L3404" s="334"/>
      <c r="M3404" s="334"/>
      <c r="N3404" s="334"/>
      <c r="O3404" s="334"/>
    </row>
    <row r="3405" spans="1:15" ht="12.75" hidden="1" customHeight="1" outlineLevel="1" x14ac:dyDescent="0.2">
      <c r="A3405" s="627" t="s">
        <v>4271</v>
      </c>
      <c r="B3405" s="628" t="s">
        <v>1357</v>
      </c>
      <c r="C3405" s="629" t="s">
        <v>100</v>
      </c>
      <c r="D3405" s="630">
        <v>43.2</v>
      </c>
      <c r="E3405" s="622"/>
      <c r="F3405" s="334"/>
      <c r="G3405" s="334"/>
      <c r="H3405" s="602"/>
      <c r="I3405" s="334"/>
      <c r="J3405" s="334"/>
      <c r="K3405" s="334"/>
      <c r="L3405" s="334"/>
      <c r="M3405" s="334"/>
      <c r="N3405" s="334"/>
      <c r="O3405" s="334"/>
    </row>
    <row r="3406" spans="1:15" ht="12.75" hidden="1" customHeight="1" outlineLevel="1" x14ac:dyDescent="0.2">
      <c r="A3406" s="623" t="s">
        <v>4272</v>
      </c>
      <c r="B3406" s="624" t="s">
        <v>1363</v>
      </c>
      <c r="C3406" s="625" t="s">
        <v>100</v>
      </c>
      <c r="D3406" s="626">
        <v>15.58</v>
      </c>
      <c r="E3406" s="622"/>
      <c r="F3406" s="334"/>
      <c r="G3406" s="334"/>
      <c r="H3406" s="602"/>
      <c r="I3406" s="334"/>
      <c r="J3406" s="334"/>
      <c r="K3406" s="334"/>
      <c r="L3406" s="334"/>
      <c r="M3406" s="334"/>
      <c r="N3406" s="334"/>
      <c r="O3406" s="334"/>
    </row>
    <row r="3407" spans="1:15" ht="12.75" hidden="1" customHeight="1" outlineLevel="1" x14ac:dyDescent="0.2">
      <c r="A3407" s="627" t="s">
        <v>4273</v>
      </c>
      <c r="B3407" s="628" t="s">
        <v>4274</v>
      </c>
      <c r="C3407" s="629" t="s">
        <v>100</v>
      </c>
      <c r="D3407" s="630">
        <v>7.9</v>
      </c>
      <c r="E3407" s="622"/>
      <c r="F3407" s="334"/>
      <c r="G3407" s="334"/>
      <c r="H3407" s="602"/>
      <c r="I3407" s="334"/>
      <c r="J3407" s="334"/>
      <c r="K3407" s="334"/>
      <c r="L3407" s="334"/>
      <c r="M3407" s="334"/>
      <c r="N3407" s="334"/>
      <c r="O3407" s="334"/>
    </row>
    <row r="3408" spans="1:15" ht="12.75" hidden="1" customHeight="1" outlineLevel="1" x14ac:dyDescent="0.2">
      <c r="A3408" s="618" t="s">
        <v>4275</v>
      </c>
      <c r="B3408" s="619" t="s">
        <v>1127</v>
      </c>
      <c r="C3408" s="620"/>
      <c r="D3408" s="621"/>
      <c r="E3408" s="622"/>
      <c r="F3408" s="334"/>
      <c r="G3408" s="334"/>
      <c r="H3408" s="602"/>
      <c r="I3408" s="334"/>
      <c r="J3408" s="334"/>
      <c r="K3408" s="334"/>
      <c r="L3408" s="334"/>
      <c r="M3408" s="334"/>
      <c r="N3408" s="334"/>
      <c r="O3408" s="334"/>
    </row>
    <row r="3409" spans="1:15" ht="12.75" hidden="1" customHeight="1" outlineLevel="1" x14ac:dyDescent="0.2">
      <c r="A3409" s="623" t="s">
        <v>4276</v>
      </c>
      <c r="B3409" s="624" t="s">
        <v>1373</v>
      </c>
      <c r="C3409" s="625" t="s">
        <v>100</v>
      </c>
      <c r="D3409" s="626">
        <v>11.18</v>
      </c>
      <c r="E3409" s="622"/>
      <c r="F3409" s="334"/>
      <c r="G3409" s="334"/>
      <c r="H3409" s="602"/>
      <c r="I3409" s="334"/>
      <c r="J3409" s="334"/>
      <c r="K3409" s="334"/>
      <c r="L3409" s="334"/>
      <c r="M3409" s="334"/>
      <c r="N3409" s="334"/>
      <c r="O3409" s="334"/>
    </row>
    <row r="3410" spans="1:15" ht="12.75" customHeight="1" x14ac:dyDescent="0.2">
      <c r="A3410" s="614" t="s">
        <v>4277</v>
      </c>
      <c r="B3410" s="615" t="s">
        <v>4278</v>
      </c>
      <c r="C3410" s="616"/>
      <c r="D3410" s="617"/>
      <c r="E3410" s="622"/>
      <c r="F3410" s="334"/>
      <c r="G3410" s="334"/>
      <c r="H3410" s="602"/>
      <c r="I3410" s="334"/>
      <c r="J3410" s="334"/>
      <c r="K3410" s="334"/>
      <c r="L3410" s="334"/>
      <c r="M3410" s="334"/>
      <c r="N3410" s="334"/>
      <c r="O3410" s="334"/>
    </row>
    <row r="3411" spans="1:15" ht="12.75" customHeight="1" x14ac:dyDescent="0.2">
      <c r="A3411" s="618" t="s">
        <v>4279</v>
      </c>
      <c r="B3411" s="619" t="s">
        <v>1009</v>
      </c>
      <c r="C3411" s="620"/>
      <c r="D3411" s="621"/>
      <c r="E3411" s="622"/>
      <c r="F3411" s="334"/>
      <c r="G3411" s="334"/>
      <c r="H3411" s="602"/>
      <c r="I3411" s="334"/>
      <c r="J3411" s="334"/>
      <c r="K3411" s="334"/>
      <c r="L3411" s="334"/>
      <c r="M3411" s="334"/>
      <c r="N3411" s="334"/>
      <c r="O3411" s="334"/>
    </row>
    <row r="3412" spans="1:15" ht="12.75" customHeight="1" x14ac:dyDescent="0.2">
      <c r="A3412" s="627" t="s">
        <v>4280</v>
      </c>
      <c r="B3412" s="628" t="s">
        <v>1365</v>
      </c>
      <c r="C3412" s="629" t="s">
        <v>100</v>
      </c>
      <c r="D3412" s="630">
        <v>7.98</v>
      </c>
      <c r="E3412" s="622"/>
      <c r="F3412" s="334"/>
      <c r="G3412" s="334"/>
      <c r="H3412" s="602"/>
      <c r="I3412" s="334"/>
      <c r="J3412" s="334"/>
      <c r="K3412" s="334"/>
      <c r="L3412" s="334"/>
      <c r="M3412" s="334"/>
      <c r="N3412" s="334"/>
      <c r="O3412" s="334"/>
    </row>
    <row r="3413" spans="1:15" ht="12.75" customHeight="1" x14ac:dyDescent="0.2">
      <c r="A3413" s="623" t="s">
        <v>4281</v>
      </c>
      <c r="B3413" s="624" t="s">
        <v>1367</v>
      </c>
      <c r="C3413" s="625" t="s">
        <v>100</v>
      </c>
      <c r="D3413" s="626">
        <v>145.30000000000001</v>
      </c>
      <c r="E3413" s="622"/>
      <c r="F3413" s="334"/>
      <c r="G3413" s="334"/>
      <c r="H3413" s="602"/>
      <c r="I3413" s="334"/>
      <c r="J3413" s="334"/>
      <c r="K3413" s="334"/>
      <c r="L3413" s="334"/>
      <c r="M3413" s="334"/>
      <c r="N3413" s="334"/>
      <c r="O3413" s="334"/>
    </row>
    <row r="3414" spans="1:15" ht="12.75" customHeight="1" x14ac:dyDescent="0.2">
      <c r="A3414" s="627" t="s">
        <v>4282</v>
      </c>
      <c r="B3414" s="628" t="s">
        <v>1369</v>
      </c>
      <c r="C3414" s="629" t="s">
        <v>100</v>
      </c>
      <c r="D3414" s="630">
        <v>122.76</v>
      </c>
      <c r="E3414" s="622"/>
      <c r="F3414" s="334"/>
      <c r="G3414" s="334"/>
      <c r="H3414" s="602"/>
      <c r="I3414" s="334"/>
      <c r="J3414" s="334"/>
      <c r="K3414" s="334"/>
      <c r="L3414" s="334"/>
      <c r="M3414" s="334"/>
      <c r="N3414" s="334"/>
      <c r="O3414" s="334"/>
    </row>
    <row r="3415" spans="1:15" ht="12.75" customHeight="1" x14ac:dyDescent="0.2">
      <c r="A3415" s="614" t="s">
        <v>4283</v>
      </c>
      <c r="B3415" s="615" t="s">
        <v>4284</v>
      </c>
      <c r="C3415" s="616"/>
      <c r="D3415" s="617"/>
      <c r="E3415" s="622"/>
      <c r="F3415" s="334"/>
      <c r="G3415" s="334"/>
      <c r="H3415" s="602"/>
      <c r="I3415" s="334"/>
      <c r="J3415" s="334"/>
      <c r="K3415" s="334"/>
      <c r="L3415" s="334"/>
      <c r="M3415" s="334"/>
      <c r="N3415" s="334"/>
      <c r="O3415" s="334"/>
    </row>
    <row r="3416" spans="1:15" ht="12.75" customHeight="1" x14ac:dyDescent="0.2">
      <c r="A3416" s="618" t="s">
        <v>4285</v>
      </c>
      <c r="B3416" s="619" t="s">
        <v>1017</v>
      </c>
      <c r="C3416" s="620"/>
      <c r="D3416" s="621"/>
      <c r="E3416" s="622"/>
      <c r="F3416" s="334"/>
      <c r="G3416" s="334"/>
      <c r="H3416" s="602"/>
      <c r="I3416" s="334"/>
      <c r="J3416" s="334"/>
      <c r="K3416" s="334"/>
      <c r="L3416" s="334"/>
      <c r="M3416" s="334"/>
      <c r="N3416" s="334"/>
      <c r="O3416" s="334"/>
    </row>
    <row r="3417" spans="1:15" ht="12.75" customHeight="1" x14ac:dyDescent="0.2">
      <c r="A3417" s="623" t="s">
        <v>4286</v>
      </c>
      <c r="B3417" s="624" t="s">
        <v>1371</v>
      </c>
      <c r="C3417" s="625" t="s">
        <v>100</v>
      </c>
      <c r="D3417" s="626">
        <v>23.48</v>
      </c>
      <c r="E3417" s="622"/>
      <c r="F3417" s="334"/>
      <c r="G3417" s="334"/>
      <c r="H3417" s="602"/>
      <c r="I3417" s="334"/>
      <c r="J3417" s="334"/>
      <c r="K3417" s="334"/>
      <c r="L3417" s="334"/>
      <c r="M3417" s="334"/>
      <c r="N3417" s="334"/>
      <c r="O3417" s="334"/>
    </row>
    <row r="3418" spans="1:15" ht="12.75" customHeight="1" x14ac:dyDescent="0.2">
      <c r="A3418" s="618" t="s">
        <v>4287</v>
      </c>
      <c r="B3418" s="619" t="s">
        <v>1021</v>
      </c>
      <c r="C3418" s="620"/>
      <c r="D3418" s="621"/>
      <c r="E3418" s="622"/>
      <c r="F3418" s="334"/>
      <c r="G3418" s="334"/>
      <c r="H3418" s="602"/>
      <c r="I3418" s="334"/>
      <c r="J3418" s="334"/>
      <c r="K3418" s="334"/>
      <c r="L3418" s="334"/>
      <c r="M3418" s="334"/>
      <c r="N3418" s="334"/>
      <c r="O3418" s="334"/>
    </row>
    <row r="3419" spans="1:15" ht="12.75" customHeight="1" x14ac:dyDescent="0.2">
      <c r="A3419" s="627" t="s">
        <v>4288</v>
      </c>
      <c r="B3419" s="628" t="s">
        <v>1371</v>
      </c>
      <c r="C3419" s="629" t="s">
        <v>100</v>
      </c>
      <c r="D3419" s="630">
        <v>4.3</v>
      </c>
      <c r="E3419" s="622"/>
      <c r="F3419" s="334"/>
      <c r="G3419" s="334"/>
      <c r="H3419" s="602"/>
      <c r="I3419" s="334"/>
      <c r="J3419" s="334"/>
      <c r="K3419" s="334"/>
      <c r="L3419" s="334"/>
      <c r="M3419" s="334"/>
      <c r="N3419" s="334"/>
      <c r="O3419" s="334"/>
    </row>
    <row r="3420" spans="1:15" ht="12.75" customHeight="1" x14ac:dyDescent="0.2">
      <c r="A3420" s="618" t="s">
        <v>4289</v>
      </c>
      <c r="B3420" s="619" t="s">
        <v>1120</v>
      </c>
      <c r="C3420" s="620"/>
      <c r="D3420" s="621"/>
      <c r="E3420" s="622"/>
      <c r="F3420" s="334"/>
      <c r="G3420" s="334"/>
      <c r="H3420" s="602"/>
      <c r="I3420" s="334"/>
      <c r="J3420" s="334"/>
      <c r="K3420" s="334"/>
      <c r="L3420" s="334"/>
      <c r="M3420" s="334"/>
      <c r="N3420" s="334"/>
      <c r="O3420" s="334"/>
    </row>
    <row r="3421" spans="1:15" ht="12.75" customHeight="1" x14ac:dyDescent="0.2">
      <c r="A3421" s="623" t="s">
        <v>4290</v>
      </c>
      <c r="B3421" s="624" t="s">
        <v>1371</v>
      </c>
      <c r="C3421" s="625" t="s">
        <v>100</v>
      </c>
      <c r="D3421" s="626">
        <v>50.77</v>
      </c>
      <c r="E3421" s="622"/>
      <c r="F3421" s="334"/>
      <c r="G3421" s="334"/>
      <c r="H3421" s="602"/>
      <c r="I3421" s="334"/>
      <c r="J3421" s="334"/>
      <c r="K3421" s="334"/>
      <c r="L3421" s="334"/>
      <c r="M3421" s="334"/>
      <c r="N3421" s="334"/>
      <c r="O3421" s="334"/>
    </row>
    <row r="3422" spans="1:15" ht="12.75" customHeight="1" x14ac:dyDescent="0.2">
      <c r="A3422" s="618" t="s">
        <v>4291</v>
      </c>
      <c r="B3422" s="619" t="s">
        <v>1127</v>
      </c>
      <c r="C3422" s="620"/>
      <c r="D3422" s="621"/>
      <c r="E3422" s="622"/>
      <c r="F3422" s="334"/>
      <c r="G3422" s="334"/>
      <c r="H3422" s="602"/>
      <c r="I3422" s="334"/>
      <c r="J3422" s="334"/>
      <c r="K3422" s="334"/>
      <c r="L3422" s="334"/>
      <c r="M3422" s="334"/>
      <c r="N3422" s="334"/>
      <c r="O3422" s="334"/>
    </row>
    <row r="3423" spans="1:15" ht="12.75" customHeight="1" x14ac:dyDescent="0.2">
      <c r="A3423" s="627" t="s">
        <v>4292</v>
      </c>
      <c r="B3423" s="628" t="s">
        <v>1371</v>
      </c>
      <c r="C3423" s="629" t="s">
        <v>100</v>
      </c>
      <c r="D3423" s="630">
        <v>30.31</v>
      </c>
      <c r="E3423" s="622"/>
      <c r="F3423" s="334"/>
      <c r="G3423" s="334"/>
      <c r="H3423" s="602"/>
      <c r="I3423" s="334"/>
      <c r="J3423" s="334"/>
      <c r="K3423" s="334"/>
      <c r="L3423" s="334"/>
      <c r="M3423" s="334"/>
      <c r="N3423" s="334"/>
      <c r="O3423" s="334"/>
    </row>
  </sheetData>
  <mergeCells count="11">
    <mergeCell ref="G1567:G1570"/>
    <mergeCell ref="G1554:G1566"/>
    <mergeCell ref="G1549:G1553"/>
    <mergeCell ref="G1504:G1548"/>
    <mergeCell ref="A1:D1"/>
    <mergeCell ref="A8:D8"/>
    <mergeCell ref="A9:D9"/>
    <mergeCell ref="A10:A11"/>
    <mergeCell ref="B10:B11"/>
    <mergeCell ref="C10:C11"/>
    <mergeCell ref="D10:D11"/>
  </mergeCells>
  <pageMargins left="0.78749999999999998" right="0.78749999999999998" top="1.05277777777778" bottom="1.05277777777778" header="0" footer="0"/>
  <pageSetup paperSize="9" orientation="landscape"/>
  <headerFooter>
    <oddHeader>&amp;C&amp;A</oddHeader>
    <oddFooter>&amp;CPágina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851D6"/>
  </sheetPr>
  <dimension ref="A1:J32"/>
  <sheetViews>
    <sheetView workbookViewId="0"/>
  </sheetViews>
  <sheetFormatPr defaultColWidth="12.5703125" defaultRowHeight="15" customHeight="1" x14ac:dyDescent="0.2"/>
  <cols>
    <col min="1" max="1" width="64.7109375" customWidth="1"/>
    <col min="2" max="2" width="10.28515625" customWidth="1"/>
    <col min="3" max="3" width="10.140625" customWidth="1"/>
    <col min="4" max="4" width="11.28515625" customWidth="1"/>
    <col min="5" max="6" width="8.7109375" customWidth="1"/>
    <col min="7" max="7" width="9.28515625" customWidth="1"/>
    <col min="8" max="8" width="8.7109375" customWidth="1"/>
    <col min="9" max="9" width="11.7109375" customWidth="1"/>
    <col min="10" max="26" width="8.7109375" customWidth="1"/>
  </cols>
  <sheetData>
    <row r="1" spans="1:9" ht="12.75" customHeight="1" x14ac:dyDescent="0.2">
      <c r="A1" s="334" t="s">
        <v>4293</v>
      </c>
      <c r="B1" s="334" t="s">
        <v>9</v>
      </c>
      <c r="C1" s="334" t="s">
        <v>3291</v>
      </c>
      <c r="D1" s="334" t="s">
        <v>3307</v>
      </c>
      <c r="E1" s="334" t="s">
        <v>73</v>
      </c>
      <c r="F1" s="334" t="s">
        <v>3292</v>
      </c>
      <c r="G1" s="493" t="s">
        <v>3293</v>
      </c>
      <c r="H1" s="334" t="s">
        <v>3308</v>
      </c>
      <c r="I1" s="493" t="s">
        <v>3294</v>
      </c>
    </row>
    <row r="2" spans="1:9" ht="12.75" customHeight="1" x14ac:dyDescent="0.2">
      <c r="A2" s="334" t="s">
        <v>4294</v>
      </c>
      <c r="B2" s="334"/>
      <c r="C2" s="334">
        <v>100</v>
      </c>
      <c r="D2" s="334">
        <v>130</v>
      </c>
      <c r="E2" s="334">
        <f t="shared" ref="E2:E30" si="0">(C2*D2)/10000</f>
        <v>1.3</v>
      </c>
      <c r="F2" s="334">
        <f t="shared" ref="F2:F30" si="1">B2*E2</f>
        <v>0</v>
      </c>
      <c r="G2" s="493">
        <v>2200</v>
      </c>
      <c r="H2" s="334">
        <f t="shared" ref="H2:H30" si="2">G2*E2</f>
        <v>2860</v>
      </c>
      <c r="I2" s="493">
        <f t="shared" ref="I2:I30" si="3">F2*G2</f>
        <v>0</v>
      </c>
    </row>
    <row r="3" spans="1:9" ht="12.75" customHeight="1" x14ac:dyDescent="0.2">
      <c r="A3" s="334" t="s">
        <v>4294</v>
      </c>
      <c r="B3" s="334"/>
      <c r="C3" s="334">
        <v>180</v>
      </c>
      <c r="D3" s="334">
        <v>130</v>
      </c>
      <c r="E3" s="334">
        <f t="shared" si="0"/>
        <v>2.34</v>
      </c>
      <c r="F3" s="334">
        <f t="shared" si="1"/>
        <v>0</v>
      </c>
      <c r="G3" s="493">
        <v>2200</v>
      </c>
      <c r="H3" s="334">
        <f t="shared" si="2"/>
        <v>5148</v>
      </c>
      <c r="I3" s="493">
        <f t="shared" si="3"/>
        <v>0</v>
      </c>
    </row>
    <row r="4" spans="1:9" ht="12.75" customHeight="1" x14ac:dyDescent="0.2">
      <c r="A4" s="334" t="s">
        <v>4295</v>
      </c>
      <c r="B4" s="334"/>
      <c r="C4" s="334">
        <v>140</v>
      </c>
      <c r="D4" s="334">
        <v>220</v>
      </c>
      <c r="E4" s="334">
        <f t="shared" si="0"/>
        <v>3.08</v>
      </c>
      <c r="F4" s="334">
        <f t="shared" si="1"/>
        <v>0</v>
      </c>
      <c r="G4" s="493">
        <v>2200</v>
      </c>
      <c r="H4" s="334">
        <f t="shared" si="2"/>
        <v>6776</v>
      </c>
      <c r="I4" s="493">
        <f t="shared" si="3"/>
        <v>0</v>
      </c>
    </row>
    <row r="5" spans="1:9" ht="12.75" customHeight="1" x14ac:dyDescent="0.2">
      <c r="A5" s="334" t="s">
        <v>4295</v>
      </c>
      <c r="B5" s="334"/>
      <c r="C5" s="334">
        <v>180</v>
      </c>
      <c r="D5" s="334">
        <v>220</v>
      </c>
      <c r="E5" s="334">
        <f t="shared" si="0"/>
        <v>3.96</v>
      </c>
      <c r="F5" s="334">
        <f t="shared" si="1"/>
        <v>0</v>
      </c>
      <c r="G5" s="493">
        <v>2200</v>
      </c>
      <c r="H5" s="334">
        <f t="shared" si="2"/>
        <v>8712</v>
      </c>
      <c r="I5" s="493">
        <f t="shared" si="3"/>
        <v>0</v>
      </c>
    </row>
    <row r="6" spans="1:9" ht="12.75" customHeight="1" x14ac:dyDescent="0.2">
      <c r="A6" s="334" t="s">
        <v>4296</v>
      </c>
      <c r="B6" s="334"/>
      <c r="C6" s="334">
        <v>60</v>
      </c>
      <c r="D6" s="334">
        <v>60</v>
      </c>
      <c r="E6" s="334">
        <f t="shared" si="0"/>
        <v>0.36</v>
      </c>
      <c r="F6" s="334">
        <f t="shared" si="1"/>
        <v>0</v>
      </c>
      <c r="G6" s="493">
        <v>1500</v>
      </c>
      <c r="H6" s="334">
        <f t="shared" si="2"/>
        <v>540</v>
      </c>
      <c r="I6" s="493">
        <f t="shared" si="3"/>
        <v>0</v>
      </c>
    </row>
    <row r="7" spans="1:9" ht="12.75" customHeight="1" x14ac:dyDescent="0.2">
      <c r="A7" s="334" t="s">
        <v>4297</v>
      </c>
      <c r="B7" s="334"/>
      <c r="C7" s="334">
        <v>180</v>
      </c>
      <c r="D7" s="334">
        <v>240</v>
      </c>
      <c r="E7" s="334">
        <f t="shared" si="0"/>
        <v>4.32</v>
      </c>
      <c r="F7" s="334">
        <f t="shared" si="1"/>
        <v>0</v>
      </c>
      <c r="G7" s="493">
        <v>1500</v>
      </c>
      <c r="H7" s="334">
        <f t="shared" si="2"/>
        <v>6480</v>
      </c>
      <c r="I7" s="493">
        <f t="shared" si="3"/>
        <v>0</v>
      </c>
    </row>
    <row r="8" spans="1:9" ht="12.75" customHeight="1" x14ac:dyDescent="0.2">
      <c r="A8" s="334" t="s">
        <v>4297</v>
      </c>
      <c r="B8" s="334"/>
      <c r="C8" s="334">
        <v>200</v>
      </c>
      <c r="D8" s="334">
        <v>320</v>
      </c>
      <c r="E8" s="334">
        <f t="shared" si="0"/>
        <v>6.4</v>
      </c>
      <c r="F8" s="334">
        <f t="shared" si="1"/>
        <v>0</v>
      </c>
      <c r="G8" s="493">
        <v>1500</v>
      </c>
      <c r="H8" s="334">
        <f t="shared" si="2"/>
        <v>9600</v>
      </c>
      <c r="I8" s="493">
        <f t="shared" si="3"/>
        <v>0</v>
      </c>
    </row>
    <row r="9" spans="1:9" ht="12.75" customHeight="1" x14ac:dyDescent="0.2">
      <c r="A9" s="334" t="s">
        <v>4297</v>
      </c>
      <c r="B9" s="334"/>
      <c r="C9" s="334">
        <v>300</v>
      </c>
      <c r="D9" s="334">
        <v>240</v>
      </c>
      <c r="E9" s="334">
        <f t="shared" si="0"/>
        <v>7.2</v>
      </c>
      <c r="F9" s="334">
        <f t="shared" si="1"/>
        <v>0</v>
      </c>
      <c r="G9" s="493">
        <v>1500</v>
      </c>
      <c r="H9" s="334">
        <f t="shared" si="2"/>
        <v>10800</v>
      </c>
      <c r="I9" s="493">
        <f t="shared" si="3"/>
        <v>0</v>
      </c>
    </row>
    <row r="10" spans="1:9" ht="12.75" customHeight="1" x14ac:dyDescent="0.2">
      <c r="A10" s="334" t="s">
        <v>4298</v>
      </c>
      <c r="B10" s="334"/>
      <c r="C10" s="334">
        <v>80</v>
      </c>
      <c r="D10" s="334">
        <v>80</v>
      </c>
      <c r="E10" s="334">
        <f t="shared" si="0"/>
        <v>0.64</v>
      </c>
      <c r="F10" s="334">
        <f t="shared" si="1"/>
        <v>0</v>
      </c>
      <c r="G10" s="493">
        <v>880</v>
      </c>
      <c r="H10" s="334">
        <f t="shared" si="2"/>
        <v>563.20000000000005</v>
      </c>
      <c r="I10" s="493">
        <f t="shared" si="3"/>
        <v>0</v>
      </c>
    </row>
    <row r="11" spans="1:9" ht="12.75" customHeight="1" x14ac:dyDescent="0.2">
      <c r="A11" s="334" t="s">
        <v>4299</v>
      </c>
      <c r="B11" s="334"/>
      <c r="C11" s="334">
        <v>100</v>
      </c>
      <c r="D11" s="334">
        <v>210</v>
      </c>
      <c r="E11" s="334">
        <f t="shared" si="0"/>
        <v>2.1</v>
      </c>
      <c r="F11" s="334">
        <f t="shared" si="1"/>
        <v>0</v>
      </c>
      <c r="G11" s="493">
        <v>980</v>
      </c>
      <c r="H11" s="334">
        <f t="shared" si="2"/>
        <v>2058</v>
      </c>
      <c r="I11" s="493">
        <f t="shared" si="3"/>
        <v>0</v>
      </c>
    </row>
    <row r="12" spans="1:9" ht="12.75" customHeight="1" x14ac:dyDescent="0.2">
      <c r="A12" s="334" t="s">
        <v>4299</v>
      </c>
      <c r="B12" s="334"/>
      <c r="C12" s="334">
        <v>40</v>
      </c>
      <c r="D12" s="334">
        <v>100</v>
      </c>
      <c r="E12" s="334">
        <f t="shared" si="0"/>
        <v>0.4</v>
      </c>
      <c r="F12" s="334">
        <f t="shared" si="1"/>
        <v>0</v>
      </c>
      <c r="G12" s="493">
        <v>980</v>
      </c>
      <c r="H12" s="334">
        <f t="shared" si="2"/>
        <v>392</v>
      </c>
      <c r="I12" s="493">
        <f t="shared" si="3"/>
        <v>0</v>
      </c>
    </row>
    <row r="13" spans="1:9" ht="12.75" customHeight="1" x14ac:dyDescent="0.2">
      <c r="A13" s="334" t="s">
        <v>4299</v>
      </c>
      <c r="B13" s="334"/>
      <c r="C13" s="334">
        <v>70</v>
      </c>
      <c r="D13" s="334">
        <v>210</v>
      </c>
      <c r="E13" s="334">
        <f t="shared" si="0"/>
        <v>1.47</v>
      </c>
      <c r="F13" s="334">
        <f t="shared" si="1"/>
        <v>0</v>
      </c>
      <c r="G13" s="493">
        <v>980</v>
      </c>
      <c r="H13" s="334">
        <f t="shared" si="2"/>
        <v>1440.6</v>
      </c>
      <c r="I13" s="493">
        <f t="shared" si="3"/>
        <v>0</v>
      </c>
    </row>
    <row r="14" spans="1:9" ht="12.75" customHeight="1" x14ac:dyDescent="0.2">
      <c r="A14" s="334" t="s">
        <v>4299</v>
      </c>
      <c r="B14" s="334"/>
      <c r="C14" s="334">
        <v>80</v>
      </c>
      <c r="D14" s="334">
        <v>210</v>
      </c>
      <c r="E14" s="334">
        <f t="shared" si="0"/>
        <v>1.68</v>
      </c>
      <c r="F14" s="334">
        <f t="shared" si="1"/>
        <v>0</v>
      </c>
      <c r="G14" s="493">
        <v>980</v>
      </c>
      <c r="H14" s="334">
        <f t="shared" si="2"/>
        <v>1646.3999999999999</v>
      </c>
      <c r="I14" s="493">
        <f t="shared" si="3"/>
        <v>0</v>
      </c>
    </row>
    <row r="15" spans="1:9" ht="12.75" customHeight="1" x14ac:dyDescent="0.2">
      <c r="A15" s="334" t="s">
        <v>4300</v>
      </c>
      <c r="B15" s="334"/>
      <c r="C15" s="334">
        <v>200</v>
      </c>
      <c r="D15" s="334">
        <v>220</v>
      </c>
      <c r="E15" s="334">
        <f t="shared" si="0"/>
        <v>4.4000000000000004</v>
      </c>
      <c r="F15" s="334">
        <f t="shared" si="1"/>
        <v>0</v>
      </c>
      <c r="G15" s="493">
        <v>1080</v>
      </c>
      <c r="H15" s="334">
        <f t="shared" si="2"/>
        <v>4752</v>
      </c>
      <c r="I15" s="493">
        <f t="shared" si="3"/>
        <v>0</v>
      </c>
    </row>
    <row r="16" spans="1:9" ht="12.75" customHeight="1" x14ac:dyDescent="0.2">
      <c r="A16" s="334" t="s">
        <v>4301</v>
      </c>
      <c r="B16" s="334"/>
      <c r="C16" s="334">
        <v>70</v>
      </c>
      <c r="D16" s="334">
        <v>210</v>
      </c>
      <c r="E16" s="334">
        <f t="shared" si="0"/>
        <v>1.47</v>
      </c>
      <c r="F16" s="334">
        <f t="shared" si="1"/>
        <v>0</v>
      </c>
      <c r="G16" s="493">
        <v>1080</v>
      </c>
      <c r="H16" s="334">
        <f t="shared" si="2"/>
        <v>1587.6</v>
      </c>
      <c r="I16" s="493">
        <f t="shared" si="3"/>
        <v>0</v>
      </c>
    </row>
    <row r="17" spans="1:10" ht="12.75" customHeight="1" x14ac:dyDescent="0.2">
      <c r="A17" s="334" t="s">
        <v>4302</v>
      </c>
      <c r="B17" s="334"/>
      <c r="C17" s="334">
        <v>180</v>
      </c>
      <c r="D17" s="334">
        <v>180</v>
      </c>
      <c r="E17" s="334">
        <f t="shared" si="0"/>
        <v>3.24</v>
      </c>
      <c r="F17" s="334">
        <f t="shared" si="1"/>
        <v>0</v>
      </c>
      <c r="G17" s="493">
        <v>990</v>
      </c>
      <c r="H17" s="334">
        <f t="shared" si="2"/>
        <v>3207.6000000000004</v>
      </c>
      <c r="I17" s="493">
        <f t="shared" si="3"/>
        <v>0</v>
      </c>
    </row>
    <row r="18" spans="1:10" ht="12.75" customHeight="1" x14ac:dyDescent="0.2">
      <c r="A18" s="334" t="s">
        <v>4303</v>
      </c>
      <c r="B18" s="334"/>
      <c r="C18" s="334">
        <v>180</v>
      </c>
      <c r="D18" s="334">
        <v>240</v>
      </c>
      <c r="E18" s="334">
        <f t="shared" si="0"/>
        <v>4.32</v>
      </c>
      <c r="F18" s="334">
        <f t="shared" si="1"/>
        <v>0</v>
      </c>
      <c r="G18" s="493">
        <v>1080</v>
      </c>
      <c r="H18" s="334">
        <f t="shared" si="2"/>
        <v>4665.6000000000004</v>
      </c>
      <c r="I18" s="493">
        <f t="shared" si="3"/>
        <v>0</v>
      </c>
    </row>
    <row r="19" spans="1:10" ht="12.75" customHeight="1" x14ac:dyDescent="0.2">
      <c r="A19" s="334" t="s">
        <v>4304</v>
      </c>
      <c r="B19" s="334"/>
      <c r="E19" s="334">
        <f t="shared" si="0"/>
        <v>0</v>
      </c>
      <c r="F19" s="334">
        <f t="shared" si="1"/>
        <v>0</v>
      </c>
      <c r="G19" s="493"/>
      <c r="H19" s="334">
        <f t="shared" si="2"/>
        <v>0</v>
      </c>
      <c r="I19" s="493">
        <f t="shared" si="3"/>
        <v>0</v>
      </c>
    </row>
    <row r="20" spans="1:10" ht="12.75" customHeight="1" x14ac:dyDescent="0.2">
      <c r="A20" s="334" t="s">
        <v>4305</v>
      </c>
      <c r="B20" s="334"/>
      <c r="C20" s="334">
        <v>80</v>
      </c>
      <c r="D20" s="334">
        <v>210</v>
      </c>
      <c r="E20" s="334">
        <f t="shared" si="0"/>
        <v>1.68</v>
      </c>
      <c r="F20" s="334">
        <f t="shared" si="1"/>
        <v>0</v>
      </c>
      <c r="G20" s="493">
        <v>2100</v>
      </c>
      <c r="H20" s="334">
        <f t="shared" si="2"/>
        <v>3528</v>
      </c>
      <c r="I20" s="493">
        <f t="shared" si="3"/>
        <v>0</v>
      </c>
    </row>
    <row r="21" spans="1:10" ht="12.75" customHeight="1" x14ac:dyDescent="0.2">
      <c r="A21" s="334" t="s">
        <v>4306</v>
      </c>
      <c r="B21" s="334"/>
      <c r="C21" s="334">
        <v>180</v>
      </c>
      <c r="D21" s="334">
        <v>210</v>
      </c>
      <c r="E21" s="334">
        <f t="shared" si="0"/>
        <v>3.78</v>
      </c>
      <c r="F21" s="334">
        <f t="shared" si="1"/>
        <v>0</v>
      </c>
      <c r="G21" s="493">
        <v>2000</v>
      </c>
      <c r="H21" s="334">
        <f t="shared" si="2"/>
        <v>7560</v>
      </c>
      <c r="I21" s="493">
        <f t="shared" si="3"/>
        <v>0</v>
      </c>
    </row>
    <row r="22" spans="1:10" ht="12.75" customHeight="1" x14ac:dyDescent="0.2">
      <c r="A22" s="334" t="s">
        <v>4306</v>
      </c>
      <c r="B22" s="334"/>
      <c r="C22" s="334">
        <v>220</v>
      </c>
      <c r="D22" s="334">
        <v>210</v>
      </c>
      <c r="E22" s="334">
        <f t="shared" si="0"/>
        <v>4.62</v>
      </c>
      <c r="F22" s="334">
        <f t="shared" si="1"/>
        <v>0</v>
      </c>
      <c r="G22" s="493">
        <v>2000</v>
      </c>
      <c r="H22" s="334">
        <f t="shared" si="2"/>
        <v>9240</v>
      </c>
      <c r="I22" s="493">
        <f t="shared" si="3"/>
        <v>0</v>
      </c>
    </row>
    <row r="23" spans="1:10" ht="12.75" customHeight="1" x14ac:dyDescent="0.2">
      <c r="A23" s="334" t="s">
        <v>4306</v>
      </c>
      <c r="B23" s="334"/>
      <c r="C23" s="334">
        <v>260</v>
      </c>
      <c r="D23" s="334">
        <v>210</v>
      </c>
      <c r="E23" s="334">
        <f t="shared" si="0"/>
        <v>5.46</v>
      </c>
      <c r="F23" s="334">
        <f t="shared" si="1"/>
        <v>0</v>
      </c>
      <c r="G23" s="493">
        <v>2000</v>
      </c>
      <c r="H23" s="334">
        <f t="shared" si="2"/>
        <v>10920</v>
      </c>
      <c r="I23" s="493">
        <f t="shared" si="3"/>
        <v>0</v>
      </c>
    </row>
    <row r="24" spans="1:10" ht="12.75" customHeight="1" x14ac:dyDescent="0.2">
      <c r="A24" s="334" t="s">
        <v>4307</v>
      </c>
      <c r="B24" s="334"/>
      <c r="C24" s="334">
        <v>200</v>
      </c>
      <c r="D24" s="334">
        <v>240</v>
      </c>
      <c r="E24" s="334">
        <f t="shared" si="0"/>
        <v>4.8</v>
      </c>
      <c r="F24" s="334">
        <f t="shared" si="1"/>
        <v>0</v>
      </c>
      <c r="G24" s="493">
        <v>2000</v>
      </c>
      <c r="H24" s="334">
        <f t="shared" si="2"/>
        <v>9600</v>
      </c>
      <c r="I24" s="493">
        <f t="shared" si="3"/>
        <v>0</v>
      </c>
    </row>
    <row r="25" spans="1:10" ht="12.75" customHeight="1" x14ac:dyDescent="0.2">
      <c r="A25" s="334" t="s">
        <v>4308</v>
      </c>
      <c r="B25" s="334"/>
      <c r="C25" s="334">
        <v>180</v>
      </c>
      <c r="D25" s="334">
        <v>240</v>
      </c>
      <c r="E25" s="334">
        <f t="shared" si="0"/>
        <v>4.32</v>
      </c>
      <c r="F25" s="334">
        <f t="shared" si="1"/>
        <v>0</v>
      </c>
      <c r="G25" s="493">
        <v>2000</v>
      </c>
      <c r="H25" s="334">
        <f t="shared" si="2"/>
        <v>8640</v>
      </c>
      <c r="I25" s="493">
        <f t="shared" si="3"/>
        <v>0</v>
      </c>
    </row>
    <row r="26" spans="1:10" ht="12.75" customHeight="1" x14ac:dyDescent="0.2">
      <c r="A26" s="334" t="s">
        <v>4309</v>
      </c>
      <c r="B26" s="334"/>
      <c r="C26" s="334">
        <v>300</v>
      </c>
      <c r="D26" s="334">
        <v>240</v>
      </c>
      <c r="E26" s="334">
        <f t="shared" si="0"/>
        <v>7.2</v>
      </c>
      <c r="F26" s="334">
        <f t="shared" si="1"/>
        <v>0</v>
      </c>
      <c r="G26" s="493">
        <v>2000</v>
      </c>
      <c r="H26" s="334">
        <f t="shared" si="2"/>
        <v>14400</v>
      </c>
      <c r="I26" s="493">
        <f t="shared" si="3"/>
        <v>0</v>
      </c>
    </row>
    <row r="27" spans="1:10" ht="12.75" customHeight="1" x14ac:dyDescent="0.2">
      <c r="A27" s="334" t="s">
        <v>4310</v>
      </c>
      <c r="B27" s="334"/>
      <c r="C27" s="334">
        <v>360</v>
      </c>
      <c r="D27" s="334">
        <v>230</v>
      </c>
      <c r="E27" s="334">
        <f t="shared" si="0"/>
        <v>8.2799999999999994</v>
      </c>
      <c r="F27" s="334">
        <f t="shared" si="1"/>
        <v>0</v>
      </c>
      <c r="G27" s="493">
        <v>2100</v>
      </c>
      <c r="H27" s="334">
        <f t="shared" si="2"/>
        <v>17388</v>
      </c>
      <c r="I27" s="493">
        <f t="shared" si="3"/>
        <v>0</v>
      </c>
    </row>
    <row r="28" spans="1:10" ht="12.75" customHeight="1" x14ac:dyDescent="0.2">
      <c r="A28" s="334" t="s">
        <v>4311</v>
      </c>
      <c r="B28" s="334"/>
      <c r="C28" s="334">
        <v>80</v>
      </c>
      <c r="D28" s="334">
        <v>50</v>
      </c>
      <c r="E28" s="334">
        <f t="shared" si="0"/>
        <v>0.4</v>
      </c>
      <c r="F28" s="334">
        <f t="shared" si="1"/>
        <v>0</v>
      </c>
      <c r="G28" s="493">
        <v>600</v>
      </c>
      <c r="H28" s="334">
        <f t="shared" si="2"/>
        <v>240</v>
      </c>
      <c r="I28" s="493">
        <f t="shared" si="3"/>
        <v>0</v>
      </c>
    </row>
    <row r="29" spans="1:10" ht="12.75" customHeight="1" x14ac:dyDescent="0.2">
      <c r="A29" s="334" t="s">
        <v>4312</v>
      </c>
      <c r="B29" s="334"/>
      <c r="C29" s="334">
        <v>100</v>
      </c>
      <c r="D29" s="334">
        <v>200</v>
      </c>
      <c r="E29" s="334">
        <f t="shared" si="0"/>
        <v>2</v>
      </c>
      <c r="F29" s="334">
        <f t="shared" si="1"/>
        <v>0</v>
      </c>
      <c r="G29" s="493">
        <v>1000</v>
      </c>
      <c r="H29" s="334">
        <f t="shared" si="2"/>
        <v>2000</v>
      </c>
      <c r="I29" s="493">
        <f t="shared" si="3"/>
        <v>0</v>
      </c>
    </row>
    <row r="30" spans="1:10" ht="12.75" customHeight="1" x14ac:dyDescent="0.2">
      <c r="A30" s="334" t="s">
        <v>4313</v>
      </c>
      <c r="B30" s="334"/>
      <c r="C30" s="334">
        <v>20</v>
      </c>
      <c r="D30" s="334">
        <v>40</v>
      </c>
      <c r="E30" s="334">
        <f t="shared" si="0"/>
        <v>0.08</v>
      </c>
      <c r="F30" s="334">
        <f t="shared" si="1"/>
        <v>0</v>
      </c>
      <c r="G30" s="493">
        <v>550</v>
      </c>
      <c r="H30" s="334">
        <f t="shared" si="2"/>
        <v>44</v>
      </c>
      <c r="I30" s="493">
        <f t="shared" si="3"/>
        <v>0</v>
      </c>
    </row>
    <row r="31" spans="1:10" ht="12.75" customHeight="1" x14ac:dyDescent="0.2">
      <c r="G31" s="493"/>
      <c r="I31" s="493"/>
    </row>
    <row r="32" spans="1:10" ht="12.75" customHeight="1" x14ac:dyDescent="0.2">
      <c r="F32" s="334">
        <f>SUM(F2:F31)</f>
        <v>0</v>
      </c>
      <c r="G32" s="493"/>
      <c r="I32" s="493">
        <f>SUM(I2:I31)</f>
        <v>0</v>
      </c>
      <c r="J32" s="334" t="e">
        <f>I32/F32</f>
        <v>#DIV/0!</v>
      </c>
    </row>
  </sheetData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9900"/>
  </sheetPr>
  <dimension ref="A1:N53"/>
  <sheetViews>
    <sheetView showGridLines="0" topLeftCell="A13" workbookViewId="0"/>
  </sheetViews>
  <sheetFormatPr defaultColWidth="12.5703125" defaultRowHeight="15" customHeight="1" x14ac:dyDescent="0.2"/>
  <cols>
    <col min="1" max="1" width="54.7109375" customWidth="1"/>
    <col min="2" max="2" width="11" customWidth="1"/>
    <col min="3" max="3" width="12.7109375" customWidth="1"/>
    <col min="4" max="5" width="15.7109375" customWidth="1"/>
    <col min="6" max="7" width="20.28515625" customWidth="1"/>
    <col min="8" max="8" width="13" customWidth="1"/>
    <col min="9" max="9" width="15.7109375" customWidth="1"/>
    <col min="10" max="10" width="12" customWidth="1"/>
    <col min="11" max="11" width="13" customWidth="1"/>
    <col min="12" max="12" width="10.85546875" customWidth="1"/>
    <col min="13" max="13" width="21.28515625" customWidth="1"/>
    <col min="14" max="14" width="11.7109375" customWidth="1"/>
    <col min="15" max="26" width="9.140625" customWidth="1"/>
  </cols>
  <sheetData>
    <row r="1" spans="1:14" hidden="1" x14ac:dyDescent="0.25">
      <c r="A1" s="51"/>
      <c r="B1" s="51"/>
      <c r="C1" s="51"/>
      <c r="D1" s="51"/>
      <c r="E1" s="51"/>
      <c r="F1" s="11"/>
      <c r="G1" s="11"/>
      <c r="H1" s="51"/>
      <c r="I1" s="51" t="s">
        <v>4314</v>
      </c>
      <c r="J1" s="51">
        <v>550.67999999999995</v>
      </c>
      <c r="K1" s="51"/>
      <c r="L1" s="51"/>
      <c r="M1" s="51"/>
      <c r="N1" s="51"/>
    </row>
    <row r="2" spans="1:14" hidden="1" x14ac:dyDescent="0.25">
      <c r="A2" s="51"/>
      <c r="B2" s="51"/>
      <c r="C2" s="51"/>
      <c r="D2" s="51"/>
      <c r="E2" s="51"/>
      <c r="F2" s="11"/>
      <c r="G2" s="11"/>
      <c r="H2" s="51"/>
      <c r="I2" s="51" t="s">
        <v>33</v>
      </c>
      <c r="J2" s="51">
        <v>554.63</v>
      </c>
      <c r="K2" s="51"/>
      <c r="L2" s="51"/>
      <c r="M2" s="51"/>
      <c r="N2" s="51"/>
    </row>
    <row r="3" spans="1:14" hidden="1" x14ac:dyDescent="0.25">
      <c r="A3" s="51"/>
      <c r="B3" s="51"/>
      <c r="C3" s="51"/>
      <c r="D3" s="51"/>
      <c r="E3" s="51"/>
      <c r="F3" s="11"/>
      <c r="G3" s="11"/>
      <c r="H3" s="51"/>
      <c r="I3" s="51" t="s">
        <v>4315</v>
      </c>
      <c r="J3" s="51">
        <v>558.69000000000005</v>
      </c>
      <c r="K3" s="51"/>
      <c r="L3" s="51"/>
      <c r="M3" s="51"/>
      <c r="N3" s="51"/>
    </row>
    <row r="4" spans="1:14" hidden="1" x14ac:dyDescent="0.25">
      <c r="A4" s="51"/>
      <c r="B4" s="51"/>
      <c r="C4" s="51"/>
      <c r="D4" s="51"/>
      <c r="E4" s="51"/>
      <c r="F4" s="11"/>
      <c r="G4" s="11"/>
      <c r="H4" s="51"/>
      <c r="I4" s="51" t="s">
        <v>4316</v>
      </c>
      <c r="J4" s="51">
        <v>558.69000000000005</v>
      </c>
      <c r="K4" s="51"/>
      <c r="L4" s="51"/>
      <c r="M4" s="51"/>
      <c r="N4" s="51"/>
    </row>
    <row r="5" spans="1:14" hidden="1" x14ac:dyDescent="0.25">
      <c r="A5" s="51"/>
      <c r="B5" s="51"/>
      <c r="C5" s="51"/>
      <c r="D5" s="51"/>
      <c r="E5" s="51"/>
      <c r="F5" s="11"/>
      <c r="G5" s="11"/>
      <c r="H5" s="51"/>
      <c r="I5" s="51" t="s">
        <v>4317</v>
      </c>
      <c r="J5" s="51">
        <v>264.45999999999998</v>
      </c>
      <c r="K5" s="51"/>
      <c r="L5" s="51"/>
      <c r="M5" s="51"/>
      <c r="N5" s="51"/>
    </row>
    <row r="6" spans="1:14" hidden="1" x14ac:dyDescent="0.25">
      <c r="A6" s="51"/>
      <c r="B6" s="51"/>
      <c r="C6" s="51"/>
      <c r="D6" s="51"/>
      <c r="E6" s="51"/>
      <c r="F6" s="11"/>
      <c r="G6" s="11"/>
      <c r="H6" s="51"/>
      <c r="I6" s="51" t="s">
        <v>4318</v>
      </c>
      <c r="J6" s="51">
        <v>1057.8399999999999</v>
      </c>
      <c r="K6" s="51"/>
      <c r="L6" s="51"/>
      <c r="M6" s="51"/>
      <c r="N6" s="51"/>
    </row>
    <row r="7" spans="1:14" hidden="1" x14ac:dyDescent="0.25">
      <c r="A7" s="51"/>
      <c r="B7" s="51"/>
      <c r="C7" s="51"/>
      <c r="D7" s="51"/>
      <c r="E7" s="51"/>
      <c r="F7" s="11"/>
      <c r="G7" s="11"/>
      <c r="H7" s="51"/>
      <c r="I7" s="51" t="s">
        <v>4319</v>
      </c>
      <c r="J7" s="51">
        <v>1586.7599999999998</v>
      </c>
      <c r="K7" s="51"/>
      <c r="L7" s="51"/>
      <c r="M7" s="51"/>
      <c r="N7" s="51"/>
    </row>
    <row r="8" spans="1:14" hidden="1" x14ac:dyDescent="0.25">
      <c r="A8" s="51"/>
      <c r="B8" s="51"/>
      <c r="C8" s="51"/>
      <c r="D8" s="51"/>
      <c r="E8" s="51"/>
      <c r="F8" s="11"/>
      <c r="G8" s="11"/>
      <c r="H8" s="51"/>
      <c r="I8" s="51" t="s">
        <v>4320</v>
      </c>
      <c r="J8" s="51">
        <v>528.91999999999996</v>
      </c>
      <c r="K8" s="51"/>
      <c r="L8" s="51"/>
      <c r="M8" s="51"/>
      <c r="N8" s="51"/>
    </row>
    <row r="9" spans="1:14" hidden="1" x14ac:dyDescent="0.25">
      <c r="A9" s="51"/>
      <c r="B9" s="51"/>
      <c r="C9" s="51"/>
      <c r="D9" s="51"/>
      <c r="E9" s="51"/>
      <c r="F9" s="11"/>
      <c r="G9" s="11"/>
      <c r="H9" s="51"/>
      <c r="I9" s="51" t="s">
        <v>4321</v>
      </c>
      <c r="J9" s="51">
        <v>264.45999999999998</v>
      </c>
      <c r="K9" s="51"/>
      <c r="L9" s="51"/>
      <c r="M9" s="51"/>
      <c r="N9" s="51"/>
    </row>
    <row r="10" spans="1:14" hidden="1" x14ac:dyDescent="0.25">
      <c r="A10" s="51"/>
      <c r="B10" s="51"/>
      <c r="C10" s="51"/>
      <c r="D10" s="51"/>
      <c r="E10" s="51"/>
      <c r="F10" s="11"/>
      <c r="G10" s="11"/>
      <c r="H10" s="51"/>
      <c r="I10" s="51" t="s">
        <v>4322</v>
      </c>
      <c r="J10" s="51">
        <v>264.45999999999998</v>
      </c>
      <c r="K10" s="51"/>
      <c r="L10" s="51"/>
      <c r="M10" s="51"/>
      <c r="N10" s="51"/>
    </row>
    <row r="11" spans="1:14" hidden="1" x14ac:dyDescent="0.25">
      <c r="A11" s="51"/>
      <c r="B11" s="51"/>
      <c r="C11" s="51"/>
      <c r="D11" s="51"/>
      <c r="E11" s="51"/>
      <c r="F11" s="11"/>
      <c r="G11" s="11"/>
      <c r="H11" s="51"/>
      <c r="I11" s="51" t="s">
        <v>4323</v>
      </c>
      <c r="J11" s="51" t="e">
        <f>#REF!+#REF!</f>
        <v>#REF!</v>
      </c>
      <c r="K11" s="51"/>
      <c r="L11" s="51"/>
      <c r="M11" s="51"/>
      <c r="N11" s="51"/>
    </row>
    <row r="12" spans="1:14" hidden="1" x14ac:dyDescent="0.25">
      <c r="A12" s="51"/>
      <c r="B12" s="51"/>
      <c r="C12" s="51"/>
      <c r="D12" s="51"/>
      <c r="E12" s="51"/>
      <c r="F12" s="11"/>
      <c r="G12" s="11"/>
      <c r="H12" s="51"/>
      <c r="I12" s="51" t="s">
        <v>1089</v>
      </c>
      <c r="J12" s="51" t="e">
        <f>SUM(J1:J11)</f>
        <v>#REF!</v>
      </c>
      <c r="K12" s="51"/>
      <c r="L12" s="51"/>
      <c r="M12" s="51"/>
      <c r="N12" s="51"/>
    </row>
    <row r="13" spans="1:14" x14ac:dyDescent="0.25">
      <c r="A13" s="639"/>
      <c r="B13" s="175" t="s">
        <v>0</v>
      </c>
      <c r="C13" s="1147" t="str">
        <f>'Obra '!D1</f>
        <v>Mosaico</v>
      </c>
      <c r="D13" s="1063"/>
      <c r="E13" s="1063"/>
      <c r="F13" s="1063"/>
      <c r="G13" s="1063"/>
      <c r="H13" s="1063"/>
      <c r="I13" s="1063"/>
      <c r="J13" s="1063"/>
      <c r="K13" s="1063"/>
      <c r="L13" s="1110"/>
      <c r="M13" s="640"/>
      <c r="N13" s="51"/>
    </row>
    <row r="14" spans="1:14" ht="15" customHeight="1" x14ac:dyDescent="0.25">
      <c r="A14" s="641"/>
      <c r="B14" s="175" t="s">
        <v>2</v>
      </c>
      <c r="C14" s="1147" t="str">
        <f>'Obra '!D2</f>
        <v>Grupo DUO</v>
      </c>
      <c r="D14" s="1063"/>
      <c r="E14" s="1063"/>
      <c r="F14" s="1063"/>
      <c r="G14" s="1063"/>
      <c r="H14" s="1063"/>
      <c r="I14" s="1063"/>
      <c r="J14" s="1063"/>
      <c r="K14" s="1063"/>
      <c r="L14" s="1110"/>
      <c r="M14" s="642"/>
      <c r="N14" s="51"/>
    </row>
    <row r="15" spans="1:14" x14ac:dyDescent="0.25">
      <c r="A15" s="643"/>
      <c r="B15" s="644" t="s">
        <v>4</v>
      </c>
      <c r="C15" s="1147" t="str">
        <f>'Obra '!D3</f>
        <v>R00</v>
      </c>
      <c r="D15" s="1063"/>
      <c r="E15" s="1063"/>
      <c r="F15" s="1063"/>
      <c r="G15" s="1063"/>
      <c r="H15" s="1063"/>
      <c r="I15" s="1063"/>
      <c r="J15" s="1063"/>
      <c r="K15" s="1063"/>
      <c r="L15" s="1110"/>
      <c r="M15" s="642"/>
      <c r="N15" s="51"/>
    </row>
    <row r="16" spans="1:14" ht="18.75" x14ac:dyDescent="0.25">
      <c r="A16" s="1148" t="s">
        <v>4324</v>
      </c>
      <c r="B16" s="1149"/>
      <c r="C16" s="1149"/>
      <c r="D16" s="1149"/>
      <c r="E16" s="1149"/>
      <c r="F16" s="1149"/>
      <c r="G16" s="1149"/>
      <c r="H16" s="1149"/>
      <c r="I16" s="1149"/>
      <c r="J16" s="1149"/>
      <c r="K16" s="1149"/>
      <c r="L16" s="1149"/>
      <c r="M16" s="1108"/>
      <c r="N16" s="51"/>
    </row>
    <row r="17" spans="1:14" ht="15.75" x14ac:dyDescent="0.25">
      <c r="A17" s="645" t="s">
        <v>7</v>
      </c>
      <c r="B17" s="646" t="s">
        <v>8</v>
      </c>
      <c r="C17" s="646" t="s">
        <v>9</v>
      </c>
      <c r="D17" s="646" t="s">
        <v>4325</v>
      </c>
      <c r="E17" s="646" t="s">
        <v>238</v>
      </c>
      <c r="F17" s="646" t="s">
        <v>4326</v>
      </c>
      <c r="G17" s="647" t="s">
        <v>4327</v>
      </c>
      <c r="H17" s="1150" t="s">
        <v>4328</v>
      </c>
      <c r="I17" s="1098"/>
      <c r="J17" s="1098"/>
      <c r="K17" s="1098"/>
      <c r="L17" s="1098"/>
      <c r="M17" s="1099"/>
      <c r="N17" s="51"/>
    </row>
    <row r="18" spans="1:14" x14ac:dyDescent="0.25">
      <c r="A18" s="648" t="s">
        <v>63</v>
      </c>
      <c r="B18" s="649"/>
      <c r="C18" s="649"/>
      <c r="D18" s="649"/>
      <c r="E18" s="649"/>
      <c r="F18" s="649"/>
      <c r="G18" s="649"/>
      <c r="H18" s="650" t="s">
        <v>4314</v>
      </c>
      <c r="I18" s="650" t="s">
        <v>4329</v>
      </c>
      <c r="J18" s="650" t="s">
        <v>4330</v>
      </c>
      <c r="K18" s="650" t="s">
        <v>4331</v>
      </c>
      <c r="L18" s="650" t="s">
        <v>34</v>
      </c>
      <c r="M18" s="651" t="s">
        <v>1089</v>
      </c>
      <c r="N18" s="51" t="s">
        <v>4332</v>
      </c>
    </row>
    <row r="19" spans="1:14" x14ac:dyDescent="0.25">
      <c r="A19" s="652" t="s">
        <v>4333</v>
      </c>
      <c r="B19" s="653" t="s">
        <v>175</v>
      </c>
      <c r="C19" s="654">
        <v>1</v>
      </c>
      <c r="D19" s="654">
        <f t="shared" ref="D19:D25" si="0">M19</f>
        <v>42196.22</v>
      </c>
      <c r="E19" s="654">
        <f t="shared" ref="E19:E25" si="1">D19*C19</f>
        <v>42196.22</v>
      </c>
      <c r="F19" s="655" t="s">
        <v>4334</v>
      </c>
      <c r="G19" s="656" t="s">
        <v>4335</v>
      </c>
      <c r="H19" s="657">
        <f>M19</f>
        <v>42196.22</v>
      </c>
      <c r="I19" s="658"/>
      <c r="J19" s="658"/>
      <c r="K19" s="658"/>
      <c r="L19" s="658"/>
      <c r="M19" s="659">
        <f>5.5*'Obra '!E9</f>
        <v>42196.22</v>
      </c>
      <c r="N19" s="660">
        <f>M19/'Obra '!E9</f>
        <v>5.5</v>
      </c>
    </row>
    <row r="20" spans="1:14" x14ac:dyDescent="0.25">
      <c r="A20" s="652" t="s">
        <v>4336</v>
      </c>
      <c r="B20" s="653" t="s">
        <v>175</v>
      </c>
      <c r="C20" s="654">
        <v>1</v>
      </c>
      <c r="D20" s="654">
        <f t="shared" si="0"/>
        <v>118514.2</v>
      </c>
      <c r="E20" s="654">
        <f t="shared" si="1"/>
        <v>118514.2</v>
      </c>
      <c r="F20" s="655" t="s">
        <v>4334</v>
      </c>
      <c r="G20" s="656" t="s">
        <v>4335</v>
      </c>
      <c r="H20" s="661">
        <f>20*'Obra '!$E$15</f>
        <v>15746.199999999999</v>
      </c>
      <c r="I20" s="662">
        <f>20*SUM('Obra '!$E$16:$E$20)</f>
        <v>62260</v>
      </c>
      <c r="J20" s="662">
        <f>20*'Obra '!$E$21</f>
        <v>10127</v>
      </c>
      <c r="K20" s="662">
        <f>20*'Obra '!$E$22</f>
        <v>10127</v>
      </c>
      <c r="L20" s="662">
        <f>20*SUM('Obra '!$E$23:$E$24)</f>
        <v>20254</v>
      </c>
      <c r="M20" s="663">
        <f t="shared" ref="M20:M25" si="2">SUM(H20:L20)</f>
        <v>118514.2</v>
      </c>
      <c r="N20" s="51"/>
    </row>
    <row r="21" spans="1:14" ht="15.75" customHeight="1" x14ac:dyDescent="0.25">
      <c r="A21" s="652" t="s">
        <v>4337</v>
      </c>
      <c r="B21" s="653" t="s">
        <v>175</v>
      </c>
      <c r="C21" s="654">
        <v>1</v>
      </c>
      <c r="D21" s="654">
        <f t="shared" si="0"/>
        <v>106662.78000000001</v>
      </c>
      <c r="E21" s="654">
        <f t="shared" si="1"/>
        <v>106662.78000000001</v>
      </c>
      <c r="F21" s="655" t="s">
        <v>4334</v>
      </c>
      <c r="G21" s="656" t="s">
        <v>4335</v>
      </c>
      <c r="H21" s="657">
        <f>18*'Obra '!$E$15</f>
        <v>14171.579999999998</v>
      </c>
      <c r="I21" s="658">
        <f>18*SUM('Obra '!$E$16:$E$20)</f>
        <v>56034</v>
      </c>
      <c r="J21" s="658">
        <f>18*'Obra '!$E$21</f>
        <v>9114.3000000000011</v>
      </c>
      <c r="K21" s="658">
        <f>18*'Obra '!$E$22</f>
        <v>9114.3000000000011</v>
      </c>
      <c r="L21" s="658">
        <f>18*SUM('Obra '!$E$23:$E$24)</f>
        <v>18228.600000000002</v>
      </c>
      <c r="M21" s="659">
        <f t="shared" si="2"/>
        <v>106662.78000000001</v>
      </c>
      <c r="N21" s="51"/>
    </row>
    <row r="22" spans="1:14" ht="15.75" customHeight="1" x14ac:dyDescent="0.25">
      <c r="A22" s="652" t="s">
        <v>4338</v>
      </c>
      <c r="B22" s="653" t="s">
        <v>175</v>
      </c>
      <c r="C22" s="654">
        <v>1</v>
      </c>
      <c r="D22" s="654">
        <f t="shared" si="0"/>
        <v>177771.3</v>
      </c>
      <c r="E22" s="654">
        <f t="shared" si="1"/>
        <v>177771.3</v>
      </c>
      <c r="F22" s="655" t="s">
        <v>4334</v>
      </c>
      <c r="G22" s="656" t="s">
        <v>4335</v>
      </c>
      <c r="H22" s="661">
        <f>30*'Obra '!$E$15</f>
        <v>23619.3</v>
      </c>
      <c r="I22" s="662">
        <f>30*SUM('Obra '!$E$16:$E$20)</f>
        <v>93390</v>
      </c>
      <c r="J22" s="662">
        <f>30*'Obra '!$E$21</f>
        <v>15190.5</v>
      </c>
      <c r="K22" s="662">
        <f>30*'Obra '!$E$22</f>
        <v>15190.5</v>
      </c>
      <c r="L22" s="662">
        <f>30*SUM('Obra '!$E$23:$E$24)</f>
        <v>30381</v>
      </c>
      <c r="M22" s="663">
        <f t="shared" si="2"/>
        <v>177771.3</v>
      </c>
      <c r="N22" s="51"/>
    </row>
    <row r="23" spans="1:14" ht="15.75" customHeight="1" x14ac:dyDescent="0.25">
      <c r="A23" s="652" t="s">
        <v>4339</v>
      </c>
      <c r="B23" s="653" t="s">
        <v>175</v>
      </c>
      <c r="C23" s="654">
        <v>1</v>
      </c>
      <c r="D23" s="654">
        <f t="shared" si="0"/>
        <v>71108.51999999999</v>
      </c>
      <c r="E23" s="654">
        <f t="shared" si="1"/>
        <v>71108.51999999999</v>
      </c>
      <c r="F23" s="655" t="s">
        <v>4334</v>
      </c>
      <c r="G23" s="656" t="s">
        <v>4335</v>
      </c>
      <c r="H23" s="657">
        <f>12*'Obra '!$E$15</f>
        <v>9447.7199999999993</v>
      </c>
      <c r="I23" s="658">
        <f>12*SUM('Obra '!$E$16:$E$20)</f>
        <v>37356</v>
      </c>
      <c r="J23" s="658">
        <f>12*'Obra '!$E$21</f>
        <v>6076.2000000000007</v>
      </c>
      <c r="K23" s="658">
        <f>12*'Obra '!$E$22</f>
        <v>6076.2000000000007</v>
      </c>
      <c r="L23" s="658">
        <f>12*SUM('Obra '!$E$23:$E$24)</f>
        <v>12152.400000000001</v>
      </c>
      <c r="M23" s="659">
        <f t="shared" si="2"/>
        <v>71108.51999999999</v>
      </c>
      <c r="N23" s="51"/>
    </row>
    <row r="24" spans="1:14" ht="15.75" customHeight="1" x14ac:dyDescent="0.25">
      <c r="A24" s="652" t="s">
        <v>4340</v>
      </c>
      <c r="B24" s="653" t="s">
        <v>175</v>
      </c>
      <c r="C24" s="654">
        <v>1</v>
      </c>
      <c r="D24" s="654">
        <f t="shared" si="0"/>
        <v>29628.55</v>
      </c>
      <c r="E24" s="654">
        <f t="shared" si="1"/>
        <v>29628.55</v>
      </c>
      <c r="F24" s="655" t="s">
        <v>4334</v>
      </c>
      <c r="G24" s="656" t="s">
        <v>4335</v>
      </c>
      <c r="H24" s="661">
        <f>5*'Obra '!$E$15</f>
        <v>3936.5499999999997</v>
      </c>
      <c r="I24" s="662">
        <f>5*SUM('Obra '!$E$16:$E$20)</f>
        <v>15565</v>
      </c>
      <c r="J24" s="662">
        <f>5*'Obra '!$E$21</f>
        <v>2531.75</v>
      </c>
      <c r="K24" s="662">
        <f>5*'Obra '!$E$22</f>
        <v>2531.75</v>
      </c>
      <c r="L24" s="662">
        <f>5*SUM('Obra '!$E$23:$E$24)</f>
        <v>5063.5</v>
      </c>
      <c r="M24" s="663">
        <f t="shared" si="2"/>
        <v>29628.55</v>
      </c>
      <c r="N24" s="51"/>
    </row>
    <row r="25" spans="1:14" ht="15.75" customHeight="1" x14ac:dyDescent="0.25">
      <c r="A25" s="652" t="s">
        <v>4341</v>
      </c>
      <c r="B25" s="653" t="s">
        <v>175</v>
      </c>
      <c r="C25" s="654">
        <v>1</v>
      </c>
      <c r="D25" s="654">
        <f t="shared" si="0"/>
        <v>385171.15</v>
      </c>
      <c r="E25" s="654">
        <f t="shared" si="1"/>
        <v>385171.15</v>
      </c>
      <c r="F25" s="655" t="s">
        <v>4334</v>
      </c>
      <c r="G25" s="656" t="s">
        <v>4335</v>
      </c>
      <c r="H25" s="657">
        <f>65*'Obra '!$E$15</f>
        <v>51175.149999999994</v>
      </c>
      <c r="I25" s="658">
        <f>65*SUM('Obra '!$E$16:$E$20)</f>
        <v>202345</v>
      </c>
      <c r="J25" s="658">
        <f>65*'Obra '!$E$21</f>
        <v>32912.75</v>
      </c>
      <c r="K25" s="658">
        <f>65*'Obra '!$E$22</f>
        <v>32912.75</v>
      </c>
      <c r="L25" s="658">
        <f>65*SUM('Obra '!$E$23:$E$24)</f>
        <v>65825.5</v>
      </c>
      <c r="M25" s="659">
        <f t="shared" si="2"/>
        <v>385171.15</v>
      </c>
      <c r="N25" s="660"/>
    </row>
    <row r="26" spans="1:14" ht="15.75" customHeight="1" x14ac:dyDescent="0.25">
      <c r="A26" s="648" t="s">
        <v>4342</v>
      </c>
      <c r="B26" s="649"/>
      <c r="C26" s="649"/>
      <c r="D26" s="649"/>
      <c r="E26" s="649"/>
      <c r="F26" s="649"/>
      <c r="G26" s="649"/>
      <c r="H26" s="650" t="s">
        <v>4314</v>
      </c>
      <c r="I26" s="650" t="s">
        <v>4329</v>
      </c>
      <c r="J26" s="650" t="s">
        <v>4330</v>
      </c>
      <c r="K26" s="650" t="s">
        <v>4331</v>
      </c>
      <c r="L26" s="650" t="s">
        <v>34</v>
      </c>
      <c r="M26" s="651" t="s">
        <v>1089</v>
      </c>
      <c r="N26" s="51"/>
    </row>
    <row r="27" spans="1:14" ht="15.75" customHeight="1" x14ac:dyDescent="0.25">
      <c r="A27" s="652" t="s">
        <v>459</v>
      </c>
      <c r="B27" s="653" t="s">
        <v>175</v>
      </c>
      <c r="C27" s="654">
        <v>1</v>
      </c>
      <c r="D27" s="654">
        <f>INTERFONIA!F22+PORTÕES!F17</f>
        <v>50366.351999999999</v>
      </c>
      <c r="E27" s="654">
        <f t="shared" ref="E27:E31" si="3">D27*C27</f>
        <v>50366.351999999999</v>
      </c>
      <c r="F27" s="655" t="s">
        <v>4334</v>
      </c>
      <c r="G27" s="656" t="s">
        <v>4335</v>
      </c>
      <c r="H27" s="657"/>
      <c r="I27" s="658"/>
      <c r="J27" s="658"/>
      <c r="K27" s="658"/>
      <c r="L27" s="658"/>
      <c r="M27" s="659">
        <f>2*'Obra '!$E$9</f>
        <v>15344.08</v>
      </c>
      <c r="N27" s="51"/>
    </row>
    <row r="28" spans="1:14" ht="15.75" customHeight="1" x14ac:dyDescent="0.25">
      <c r="A28" s="652" t="s">
        <v>461</v>
      </c>
      <c r="B28" s="653" t="s">
        <v>175</v>
      </c>
      <c r="C28" s="654">
        <v>1</v>
      </c>
      <c r="D28" s="654">
        <f t="shared" ref="D28:D31" si="4">M28</f>
        <v>15344.08</v>
      </c>
      <c r="E28" s="654">
        <f t="shared" si="3"/>
        <v>15344.08</v>
      </c>
      <c r="F28" s="655" t="s">
        <v>4334</v>
      </c>
      <c r="G28" s="656" t="s">
        <v>4335</v>
      </c>
      <c r="H28" s="661"/>
      <c r="I28" s="662"/>
      <c r="J28" s="662"/>
      <c r="K28" s="662"/>
      <c r="L28" s="662"/>
      <c r="M28" s="663">
        <f>2*'Obra '!$E$9</f>
        <v>15344.08</v>
      </c>
      <c r="N28" s="51"/>
    </row>
    <row r="29" spans="1:14" ht="15.75" customHeight="1" x14ac:dyDescent="0.25">
      <c r="A29" s="652" t="s">
        <v>463</v>
      </c>
      <c r="B29" s="653" t="s">
        <v>175</v>
      </c>
      <c r="C29" s="654">
        <v>1</v>
      </c>
      <c r="D29" s="654">
        <f t="shared" si="4"/>
        <v>11508.06</v>
      </c>
      <c r="E29" s="654">
        <f t="shared" si="3"/>
        <v>11508.06</v>
      </c>
      <c r="F29" s="655" t="s">
        <v>4334</v>
      </c>
      <c r="G29" s="656" t="s">
        <v>4335</v>
      </c>
      <c r="H29" s="657"/>
      <c r="I29" s="658"/>
      <c r="J29" s="658"/>
      <c r="K29" s="658"/>
      <c r="L29" s="658"/>
      <c r="M29" s="659">
        <f>1.5*'Obra '!$E$9</f>
        <v>11508.06</v>
      </c>
      <c r="N29" s="51"/>
    </row>
    <row r="30" spans="1:14" ht="15.75" customHeight="1" x14ac:dyDescent="0.25">
      <c r="A30" s="652" t="s">
        <v>464</v>
      </c>
      <c r="B30" s="653" t="s">
        <v>175</v>
      </c>
      <c r="C30" s="654">
        <v>1</v>
      </c>
      <c r="D30" s="654">
        <f t="shared" si="4"/>
        <v>46032.24</v>
      </c>
      <c r="E30" s="654">
        <f t="shared" si="3"/>
        <v>46032.24</v>
      </c>
      <c r="F30" s="655" t="s">
        <v>4334</v>
      </c>
      <c r="G30" s="656" t="s">
        <v>4335</v>
      </c>
      <c r="H30" s="661"/>
      <c r="I30" s="662"/>
      <c r="J30" s="662"/>
      <c r="K30" s="662"/>
      <c r="L30" s="662"/>
      <c r="M30" s="663">
        <f>6*'Obra '!$E$9</f>
        <v>46032.24</v>
      </c>
      <c r="N30" s="51"/>
    </row>
    <row r="31" spans="1:14" ht="15.75" customHeight="1" x14ac:dyDescent="0.25">
      <c r="A31" s="652" t="s">
        <v>4343</v>
      </c>
      <c r="B31" s="653" t="s">
        <v>175</v>
      </c>
      <c r="C31" s="654">
        <v>1</v>
      </c>
      <c r="D31" s="654">
        <f t="shared" si="4"/>
        <v>19180.099999999999</v>
      </c>
      <c r="E31" s="654">
        <f t="shared" si="3"/>
        <v>19180.099999999999</v>
      </c>
      <c r="F31" s="655" t="s">
        <v>4334</v>
      </c>
      <c r="G31" s="656" t="s">
        <v>4335</v>
      </c>
      <c r="H31" s="657"/>
      <c r="I31" s="658"/>
      <c r="J31" s="658"/>
      <c r="K31" s="658"/>
      <c r="L31" s="658"/>
      <c r="M31" s="659">
        <f>2.5*'Obra '!$E$9</f>
        <v>19180.099999999999</v>
      </c>
      <c r="N31" s="51"/>
    </row>
    <row r="32" spans="1:14" ht="15.75" customHeight="1" x14ac:dyDescent="0.25">
      <c r="A32" s="648" t="s">
        <v>4344</v>
      </c>
      <c r="B32" s="649"/>
      <c r="C32" s="649"/>
      <c r="D32" s="649"/>
      <c r="E32" s="649"/>
      <c r="F32" s="649"/>
      <c r="G32" s="649"/>
      <c r="H32" s="650" t="s">
        <v>4314</v>
      </c>
      <c r="I32" s="650" t="s">
        <v>4329</v>
      </c>
      <c r="J32" s="650" t="s">
        <v>4330</v>
      </c>
      <c r="K32" s="650" t="s">
        <v>4331</v>
      </c>
      <c r="L32" s="650" t="s">
        <v>34</v>
      </c>
      <c r="M32" s="651" t="s">
        <v>1089</v>
      </c>
      <c r="N32" s="51"/>
    </row>
    <row r="33" spans="1:14" ht="15.75" customHeight="1" x14ac:dyDescent="0.25">
      <c r="A33" s="652" t="s">
        <v>4345</v>
      </c>
      <c r="B33" s="653" t="s">
        <v>175</v>
      </c>
      <c r="C33" s="654">
        <v>1</v>
      </c>
      <c r="D33" s="654" t="e">
        <f t="shared" ref="D33:D36" si="5">M33</f>
        <v>#REF!</v>
      </c>
      <c r="E33" s="654" t="e">
        <f t="shared" ref="E33:E40" si="6">D33*C33</f>
        <v>#REF!</v>
      </c>
      <c r="F33" s="655" t="s">
        <v>4346</v>
      </c>
      <c r="G33" s="656" t="s">
        <v>4335</v>
      </c>
      <c r="H33" s="664">
        <f>HIDRO!M8</f>
        <v>113995.92310000006</v>
      </c>
      <c r="I33" s="665">
        <f>15*SUM('Obra '!$E$16:$E$20)</f>
        <v>46695</v>
      </c>
      <c r="J33" s="665">
        <f>17*'Obra '!$E$21</f>
        <v>8607.9500000000007</v>
      </c>
      <c r="K33" s="659" t="e">
        <f>HIDRO!#REF!</f>
        <v>#REF!</v>
      </c>
      <c r="L33" s="665">
        <f>20*SUM('Obra '!$E$23:$E$24)</f>
        <v>20254</v>
      </c>
      <c r="M33" s="659" t="e">
        <f t="shared" ref="M33:M40" si="7">SUM(H33:L33)</f>
        <v>#REF!</v>
      </c>
      <c r="N33" s="666" t="e">
        <f>M33+M34+M35</f>
        <v>#REF!</v>
      </c>
    </row>
    <row r="34" spans="1:14" ht="15.75" customHeight="1" x14ac:dyDescent="0.25">
      <c r="A34" s="652" t="s">
        <v>4347</v>
      </c>
      <c r="B34" s="653" t="s">
        <v>175</v>
      </c>
      <c r="C34" s="654">
        <v>1</v>
      </c>
      <c r="D34" s="654" t="e">
        <f t="shared" si="5"/>
        <v>#REF!</v>
      </c>
      <c r="E34" s="654" t="e">
        <f t="shared" si="6"/>
        <v>#REF!</v>
      </c>
      <c r="F34" s="655" t="s">
        <v>4346</v>
      </c>
      <c r="G34" s="656" t="s">
        <v>4335</v>
      </c>
      <c r="H34" s="667">
        <f>HIDRO!M9</f>
        <v>0</v>
      </c>
      <c r="I34" s="663">
        <f>HIDRO!N9</f>
        <v>71197.374133305013</v>
      </c>
      <c r="J34" s="668">
        <f>10*'Obra '!$E$21</f>
        <v>5063.5</v>
      </c>
      <c r="K34" s="663" t="e">
        <f>HIDRO!#REF!</f>
        <v>#REF!</v>
      </c>
      <c r="L34" s="663" t="e">
        <f>HIDRO!#REF!</f>
        <v>#REF!</v>
      </c>
      <c r="M34" s="663" t="e">
        <f t="shared" si="7"/>
        <v>#REF!</v>
      </c>
      <c r="N34" s="666" t="e">
        <f>N33/'Obra '!E9</f>
        <v>#REF!</v>
      </c>
    </row>
    <row r="35" spans="1:14" ht="15.75" customHeight="1" x14ac:dyDescent="0.25">
      <c r="A35" s="652" t="s">
        <v>433</v>
      </c>
      <c r="B35" s="653" t="s">
        <v>175</v>
      </c>
      <c r="C35" s="654">
        <v>1</v>
      </c>
      <c r="D35" s="654" t="e">
        <f t="shared" si="5"/>
        <v>#REF!</v>
      </c>
      <c r="E35" s="654" t="e">
        <f t="shared" si="6"/>
        <v>#REF!</v>
      </c>
      <c r="F35" s="655" t="s">
        <v>4346</v>
      </c>
      <c r="G35" s="656" t="s">
        <v>4335</v>
      </c>
      <c r="H35" s="664">
        <f>HIDRO!M10</f>
        <v>0</v>
      </c>
      <c r="I35" s="659">
        <f>HIDRO!N10</f>
        <v>0</v>
      </c>
      <c r="J35" s="659">
        <f>HIDRO!Q10</f>
        <v>19717.11</v>
      </c>
      <c r="K35" s="659" t="e">
        <f>HIDRO!#REF!</f>
        <v>#REF!</v>
      </c>
      <c r="L35" s="659" t="e">
        <f>HIDRO!#REF!</f>
        <v>#REF!</v>
      </c>
      <c r="M35" s="659" t="e">
        <f t="shared" si="7"/>
        <v>#REF!</v>
      </c>
      <c r="N35" s="666"/>
    </row>
    <row r="36" spans="1:14" ht="15.75" customHeight="1" x14ac:dyDescent="0.25">
      <c r="A36" s="652" t="s">
        <v>4348</v>
      </c>
      <c r="B36" s="653" t="s">
        <v>175</v>
      </c>
      <c r="C36" s="654">
        <v>1</v>
      </c>
      <c r="D36" s="654">
        <f t="shared" si="5"/>
        <v>102923.3</v>
      </c>
      <c r="E36" s="654">
        <f t="shared" si="6"/>
        <v>102923.3</v>
      </c>
      <c r="F36" s="655" t="s">
        <v>4334</v>
      </c>
      <c r="G36" s="656" t="s">
        <v>4335</v>
      </c>
      <c r="H36" s="657">
        <f>45*'Obra '!$E$15</f>
        <v>35428.949999999997</v>
      </c>
      <c r="I36" s="658">
        <f>2*SUM('Obra '!$E$16:$E$20)</f>
        <v>6226</v>
      </c>
      <c r="J36" s="658">
        <f>37*'Obra '!$E$21</f>
        <v>18734.95</v>
      </c>
      <c r="K36" s="658">
        <f>28*'Obra '!$E$22</f>
        <v>14177.800000000001</v>
      </c>
      <c r="L36" s="658">
        <f>28*SUM('Obra '!$E$23:$E$24)</f>
        <v>28355.600000000002</v>
      </c>
      <c r="M36" s="659">
        <f t="shared" si="7"/>
        <v>102923.3</v>
      </c>
      <c r="N36" s="666"/>
    </row>
    <row r="37" spans="1:14" ht="15.75" customHeight="1" x14ac:dyDescent="0.25">
      <c r="A37" s="652" t="s">
        <v>4349</v>
      </c>
      <c r="B37" s="653" t="s">
        <v>8</v>
      </c>
      <c r="C37" s="654">
        <f>M37</f>
        <v>3</v>
      </c>
      <c r="D37" s="654">
        <v>5240</v>
      </c>
      <c r="E37" s="654">
        <f t="shared" si="6"/>
        <v>15720</v>
      </c>
      <c r="F37" s="655" t="s">
        <v>4334</v>
      </c>
      <c r="G37" s="656" t="s">
        <v>4335</v>
      </c>
      <c r="H37" s="661">
        <v>0</v>
      </c>
      <c r="I37" s="668">
        <v>0</v>
      </c>
      <c r="J37" s="668">
        <v>1</v>
      </c>
      <c r="K37" s="668">
        <v>2</v>
      </c>
      <c r="L37" s="668"/>
      <c r="M37" s="663">
        <f t="shared" si="7"/>
        <v>3</v>
      </c>
      <c r="N37" s="666"/>
    </row>
    <row r="38" spans="1:14" ht="15.75" customHeight="1" x14ac:dyDescent="0.25">
      <c r="A38" s="652" t="s">
        <v>4350</v>
      </c>
      <c r="B38" s="653" t="s">
        <v>175</v>
      </c>
      <c r="C38" s="654">
        <v>1</v>
      </c>
      <c r="D38" s="654">
        <f t="shared" ref="D38:D40" si="8">M38</f>
        <v>4161.9399999999996</v>
      </c>
      <c r="E38" s="654">
        <f t="shared" si="6"/>
        <v>4161.9399999999996</v>
      </c>
      <c r="F38" s="655" t="s">
        <v>4334</v>
      </c>
      <c r="G38" s="656" t="s">
        <v>4335</v>
      </c>
      <c r="H38" s="657">
        <f>4*'Obra '!$E$15</f>
        <v>3149.24</v>
      </c>
      <c r="I38" s="665"/>
      <c r="J38" s="665"/>
      <c r="K38" s="658">
        <f>2*'Obra '!$E$22</f>
        <v>1012.7</v>
      </c>
      <c r="L38" s="665"/>
      <c r="M38" s="659">
        <f t="shared" si="7"/>
        <v>4161.9399999999996</v>
      </c>
      <c r="N38" s="666">
        <f>M38/'Obra '!E9</f>
        <v>0.54248153033612956</v>
      </c>
    </row>
    <row r="39" spans="1:14" ht="15.75" customHeight="1" x14ac:dyDescent="0.25">
      <c r="A39" s="652" t="s">
        <v>4351</v>
      </c>
      <c r="B39" s="653" t="s">
        <v>175</v>
      </c>
      <c r="C39" s="654">
        <v>1</v>
      </c>
      <c r="D39" s="654">
        <f t="shared" si="8"/>
        <v>141715.79999999999</v>
      </c>
      <c r="E39" s="654">
        <f t="shared" si="6"/>
        <v>141715.79999999999</v>
      </c>
      <c r="F39" s="655" t="s">
        <v>4334</v>
      </c>
      <c r="G39" s="656" t="s">
        <v>4335</v>
      </c>
      <c r="H39" s="661">
        <f>180*'Obra '!$E$15</f>
        <v>141715.79999999999</v>
      </c>
      <c r="I39" s="668"/>
      <c r="J39" s="668"/>
      <c r="K39" s="668"/>
      <c r="L39" s="662"/>
      <c r="M39" s="663">
        <f t="shared" si="7"/>
        <v>141715.79999999999</v>
      </c>
      <c r="N39" s="666"/>
    </row>
    <row r="40" spans="1:14" ht="15.75" customHeight="1" x14ac:dyDescent="0.25">
      <c r="A40" s="652" t="s">
        <v>405</v>
      </c>
      <c r="B40" s="653" t="s">
        <v>175</v>
      </c>
      <c r="C40" s="654">
        <v>1</v>
      </c>
      <c r="D40" s="654">
        <f t="shared" si="8"/>
        <v>355542.6</v>
      </c>
      <c r="E40" s="654">
        <f t="shared" si="6"/>
        <v>355542.6</v>
      </c>
      <c r="F40" s="655" t="s">
        <v>4334</v>
      </c>
      <c r="G40" s="656" t="s">
        <v>4335</v>
      </c>
      <c r="H40" s="657">
        <f>60*'Obra '!$E$15</f>
        <v>47238.6</v>
      </c>
      <c r="I40" s="658">
        <f>60*SUM('Obra '!$E$16:$E$20)</f>
        <v>186780</v>
      </c>
      <c r="J40" s="658">
        <f>60*'Obra '!$E$21</f>
        <v>30381</v>
      </c>
      <c r="K40" s="658">
        <f>60*'Obra '!$E$22</f>
        <v>30381</v>
      </c>
      <c r="L40" s="658">
        <f>60*SUM('Obra '!$E$23:$E$24)</f>
        <v>60762</v>
      </c>
      <c r="M40" s="659">
        <f t="shared" si="7"/>
        <v>355542.6</v>
      </c>
      <c r="N40" s="666"/>
    </row>
    <row r="41" spans="1:14" ht="15.75" customHeight="1" x14ac:dyDescent="0.25">
      <c r="A41" s="648" t="s">
        <v>4352</v>
      </c>
      <c r="B41" s="649"/>
      <c r="C41" s="649"/>
      <c r="D41" s="649"/>
      <c r="E41" s="649"/>
      <c r="F41" s="649"/>
      <c r="G41" s="649"/>
      <c r="H41" s="650"/>
      <c r="I41" s="650"/>
      <c r="J41" s="650"/>
      <c r="K41" s="650"/>
      <c r="L41" s="650"/>
      <c r="M41" s="651"/>
      <c r="N41" s="51"/>
    </row>
    <row r="42" spans="1:14" ht="15.75" customHeight="1" x14ac:dyDescent="0.25">
      <c r="A42" s="652" t="s">
        <v>4353</v>
      </c>
      <c r="B42" s="653" t="s">
        <v>175</v>
      </c>
      <c r="C42" s="654">
        <v>1</v>
      </c>
      <c r="D42" s="654">
        <f t="shared" ref="D42:D47" si="9">M42</f>
        <v>46220.537999999993</v>
      </c>
      <c r="E42" s="654">
        <f t="shared" ref="E42:E47" si="10">D42*C42</f>
        <v>46220.537999999993</v>
      </c>
      <c r="F42" s="655" t="s">
        <v>4334</v>
      </c>
      <c r="G42" s="656" t="s">
        <v>4335</v>
      </c>
      <c r="H42" s="661">
        <f>7.8*'Obra '!$E$15</f>
        <v>6141.0179999999991</v>
      </c>
      <c r="I42" s="662">
        <f>7.8*SUM('Obra '!$E$16:$E$20)</f>
        <v>24281.399999999998</v>
      </c>
      <c r="J42" s="662">
        <f>7.8*'Obra '!$E$21</f>
        <v>3949.53</v>
      </c>
      <c r="K42" s="662">
        <f>7.8*'Obra '!$E$22</f>
        <v>3949.53</v>
      </c>
      <c r="L42" s="662">
        <f>7.8*SUM('Obra '!$E$23:$E$24)</f>
        <v>7899.06</v>
      </c>
      <c r="M42" s="663">
        <f t="shared" ref="M42:M47" si="11">SUM(H42:L42)</f>
        <v>46220.537999999993</v>
      </c>
      <c r="N42" s="660">
        <f>M42/'Obra '!$E$9</f>
        <v>6.0245434069686805</v>
      </c>
    </row>
    <row r="43" spans="1:14" ht="15.75" customHeight="1" x14ac:dyDescent="0.25">
      <c r="A43" s="652" t="s">
        <v>4354</v>
      </c>
      <c r="B43" s="653" t="s">
        <v>175</v>
      </c>
      <c r="C43" s="654">
        <v>1</v>
      </c>
      <c r="D43" s="654">
        <f t="shared" si="9"/>
        <v>45627.967000000011</v>
      </c>
      <c r="E43" s="654">
        <f t="shared" si="10"/>
        <v>45627.967000000011</v>
      </c>
      <c r="F43" s="655" t="s">
        <v>4334</v>
      </c>
      <c r="G43" s="656" t="s">
        <v>4335</v>
      </c>
      <c r="H43" s="661">
        <f>7.7*'Obra '!$E$15</f>
        <v>6062.2869999999994</v>
      </c>
      <c r="I43" s="662">
        <f>7.7*SUM('Obra '!$E$16:$E$20)</f>
        <v>23970.100000000002</v>
      </c>
      <c r="J43" s="662">
        <f>7.7*'Obra '!$E$21</f>
        <v>3898.8950000000004</v>
      </c>
      <c r="K43" s="662">
        <f>7.7*'Obra '!$E$22</f>
        <v>3898.8950000000004</v>
      </c>
      <c r="L43" s="662">
        <f>7.7*SUM('Obra '!$E$23:$E$24)</f>
        <v>7797.7900000000009</v>
      </c>
      <c r="M43" s="663">
        <f t="shared" si="11"/>
        <v>45627.967000000011</v>
      </c>
      <c r="N43" s="660">
        <f>M43/'Obra '!$E$9</f>
        <v>5.9473056709819048</v>
      </c>
    </row>
    <row r="44" spans="1:14" ht="15.75" customHeight="1" x14ac:dyDescent="0.25">
      <c r="A44" s="652" t="s">
        <v>4355</v>
      </c>
      <c r="B44" s="653" t="s">
        <v>175</v>
      </c>
      <c r="C44" s="654">
        <v>1</v>
      </c>
      <c r="D44" s="654">
        <f t="shared" si="9"/>
        <v>23702.84</v>
      </c>
      <c r="E44" s="654">
        <f t="shared" si="10"/>
        <v>23702.84</v>
      </c>
      <c r="F44" s="655" t="s">
        <v>4334</v>
      </c>
      <c r="G44" s="656" t="s">
        <v>4335</v>
      </c>
      <c r="H44" s="657">
        <f>4*'Obra '!$E$15</f>
        <v>3149.24</v>
      </c>
      <c r="I44" s="658">
        <f>4*SUM('Obra '!$E$16:$E$20)</f>
        <v>12452</v>
      </c>
      <c r="J44" s="658">
        <f>4*'Obra '!$E$21</f>
        <v>2025.4</v>
      </c>
      <c r="K44" s="658">
        <f>4*'Obra '!$E$22</f>
        <v>2025.4</v>
      </c>
      <c r="L44" s="658">
        <f>4*SUM('Obra '!$E$23:$E$24)</f>
        <v>4050.8</v>
      </c>
      <c r="M44" s="659">
        <f t="shared" si="11"/>
        <v>23702.84</v>
      </c>
      <c r="N44" s="660">
        <f>M44/'Obra '!$E$9</f>
        <v>3.0895094394711187</v>
      </c>
    </row>
    <row r="45" spans="1:14" ht="15.75" customHeight="1" x14ac:dyDescent="0.25">
      <c r="A45" s="652" t="s">
        <v>4356</v>
      </c>
      <c r="B45" s="653" t="s">
        <v>175</v>
      </c>
      <c r="C45" s="654">
        <v>2</v>
      </c>
      <c r="D45" s="654">
        <f t="shared" si="9"/>
        <v>47405.68</v>
      </c>
      <c r="E45" s="654">
        <f t="shared" si="10"/>
        <v>94811.36</v>
      </c>
      <c r="F45" s="655" t="s">
        <v>4334</v>
      </c>
      <c r="G45" s="656" t="s">
        <v>4335</v>
      </c>
      <c r="H45" s="661">
        <f>8*'Obra '!$E$15</f>
        <v>6298.48</v>
      </c>
      <c r="I45" s="662">
        <f>8*SUM('Obra '!$E$16:$E$20)</f>
        <v>24904</v>
      </c>
      <c r="J45" s="662">
        <f>8*'Obra '!$E$21</f>
        <v>4050.8</v>
      </c>
      <c r="K45" s="662">
        <f>8*'Obra '!$E$22</f>
        <v>4050.8</v>
      </c>
      <c r="L45" s="662">
        <f>8*SUM('Obra '!$E$23:$E$24)</f>
        <v>8101.6</v>
      </c>
      <c r="M45" s="663">
        <f t="shared" si="11"/>
        <v>47405.68</v>
      </c>
      <c r="N45" s="660">
        <f>M45/'Obra '!$E$9</f>
        <v>6.1790188789422373</v>
      </c>
    </row>
    <row r="46" spans="1:14" ht="15.75" customHeight="1" x14ac:dyDescent="0.25">
      <c r="A46" s="652" t="s">
        <v>4357</v>
      </c>
      <c r="B46" s="653" t="s">
        <v>175</v>
      </c>
      <c r="C46" s="654">
        <v>1</v>
      </c>
      <c r="D46" s="654">
        <f t="shared" si="9"/>
        <v>18000.099999999999</v>
      </c>
      <c r="E46" s="654">
        <f t="shared" si="10"/>
        <v>18000.099999999999</v>
      </c>
      <c r="F46" s="655" t="s">
        <v>4334</v>
      </c>
      <c r="G46" s="656" t="s">
        <v>4335</v>
      </c>
      <c r="H46" s="657">
        <f>10*'Obra '!$E$15</f>
        <v>7873.0999999999995</v>
      </c>
      <c r="I46" s="658"/>
      <c r="J46" s="658">
        <f>10*'Obra '!$E$21</f>
        <v>5063.5</v>
      </c>
      <c r="K46" s="658">
        <f>10*'Obra '!$E$22</f>
        <v>5063.5</v>
      </c>
      <c r="L46" s="658"/>
      <c r="M46" s="659">
        <f t="shared" si="11"/>
        <v>18000.099999999999</v>
      </c>
      <c r="N46" s="660"/>
    </row>
    <row r="47" spans="1:14" ht="15.75" customHeight="1" x14ac:dyDescent="0.25">
      <c r="A47" s="652" t="s">
        <v>4358</v>
      </c>
      <c r="B47" s="653" t="s">
        <v>175</v>
      </c>
      <c r="C47" s="654">
        <v>1</v>
      </c>
      <c r="D47" s="654">
        <f t="shared" si="9"/>
        <v>14400.079999999998</v>
      </c>
      <c r="E47" s="654">
        <f t="shared" si="10"/>
        <v>14400.079999999998</v>
      </c>
      <c r="F47" s="655" t="s">
        <v>4334</v>
      </c>
      <c r="G47" s="656" t="s">
        <v>4335</v>
      </c>
      <c r="H47" s="661">
        <f>8*'Obra '!$E$15</f>
        <v>6298.48</v>
      </c>
      <c r="I47" s="662"/>
      <c r="J47" s="662">
        <f>8*'Obra '!$E$21</f>
        <v>4050.8</v>
      </c>
      <c r="K47" s="662">
        <f>8*'Obra '!$E$22</f>
        <v>4050.8</v>
      </c>
      <c r="L47" s="662"/>
      <c r="M47" s="663">
        <f t="shared" si="11"/>
        <v>14400.079999999998</v>
      </c>
      <c r="N47" s="660"/>
    </row>
    <row r="48" spans="1:14" ht="15.75" customHeight="1" x14ac:dyDescent="0.25">
      <c r="A48" s="648" t="s">
        <v>469</v>
      </c>
      <c r="B48" s="649"/>
      <c r="C48" s="649"/>
      <c r="D48" s="649"/>
      <c r="E48" s="649"/>
      <c r="F48" s="649"/>
      <c r="G48" s="649"/>
      <c r="H48" s="650" t="s">
        <v>4314</v>
      </c>
      <c r="I48" s="650" t="s">
        <v>4329</v>
      </c>
      <c r="J48" s="650" t="s">
        <v>4330</v>
      </c>
      <c r="K48" s="650" t="s">
        <v>4331</v>
      </c>
      <c r="L48" s="650" t="s">
        <v>34</v>
      </c>
      <c r="M48" s="651" t="s">
        <v>1089</v>
      </c>
      <c r="N48" s="660"/>
    </row>
    <row r="49" spans="1:14" ht="15.75" customHeight="1" x14ac:dyDescent="0.25">
      <c r="A49" s="652" t="s">
        <v>4359</v>
      </c>
      <c r="B49" s="653" t="s">
        <v>8</v>
      </c>
      <c r="C49" s="654">
        <f t="shared" ref="C49:C52" si="12">M49</f>
        <v>312</v>
      </c>
      <c r="D49" s="654">
        <v>1200</v>
      </c>
      <c r="E49" s="654">
        <f t="shared" ref="E49:E53" si="13">C49*D49</f>
        <v>374400</v>
      </c>
      <c r="F49" s="655" t="s">
        <v>4360</v>
      </c>
      <c r="G49" s="656" t="s">
        <v>4335</v>
      </c>
      <c r="H49" s="664">
        <v>10</v>
      </c>
      <c r="I49" s="659"/>
      <c r="J49" s="659">
        <v>8</v>
      </c>
      <c r="K49" s="659">
        <f>21*14</f>
        <v>294</v>
      </c>
      <c r="L49" s="659"/>
      <c r="M49" s="659">
        <f t="shared" ref="M49:M52" si="14">SUM(H49:L49)</f>
        <v>312</v>
      </c>
      <c r="N49" s="51"/>
    </row>
    <row r="50" spans="1:14" ht="15.75" customHeight="1" x14ac:dyDescent="0.25">
      <c r="A50" s="652" t="s">
        <v>4361</v>
      </c>
      <c r="B50" s="653" t="s">
        <v>8</v>
      </c>
      <c r="C50" s="654">
        <f t="shared" si="12"/>
        <v>8</v>
      </c>
      <c r="D50" s="654">
        <v>4150</v>
      </c>
      <c r="E50" s="654">
        <f t="shared" si="13"/>
        <v>33200</v>
      </c>
      <c r="F50" s="655" t="s">
        <v>4360</v>
      </c>
      <c r="G50" s="656" t="s">
        <v>4335</v>
      </c>
      <c r="H50" s="664"/>
      <c r="I50" s="659"/>
      <c r="J50" s="659">
        <v>8</v>
      </c>
      <c r="K50" s="659"/>
      <c r="L50" s="659"/>
      <c r="M50" s="659">
        <f t="shared" si="14"/>
        <v>8</v>
      </c>
      <c r="N50" s="51"/>
    </row>
    <row r="51" spans="1:14" ht="15.75" customHeight="1" x14ac:dyDescent="0.25">
      <c r="A51" s="652" t="s">
        <v>4362</v>
      </c>
      <c r="B51" s="653" t="s">
        <v>8</v>
      </c>
      <c r="C51" s="654">
        <f t="shared" si="12"/>
        <v>55</v>
      </c>
      <c r="D51" s="654">
        <v>900</v>
      </c>
      <c r="E51" s="654">
        <f t="shared" si="13"/>
        <v>49500</v>
      </c>
      <c r="F51" s="655" t="s">
        <v>4360</v>
      </c>
      <c r="G51" s="656" t="s">
        <v>4335</v>
      </c>
      <c r="H51" s="664">
        <v>9</v>
      </c>
      <c r="I51" s="659"/>
      <c r="J51" s="659">
        <v>4</v>
      </c>
      <c r="K51" s="659">
        <f>2*21</f>
        <v>42</v>
      </c>
      <c r="L51" s="659"/>
      <c r="M51" s="659">
        <f t="shared" si="14"/>
        <v>55</v>
      </c>
      <c r="N51" s="51"/>
    </row>
    <row r="52" spans="1:14" ht="15.75" customHeight="1" x14ac:dyDescent="0.25">
      <c r="A52" s="652" t="s">
        <v>4363</v>
      </c>
      <c r="B52" s="653" t="s">
        <v>8</v>
      </c>
      <c r="C52" s="654">
        <f t="shared" si="12"/>
        <v>86</v>
      </c>
      <c r="D52" s="654">
        <v>2000</v>
      </c>
      <c r="E52" s="654">
        <f t="shared" si="13"/>
        <v>172000</v>
      </c>
      <c r="F52" s="655" t="s">
        <v>4360</v>
      </c>
      <c r="G52" s="656" t="s">
        <v>4335</v>
      </c>
      <c r="H52" s="664"/>
      <c r="I52" s="659"/>
      <c r="J52" s="659">
        <v>2</v>
      </c>
      <c r="K52" s="659">
        <f>4*21</f>
        <v>84</v>
      </c>
      <c r="L52" s="659"/>
      <c r="M52" s="659">
        <f t="shared" si="14"/>
        <v>86</v>
      </c>
      <c r="N52" s="51"/>
    </row>
    <row r="53" spans="1:14" ht="15.75" customHeight="1" x14ac:dyDescent="0.25">
      <c r="A53" s="652" t="s">
        <v>4364</v>
      </c>
      <c r="B53" s="653" t="s">
        <v>175</v>
      </c>
      <c r="C53" s="654">
        <v>1</v>
      </c>
      <c r="D53" s="654">
        <f>M53</f>
        <v>103572.54</v>
      </c>
      <c r="E53" s="654">
        <f t="shared" si="13"/>
        <v>103572.54</v>
      </c>
      <c r="F53" s="655" t="s">
        <v>4334</v>
      </c>
      <c r="G53" s="656" t="s">
        <v>4335</v>
      </c>
      <c r="H53" s="664"/>
      <c r="I53" s="659"/>
      <c r="J53" s="659"/>
      <c r="K53" s="659"/>
      <c r="L53" s="659"/>
      <c r="M53" s="659">
        <f>13.5*'Obra '!E9</f>
        <v>103572.54</v>
      </c>
      <c r="N53" s="51">
        <f>7000*'Obra '!E13</f>
        <v>112000</v>
      </c>
    </row>
  </sheetData>
  <mergeCells count="5">
    <mergeCell ref="C13:L13"/>
    <mergeCell ref="C14:L14"/>
    <mergeCell ref="C15:L15"/>
    <mergeCell ref="A16:M16"/>
    <mergeCell ref="H17:M17"/>
  </mergeCells>
  <conditionalFormatting sqref="F19:G25 F27:F31 F33:G40 F42:G47 F49:G53">
    <cfRule type="containsText" dxfId="109" priority="1" operator="containsText" text="média">
      <formula>NOT(ISERROR(SEARCH(("média"),(F19))))</formula>
    </cfRule>
  </conditionalFormatting>
  <conditionalFormatting sqref="F19:G25 F27:F31 F33:G40 F42:G47 F49:G53">
    <cfRule type="containsText" dxfId="108" priority="2" operator="containsText" text="informado">
      <formula>NOT(ISERROR(SEARCH(("informado"),(F19))))</formula>
    </cfRule>
  </conditionalFormatting>
  <conditionalFormatting sqref="G17:G25 G27:G40 G41:M41 G42:G47 G48:M48 G49:G1000 H18:M18 H32:M32">
    <cfRule type="containsText" dxfId="107" priority="3" operator="containsText" text="pendente">
      <formula>NOT(ISERROR(SEARCH(("pendente"),(G17))))</formula>
    </cfRule>
  </conditionalFormatting>
  <conditionalFormatting sqref="G17:G25 G27:G40 G41:M41 G42:G47 G48:M48 G49:G1000 H18:M18 H32:M32">
    <cfRule type="containsText" dxfId="106" priority="4" operator="containsText" text="lançado">
      <formula>NOT(ISERROR(SEARCH(("lançado"),(G17))))</formula>
    </cfRule>
  </conditionalFormatting>
  <conditionalFormatting sqref="G25">
    <cfRule type="containsText" dxfId="105" priority="5" operator="containsText" text="média">
      <formula>NOT(ISERROR(SEARCH(("média"),(G25))))</formula>
    </cfRule>
  </conditionalFormatting>
  <conditionalFormatting sqref="G25">
    <cfRule type="containsText" dxfId="104" priority="6" operator="containsText" text="informado">
      <formula>NOT(ISERROR(SEARCH(("informado"),(G25))))</formula>
    </cfRule>
  </conditionalFormatting>
  <conditionalFormatting sqref="G25">
    <cfRule type="containsText" dxfId="103" priority="7" operator="containsText" text="pendente">
      <formula>NOT(ISERROR(SEARCH(("pendente"),(G25))))</formula>
    </cfRule>
  </conditionalFormatting>
  <conditionalFormatting sqref="G25">
    <cfRule type="containsText" dxfId="102" priority="8" operator="containsText" text="lançado">
      <formula>NOT(ISERROR(SEARCH(("lançado"),(G25))))</formula>
    </cfRule>
  </conditionalFormatting>
  <conditionalFormatting sqref="G27:G31">
    <cfRule type="containsText" dxfId="101" priority="9" operator="containsText" text="média">
      <formula>NOT(ISERROR(SEARCH(("média"),(G27))))</formula>
    </cfRule>
  </conditionalFormatting>
  <conditionalFormatting sqref="G27:G31">
    <cfRule type="containsText" dxfId="100" priority="10" operator="containsText" text="informado">
      <formula>NOT(ISERROR(SEARCH(("informado"),(G27))))</formula>
    </cfRule>
  </conditionalFormatting>
  <conditionalFormatting sqref="G26:M26">
    <cfRule type="containsText" dxfId="99" priority="11" operator="containsText" text="pendente">
      <formula>NOT(ISERROR(SEARCH(("pendente"),(G26))))</formula>
    </cfRule>
  </conditionalFormatting>
  <conditionalFormatting sqref="G26:M26">
    <cfRule type="containsText" dxfId="98" priority="12" operator="containsText" text="lançado">
      <formula>NOT(ISERROR(SEARCH(("lançado"),(G26))))</formula>
    </cfRule>
  </conditionalFormatting>
  <conditionalFormatting sqref="H17">
    <cfRule type="containsText" dxfId="97" priority="13" operator="containsText" text="pendente">
      <formula>NOT(ISERROR(SEARCH(("pendente"),(H17))))</formula>
    </cfRule>
  </conditionalFormatting>
  <conditionalFormatting sqref="H17">
    <cfRule type="containsText" dxfId="96" priority="14" operator="containsText" text="lançado">
      <formula>NOT(ISERROR(SEARCH(("lançado"),(H17))))</formula>
    </cfRule>
  </conditionalFormatting>
  <dataValidations count="1">
    <dataValidation type="list" allowBlank="1" showErrorMessage="1" sqref="G19:G25 G27:G31 G33:G40 G42:G47 G49:G53" xr:uid="{00000000-0002-0000-0F00-000000000000}">
      <formula1>"Lançado Sienge,Pendente"</formula1>
    </dataValidation>
  </dataValidations>
  <pageMargins left="0.511811024" right="0.511811024" top="0.78740157499999996" bottom="0.78740157499999996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851D6"/>
    <outlinePr summaryBelow="0" summaryRight="0"/>
  </sheetPr>
  <dimension ref="A1:Y59"/>
  <sheetViews>
    <sheetView showGridLines="0" workbookViewId="0"/>
  </sheetViews>
  <sheetFormatPr defaultColWidth="12.5703125" defaultRowHeight="15" customHeight="1" x14ac:dyDescent="0.2"/>
  <cols>
    <col min="1" max="1" width="24.140625" customWidth="1"/>
    <col min="2" max="2" width="31.7109375" customWidth="1"/>
    <col min="3" max="3" width="31.140625" customWidth="1"/>
    <col min="4" max="4" width="107.28515625" customWidth="1"/>
    <col min="5" max="9" width="12.7109375" customWidth="1"/>
    <col min="10" max="10" width="16" customWidth="1"/>
    <col min="11" max="11" width="12.7109375" customWidth="1"/>
    <col min="12" max="12" width="20.5703125" customWidth="1"/>
    <col min="13" max="13" width="20.140625" customWidth="1"/>
    <col min="14" max="14" width="19.28515625" customWidth="1"/>
    <col min="15" max="26" width="12.7109375" customWidth="1"/>
  </cols>
  <sheetData>
    <row r="1" spans="1:25" ht="15" customHeight="1" x14ac:dyDescent="0.2">
      <c r="A1" s="546"/>
      <c r="B1" s="581"/>
      <c r="C1" s="543" t="s">
        <v>0</v>
      </c>
      <c r="D1" s="339" t="str">
        <f>'Obra '!D1</f>
        <v>Mosaico</v>
      </c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4"/>
      <c r="W1" s="334"/>
      <c r="X1" s="669"/>
      <c r="Y1" s="670"/>
    </row>
    <row r="2" spans="1:25" ht="15" customHeight="1" x14ac:dyDescent="0.2">
      <c r="A2" s="549"/>
      <c r="B2" s="334"/>
      <c r="C2" s="543" t="s">
        <v>2</v>
      </c>
      <c r="D2" s="671" t="str">
        <f>'Obra '!D2</f>
        <v>Grupo DUO</v>
      </c>
      <c r="E2" s="672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673"/>
      <c r="X2" s="673"/>
      <c r="Y2" s="674"/>
    </row>
    <row r="3" spans="1:25" ht="15" customHeight="1" x14ac:dyDescent="0.2">
      <c r="A3" s="549"/>
      <c r="B3" s="334"/>
      <c r="C3" s="543" t="s">
        <v>959</v>
      </c>
      <c r="D3" s="671"/>
      <c r="E3" s="675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673"/>
      <c r="X3" s="673"/>
      <c r="Y3" s="674"/>
    </row>
    <row r="4" spans="1:25" ht="15" customHeight="1" x14ac:dyDescent="0.2">
      <c r="A4" s="583"/>
      <c r="B4" s="676"/>
      <c r="C4" s="543" t="s">
        <v>4</v>
      </c>
      <c r="D4" s="544"/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677"/>
      <c r="W4" s="678"/>
      <c r="X4" s="678"/>
      <c r="Y4" s="679"/>
    </row>
    <row r="5" spans="1:25" ht="12.75" x14ac:dyDescent="0.2">
      <c r="A5" s="1151"/>
      <c r="B5" s="1088"/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8"/>
      <c r="Q5" s="1088"/>
      <c r="R5" s="1088"/>
      <c r="S5" s="1088"/>
      <c r="T5" s="1088"/>
      <c r="U5" s="1088"/>
      <c r="V5" s="1088"/>
      <c r="W5" s="1088"/>
      <c r="X5" s="1088"/>
      <c r="Y5" s="1089"/>
    </row>
    <row r="6" spans="1:25" ht="15" customHeight="1" x14ac:dyDescent="0.55000000000000004">
      <c r="A6" s="680" t="s">
        <v>4365</v>
      </c>
      <c r="B6" s="680" t="s">
        <v>4366</v>
      </c>
      <c r="C6" s="680" t="s">
        <v>4367</v>
      </c>
      <c r="D6" s="680" t="s">
        <v>7</v>
      </c>
      <c r="E6" s="680" t="s">
        <v>9</v>
      </c>
      <c r="F6" s="680" t="s">
        <v>4368</v>
      </c>
      <c r="G6" s="680" t="s">
        <v>4369</v>
      </c>
      <c r="H6" s="680" t="s">
        <v>8</v>
      </c>
      <c r="I6" s="680" t="s">
        <v>128</v>
      </c>
      <c r="J6" s="680" t="s">
        <v>4370</v>
      </c>
      <c r="K6" s="334"/>
      <c r="L6" s="681" t="s">
        <v>4366</v>
      </c>
      <c r="M6" s="681" t="s">
        <v>4371</v>
      </c>
      <c r="N6" s="681" t="s">
        <v>59</v>
      </c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</row>
    <row r="7" spans="1:25" ht="15" customHeight="1" x14ac:dyDescent="0.25">
      <c r="A7" s="682" t="s">
        <v>4371</v>
      </c>
      <c r="B7" s="683"/>
      <c r="C7" s="684"/>
      <c r="D7" s="684"/>
      <c r="E7" s="685"/>
      <c r="F7" s="685"/>
      <c r="G7" s="685"/>
      <c r="H7" s="685"/>
      <c r="I7" s="686"/>
      <c r="J7" s="687">
        <f t="shared" ref="J7:J13" si="0">IF(SUM(E7:I7)=0,SUMIFS($J8:$J$58,$A8:$A$58,$A7),G7*I7)</f>
        <v>104911.24099999999</v>
      </c>
      <c r="K7" s="334"/>
      <c r="L7" s="688" t="s">
        <v>4372</v>
      </c>
      <c r="M7" s="689">
        <f>SUMIFS($J$7:$J$58,$B$7:$B$58,$L7,$A$7:$A$58,M$6)</f>
        <v>104911.24099999999</v>
      </c>
      <c r="N7" s="689">
        <f>SUM(M7)</f>
        <v>104911.24099999999</v>
      </c>
      <c r="O7" s="334"/>
      <c r="P7" s="334"/>
      <c r="Q7" s="334"/>
      <c r="R7" s="334"/>
      <c r="S7" s="334"/>
      <c r="T7" s="334"/>
      <c r="U7" s="334"/>
      <c r="V7" s="334"/>
      <c r="W7" s="334"/>
      <c r="X7" s="334"/>
      <c r="Y7" s="334"/>
    </row>
    <row r="8" spans="1:25" ht="15" customHeight="1" x14ac:dyDescent="0.25">
      <c r="A8" s="690" t="str">
        <f t="shared" ref="A8:A58" si="1">A7</f>
        <v>CABEAMENTO</v>
      </c>
      <c r="B8" s="690" t="s">
        <v>4372</v>
      </c>
      <c r="C8" s="690" t="s">
        <v>4373</v>
      </c>
      <c r="D8" s="691" t="s">
        <v>4374</v>
      </c>
      <c r="E8" s="692">
        <v>540</v>
      </c>
      <c r="F8" s="692">
        <v>0</v>
      </c>
      <c r="G8" s="693">
        <f t="shared" ref="G8:G58" si="2">E8+(E8*F8)</f>
        <v>540</v>
      </c>
      <c r="H8" s="694" t="s">
        <v>4375</v>
      </c>
      <c r="I8" s="695">
        <f>VLOOKUP(D8,'TELEFONE - PREÇO'!$C$7:$E$57,3,FALSE)</f>
        <v>1.54</v>
      </c>
      <c r="J8" s="696">
        <f t="shared" si="0"/>
        <v>831.6</v>
      </c>
      <c r="K8" s="334"/>
      <c r="L8" s="334"/>
      <c r="M8" s="697" t="s">
        <v>59</v>
      </c>
      <c r="N8" s="698">
        <f>N7</f>
        <v>104911.24099999999</v>
      </c>
      <c r="O8" s="51" t="str">
        <f>IF(J59=N8,"Ok!","Rever!")</f>
        <v>Ok!</v>
      </c>
      <c r="P8" s="334"/>
      <c r="Q8" s="334"/>
      <c r="R8" s="334"/>
      <c r="S8" s="334"/>
      <c r="T8" s="334"/>
      <c r="U8" s="334"/>
      <c r="V8" s="334"/>
      <c r="W8" s="334"/>
      <c r="X8" s="334"/>
      <c r="Y8" s="334"/>
    </row>
    <row r="9" spans="1:25" ht="15" customHeight="1" x14ac:dyDescent="0.25">
      <c r="A9" s="690" t="str">
        <f t="shared" si="1"/>
        <v>CABEAMENTO</v>
      </c>
      <c r="B9" s="690" t="s">
        <v>4372</v>
      </c>
      <c r="C9" s="690" t="s">
        <v>4373</v>
      </c>
      <c r="D9" s="691" t="s">
        <v>4376</v>
      </c>
      <c r="E9" s="692">
        <v>18</v>
      </c>
      <c r="F9" s="692">
        <v>0</v>
      </c>
      <c r="G9" s="693">
        <f t="shared" si="2"/>
        <v>18</v>
      </c>
      <c r="H9" s="694" t="s">
        <v>4375</v>
      </c>
      <c r="I9" s="695">
        <f>VLOOKUP(D9,'TELEFONE - PREÇO'!$C$7:$E$57,3,FALSE)</f>
        <v>20.041</v>
      </c>
      <c r="J9" s="696">
        <f t="shared" si="0"/>
        <v>360.738</v>
      </c>
      <c r="K9" s="334"/>
      <c r="L9" s="334"/>
      <c r="M9" s="334"/>
      <c r="N9" s="334"/>
      <c r="O9" s="334"/>
      <c r="P9" s="334"/>
      <c r="Q9" s="334"/>
      <c r="R9" s="334"/>
      <c r="S9" s="334"/>
      <c r="T9" s="334"/>
      <c r="U9" s="334"/>
      <c r="V9" s="334"/>
      <c r="W9" s="334"/>
      <c r="X9" s="334"/>
      <c r="Y9" s="334"/>
    </row>
    <row r="10" spans="1:25" ht="15" customHeight="1" x14ac:dyDescent="0.25">
      <c r="A10" s="690" t="str">
        <f t="shared" si="1"/>
        <v>CABEAMENTO</v>
      </c>
      <c r="B10" s="690" t="s">
        <v>4372</v>
      </c>
      <c r="C10" s="690" t="s">
        <v>4373</v>
      </c>
      <c r="D10" s="691" t="s">
        <v>4377</v>
      </c>
      <c r="E10" s="692">
        <v>15</v>
      </c>
      <c r="F10" s="692">
        <v>0</v>
      </c>
      <c r="G10" s="693">
        <f t="shared" si="2"/>
        <v>15</v>
      </c>
      <c r="H10" s="694" t="s">
        <v>4375</v>
      </c>
      <c r="I10" s="695">
        <f>VLOOKUP(D10,'TELEFONE - PREÇO'!$C$7:$E$57,3,FALSE)</f>
        <v>27.283000000000001</v>
      </c>
      <c r="J10" s="696">
        <f t="shared" si="0"/>
        <v>409.245</v>
      </c>
      <c r="K10" s="334"/>
      <c r="P10" s="334"/>
      <c r="Q10" s="334"/>
      <c r="R10" s="334"/>
      <c r="S10" s="334"/>
      <c r="T10" s="334"/>
      <c r="U10" s="334"/>
      <c r="V10" s="334"/>
      <c r="W10" s="334"/>
      <c r="X10" s="334"/>
      <c r="Y10" s="334"/>
    </row>
    <row r="11" spans="1:25" ht="15" customHeight="1" x14ac:dyDescent="0.25">
      <c r="A11" s="690" t="str">
        <f t="shared" si="1"/>
        <v>CABEAMENTO</v>
      </c>
      <c r="B11" s="690" t="s">
        <v>4372</v>
      </c>
      <c r="C11" s="690" t="s">
        <v>4378</v>
      </c>
      <c r="D11" s="691" t="s">
        <v>4379</v>
      </c>
      <c r="E11" s="692">
        <v>11</v>
      </c>
      <c r="F11" s="692">
        <v>0</v>
      </c>
      <c r="G11" s="693">
        <f t="shared" si="2"/>
        <v>11</v>
      </c>
      <c r="H11" s="694" t="s">
        <v>4375</v>
      </c>
      <c r="I11" s="695">
        <f>VLOOKUP(D11,'TELEFONE - PREÇO'!$C$7:$E$57,3,FALSE)</f>
        <v>7.9989999999999997</v>
      </c>
      <c r="J11" s="696">
        <f t="shared" si="0"/>
        <v>87.98899999999999</v>
      </c>
      <c r="K11" s="334"/>
      <c r="P11" s="334"/>
      <c r="Q11" s="334"/>
      <c r="R11" s="334"/>
      <c r="S11" s="334"/>
      <c r="T11" s="334"/>
      <c r="U11" s="334"/>
      <c r="V11" s="334"/>
      <c r="W11" s="334"/>
      <c r="X11" s="334"/>
      <c r="Y11" s="334"/>
    </row>
    <row r="12" spans="1:25" ht="15" customHeight="1" x14ac:dyDescent="0.25">
      <c r="A12" s="690" t="str">
        <f t="shared" si="1"/>
        <v>CABEAMENTO</v>
      </c>
      <c r="B12" s="690" t="s">
        <v>4372</v>
      </c>
      <c r="C12" s="690" t="s">
        <v>4378</v>
      </c>
      <c r="D12" s="691" t="s">
        <v>4380</v>
      </c>
      <c r="E12" s="692">
        <v>11</v>
      </c>
      <c r="F12" s="692">
        <v>0</v>
      </c>
      <c r="G12" s="693">
        <f t="shared" si="2"/>
        <v>11</v>
      </c>
      <c r="H12" s="694" t="s">
        <v>4375</v>
      </c>
      <c r="I12" s="695">
        <f>VLOOKUP(D12,'TELEFONE - PREÇO'!$C$7:$E$57,3,FALSE)</f>
        <v>1.77</v>
      </c>
      <c r="J12" s="696">
        <f t="shared" si="0"/>
        <v>19.47</v>
      </c>
      <c r="K12" s="334"/>
      <c r="L12" s="334"/>
      <c r="M12" s="334"/>
      <c r="N12" s="334"/>
      <c r="O12" s="334"/>
      <c r="P12" s="334"/>
      <c r="Q12" s="334"/>
      <c r="R12" s="334"/>
      <c r="S12" s="334"/>
      <c r="T12" s="334"/>
      <c r="U12" s="334"/>
      <c r="V12" s="334"/>
      <c r="W12" s="334"/>
      <c r="X12" s="334"/>
      <c r="Y12" s="334"/>
    </row>
    <row r="13" spans="1:25" ht="15" customHeight="1" x14ac:dyDescent="0.25">
      <c r="A13" s="690" t="str">
        <f t="shared" si="1"/>
        <v>CABEAMENTO</v>
      </c>
      <c r="B13" s="690" t="s">
        <v>4372</v>
      </c>
      <c r="C13" s="690" t="s">
        <v>4378</v>
      </c>
      <c r="D13" s="691" t="s">
        <v>4381</v>
      </c>
      <c r="E13" s="692">
        <v>3</v>
      </c>
      <c r="F13" s="692">
        <v>0</v>
      </c>
      <c r="G13" s="693">
        <f t="shared" si="2"/>
        <v>3</v>
      </c>
      <c r="H13" s="694" t="s">
        <v>4375</v>
      </c>
      <c r="I13" s="695">
        <f>VLOOKUP(D13,'TELEFONE - PREÇO'!$C$7:$E$57,3,FALSE)</f>
        <v>17.100000000000001</v>
      </c>
      <c r="J13" s="696">
        <f t="shared" si="0"/>
        <v>51.300000000000004</v>
      </c>
      <c r="K13" s="334"/>
      <c r="L13" s="334"/>
      <c r="M13" s="334"/>
      <c r="N13" s="334"/>
      <c r="O13" s="334"/>
      <c r="P13" s="334"/>
      <c r="Q13" s="336"/>
      <c r="R13" s="336"/>
      <c r="S13" s="336"/>
      <c r="T13" s="336"/>
      <c r="U13" s="336"/>
      <c r="V13" s="336"/>
      <c r="W13" s="336"/>
      <c r="X13" s="334"/>
      <c r="Y13" s="334"/>
    </row>
    <row r="14" spans="1:25" ht="15" customHeight="1" x14ac:dyDescent="0.25">
      <c r="A14" s="690" t="str">
        <f t="shared" si="1"/>
        <v>CABEAMENTO</v>
      </c>
      <c r="B14" s="690" t="s">
        <v>4372</v>
      </c>
      <c r="C14" s="690" t="s">
        <v>4382</v>
      </c>
      <c r="D14" s="691" t="s">
        <v>4383</v>
      </c>
      <c r="E14" s="692">
        <v>1</v>
      </c>
      <c r="F14" s="692">
        <v>0</v>
      </c>
      <c r="G14" s="693">
        <f t="shared" si="2"/>
        <v>1</v>
      </c>
      <c r="H14" s="694" t="s">
        <v>4375</v>
      </c>
      <c r="I14" s="695">
        <f>VLOOKUP(D14,'TELEFONE - PREÇO'!$C$7:$E$57,3,FALSE)</f>
        <v>13.49</v>
      </c>
      <c r="J14" s="696">
        <f>IF(SUM(E14:I14)=0,SUMIFS(#REF!,#REF!,$A14),G14*I14)</f>
        <v>13.49</v>
      </c>
      <c r="K14" s="334"/>
      <c r="L14" s="334"/>
      <c r="M14" s="334"/>
      <c r="N14" s="334"/>
      <c r="O14" s="334"/>
      <c r="P14" s="334"/>
      <c r="Q14" s="334"/>
      <c r="R14" s="334"/>
      <c r="S14" s="334"/>
      <c r="T14" s="334"/>
      <c r="U14" s="334"/>
      <c r="V14" s="334"/>
      <c r="W14" s="334"/>
      <c r="X14" s="334"/>
      <c r="Y14" s="334"/>
    </row>
    <row r="15" spans="1:25" ht="15" customHeight="1" x14ac:dyDescent="0.25">
      <c r="A15" s="690" t="str">
        <f t="shared" si="1"/>
        <v>CABEAMENTO</v>
      </c>
      <c r="B15" s="690" t="s">
        <v>4372</v>
      </c>
      <c r="C15" s="690" t="s">
        <v>4382</v>
      </c>
      <c r="D15" s="691" t="s">
        <v>4384</v>
      </c>
      <c r="E15" s="692">
        <v>4</v>
      </c>
      <c r="F15" s="692">
        <v>0</v>
      </c>
      <c r="G15" s="693">
        <f t="shared" si="2"/>
        <v>4</v>
      </c>
      <c r="H15" s="694" t="s">
        <v>4375</v>
      </c>
      <c r="I15" s="695">
        <f>VLOOKUP(D15,'TELEFONE - PREÇO'!$C$7:$E$57,3,FALSE)</f>
        <v>14.8</v>
      </c>
      <c r="J15" s="696">
        <f>IF(SUM(E15:I15)=0,SUMIFS($J16:$J$58,$A16:$A$58,$A15),G15*I15)</f>
        <v>59.2</v>
      </c>
      <c r="K15" s="334"/>
      <c r="L15" s="334"/>
      <c r="M15" s="334"/>
      <c r="N15" s="334"/>
      <c r="O15" s="334"/>
      <c r="P15" s="334"/>
      <c r="Q15" s="334"/>
      <c r="R15" s="334"/>
      <c r="S15" s="334"/>
      <c r="T15" s="334"/>
      <c r="U15" s="334"/>
      <c r="V15" s="334"/>
      <c r="W15" s="334"/>
      <c r="X15" s="334"/>
      <c r="Y15" s="334"/>
    </row>
    <row r="16" spans="1:25" ht="15" customHeight="1" x14ac:dyDescent="0.25">
      <c r="A16" s="690" t="str">
        <f t="shared" si="1"/>
        <v>CABEAMENTO</v>
      </c>
      <c r="B16" s="690" t="s">
        <v>4372</v>
      </c>
      <c r="C16" s="690" t="s">
        <v>4385</v>
      </c>
      <c r="D16" s="691" t="s">
        <v>4386</v>
      </c>
      <c r="E16" s="692">
        <v>5</v>
      </c>
      <c r="F16" s="692">
        <v>0</v>
      </c>
      <c r="G16" s="693">
        <f t="shared" si="2"/>
        <v>5</v>
      </c>
      <c r="H16" s="694" t="s">
        <v>4375</v>
      </c>
      <c r="I16" s="695">
        <f>VLOOKUP(D16,'TELEFONE - PREÇO'!$C$7:$E$57,3,FALSE)</f>
        <v>11.47</v>
      </c>
      <c r="J16" s="696">
        <f>IF(SUM(E16:I16)=0,SUMIFS(#REF!,#REF!,$A16),G16*I16)</f>
        <v>57.35</v>
      </c>
      <c r="K16" s="334"/>
      <c r="L16" s="334"/>
      <c r="M16" s="334"/>
      <c r="N16" s="334"/>
      <c r="O16" s="334"/>
      <c r="P16" s="334"/>
      <c r="Q16" s="334"/>
      <c r="R16" s="334"/>
      <c r="S16" s="334"/>
      <c r="T16" s="334"/>
      <c r="U16" s="334"/>
      <c r="V16" s="334"/>
      <c r="W16" s="334"/>
      <c r="X16" s="334"/>
      <c r="Y16" s="334"/>
    </row>
    <row r="17" spans="1:10" ht="15" customHeight="1" x14ac:dyDescent="0.25">
      <c r="A17" s="690" t="str">
        <f t="shared" si="1"/>
        <v>CABEAMENTO</v>
      </c>
      <c r="B17" s="690" t="s">
        <v>4372</v>
      </c>
      <c r="C17" s="690" t="s">
        <v>4385</v>
      </c>
      <c r="D17" s="691" t="s">
        <v>4387</v>
      </c>
      <c r="E17" s="692">
        <v>7</v>
      </c>
      <c r="F17" s="692">
        <v>0</v>
      </c>
      <c r="G17" s="693">
        <f t="shared" si="2"/>
        <v>7</v>
      </c>
      <c r="H17" s="694" t="s">
        <v>4375</v>
      </c>
      <c r="I17" s="695">
        <f>VLOOKUP(D17,'TELEFONE - PREÇO'!$C$7:$E$57,3,FALSE)</f>
        <v>0.38</v>
      </c>
      <c r="J17" s="696">
        <f>IF(SUM(E17:I17)=0,SUMIFS($J18:$J$58,$A18:$A$58,$A17),G17*I17)</f>
        <v>2.66</v>
      </c>
    </row>
    <row r="18" spans="1:10" x14ac:dyDescent="0.25">
      <c r="A18" s="690" t="str">
        <f t="shared" si="1"/>
        <v>CABEAMENTO</v>
      </c>
      <c r="B18" s="690" t="s">
        <v>4372</v>
      </c>
      <c r="C18" s="690" t="s">
        <v>4385</v>
      </c>
      <c r="D18" s="691" t="s">
        <v>4388</v>
      </c>
      <c r="E18" s="692">
        <v>10</v>
      </c>
      <c r="F18" s="692">
        <v>0</v>
      </c>
      <c r="G18" s="693">
        <f t="shared" si="2"/>
        <v>10</v>
      </c>
      <c r="H18" s="694" t="s">
        <v>4375</v>
      </c>
      <c r="I18" s="695">
        <f>VLOOKUP(D18,'TELEFONE - PREÇO'!$C$7:$E$57,3,FALSE)</f>
        <v>1.41</v>
      </c>
      <c r="J18" s="696">
        <f>IF(SUM(E18:I18)=0,SUMIFS(#REF!,#REF!,$A18),G18*I18)</f>
        <v>14.1</v>
      </c>
    </row>
    <row r="19" spans="1:10" ht="30" x14ac:dyDescent="0.25">
      <c r="A19" s="690" t="str">
        <f t="shared" si="1"/>
        <v>CABEAMENTO</v>
      </c>
      <c r="B19" s="690" t="s">
        <v>4372</v>
      </c>
      <c r="C19" s="690" t="s">
        <v>4389</v>
      </c>
      <c r="D19" s="691" t="s">
        <v>4390</v>
      </c>
      <c r="E19" s="692">
        <v>6</v>
      </c>
      <c r="F19" s="692">
        <v>0</v>
      </c>
      <c r="G19" s="693">
        <f t="shared" si="2"/>
        <v>6</v>
      </c>
      <c r="H19" s="694" t="s">
        <v>4375</v>
      </c>
      <c r="I19" s="695">
        <f>VLOOKUP(D19,'TELEFONE - PREÇO'!$C$7:$E$57,3,FALSE)</f>
        <v>27.99</v>
      </c>
      <c r="J19" s="696">
        <f>IF(SUM(E19:I19)=0,SUMIFS($J20:$J$58,$A20:$A$58,$A19),G19*I19)</f>
        <v>167.94</v>
      </c>
    </row>
    <row r="20" spans="1:10" x14ac:dyDescent="0.25">
      <c r="A20" s="690" t="str">
        <f t="shared" si="1"/>
        <v>CABEAMENTO</v>
      </c>
      <c r="B20" s="690" t="s">
        <v>4372</v>
      </c>
      <c r="C20" s="690" t="s">
        <v>4389</v>
      </c>
      <c r="D20" s="691" t="s">
        <v>4391</v>
      </c>
      <c r="E20" s="692">
        <v>18</v>
      </c>
      <c r="F20" s="692">
        <v>0</v>
      </c>
      <c r="G20" s="693">
        <f t="shared" si="2"/>
        <v>18</v>
      </c>
      <c r="H20" s="694" t="s">
        <v>4375</v>
      </c>
      <c r="I20" s="695">
        <f>VLOOKUP(D20,'TELEFONE - PREÇO'!$C$7:$E$57,3,FALSE)</f>
        <v>1.41</v>
      </c>
      <c r="J20" s="696">
        <f>IF(SUM(E20:I20)=0,SUMIFS($J$59:$J60,$A$59:$A60,$A20),G20*I20)</f>
        <v>25.38</v>
      </c>
    </row>
    <row r="21" spans="1:10" x14ac:dyDescent="0.25">
      <c r="A21" s="690" t="str">
        <f t="shared" si="1"/>
        <v>CABEAMENTO</v>
      </c>
      <c r="B21" s="690" t="s">
        <v>4372</v>
      </c>
      <c r="C21" s="690" t="s">
        <v>4392</v>
      </c>
      <c r="D21" s="691" t="s">
        <v>4393</v>
      </c>
      <c r="E21" s="692">
        <v>43</v>
      </c>
      <c r="F21" s="692">
        <v>0</v>
      </c>
      <c r="G21" s="693">
        <f t="shared" si="2"/>
        <v>43</v>
      </c>
      <c r="H21" s="694" t="s">
        <v>4375</v>
      </c>
      <c r="I21" s="695">
        <f>VLOOKUP(D21,'TELEFONE - PREÇO'!$C$7:$E$57,3,FALSE)</f>
        <v>2.09</v>
      </c>
      <c r="J21" s="696">
        <f>IF(SUM(E21:I21)=0,SUMIFS($J22:$J$58,$A22:$A$58,$A21),G21*I21)</f>
        <v>89.86999999999999</v>
      </c>
    </row>
    <row r="22" spans="1:10" x14ac:dyDescent="0.25">
      <c r="A22" s="690" t="str">
        <f t="shared" si="1"/>
        <v>CABEAMENTO</v>
      </c>
      <c r="B22" s="690" t="s">
        <v>4372</v>
      </c>
      <c r="C22" s="690" t="s">
        <v>4392</v>
      </c>
      <c r="D22" s="691" t="s">
        <v>4394</v>
      </c>
      <c r="E22" s="692">
        <v>4</v>
      </c>
      <c r="F22" s="692">
        <v>0</v>
      </c>
      <c r="G22" s="693">
        <f t="shared" si="2"/>
        <v>4</v>
      </c>
      <c r="H22" s="694" t="s">
        <v>4375</v>
      </c>
      <c r="I22" s="695">
        <f>VLOOKUP(D22,'TELEFONE - PREÇO'!$C$7:$E$57,3,FALSE)</f>
        <v>19.86</v>
      </c>
      <c r="J22" s="696">
        <f>IF(SUM(E22:I22)=0,SUMIFS($J$59:$J62,$A$59:$A62,$A22),G22*I22)</f>
        <v>79.44</v>
      </c>
    </row>
    <row r="23" spans="1:10" x14ac:dyDescent="0.25">
      <c r="A23" s="690" t="str">
        <f t="shared" si="1"/>
        <v>CABEAMENTO</v>
      </c>
      <c r="B23" s="690" t="s">
        <v>4372</v>
      </c>
      <c r="C23" s="690" t="s">
        <v>4392</v>
      </c>
      <c r="D23" s="691" t="s">
        <v>4395</v>
      </c>
      <c r="E23" s="692">
        <v>86</v>
      </c>
      <c r="F23" s="692">
        <v>0</v>
      </c>
      <c r="G23" s="693">
        <f t="shared" si="2"/>
        <v>86</v>
      </c>
      <c r="H23" s="694" t="s">
        <v>4375</v>
      </c>
      <c r="I23" s="695">
        <f>VLOOKUP(D23,'TELEFONE - PREÇO'!$C$7:$E$57,3,FALSE)</f>
        <v>0.62</v>
      </c>
      <c r="J23" s="696">
        <f>IF(SUM(E23:I23)=0,SUMIFS($J24:$J$58,$A24:$A$58,$A23),G23*I23)</f>
        <v>53.32</v>
      </c>
    </row>
    <row r="24" spans="1:10" x14ac:dyDescent="0.25">
      <c r="A24" s="690" t="str">
        <f t="shared" si="1"/>
        <v>CABEAMENTO</v>
      </c>
      <c r="B24" s="690" t="s">
        <v>4372</v>
      </c>
      <c r="C24" s="690" t="s">
        <v>4392</v>
      </c>
      <c r="D24" s="691" t="s">
        <v>4396</v>
      </c>
      <c r="E24" s="692">
        <v>8</v>
      </c>
      <c r="F24" s="692">
        <v>0</v>
      </c>
      <c r="G24" s="693">
        <f t="shared" si="2"/>
        <v>8</v>
      </c>
      <c r="H24" s="694" t="s">
        <v>4375</v>
      </c>
      <c r="I24" s="695">
        <f>VLOOKUP(D24,'TELEFONE - PREÇO'!$C$7:$E$57,3,FALSE)</f>
        <v>0.82</v>
      </c>
      <c r="J24" s="696">
        <f>IF(SUM(E24:I24)=0,SUMIFS($J$59:$J64,$A$59:$A64,$A24),G24*I24)</f>
        <v>6.56</v>
      </c>
    </row>
    <row r="25" spans="1:10" x14ac:dyDescent="0.25">
      <c r="A25" s="690" t="str">
        <f t="shared" si="1"/>
        <v>CABEAMENTO</v>
      </c>
      <c r="B25" s="690" t="s">
        <v>4372</v>
      </c>
      <c r="C25" s="690" t="s">
        <v>4397</v>
      </c>
      <c r="D25" s="691" t="s">
        <v>4398</v>
      </c>
      <c r="E25" s="692">
        <v>336</v>
      </c>
      <c r="F25" s="692">
        <v>0</v>
      </c>
      <c r="G25" s="693">
        <f t="shared" si="2"/>
        <v>336</v>
      </c>
      <c r="H25" s="694" t="s">
        <v>4375</v>
      </c>
      <c r="I25" s="695">
        <f>VLOOKUP(D25,'TELEFONE - PREÇO'!$C$7:$E$57,3,FALSE)</f>
        <v>3.06</v>
      </c>
      <c r="J25" s="696">
        <f>IF(SUM(E25:I25)=0,SUMIFS($J26:$J$58,$A26:$A$58,$A25),G25*I25)</f>
        <v>1028.1600000000001</v>
      </c>
    </row>
    <row r="26" spans="1:10" x14ac:dyDescent="0.25">
      <c r="A26" s="690" t="str">
        <f t="shared" si="1"/>
        <v>CABEAMENTO</v>
      </c>
      <c r="B26" s="690" t="s">
        <v>4372</v>
      </c>
      <c r="C26" s="690" t="s">
        <v>4397</v>
      </c>
      <c r="D26" s="691" t="s">
        <v>4399</v>
      </c>
      <c r="E26" s="692">
        <v>134</v>
      </c>
      <c r="F26" s="692">
        <v>0</v>
      </c>
      <c r="G26" s="693">
        <f t="shared" si="2"/>
        <v>134</v>
      </c>
      <c r="H26" s="694" t="s">
        <v>4375</v>
      </c>
      <c r="I26" s="695">
        <f>VLOOKUP(D26,'TELEFONE - PREÇO'!$C$7:$E$57,3,FALSE)</f>
        <v>5</v>
      </c>
      <c r="J26" s="696">
        <f>IF(SUM(E26:I26)=0,SUMIFS($J$59:$J66,$A$59:$A66,$A26),G26*I26)</f>
        <v>670</v>
      </c>
    </row>
    <row r="27" spans="1:10" x14ac:dyDescent="0.25">
      <c r="A27" s="690" t="str">
        <f t="shared" si="1"/>
        <v>CABEAMENTO</v>
      </c>
      <c r="B27" s="690" t="s">
        <v>4372</v>
      </c>
      <c r="C27" s="690" t="s">
        <v>4397</v>
      </c>
      <c r="D27" s="691" t="s">
        <v>4400</v>
      </c>
      <c r="E27" s="692">
        <v>68</v>
      </c>
      <c r="F27" s="692">
        <v>0</v>
      </c>
      <c r="G27" s="693">
        <f t="shared" si="2"/>
        <v>68</v>
      </c>
      <c r="H27" s="694" t="s">
        <v>4375</v>
      </c>
      <c r="I27" s="695">
        <f>VLOOKUP(D27,'TELEFONE - PREÇO'!$C$7:$E$57,3,FALSE)</f>
        <v>5.26</v>
      </c>
      <c r="J27" s="696">
        <f>IF(SUM(E27:I27)=0,SUMIFS($J28:$J$58,$A28:$A$58,$A27),G27*I27)</f>
        <v>357.68</v>
      </c>
    </row>
    <row r="28" spans="1:10" ht="30" x14ac:dyDescent="0.25">
      <c r="A28" s="690" t="str">
        <f t="shared" si="1"/>
        <v>CABEAMENTO</v>
      </c>
      <c r="B28" s="690" t="s">
        <v>4372</v>
      </c>
      <c r="C28" s="690" t="s">
        <v>4397</v>
      </c>
      <c r="D28" s="691" t="s">
        <v>4401</v>
      </c>
      <c r="E28" s="692">
        <v>33</v>
      </c>
      <c r="F28" s="692">
        <v>0</v>
      </c>
      <c r="G28" s="693">
        <f t="shared" si="2"/>
        <v>33</v>
      </c>
      <c r="H28" s="694" t="s">
        <v>4375</v>
      </c>
      <c r="I28" s="695">
        <f>VLOOKUP(D28,'TELEFONE - PREÇO'!$C$7:$E$57,3,FALSE)</f>
        <v>48.076666666666661</v>
      </c>
      <c r="J28" s="696">
        <f>IF(SUM(E28:I28)=0,SUMIFS($J$59:$J68,$A$59:$A68,$A28),G28*I28)</f>
        <v>1586.5299999999997</v>
      </c>
    </row>
    <row r="29" spans="1:10" x14ac:dyDescent="0.25">
      <c r="A29" s="690" t="str">
        <f t="shared" si="1"/>
        <v>CABEAMENTO</v>
      </c>
      <c r="B29" s="690" t="s">
        <v>4372</v>
      </c>
      <c r="C29" s="690" t="s">
        <v>4397</v>
      </c>
      <c r="D29" s="691" t="s">
        <v>4402</v>
      </c>
      <c r="E29" s="692">
        <v>604</v>
      </c>
      <c r="F29" s="692">
        <v>0</v>
      </c>
      <c r="G29" s="693">
        <f t="shared" si="2"/>
        <v>604</v>
      </c>
      <c r="H29" s="694" t="s">
        <v>4375</v>
      </c>
      <c r="I29" s="695">
        <f>VLOOKUP(D29,'TELEFONE - PREÇO'!$C$7:$E$57,3,FALSE)</f>
        <v>3</v>
      </c>
      <c r="J29" s="696">
        <f>IF(SUM(E29:I29)=0,SUMIFS($J30:$J$58,$A30:$A$58,$A29),G29*I29)</f>
        <v>1812</v>
      </c>
    </row>
    <row r="30" spans="1:10" x14ac:dyDescent="0.25">
      <c r="A30" s="690" t="str">
        <f t="shared" si="1"/>
        <v>CABEAMENTO</v>
      </c>
      <c r="B30" s="690" t="s">
        <v>4372</v>
      </c>
      <c r="C30" s="690" t="s">
        <v>4397</v>
      </c>
      <c r="D30" s="691" t="s">
        <v>4403</v>
      </c>
      <c r="E30" s="692">
        <v>47</v>
      </c>
      <c r="F30" s="692">
        <v>0</v>
      </c>
      <c r="G30" s="693">
        <f t="shared" si="2"/>
        <v>47</v>
      </c>
      <c r="H30" s="694" t="s">
        <v>4375</v>
      </c>
      <c r="I30" s="695">
        <f>VLOOKUP(D30,'TELEFONE - PREÇO'!$C$7:$E$57,3,FALSE)</f>
        <v>6.6725000000000003</v>
      </c>
      <c r="J30" s="696">
        <f>IF(SUM(E30:I30)=0,SUMIFS($J$59:$J70,$A$59:$A70,$A30),G30*I30)</f>
        <v>313.60750000000002</v>
      </c>
    </row>
    <row r="31" spans="1:10" x14ac:dyDescent="0.25">
      <c r="A31" s="690" t="str">
        <f t="shared" si="1"/>
        <v>CABEAMENTO</v>
      </c>
      <c r="B31" s="690" t="s">
        <v>4372</v>
      </c>
      <c r="C31" s="690" t="s">
        <v>4397</v>
      </c>
      <c r="D31" s="691" t="s">
        <v>4404</v>
      </c>
      <c r="E31" s="692">
        <v>16</v>
      </c>
      <c r="F31" s="692">
        <v>0</v>
      </c>
      <c r="G31" s="693">
        <f t="shared" si="2"/>
        <v>16</v>
      </c>
      <c r="H31" s="694" t="s">
        <v>4375</v>
      </c>
      <c r="I31" s="695">
        <f>VLOOKUP(D31,'TELEFONE - PREÇO'!$C$7:$E$57,3,FALSE)</f>
        <v>12.0105</v>
      </c>
      <c r="J31" s="696">
        <f>IF(SUM(E31:I31)=0,SUMIFS($J32:$J$58,$A32:$A$58,$A31),G31*I31)</f>
        <v>192.16800000000001</v>
      </c>
    </row>
    <row r="32" spans="1:10" x14ac:dyDescent="0.25">
      <c r="A32" s="690" t="str">
        <f t="shared" si="1"/>
        <v>CABEAMENTO</v>
      </c>
      <c r="B32" s="690" t="s">
        <v>4372</v>
      </c>
      <c r="C32" s="690" t="s">
        <v>4397</v>
      </c>
      <c r="D32" s="691" t="s">
        <v>4405</v>
      </c>
      <c r="E32" s="692">
        <v>21</v>
      </c>
      <c r="F32" s="692">
        <v>0</v>
      </c>
      <c r="G32" s="693">
        <f t="shared" si="2"/>
        <v>21</v>
      </c>
      <c r="H32" s="694" t="s">
        <v>4375</v>
      </c>
      <c r="I32" s="695">
        <f>VLOOKUP(D32,'TELEFONE - PREÇO'!$C$7:$E$57,3,FALSE)</f>
        <v>13.345000000000001</v>
      </c>
      <c r="J32" s="696">
        <f>IF(SUM(E32:I32)=0,SUMIFS($J$59:$J72,$A$59:$A72,$A32),G32*I32)</f>
        <v>280.245</v>
      </c>
    </row>
    <row r="33" spans="1:10" x14ac:dyDescent="0.25">
      <c r="A33" s="690" t="str">
        <f t="shared" si="1"/>
        <v>CABEAMENTO</v>
      </c>
      <c r="B33" s="690" t="s">
        <v>4372</v>
      </c>
      <c r="C33" s="690" t="s">
        <v>4397</v>
      </c>
      <c r="D33" s="691" t="s">
        <v>4406</v>
      </c>
      <c r="E33" s="692">
        <v>10</v>
      </c>
      <c r="F33" s="692">
        <v>0</v>
      </c>
      <c r="G33" s="693">
        <f t="shared" si="2"/>
        <v>10</v>
      </c>
      <c r="H33" s="694" t="s">
        <v>4375</v>
      </c>
      <c r="I33" s="695">
        <f>VLOOKUP(D33,'TELEFONE - PREÇO'!$C$7:$E$57,3,FALSE)</f>
        <v>14.012250000000002</v>
      </c>
      <c r="J33" s="696">
        <f>IF(SUM(E33:I33)=0,SUMIFS($J34:$J$58,$A34:$A$58,$A33),G33*I33)</f>
        <v>140.1225</v>
      </c>
    </row>
    <row r="34" spans="1:10" x14ac:dyDescent="0.25">
      <c r="A34" s="690" t="str">
        <f t="shared" si="1"/>
        <v>CABEAMENTO</v>
      </c>
      <c r="B34" s="690" t="s">
        <v>4372</v>
      </c>
      <c r="C34" s="690" t="s">
        <v>4397</v>
      </c>
      <c r="D34" s="691" t="s">
        <v>4407</v>
      </c>
      <c r="E34" s="692">
        <v>6</v>
      </c>
      <c r="F34" s="692">
        <v>0</v>
      </c>
      <c r="G34" s="693">
        <f t="shared" si="2"/>
        <v>6</v>
      </c>
      <c r="H34" s="694" t="s">
        <v>4375</v>
      </c>
      <c r="I34" s="695">
        <f>VLOOKUP(D34,'TELEFONE - PREÇO'!$C$7:$E$57,3,FALSE)</f>
        <v>16.013999999999999</v>
      </c>
      <c r="J34" s="696">
        <f>IF(SUM(E34:I34)=0,SUMIFS($J$59:$J74,$A$59:$A74,$A34),G34*I34)</f>
        <v>96.084000000000003</v>
      </c>
    </row>
    <row r="35" spans="1:10" x14ac:dyDescent="0.25">
      <c r="A35" s="690" t="str">
        <f t="shared" si="1"/>
        <v>CABEAMENTO</v>
      </c>
      <c r="B35" s="690" t="s">
        <v>4372</v>
      </c>
      <c r="C35" s="690" t="s">
        <v>4397</v>
      </c>
      <c r="D35" s="691" t="s">
        <v>4408</v>
      </c>
      <c r="E35" s="692">
        <v>28</v>
      </c>
      <c r="F35" s="692">
        <v>0</v>
      </c>
      <c r="G35" s="693">
        <f t="shared" si="2"/>
        <v>28</v>
      </c>
      <c r="H35" s="694" t="s">
        <v>4375</v>
      </c>
      <c r="I35" s="695">
        <f>VLOOKUP(D35,'TELEFONE - PREÇO'!$C$7:$E$57,3,FALSE)</f>
        <v>17.348500000000001</v>
      </c>
      <c r="J35" s="696">
        <f>IF(SUM(E35:I35)=0,SUMIFS($J36:$J$58,$A36:$A$58,$A35),G35*I35)</f>
        <v>485.75800000000004</v>
      </c>
    </row>
    <row r="36" spans="1:10" x14ac:dyDescent="0.25">
      <c r="A36" s="690" t="str">
        <f t="shared" si="1"/>
        <v>CABEAMENTO</v>
      </c>
      <c r="B36" s="690" t="s">
        <v>4372</v>
      </c>
      <c r="C36" s="690" t="s">
        <v>4397</v>
      </c>
      <c r="D36" s="691" t="s">
        <v>4409</v>
      </c>
      <c r="E36" s="692">
        <v>2</v>
      </c>
      <c r="F36" s="692">
        <v>0</v>
      </c>
      <c r="G36" s="693">
        <f t="shared" si="2"/>
        <v>2</v>
      </c>
      <c r="H36" s="694" t="s">
        <v>4375</v>
      </c>
      <c r="I36" s="695">
        <f>VLOOKUP(D36,'TELEFONE - PREÇO'!$C$7:$E$57,3,FALSE)</f>
        <v>37.366</v>
      </c>
      <c r="J36" s="696">
        <f>IF(SUM(E36:I36)=0,SUMIFS($J$59:$J76,$A$59:$A76,$A36),G36*I36)</f>
        <v>74.731999999999999</v>
      </c>
    </row>
    <row r="37" spans="1:10" x14ac:dyDescent="0.25">
      <c r="A37" s="690" t="str">
        <f t="shared" si="1"/>
        <v>CABEAMENTO</v>
      </c>
      <c r="B37" s="690" t="s">
        <v>4372</v>
      </c>
      <c r="C37" s="690" t="s">
        <v>4397</v>
      </c>
      <c r="D37" s="691" t="s">
        <v>4410</v>
      </c>
      <c r="E37" s="692">
        <v>4</v>
      </c>
      <c r="F37" s="692">
        <v>0</v>
      </c>
      <c r="G37" s="693">
        <f t="shared" si="2"/>
        <v>4</v>
      </c>
      <c r="H37" s="694" t="s">
        <v>4375</v>
      </c>
      <c r="I37" s="695">
        <f>VLOOKUP(D37,'TELEFONE - PREÇO'!$C$7:$E$57,3,FALSE)</f>
        <v>38.700499999999998</v>
      </c>
      <c r="J37" s="696">
        <f>IF(SUM(E37:I37)=0,SUMIFS($J38:$J$58,$A38:$A$58,$A37),G37*I37)</f>
        <v>154.80199999999999</v>
      </c>
    </row>
    <row r="38" spans="1:10" x14ac:dyDescent="0.25">
      <c r="A38" s="690" t="str">
        <f t="shared" si="1"/>
        <v>CABEAMENTO</v>
      </c>
      <c r="B38" s="690" t="s">
        <v>4372</v>
      </c>
      <c r="C38" s="690" t="s">
        <v>4411</v>
      </c>
      <c r="D38" s="691" t="s">
        <v>4412</v>
      </c>
      <c r="E38" s="692">
        <v>1</v>
      </c>
      <c r="F38" s="692">
        <v>0</v>
      </c>
      <c r="G38" s="693">
        <f t="shared" si="2"/>
        <v>1</v>
      </c>
      <c r="H38" s="694" t="s">
        <v>4375</v>
      </c>
      <c r="I38" s="695">
        <f>VLOOKUP(D38,'TELEFONE - PREÇO'!$C$7:$E$57,3,FALSE)</f>
        <v>255.82</v>
      </c>
      <c r="J38" s="696">
        <f>IF(SUM(E38:I38)=0,SUMIFS($J$59:$J78,$A$59:$A78,$A38),G38*I38)</f>
        <v>255.82</v>
      </c>
    </row>
    <row r="39" spans="1:10" x14ac:dyDescent="0.25">
      <c r="A39" s="690" t="str">
        <f t="shared" si="1"/>
        <v>CABEAMENTO</v>
      </c>
      <c r="B39" s="690" t="s">
        <v>4372</v>
      </c>
      <c r="C39" s="690" t="s">
        <v>4411</v>
      </c>
      <c r="D39" s="691" t="s">
        <v>4413</v>
      </c>
      <c r="E39" s="692">
        <v>76</v>
      </c>
      <c r="F39" s="692">
        <v>0</v>
      </c>
      <c r="G39" s="693">
        <f t="shared" si="2"/>
        <v>76</v>
      </c>
      <c r="H39" s="694" t="s">
        <v>4375</v>
      </c>
      <c r="I39" s="695">
        <f>VLOOKUP(D39,'TELEFONE - PREÇO'!$C$7:$E$57,3,FALSE)</f>
        <v>378.96</v>
      </c>
      <c r="J39" s="696">
        <f>IF(SUM(E39:I39)=0,SUMIFS($J40:$J$58,$A40:$A$58,$A39),G39*I39)</f>
        <v>28800.959999999999</v>
      </c>
    </row>
    <row r="40" spans="1:10" x14ac:dyDescent="0.25">
      <c r="A40" s="690" t="str">
        <f t="shared" si="1"/>
        <v>CABEAMENTO</v>
      </c>
      <c r="B40" s="690" t="s">
        <v>4372</v>
      </c>
      <c r="C40" s="690" t="s">
        <v>4411</v>
      </c>
      <c r="D40" s="691" t="s">
        <v>4414</v>
      </c>
      <c r="E40" s="692">
        <v>1</v>
      </c>
      <c r="F40" s="692">
        <v>0</v>
      </c>
      <c r="G40" s="693">
        <f t="shared" si="2"/>
        <v>1</v>
      </c>
      <c r="H40" s="694" t="s">
        <v>4375</v>
      </c>
      <c r="I40" s="695">
        <f>VLOOKUP(D40,'TELEFONE - PREÇO'!$C$7:$E$57,3,FALSE)</f>
        <v>310</v>
      </c>
      <c r="J40" s="696">
        <f>IF(SUM(E40:I40)=0,SUMIFS($J$59:$J80,$A$59:$A80,$A40),G40*I40)</f>
        <v>310</v>
      </c>
    </row>
    <row r="41" spans="1:10" x14ac:dyDescent="0.25">
      <c r="A41" s="690" t="str">
        <f t="shared" si="1"/>
        <v>CABEAMENTO</v>
      </c>
      <c r="B41" s="690" t="s">
        <v>4372</v>
      </c>
      <c r="C41" s="690" t="s">
        <v>4411</v>
      </c>
      <c r="D41" s="691" t="s">
        <v>4415</v>
      </c>
      <c r="E41" s="692">
        <v>10</v>
      </c>
      <c r="F41" s="692">
        <v>0</v>
      </c>
      <c r="G41" s="693">
        <f t="shared" si="2"/>
        <v>10</v>
      </c>
      <c r="H41" s="694" t="s">
        <v>4375</v>
      </c>
      <c r="I41" s="695">
        <f>VLOOKUP(D41,'TELEFONE - PREÇO'!$C$7:$E$57,3,FALSE)</f>
        <v>758.86</v>
      </c>
      <c r="J41" s="696">
        <f>IF(SUM(E41:I41)=0,SUMIFS($J42:$J$58,$A42:$A$58,$A41),G41*I41)</f>
        <v>7588.6</v>
      </c>
    </row>
    <row r="42" spans="1:10" x14ac:dyDescent="0.25">
      <c r="A42" s="690" t="str">
        <f t="shared" si="1"/>
        <v>CABEAMENTO</v>
      </c>
      <c r="B42" s="690" t="s">
        <v>4372</v>
      </c>
      <c r="C42" s="690" t="s">
        <v>4411</v>
      </c>
      <c r="D42" s="691" t="s">
        <v>4416</v>
      </c>
      <c r="E42" s="692">
        <v>1</v>
      </c>
      <c r="F42" s="692">
        <v>0</v>
      </c>
      <c r="G42" s="693">
        <f t="shared" si="2"/>
        <v>1</v>
      </c>
      <c r="H42" s="694" t="s">
        <v>4375</v>
      </c>
      <c r="I42" s="695">
        <f>VLOOKUP(D42,'TELEFONE - PREÇO'!$C$7:$E$57,3,FALSE)</f>
        <v>452.18</v>
      </c>
      <c r="J42" s="696">
        <f>IF(SUM(E42:I42)=0,SUMIFS($J$59:$J82,$A$59:$A82,$A42),G42*I42)</f>
        <v>452.18</v>
      </c>
    </row>
    <row r="43" spans="1:10" x14ac:dyDescent="0.25">
      <c r="A43" s="690" t="str">
        <f t="shared" si="1"/>
        <v>CABEAMENTO</v>
      </c>
      <c r="B43" s="690" t="s">
        <v>4372</v>
      </c>
      <c r="C43" s="690" t="s">
        <v>4417</v>
      </c>
      <c r="D43" s="691" t="s">
        <v>4418</v>
      </c>
      <c r="E43" s="692">
        <v>15</v>
      </c>
      <c r="F43" s="692">
        <v>0</v>
      </c>
      <c r="G43" s="693">
        <f t="shared" si="2"/>
        <v>15</v>
      </c>
      <c r="H43" s="694" t="s">
        <v>4375</v>
      </c>
      <c r="I43" s="695">
        <f>VLOOKUP(D43,'TELEFONE - PREÇO'!$C$7:$E$57,3,FALSE)</f>
        <v>6.9</v>
      </c>
      <c r="J43" s="696">
        <f>IF(SUM(E43:I43)=0,SUMIFS($J44:$J$58,$A44:$A$58,$A43),G43*I43)</f>
        <v>103.5</v>
      </c>
    </row>
    <row r="44" spans="1:10" x14ac:dyDescent="0.25">
      <c r="A44" s="690" t="str">
        <f t="shared" si="1"/>
        <v>CABEAMENTO</v>
      </c>
      <c r="B44" s="690" t="s">
        <v>4372</v>
      </c>
      <c r="C44" s="690" t="s">
        <v>4417</v>
      </c>
      <c r="D44" s="691" t="s">
        <v>4419</v>
      </c>
      <c r="E44" s="692">
        <v>18</v>
      </c>
      <c r="F44" s="692">
        <v>0</v>
      </c>
      <c r="G44" s="693">
        <f t="shared" si="2"/>
        <v>18</v>
      </c>
      <c r="H44" s="694" t="s">
        <v>4375</v>
      </c>
      <c r="I44" s="695">
        <f>VLOOKUP(D44,'TELEFONE - PREÇO'!$C$7:$E$57,3,FALSE)</f>
        <v>58</v>
      </c>
      <c r="J44" s="696">
        <f>IF(SUM(E44:I44)=0,SUMIFS($J$59:$J84,$A$59:$A84,$A44),G44*I44)</f>
        <v>1044</v>
      </c>
    </row>
    <row r="45" spans="1:10" x14ac:dyDescent="0.25">
      <c r="A45" s="690" t="str">
        <f t="shared" si="1"/>
        <v>CABEAMENTO</v>
      </c>
      <c r="B45" s="690" t="s">
        <v>4372</v>
      </c>
      <c r="C45" s="690" t="s">
        <v>4417</v>
      </c>
      <c r="D45" s="691" t="s">
        <v>4420</v>
      </c>
      <c r="E45" s="692">
        <v>409</v>
      </c>
      <c r="F45" s="692">
        <v>0</v>
      </c>
      <c r="G45" s="693">
        <f t="shared" si="2"/>
        <v>409</v>
      </c>
      <c r="H45" s="694" t="s">
        <v>4375</v>
      </c>
      <c r="I45" s="695">
        <f>VLOOKUP(D45,'TELEFONE - PREÇO'!$C$7:$E$57,3,FALSE)</f>
        <v>29.439999999999998</v>
      </c>
      <c r="J45" s="696">
        <f>IF(SUM(E45:I45)=0,SUMIFS($J46:$J$58,$A46:$A$58,$A45),G45*I45)</f>
        <v>12040.96</v>
      </c>
    </row>
    <row r="46" spans="1:10" x14ac:dyDescent="0.25">
      <c r="A46" s="690" t="str">
        <f t="shared" si="1"/>
        <v>CABEAMENTO</v>
      </c>
      <c r="B46" s="690" t="s">
        <v>4372</v>
      </c>
      <c r="C46" s="690" t="s">
        <v>4417</v>
      </c>
      <c r="D46" s="691" t="s">
        <v>4421</v>
      </c>
      <c r="E46" s="692">
        <v>131</v>
      </c>
      <c r="F46" s="692">
        <v>0</v>
      </c>
      <c r="G46" s="693">
        <f t="shared" si="2"/>
        <v>131</v>
      </c>
      <c r="H46" s="694" t="s">
        <v>4375</v>
      </c>
      <c r="I46" s="695">
        <f>VLOOKUP(D46,'TELEFONE - PREÇO'!$C$7:$E$57,3,FALSE)</f>
        <v>30.619999999999997</v>
      </c>
      <c r="J46" s="696">
        <f>IF(SUM(E46:I46)=0,SUMIFS($J$59:$J86,$A$59:$A86,$A46),G46*I46)</f>
        <v>4011.22</v>
      </c>
    </row>
    <row r="47" spans="1:10" x14ac:dyDescent="0.25">
      <c r="A47" s="690" t="str">
        <f t="shared" si="1"/>
        <v>CABEAMENTO</v>
      </c>
      <c r="B47" s="690" t="s">
        <v>4372</v>
      </c>
      <c r="C47" s="690" t="s">
        <v>4417</v>
      </c>
      <c r="D47" s="691" t="s">
        <v>4422</v>
      </c>
      <c r="E47" s="692">
        <v>146</v>
      </c>
      <c r="F47" s="692">
        <v>0</v>
      </c>
      <c r="G47" s="693">
        <f t="shared" si="2"/>
        <v>146</v>
      </c>
      <c r="H47" s="694" t="s">
        <v>4375</v>
      </c>
      <c r="I47" s="695">
        <f>VLOOKUP(D47,'TELEFONE - PREÇO'!$C$7:$E$57,3,FALSE)</f>
        <v>0.25</v>
      </c>
      <c r="J47" s="696">
        <f>IF(SUM(E47:I47)=0,SUMIFS($J48:$J$58,$A48:$A$58,$A47),G47*I47)</f>
        <v>36.5</v>
      </c>
    </row>
    <row r="48" spans="1:10" x14ac:dyDescent="0.25">
      <c r="A48" s="690" t="str">
        <f t="shared" si="1"/>
        <v>CABEAMENTO</v>
      </c>
      <c r="B48" s="690" t="s">
        <v>4372</v>
      </c>
      <c r="C48" s="690" t="s">
        <v>4417</v>
      </c>
      <c r="D48" s="691" t="s">
        <v>4423</v>
      </c>
      <c r="E48" s="692">
        <v>438</v>
      </c>
      <c r="F48" s="692">
        <v>0</v>
      </c>
      <c r="G48" s="693">
        <f t="shared" si="2"/>
        <v>438</v>
      </c>
      <c r="H48" s="694" t="s">
        <v>4375</v>
      </c>
      <c r="I48" s="695">
        <f>VLOOKUP(D48,'TELEFONE - PREÇO'!$C$7:$E$57,3,FALSE)</f>
        <v>9.26</v>
      </c>
      <c r="J48" s="696">
        <f>IF(SUM(E48:I48)=0,SUMIFS($J$59:$J88,$A$59:$A88,$A48),G48*I48)</f>
        <v>4055.88</v>
      </c>
    </row>
    <row r="49" spans="1:10" x14ac:dyDescent="0.25">
      <c r="A49" s="690" t="str">
        <f t="shared" si="1"/>
        <v>CABEAMENTO</v>
      </c>
      <c r="B49" s="690" t="s">
        <v>4372</v>
      </c>
      <c r="C49" s="690" t="s">
        <v>4424</v>
      </c>
      <c r="D49" s="691" t="s">
        <v>4425</v>
      </c>
      <c r="E49" s="692">
        <v>11</v>
      </c>
      <c r="F49" s="692">
        <v>0</v>
      </c>
      <c r="G49" s="693">
        <f t="shared" si="2"/>
        <v>11</v>
      </c>
      <c r="H49" s="694" t="s">
        <v>4375</v>
      </c>
      <c r="I49" s="695">
        <f>VLOOKUP(D49,'TELEFONE - PREÇO'!$C$7:$E$57,3,FALSE)</f>
        <v>24.99</v>
      </c>
      <c r="J49" s="696">
        <f>IF(SUM(E49:I49)=0,SUMIFS($J50:$J$58,$A50:$A$58,$A49),G49*I49)</f>
        <v>274.89</v>
      </c>
    </row>
    <row r="50" spans="1:10" x14ac:dyDescent="0.25">
      <c r="A50" s="690" t="str">
        <f t="shared" si="1"/>
        <v>CABEAMENTO</v>
      </c>
      <c r="B50" s="690" t="s">
        <v>4372</v>
      </c>
      <c r="C50" s="690" t="s">
        <v>4426</v>
      </c>
      <c r="D50" s="691" t="s">
        <v>4427</v>
      </c>
      <c r="E50" s="692">
        <v>14</v>
      </c>
      <c r="F50" s="692">
        <v>0</v>
      </c>
      <c r="G50" s="693">
        <f t="shared" si="2"/>
        <v>14</v>
      </c>
      <c r="H50" s="694" t="s">
        <v>4375</v>
      </c>
      <c r="I50" s="695">
        <f>VLOOKUP(D50,'TELEFONE - PREÇO'!$C$7:$E$57,3,FALSE)</f>
        <v>22.89</v>
      </c>
      <c r="J50" s="696">
        <f>IF(SUM(E50:I50)=0,SUMIFS($J$59:$J90,$A$59:$A90,$A50),G50*I50)</f>
        <v>320.46000000000004</v>
      </c>
    </row>
    <row r="51" spans="1:10" x14ac:dyDescent="0.25">
      <c r="A51" s="690" t="str">
        <f t="shared" si="1"/>
        <v>CABEAMENTO</v>
      </c>
      <c r="B51" s="690" t="s">
        <v>4372</v>
      </c>
      <c r="C51" s="690" t="s">
        <v>4426</v>
      </c>
      <c r="D51" s="691" t="s">
        <v>4428</v>
      </c>
      <c r="E51" s="692">
        <v>220</v>
      </c>
      <c r="F51" s="692">
        <v>0</v>
      </c>
      <c r="G51" s="693">
        <f t="shared" si="2"/>
        <v>220</v>
      </c>
      <c r="H51" s="694" t="s">
        <v>4375</v>
      </c>
      <c r="I51" s="695">
        <f>VLOOKUP(D51,'TELEFONE - PREÇO'!$C$7:$E$57,3,FALSE)</f>
        <v>7.46</v>
      </c>
      <c r="J51" s="696">
        <f>IF(SUM(E51:I51)=0,SUMIFS($J52:$J$58,$A52:$A$58,$A51),G51*I51)</f>
        <v>1641.2</v>
      </c>
    </row>
    <row r="52" spans="1:10" x14ac:dyDescent="0.25">
      <c r="A52" s="690" t="str">
        <f t="shared" si="1"/>
        <v>CABEAMENTO</v>
      </c>
      <c r="B52" s="690" t="s">
        <v>4372</v>
      </c>
      <c r="C52" s="690" t="s">
        <v>4426</v>
      </c>
      <c r="D52" s="691" t="s">
        <v>4429</v>
      </c>
      <c r="E52" s="692">
        <v>60</v>
      </c>
      <c r="F52" s="692">
        <v>0</v>
      </c>
      <c r="G52" s="693">
        <f t="shared" si="2"/>
        <v>60</v>
      </c>
      <c r="H52" s="694" t="s">
        <v>4375</v>
      </c>
      <c r="I52" s="695">
        <f>VLOOKUP(D52,'TELEFONE - PREÇO'!$C$7:$E$57,3,FALSE)</f>
        <v>16.22</v>
      </c>
      <c r="J52" s="696">
        <f>IF(SUM(E52:I52)=0,SUMIFS($J$59:$J92,$A$59:$A92,$A52),G52*I52)</f>
        <v>973.19999999999993</v>
      </c>
    </row>
    <row r="53" spans="1:10" x14ac:dyDescent="0.25">
      <c r="A53" s="690" t="str">
        <f t="shared" si="1"/>
        <v>CABEAMENTO</v>
      </c>
      <c r="B53" s="690" t="s">
        <v>4372</v>
      </c>
      <c r="C53" s="690" t="s">
        <v>4426</v>
      </c>
      <c r="D53" s="691" t="s">
        <v>4430</v>
      </c>
      <c r="E53" s="692">
        <v>110</v>
      </c>
      <c r="F53" s="692">
        <v>0</v>
      </c>
      <c r="G53" s="693">
        <f t="shared" si="2"/>
        <v>110</v>
      </c>
      <c r="H53" s="694" t="s">
        <v>4375</v>
      </c>
      <c r="I53" s="695">
        <f>VLOOKUP(D53,'TELEFONE - PREÇO'!$C$7:$E$57,3,FALSE)</f>
        <v>13.75</v>
      </c>
      <c r="J53" s="696">
        <f>IF(SUM(E53:I53)=0,SUMIFS($J54:$J$58,$A54:$A$58,$A53),G53*I53)</f>
        <v>1512.5</v>
      </c>
    </row>
    <row r="54" spans="1:10" x14ac:dyDescent="0.25">
      <c r="A54" s="690" t="str">
        <f t="shared" si="1"/>
        <v>CABEAMENTO</v>
      </c>
      <c r="B54" s="690" t="s">
        <v>4372</v>
      </c>
      <c r="C54" s="690" t="s">
        <v>4426</v>
      </c>
      <c r="D54" s="691" t="s">
        <v>4431</v>
      </c>
      <c r="E54" s="692">
        <v>1400</v>
      </c>
      <c r="F54" s="692">
        <v>0</v>
      </c>
      <c r="G54" s="693">
        <f t="shared" si="2"/>
        <v>1400</v>
      </c>
      <c r="H54" s="694" t="s">
        <v>4375</v>
      </c>
      <c r="I54" s="695">
        <f>VLOOKUP(D54,'TELEFONE - PREÇO'!$C$7:$E$57,3,FALSE)</f>
        <v>1.5158</v>
      </c>
      <c r="J54" s="696">
        <f>IF(SUM(E54:I54)=0,SUMIFS($J$59:$J94,$A$59:$A94,$A54),G54*I54)</f>
        <v>2122.12</v>
      </c>
    </row>
    <row r="55" spans="1:10" x14ac:dyDescent="0.25">
      <c r="A55" s="690" t="str">
        <f t="shared" si="1"/>
        <v>CABEAMENTO</v>
      </c>
      <c r="B55" s="690" t="s">
        <v>4372</v>
      </c>
      <c r="C55" s="690" t="s">
        <v>4426</v>
      </c>
      <c r="D55" s="691" t="s">
        <v>4432</v>
      </c>
      <c r="E55" s="692">
        <v>2900</v>
      </c>
      <c r="F55" s="692">
        <v>0</v>
      </c>
      <c r="G55" s="693">
        <f t="shared" si="2"/>
        <v>2900</v>
      </c>
      <c r="H55" s="694" t="s">
        <v>4375</v>
      </c>
      <c r="I55" s="695">
        <f>VLOOKUP(D55,'TELEFONE - PREÇO'!$C$7:$E$57,3,FALSE)</f>
        <v>2.16</v>
      </c>
      <c r="J55" s="696">
        <f>IF(SUM(E55:I55)=0,SUMIFS($J56:$J$58,$A56:$A$58,$A55),G55*I55)</f>
        <v>6264</v>
      </c>
    </row>
    <row r="56" spans="1:10" x14ac:dyDescent="0.25">
      <c r="A56" s="690" t="str">
        <f t="shared" si="1"/>
        <v>CABEAMENTO</v>
      </c>
      <c r="B56" s="690" t="s">
        <v>4372</v>
      </c>
      <c r="C56" s="690" t="s">
        <v>4426</v>
      </c>
      <c r="D56" s="691" t="s">
        <v>4433</v>
      </c>
      <c r="E56" s="692">
        <v>1</v>
      </c>
      <c r="F56" s="692">
        <v>0</v>
      </c>
      <c r="G56" s="693">
        <f t="shared" si="2"/>
        <v>1</v>
      </c>
      <c r="H56" s="694" t="s">
        <v>4375</v>
      </c>
      <c r="I56" s="695">
        <f>VLOOKUP(D56,'TELEFONE - PREÇO'!$C$7:$E$57,3,FALSE)</f>
        <v>608.71</v>
      </c>
      <c r="J56" s="696">
        <f>IF(SUM(E56:I56)=0,SUMIFS($J$59:$J68,$A$59:$A68,$A56),G56*I56)</f>
        <v>608.71</v>
      </c>
    </row>
    <row r="57" spans="1:10" x14ac:dyDescent="0.25">
      <c r="A57" s="690" t="str">
        <f t="shared" si="1"/>
        <v>CABEAMENTO</v>
      </c>
      <c r="B57" s="690" t="s">
        <v>4372</v>
      </c>
      <c r="C57" s="690" t="s">
        <v>4434</v>
      </c>
      <c r="D57" s="691" t="s">
        <v>4435</v>
      </c>
      <c r="E57" s="692">
        <v>1200</v>
      </c>
      <c r="F57" s="692">
        <v>0</v>
      </c>
      <c r="G57" s="693">
        <f t="shared" si="2"/>
        <v>1200</v>
      </c>
      <c r="H57" s="694" t="s">
        <v>4375</v>
      </c>
      <c r="I57" s="695">
        <f>VLOOKUP(D57,'TELEFONE - PREÇO'!$C$7:$E$57,3,FALSE)</f>
        <v>2.2799999999999998</v>
      </c>
      <c r="J57" s="696">
        <f>IF(SUM(E57:I57)=0,SUMIFS($J58:$J$58,$A58:$A$58,$A57),G57*I57)</f>
        <v>2735.9999999999995</v>
      </c>
    </row>
    <row r="58" spans="1:10" x14ac:dyDescent="0.25">
      <c r="A58" s="690" t="str">
        <f t="shared" si="1"/>
        <v>CABEAMENTO</v>
      </c>
      <c r="B58" s="690" t="s">
        <v>4372</v>
      </c>
      <c r="C58" s="690" t="s">
        <v>4434</v>
      </c>
      <c r="D58" s="691" t="s">
        <v>4436</v>
      </c>
      <c r="E58" s="692">
        <v>5900</v>
      </c>
      <c r="F58" s="692">
        <v>0</v>
      </c>
      <c r="G58" s="693">
        <f t="shared" si="2"/>
        <v>5900</v>
      </c>
      <c r="H58" s="694" t="s">
        <v>4375</v>
      </c>
      <c r="I58" s="695">
        <f>VLOOKUP(D58,'TELEFONE - PREÇO'!$C$7:$E$57,3,FALSE)</f>
        <v>3.43</v>
      </c>
      <c r="J58" s="696">
        <f>IF(SUM(E58:I58)=0,SUMIFS($J$59:$J70,$A$59:$A70,$A58),G58*I58)</f>
        <v>20237</v>
      </c>
    </row>
    <row r="59" spans="1:10" x14ac:dyDescent="0.25">
      <c r="A59" s="699"/>
      <c r="B59" s="699"/>
      <c r="C59" s="699"/>
      <c r="D59" s="699"/>
      <c r="E59" s="699"/>
      <c r="F59" s="699"/>
      <c r="G59" s="699"/>
      <c r="H59" s="699"/>
      <c r="I59" s="700" t="s">
        <v>4437</v>
      </c>
      <c r="J59" s="701">
        <f>SUMPRODUCT(G6:G58,I6:I58)</f>
        <v>104911.24099999999</v>
      </c>
    </row>
  </sheetData>
  <mergeCells count="1">
    <mergeCell ref="A5:Y5"/>
  </mergeCells>
  <pageMargins left="0.511811024" right="0.511811024" top="0.78740157499999996" bottom="0.78740157499999996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G57"/>
  <sheetViews>
    <sheetView workbookViewId="0"/>
  </sheetViews>
  <sheetFormatPr defaultColWidth="12.5703125" defaultRowHeight="15" customHeight="1" x14ac:dyDescent="0.2"/>
  <cols>
    <col min="1" max="1" width="24.140625" customWidth="1"/>
    <col min="2" max="2" width="12.7109375" customWidth="1"/>
    <col min="3" max="3" width="112.140625" customWidth="1"/>
    <col min="4" max="4" width="15.28515625" customWidth="1"/>
    <col min="5" max="5" width="26.28515625" customWidth="1"/>
    <col min="6" max="26" width="12.7109375" customWidth="1"/>
  </cols>
  <sheetData>
    <row r="1" spans="1:7" ht="15" customHeight="1" x14ac:dyDescent="0.2">
      <c r="A1" s="546"/>
      <c r="B1" s="543" t="s">
        <v>0</v>
      </c>
      <c r="C1" s="339"/>
      <c r="D1" s="339"/>
      <c r="E1" s="339"/>
      <c r="F1" s="339"/>
      <c r="G1" s="674"/>
    </row>
    <row r="2" spans="1:7" ht="15" customHeight="1" x14ac:dyDescent="0.2">
      <c r="A2" s="549"/>
      <c r="B2" s="543" t="s">
        <v>2</v>
      </c>
      <c r="C2" s="672"/>
      <c r="D2" s="672"/>
      <c r="E2" s="672"/>
      <c r="F2" s="672"/>
      <c r="G2" s="674"/>
    </row>
    <row r="3" spans="1:7" ht="15" customHeight="1" x14ac:dyDescent="0.2">
      <c r="A3" s="549"/>
      <c r="B3" s="543" t="s">
        <v>959</v>
      </c>
      <c r="C3" s="675"/>
      <c r="D3" s="675"/>
      <c r="E3" s="675"/>
      <c r="F3" s="675"/>
      <c r="G3" s="674"/>
    </row>
    <row r="4" spans="1:7" ht="15" customHeight="1" x14ac:dyDescent="0.2">
      <c r="A4" s="583"/>
      <c r="B4" s="543" t="s">
        <v>4</v>
      </c>
      <c r="C4" s="544" t="s">
        <v>4438</v>
      </c>
      <c r="D4" s="339"/>
      <c r="E4" s="339"/>
      <c r="F4" s="339"/>
      <c r="G4" s="679"/>
    </row>
    <row r="5" spans="1:7" ht="15" customHeight="1" x14ac:dyDescent="0.25">
      <c r="A5" s="1152" t="s">
        <v>4439</v>
      </c>
      <c r="B5" s="1149"/>
      <c r="C5" s="1149"/>
      <c r="D5" s="1149"/>
      <c r="E5" s="1149"/>
      <c r="F5" s="1149"/>
      <c r="G5" s="1108"/>
    </row>
    <row r="6" spans="1:7" ht="15" customHeight="1" x14ac:dyDescent="0.55000000000000004">
      <c r="A6" s="334"/>
      <c r="B6" s="334"/>
      <c r="C6" s="702" t="s">
        <v>7</v>
      </c>
      <c r="D6" s="680" t="s">
        <v>8</v>
      </c>
      <c r="E6" s="703" t="s">
        <v>128</v>
      </c>
      <c r="F6" s="334"/>
      <c r="G6" s="334"/>
    </row>
    <row r="7" spans="1:7" ht="15" customHeight="1" x14ac:dyDescent="0.25">
      <c r="A7" s="334"/>
      <c r="B7" s="334"/>
      <c r="C7" s="704" t="s">
        <v>4425</v>
      </c>
      <c r="D7" s="705"/>
      <c r="E7" s="706">
        <v>24.99</v>
      </c>
      <c r="F7" s="334"/>
      <c r="G7" s="334"/>
    </row>
    <row r="8" spans="1:7" ht="15" customHeight="1" x14ac:dyDescent="0.25">
      <c r="A8" s="334"/>
      <c r="B8" s="334"/>
      <c r="C8" s="707" t="s">
        <v>4398</v>
      </c>
      <c r="D8" s="694"/>
      <c r="E8" s="706">
        <v>3.06</v>
      </c>
      <c r="F8" s="334"/>
      <c r="G8" s="334"/>
    </row>
    <row r="9" spans="1:7" ht="15" customHeight="1" x14ac:dyDescent="0.25">
      <c r="A9" s="334"/>
      <c r="B9" s="334"/>
      <c r="C9" s="704" t="s">
        <v>4435</v>
      </c>
      <c r="D9" s="694"/>
      <c r="E9" s="706">
        <v>2.2799999999999998</v>
      </c>
      <c r="F9" s="334"/>
      <c r="G9" s="334"/>
    </row>
    <row r="10" spans="1:7" ht="15" customHeight="1" x14ac:dyDescent="0.25">
      <c r="A10" s="334"/>
      <c r="B10" s="334"/>
      <c r="C10" s="704" t="s">
        <v>4436</v>
      </c>
      <c r="D10" s="694"/>
      <c r="E10" s="706">
        <v>3.43</v>
      </c>
      <c r="F10" s="334"/>
      <c r="G10" s="334"/>
    </row>
    <row r="11" spans="1:7" ht="15" customHeight="1" x14ac:dyDescent="0.25">
      <c r="A11" s="334"/>
      <c r="B11" s="334"/>
      <c r="C11" s="707" t="s">
        <v>4374</v>
      </c>
      <c r="D11" s="694"/>
      <c r="E11" s="706">
        <v>1.54</v>
      </c>
      <c r="F11" s="334"/>
      <c r="G11" s="334"/>
    </row>
    <row r="12" spans="1:7" ht="15" customHeight="1" x14ac:dyDescent="0.25">
      <c r="A12" s="334"/>
      <c r="B12" s="334"/>
      <c r="C12" s="704" t="s">
        <v>4433</v>
      </c>
      <c r="D12" s="694"/>
      <c r="E12" s="706">
        <f>140.84+467.87</f>
        <v>608.71</v>
      </c>
      <c r="F12" s="334"/>
      <c r="G12" s="334"/>
    </row>
    <row r="13" spans="1:7" ht="15" customHeight="1" x14ac:dyDescent="0.25">
      <c r="A13" s="334"/>
      <c r="B13" s="334"/>
      <c r="C13" s="707" t="s">
        <v>4376</v>
      </c>
      <c r="D13" s="694"/>
      <c r="E13" s="706">
        <v>20.041</v>
      </c>
      <c r="F13" s="334"/>
      <c r="G13" s="334"/>
    </row>
    <row r="14" spans="1:7" ht="15" customHeight="1" x14ac:dyDescent="0.25">
      <c r="A14" s="334"/>
      <c r="B14" s="334"/>
      <c r="C14" s="707" t="s">
        <v>4377</v>
      </c>
      <c r="D14" s="694"/>
      <c r="E14" s="706">
        <v>27.283000000000001</v>
      </c>
      <c r="F14" s="334"/>
      <c r="G14" s="334"/>
    </row>
    <row r="15" spans="1:7" ht="15" customHeight="1" x14ac:dyDescent="0.25">
      <c r="A15" s="334"/>
      <c r="B15" s="334"/>
      <c r="C15" s="704" t="s">
        <v>4399</v>
      </c>
      <c r="D15" s="694"/>
      <c r="E15" s="706">
        <v>5</v>
      </c>
      <c r="F15" s="334"/>
      <c r="G15" s="334"/>
    </row>
    <row r="16" spans="1:7" ht="15" customHeight="1" x14ac:dyDescent="0.25">
      <c r="A16" s="334"/>
      <c r="B16" s="334"/>
      <c r="C16" s="707" t="s">
        <v>4381</v>
      </c>
      <c r="D16" s="694"/>
      <c r="E16" s="706">
        <v>17.100000000000001</v>
      </c>
      <c r="F16" s="334"/>
      <c r="G16" s="334"/>
    </row>
    <row r="17" spans="1:7" ht="15" customHeight="1" x14ac:dyDescent="0.25">
      <c r="A17" s="334"/>
      <c r="B17" s="334"/>
      <c r="C17" s="707" t="s">
        <v>4383</v>
      </c>
      <c r="D17" s="694"/>
      <c r="E17" s="706">
        <v>13.49</v>
      </c>
      <c r="F17" s="334"/>
      <c r="G17" s="334"/>
    </row>
    <row r="18" spans="1:7" x14ac:dyDescent="0.25">
      <c r="A18" s="334"/>
      <c r="B18" s="334"/>
      <c r="C18" s="707" t="s">
        <v>4379</v>
      </c>
      <c r="D18" s="694"/>
      <c r="E18" s="706">
        <v>7.9989999999999997</v>
      </c>
      <c r="F18" s="51" t="s">
        <v>4440</v>
      </c>
      <c r="G18" s="334"/>
    </row>
    <row r="19" spans="1:7" ht="30" x14ac:dyDescent="0.25">
      <c r="A19" s="334"/>
      <c r="B19" s="334"/>
      <c r="C19" s="707" t="s">
        <v>4390</v>
      </c>
      <c r="D19" s="694"/>
      <c r="E19" s="706">
        <v>27.99</v>
      </c>
      <c r="F19" s="334"/>
      <c r="G19" s="334"/>
    </row>
    <row r="20" spans="1:7" x14ac:dyDescent="0.25">
      <c r="A20" s="334"/>
      <c r="B20" s="334"/>
      <c r="C20" s="707" t="s">
        <v>4391</v>
      </c>
      <c r="D20" s="694"/>
      <c r="E20" s="706">
        <v>1.41</v>
      </c>
      <c r="F20" s="334"/>
      <c r="G20" s="334"/>
    </row>
    <row r="21" spans="1:7" x14ac:dyDescent="0.25">
      <c r="A21" s="334"/>
      <c r="B21" s="334"/>
      <c r="C21" s="704" t="s">
        <v>4420</v>
      </c>
      <c r="D21" s="694"/>
      <c r="E21" s="706">
        <f>24.99+4.45</f>
        <v>29.439999999999998</v>
      </c>
      <c r="F21" s="334"/>
      <c r="G21" s="334"/>
    </row>
    <row r="22" spans="1:7" x14ac:dyDescent="0.25">
      <c r="A22" s="334"/>
      <c r="B22" s="334"/>
      <c r="C22" s="704" t="s">
        <v>4419</v>
      </c>
      <c r="D22" s="694"/>
      <c r="E22" s="706">
        <f>24.99+33.01</f>
        <v>58</v>
      </c>
      <c r="F22" s="334"/>
      <c r="G22" s="334"/>
    </row>
    <row r="23" spans="1:7" x14ac:dyDescent="0.25">
      <c r="A23" s="334"/>
      <c r="B23" s="334"/>
      <c r="C23" s="704" t="s">
        <v>4421</v>
      </c>
      <c r="D23" s="694"/>
      <c r="E23" s="706">
        <f>5.63+24.99</f>
        <v>30.619999999999997</v>
      </c>
      <c r="F23" s="334"/>
      <c r="G23" s="334"/>
    </row>
    <row r="24" spans="1:7" x14ac:dyDescent="0.25">
      <c r="A24" s="334"/>
      <c r="B24" s="334"/>
      <c r="C24" s="707" t="s">
        <v>4393</v>
      </c>
      <c r="D24" s="694"/>
      <c r="E24" s="706">
        <v>2.09</v>
      </c>
      <c r="F24" s="334"/>
      <c r="G24" s="334"/>
    </row>
    <row r="25" spans="1:7" x14ac:dyDescent="0.25">
      <c r="A25" s="334"/>
      <c r="B25" s="334"/>
      <c r="C25" s="707" t="s">
        <v>4394</v>
      </c>
      <c r="D25" s="694"/>
      <c r="E25" s="706">
        <v>19.86</v>
      </c>
      <c r="F25" s="334"/>
      <c r="G25" s="334"/>
    </row>
    <row r="26" spans="1:7" x14ac:dyDescent="0.25">
      <c r="A26" s="334"/>
      <c r="B26" s="334"/>
      <c r="C26" s="707" t="s">
        <v>4384</v>
      </c>
      <c r="D26" s="694"/>
      <c r="E26" s="706">
        <v>14.8</v>
      </c>
      <c r="F26" s="334"/>
      <c r="G26" s="334"/>
    </row>
    <row r="27" spans="1:7" x14ac:dyDescent="0.25">
      <c r="A27" s="334"/>
      <c r="B27" s="334"/>
      <c r="C27" s="707" t="s">
        <v>4386</v>
      </c>
      <c r="D27" s="694"/>
      <c r="E27" s="706">
        <v>11.47</v>
      </c>
      <c r="F27" s="334"/>
      <c r="G27" s="334"/>
    </row>
    <row r="28" spans="1:7" x14ac:dyDescent="0.25">
      <c r="A28" s="334"/>
      <c r="B28" s="334"/>
      <c r="C28" s="707" t="s">
        <v>4387</v>
      </c>
      <c r="D28" s="694"/>
      <c r="E28" s="706">
        <v>0.38</v>
      </c>
      <c r="F28" s="334"/>
      <c r="G28" s="334"/>
    </row>
    <row r="29" spans="1:7" x14ac:dyDescent="0.25">
      <c r="A29" s="334"/>
      <c r="B29" s="334"/>
      <c r="C29" s="704" t="s">
        <v>4428</v>
      </c>
      <c r="D29" s="694"/>
      <c r="E29" s="706">
        <v>7.46</v>
      </c>
      <c r="F29" s="334"/>
      <c r="G29" s="334"/>
    </row>
    <row r="30" spans="1:7" x14ac:dyDescent="0.25">
      <c r="A30" s="334"/>
      <c r="B30" s="334"/>
      <c r="C30" s="704" t="s">
        <v>4427</v>
      </c>
      <c r="D30" s="694"/>
      <c r="E30" s="706">
        <v>22.89</v>
      </c>
      <c r="F30" s="334"/>
      <c r="G30" s="334"/>
    </row>
    <row r="31" spans="1:7" x14ac:dyDescent="0.25">
      <c r="A31" s="334"/>
      <c r="B31" s="334"/>
      <c r="C31" s="704" t="s">
        <v>4429</v>
      </c>
      <c r="D31" s="694"/>
      <c r="E31" s="706">
        <v>16.22</v>
      </c>
      <c r="F31" s="334"/>
      <c r="G31" s="334"/>
    </row>
    <row r="32" spans="1:7" x14ac:dyDescent="0.25">
      <c r="A32" s="334"/>
      <c r="B32" s="334"/>
      <c r="C32" s="704" t="s">
        <v>4430</v>
      </c>
      <c r="D32" s="694"/>
      <c r="E32" s="706">
        <v>13.75</v>
      </c>
      <c r="F32" s="334"/>
      <c r="G32" s="334"/>
    </row>
    <row r="33" spans="1:7" x14ac:dyDescent="0.25">
      <c r="A33" s="334"/>
      <c r="B33" s="334"/>
      <c r="C33" s="704" t="s">
        <v>4432</v>
      </c>
      <c r="D33" s="694"/>
      <c r="E33" s="706">
        <f>108/50</f>
        <v>2.16</v>
      </c>
      <c r="F33" s="334"/>
      <c r="G33" s="334"/>
    </row>
    <row r="34" spans="1:7" x14ac:dyDescent="0.25">
      <c r="A34" s="334"/>
      <c r="B34" s="334"/>
      <c r="C34" s="704" t="s">
        <v>4431</v>
      </c>
      <c r="D34" s="694"/>
      <c r="E34" s="706">
        <f>75.79/50</f>
        <v>1.5158</v>
      </c>
      <c r="F34" s="334"/>
      <c r="G34" s="334"/>
    </row>
    <row r="35" spans="1:7" x14ac:dyDescent="0.25">
      <c r="A35" s="334"/>
      <c r="B35" s="334"/>
      <c r="C35" s="704" t="s">
        <v>4400</v>
      </c>
      <c r="D35" s="694"/>
      <c r="E35" s="706">
        <v>5.26</v>
      </c>
      <c r="F35" s="334"/>
      <c r="G35" s="334"/>
    </row>
    <row r="36" spans="1:7" x14ac:dyDescent="0.25">
      <c r="A36" s="334"/>
      <c r="B36" s="334"/>
      <c r="C36" s="707" t="s">
        <v>4395</v>
      </c>
      <c r="D36" s="694"/>
      <c r="E36" s="706">
        <v>0.62</v>
      </c>
      <c r="F36" s="334"/>
      <c r="G36" s="334"/>
    </row>
    <row r="37" spans="1:7" x14ac:dyDescent="0.25">
      <c r="A37" s="334"/>
      <c r="B37" s="334"/>
      <c r="C37" s="704" t="s">
        <v>4396</v>
      </c>
      <c r="D37" s="694"/>
      <c r="E37" s="706">
        <v>0.82</v>
      </c>
      <c r="F37" s="334"/>
      <c r="G37" s="334"/>
    </row>
    <row r="38" spans="1:7" x14ac:dyDescent="0.25">
      <c r="A38" s="334"/>
      <c r="B38" s="334"/>
      <c r="C38" s="704" t="s">
        <v>4401</v>
      </c>
      <c r="D38" s="694"/>
      <c r="E38" s="706">
        <f>144.23/6*2</f>
        <v>48.076666666666661</v>
      </c>
      <c r="F38" s="334"/>
      <c r="G38" s="334"/>
    </row>
    <row r="39" spans="1:7" x14ac:dyDescent="0.25">
      <c r="A39" s="334"/>
      <c r="B39" s="334"/>
      <c r="C39" s="704" t="s">
        <v>4422</v>
      </c>
      <c r="D39" s="694"/>
      <c r="E39" s="706">
        <v>0.25</v>
      </c>
      <c r="F39" s="334"/>
      <c r="G39" s="334"/>
    </row>
    <row r="40" spans="1:7" x14ac:dyDescent="0.25">
      <c r="A40" s="334"/>
      <c r="B40" s="334"/>
      <c r="C40" s="704" t="s">
        <v>4423</v>
      </c>
      <c r="D40" s="694"/>
      <c r="E40" s="706">
        <v>9.26</v>
      </c>
      <c r="F40" s="334"/>
      <c r="G40" s="334"/>
    </row>
    <row r="41" spans="1:7" x14ac:dyDescent="0.25">
      <c r="A41" s="334"/>
      <c r="B41" s="334"/>
      <c r="C41" s="704" t="s">
        <v>4402</v>
      </c>
      <c r="D41" s="694"/>
      <c r="E41" s="706">
        <v>3</v>
      </c>
      <c r="F41" s="334"/>
      <c r="G41" s="334"/>
    </row>
    <row r="42" spans="1:7" x14ac:dyDescent="0.25">
      <c r="A42" s="334"/>
      <c r="B42" s="334"/>
      <c r="C42" s="704" t="s">
        <v>4412</v>
      </c>
      <c r="D42" s="694"/>
      <c r="E42" s="706">
        <v>255.82</v>
      </c>
      <c r="F42" s="334"/>
      <c r="G42" s="334"/>
    </row>
    <row r="43" spans="1:7" x14ac:dyDescent="0.25">
      <c r="A43" s="334"/>
      <c r="B43" s="334"/>
      <c r="C43" s="704" t="s">
        <v>4413</v>
      </c>
      <c r="D43" s="694"/>
      <c r="E43" s="706">
        <v>378.96</v>
      </c>
      <c r="F43" s="334"/>
      <c r="G43" s="334"/>
    </row>
    <row r="44" spans="1:7" x14ac:dyDescent="0.25">
      <c r="A44" s="334"/>
      <c r="B44" s="334"/>
      <c r="C44" s="704" t="s">
        <v>4414</v>
      </c>
      <c r="D44" s="694"/>
      <c r="E44" s="706">
        <v>310</v>
      </c>
      <c r="F44" s="334"/>
      <c r="G44" s="334"/>
    </row>
    <row r="45" spans="1:7" x14ac:dyDescent="0.25">
      <c r="A45" s="334"/>
      <c r="B45" s="334"/>
      <c r="C45" s="704" t="s">
        <v>4415</v>
      </c>
      <c r="D45" s="694"/>
      <c r="E45" s="706">
        <v>758.86</v>
      </c>
      <c r="F45" s="334"/>
      <c r="G45" s="334"/>
    </row>
    <row r="46" spans="1:7" x14ac:dyDescent="0.25">
      <c r="A46" s="334"/>
      <c r="B46" s="334"/>
      <c r="C46" s="704" t="s">
        <v>4416</v>
      </c>
      <c r="D46" s="694"/>
      <c r="E46" s="706">
        <v>452.18</v>
      </c>
      <c r="F46" s="334"/>
      <c r="G46" s="334"/>
    </row>
    <row r="47" spans="1:7" x14ac:dyDescent="0.25">
      <c r="A47" s="334"/>
      <c r="B47" s="334"/>
      <c r="C47" s="707" t="s">
        <v>4388</v>
      </c>
      <c r="D47" s="694"/>
      <c r="E47" s="706">
        <v>1.41</v>
      </c>
      <c r="F47" s="334"/>
      <c r="G47" s="334"/>
    </row>
    <row r="48" spans="1:7" x14ac:dyDescent="0.25">
      <c r="A48" s="334"/>
      <c r="B48" s="334"/>
      <c r="C48" s="707" t="s">
        <v>4380</v>
      </c>
      <c r="D48" s="694"/>
      <c r="E48" s="706">
        <v>1.77</v>
      </c>
      <c r="F48" s="334"/>
      <c r="G48" s="334"/>
    </row>
    <row r="49" spans="1:7" x14ac:dyDescent="0.25">
      <c r="A49" s="334"/>
      <c r="B49" s="334"/>
      <c r="C49" s="704" t="s">
        <v>4418</v>
      </c>
      <c r="D49" s="694"/>
      <c r="E49" s="706">
        <v>6.9</v>
      </c>
      <c r="F49" s="334"/>
      <c r="G49" s="334"/>
    </row>
    <row r="50" spans="1:7" x14ac:dyDescent="0.25">
      <c r="A50" s="334"/>
      <c r="B50" s="334"/>
      <c r="C50" s="704" t="s">
        <v>4409</v>
      </c>
      <c r="D50" s="694"/>
      <c r="E50" s="706">
        <f>26.69*1.4</f>
        <v>37.366</v>
      </c>
      <c r="F50" s="334"/>
      <c r="G50" s="334"/>
    </row>
    <row r="51" spans="1:7" x14ac:dyDescent="0.25">
      <c r="A51" s="334"/>
      <c r="B51" s="334"/>
      <c r="C51" s="704" t="s">
        <v>4410</v>
      </c>
      <c r="D51" s="694"/>
      <c r="E51" s="706">
        <f>26.69*1.45</f>
        <v>38.700499999999998</v>
      </c>
      <c r="F51" s="334"/>
      <c r="G51" s="334"/>
    </row>
    <row r="52" spans="1:7" x14ac:dyDescent="0.25">
      <c r="A52" s="334"/>
      <c r="B52" s="334"/>
      <c r="C52" s="704" t="s">
        <v>4403</v>
      </c>
      <c r="D52" s="694"/>
      <c r="E52" s="706">
        <f>26.69*0.25</f>
        <v>6.6725000000000003</v>
      </c>
      <c r="F52" s="334"/>
      <c r="G52" s="334"/>
    </row>
    <row r="53" spans="1:7" x14ac:dyDescent="0.25">
      <c r="A53" s="334"/>
      <c r="B53" s="334"/>
      <c r="C53" s="704" t="s">
        <v>4404</v>
      </c>
      <c r="D53" s="694"/>
      <c r="E53" s="706">
        <f>26.69*0.45</f>
        <v>12.0105</v>
      </c>
      <c r="F53" s="334"/>
      <c r="G53" s="334"/>
    </row>
    <row r="54" spans="1:7" x14ac:dyDescent="0.25">
      <c r="A54" s="334"/>
      <c r="B54" s="334"/>
      <c r="C54" s="704" t="s">
        <v>4405</v>
      </c>
      <c r="D54" s="694"/>
      <c r="E54" s="706">
        <f>26.69*0.5</f>
        <v>13.345000000000001</v>
      </c>
      <c r="F54" s="334"/>
      <c r="G54" s="334"/>
    </row>
    <row r="55" spans="1:7" x14ac:dyDescent="0.25">
      <c r="A55" s="334"/>
      <c r="B55" s="334"/>
      <c r="C55" s="704" t="s">
        <v>4406</v>
      </c>
      <c r="D55" s="694"/>
      <c r="E55" s="706">
        <f>26.69*0.525</f>
        <v>14.012250000000002</v>
      </c>
      <c r="F55" s="334"/>
      <c r="G55" s="334"/>
    </row>
    <row r="56" spans="1:7" x14ac:dyDescent="0.25">
      <c r="A56" s="334"/>
      <c r="B56" s="334"/>
      <c r="C56" s="704" t="s">
        <v>4407</v>
      </c>
      <c r="D56" s="694"/>
      <c r="E56" s="706">
        <f>26.69*0.6</f>
        <v>16.013999999999999</v>
      </c>
      <c r="F56" s="334"/>
      <c r="G56" s="334"/>
    </row>
    <row r="57" spans="1:7" x14ac:dyDescent="0.25">
      <c r="A57" s="334"/>
      <c r="B57" s="334"/>
      <c r="C57" s="704" t="s">
        <v>4408</v>
      </c>
      <c r="D57" s="694"/>
      <c r="E57" s="706">
        <f>26.69*0.65</f>
        <v>17.348500000000001</v>
      </c>
      <c r="F57" s="334"/>
      <c r="G57" s="334"/>
    </row>
  </sheetData>
  <mergeCells count="1">
    <mergeCell ref="A5:G5"/>
  </mergeCells>
  <pageMargins left="0.511811024" right="0.511811024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851D6"/>
  </sheetPr>
  <dimension ref="A1:G32"/>
  <sheetViews>
    <sheetView showGridLines="0" workbookViewId="0"/>
  </sheetViews>
  <sheetFormatPr defaultColWidth="12.5703125" defaultRowHeight="15" customHeight="1" x14ac:dyDescent="0.2"/>
  <cols>
    <col min="1" max="1" width="15.28515625" customWidth="1"/>
    <col min="2" max="2" width="80.7109375" customWidth="1"/>
    <col min="3" max="3" width="16.7109375" customWidth="1"/>
    <col min="4" max="4" width="13.28515625" customWidth="1"/>
    <col min="5" max="5" width="20" customWidth="1"/>
    <col min="6" max="6" width="22" customWidth="1"/>
    <col min="7" max="7" width="28.140625" customWidth="1"/>
    <col min="8" max="26" width="9.140625" customWidth="1"/>
  </cols>
  <sheetData>
    <row r="1" spans="1:7" ht="21.75" x14ac:dyDescent="0.6">
      <c r="A1" s="44" t="s">
        <v>69</v>
      </c>
      <c r="B1" s="45" t="str">
        <f>'Obra '!D1</f>
        <v>Mosaico</v>
      </c>
      <c r="C1" s="708"/>
      <c r="D1" s="708"/>
      <c r="E1" s="709"/>
      <c r="F1" s="709"/>
      <c r="G1" s="132"/>
    </row>
    <row r="2" spans="1:7" ht="21.75" x14ac:dyDescent="0.6">
      <c r="A2" s="52" t="s">
        <v>2</v>
      </c>
      <c r="B2" s="53" t="str">
        <f>'Obra '!D2</f>
        <v>Grupo DUO</v>
      </c>
      <c r="C2" s="710"/>
      <c r="D2" s="710"/>
      <c r="E2" s="711"/>
      <c r="F2" s="711"/>
      <c r="G2" s="133"/>
    </row>
    <row r="3" spans="1:7" ht="21.75" x14ac:dyDescent="0.6">
      <c r="A3" s="52" t="s">
        <v>4</v>
      </c>
      <c r="B3" s="53" t="s">
        <v>4441</v>
      </c>
      <c r="C3" s="710"/>
      <c r="D3" s="710"/>
      <c r="E3" s="711"/>
      <c r="F3" s="711"/>
      <c r="G3" s="133"/>
    </row>
    <row r="4" spans="1:7" ht="12.75" x14ac:dyDescent="0.2">
      <c r="A4" s="1153" t="s">
        <v>4442</v>
      </c>
      <c r="B4" s="1063"/>
      <c r="C4" s="1063"/>
      <c r="D4" s="1063"/>
      <c r="E4" s="1063"/>
      <c r="F4" s="1063"/>
      <c r="G4" s="1154"/>
    </row>
    <row r="5" spans="1:7" ht="28.5" x14ac:dyDescent="0.6">
      <c r="A5" s="712"/>
      <c r="B5" s="713"/>
      <c r="C5" s="714"/>
      <c r="D5" s="714"/>
      <c r="E5" s="715"/>
      <c r="F5" s="715"/>
      <c r="G5" s="58"/>
    </row>
    <row r="6" spans="1:7" ht="12.75" x14ac:dyDescent="0.2">
      <c r="A6" s="1155" t="s">
        <v>1108</v>
      </c>
      <c r="B6" s="1063"/>
      <c r="C6" s="1063"/>
      <c r="D6" s="1063"/>
      <c r="E6" s="1063"/>
      <c r="F6" s="1063"/>
      <c r="G6" s="1154"/>
    </row>
    <row r="7" spans="1:7" ht="21.75" x14ac:dyDescent="0.6">
      <c r="A7" s="716"/>
      <c r="B7" s="717"/>
      <c r="C7" s="717"/>
      <c r="D7" s="717"/>
      <c r="E7" s="718"/>
      <c r="F7" s="718"/>
      <c r="G7" s="71"/>
    </row>
    <row r="8" spans="1:7" ht="21.75" x14ac:dyDescent="0.6">
      <c r="A8" s="719" t="s">
        <v>4443</v>
      </c>
      <c r="B8" s="720"/>
      <c r="C8" s="720"/>
      <c r="D8" s="720"/>
      <c r="E8" s="721"/>
      <c r="F8" s="721"/>
      <c r="G8" s="722"/>
    </row>
    <row r="9" spans="1:7" ht="21.75" x14ac:dyDescent="0.6">
      <c r="A9" s="87"/>
      <c r="B9" s="68"/>
      <c r="C9" s="723"/>
      <c r="D9" s="723"/>
      <c r="E9" s="724"/>
      <c r="F9" s="724"/>
      <c r="G9" s="71"/>
    </row>
    <row r="10" spans="1:7" ht="21.75" x14ac:dyDescent="0.6">
      <c r="A10" s="87"/>
      <c r="B10" s="725" t="s">
        <v>4444</v>
      </c>
      <c r="C10" s="726" t="s">
        <v>9</v>
      </c>
      <c r="D10" s="727" t="s">
        <v>4445</v>
      </c>
      <c r="E10" s="728" t="s">
        <v>4446</v>
      </c>
      <c r="F10" s="728" t="s">
        <v>4447</v>
      </c>
      <c r="G10" s="71"/>
    </row>
    <row r="11" spans="1:7" ht="31.5" x14ac:dyDescent="0.6">
      <c r="A11" s="87"/>
      <c r="B11" s="729" t="s">
        <v>4448</v>
      </c>
      <c r="C11" s="730">
        <f>2*2</f>
        <v>4</v>
      </c>
      <c r="D11" s="135" t="s">
        <v>4449</v>
      </c>
      <c r="E11" s="731">
        <v>169</v>
      </c>
      <c r="F11" s="732">
        <f t="shared" ref="F11:F18" si="0">E11*C11</f>
        <v>676</v>
      </c>
      <c r="G11" s="71"/>
    </row>
    <row r="12" spans="1:7" ht="31.5" x14ac:dyDescent="0.6">
      <c r="A12" s="87"/>
      <c r="B12" s="733" t="s">
        <v>4450</v>
      </c>
      <c r="C12" s="734">
        <f>1*2</f>
        <v>2</v>
      </c>
      <c r="D12" s="147" t="s">
        <v>4449</v>
      </c>
      <c r="E12" s="735">
        <v>199</v>
      </c>
      <c r="F12" s="736">
        <f t="shared" si="0"/>
        <v>398</v>
      </c>
      <c r="G12" s="71"/>
    </row>
    <row r="13" spans="1:7" ht="21.75" x14ac:dyDescent="0.6">
      <c r="A13" s="87"/>
      <c r="B13" s="737" t="s">
        <v>4451</v>
      </c>
      <c r="C13" s="734">
        <f>2*2</f>
        <v>4</v>
      </c>
      <c r="D13" s="147" t="s">
        <v>4449</v>
      </c>
      <c r="E13" s="735">
        <v>199</v>
      </c>
      <c r="F13" s="736">
        <f t="shared" si="0"/>
        <v>796</v>
      </c>
      <c r="G13" s="71"/>
    </row>
    <row r="14" spans="1:7" ht="21.75" x14ac:dyDescent="0.6">
      <c r="A14" s="87"/>
      <c r="B14" s="737" t="s">
        <v>4452</v>
      </c>
      <c r="C14" s="734">
        <f t="shared" ref="C14:C18" si="1">1*2</f>
        <v>2</v>
      </c>
      <c r="D14" s="147" t="s">
        <v>4449</v>
      </c>
      <c r="E14" s="735">
        <v>889</v>
      </c>
      <c r="F14" s="736">
        <f t="shared" si="0"/>
        <v>1778</v>
      </c>
      <c r="G14" s="71"/>
    </row>
    <row r="15" spans="1:7" ht="21.75" x14ac:dyDescent="0.6">
      <c r="A15" s="87"/>
      <c r="B15" s="737" t="s">
        <v>4453</v>
      </c>
      <c r="C15" s="734">
        <f t="shared" si="1"/>
        <v>2</v>
      </c>
      <c r="D15" s="147" t="s">
        <v>4449</v>
      </c>
      <c r="E15" s="735">
        <v>1162</v>
      </c>
      <c r="F15" s="736">
        <f t="shared" si="0"/>
        <v>2324</v>
      </c>
      <c r="G15" s="71"/>
    </row>
    <row r="16" spans="1:7" ht="21.75" x14ac:dyDescent="0.6">
      <c r="A16" s="87"/>
      <c r="B16" s="738" t="s">
        <v>4454</v>
      </c>
      <c r="C16" s="734">
        <f t="shared" si="1"/>
        <v>2</v>
      </c>
      <c r="D16" s="147" t="s">
        <v>4449</v>
      </c>
      <c r="E16" s="735">
        <v>1699</v>
      </c>
      <c r="F16" s="736">
        <f t="shared" si="0"/>
        <v>3398</v>
      </c>
      <c r="G16" s="71"/>
    </row>
    <row r="17" spans="1:7" ht="15.75" x14ac:dyDescent="0.2">
      <c r="B17" s="738" t="s">
        <v>4455</v>
      </c>
      <c r="C17" s="734">
        <f t="shared" si="1"/>
        <v>2</v>
      </c>
      <c r="D17" s="147" t="s">
        <v>4449</v>
      </c>
      <c r="E17" s="735">
        <v>3656.75</v>
      </c>
      <c r="F17" s="736">
        <f t="shared" si="0"/>
        <v>7313.5</v>
      </c>
    </row>
    <row r="18" spans="1:7" ht="15.75" x14ac:dyDescent="0.2">
      <c r="B18" s="739" t="s">
        <v>4456</v>
      </c>
      <c r="C18" s="740">
        <f t="shared" si="1"/>
        <v>2</v>
      </c>
      <c r="D18" s="741" t="s">
        <v>4449</v>
      </c>
      <c r="E18" s="742">
        <v>3200</v>
      </c>
      <c r="F18" s="742">
        <f t="shared" si="0"/>
        <v>6400</v>
      </c>
    </row>
    <row r="19" spans="1:7" ht="15.75" customHeight="1" x14ac:dyDescent="0.2">
      <c r="B19" s="743" t="s">
        <v>238</v>
      </c>
      <c r="C19" s="744"/>
      <c r="D19" s="745"/>
      <c r="E19" s="746"/>
      <c r="F19" s="747">
        <f>SUM(F11:F18)</f>
        <v>23083.5</v>
      </c>
    </row>
    <row r="21" spans="1:7" ht="21.75" x14ac:dyDescent="0.6">
      <c r="A21" s="719" t="s">
        <v>4457</v>
      </c>
      <c r="B21" s="720"/>
      <c r="C21" s="720"/>
      <c r="D21" s="720"/>
      <c r="E21" s="721"/>
      <c r="F21" s="721"/>
      <c r="G21" s="722"/>
    </row>
    <row r="22" spans="1:7" ht="21.75" x14ac:dyDescent="0.6">
      <c r="A22" s="87"/>
      <c r="B22" s="68"/>
      <c r="C22" s="723"/>
      <c r="D22" s="723"/>
      <c r="E22" s="724"/>
      <c r="F22" s="724"/>
      <c r="G22" s="71"/>
    </row>
    <row r="23" spans="1:7" ht="21.75" x14ac:dyDescent="0.6">
      <c r="A23" s="87"/>
      <c r="B23" s="725" t="s">
        <v>4444</v>
      </c>
      <c r="C23" s="726" t="s">
        <v>9</v>
      </c>
      <c r="D23" s="727" t="s">
        <v>4445</v>
      </c>
      <c r="E23" s="728" t="s">
        <v>4446</v>
      </c>
      <c r="F23" s="728" t="s">
        <v>4447</v>
      </c>
      <c r="G23" s="71"/>
    </row>
    <row r="24" spans="1:7" ht="31.5" x14ac:dyDescent="0.6">
      <c r="A24" s="87"/>
      <c r="B24" s="729" t="s">
        <v>4448</v>
      </c>
      <c r="C24" s="730">
        <v>2</v>
      </c>
      <c r="D24" s="135" t="s">
        <v>4449</v>
      </c>
      <c r="E24" s="731">
        <v>169</v>
      </c>
      <c r="F24" s="732">
        <f t="shared" ref="F24:F31" si="2">E24*C24</f>
        <v>338</v>
      </c>
      <c r="G24" s="71"/>
    </row>
    <row r="25" spans="1:7" ht="31.5" x14ac:dyDescent="0.6">
      <c r="A25" s="87"/>
      <c r="B25" s="733" t="s">
        <v>4450</v>
      </c>
      <c r="C25" s="734">
        <v>1</v>
      </c>
      <c r="D25" s="147" t="s">
        <v>4449</v>
      </c>
      <c r="E25" s="735">
        <v>199</v>
      </c>
      <c r="F25" s="736">
        <f t="shared" si="2"/>
        <v>199</v>
      </c>
      <c r="G25" s="71"/>
    </row>
    <row r="26" spans="1:7" ht="21.75" x14ac:dyDescent="0.6">
      <c r="A26" s="87"/>
      <c r="B26" s="737" t="s">
        <v>4451</v>
      </c>
      <c r="C26" s="734">
        <v>2</v>
      </c>
      <c r="D26" s="147" t="s">
        <v>4449</v>
      </c>
      <c r="E26" s="735">
        <v>199</v>
      </c>
      <c r="F26" s="736">
        <f t="shared" si="2"/>
        <v>398</v>
      </c>
      <c r="G26" s="71"/>
    </row>
    <row r="27" spans="1:7" ht="21.75" x14ac:dyDescent="0.6">
      <c r="A27" s="87"/>
      <c r="B27" s="737" t="s">
        <v>4452</v>
      </c>
      <c r="C27" s="734">
        <v>1</v>
      </c>
      <c r="D27" s="147" t="s">
        <v>4449</v>
      </c>
      <c r="E27" s="735">
        <v>889</v>
      </c>
      <c r="F27" s="736">
        <f t="shared" si="2"/>
        <v>889</v>
      </c>
      <c r="G27" s="71"/>
    </row>
    <row r="28" spans="1:7" ht="21.75" x14ac:dyDescent="0.6">
      <c r="A28" s="87"/>
      <c r="B28" s="737" t="s">
        <v>4453</v>
      </c>
      <c r="C28" s="734">
        <v>1</v>
      </c>
      <c r="D28" s="147" t="s">
        <v>4449</v>
      </c>
      <c r="E28" s="735">
        <v>1162</v>
      </c>
      <c r="F28" s="736">
        <f t="shared" si="2"/>
        <v>1162</v>
      </c>
      <c r="G28" s="71"/>
    </row>
    <row r="29" spans="1:7" ht="21.75" x14ac:dyDescent="0.6">
      <c r="A29" s="87"/>
      <c r="B29" s="738" t="s">
        <v>4454</v>
      </c>
      <c r="C29" s="734">
        <v>1</v>
      </c>
      <c r="D29" s="147" t="s">
        <v>4449</v>
      </c>
      <c r="E29" s="735">
        <v>1699</v>
      </c>
      <c r="F29" s="736">
        <f t="shared" si="2"/>
        <v>1699</v>
      </c>
      <c r="G29" s="71"/>
    </row>
    <row r="30" spans="1:7" ht="15.75" x14ac:dyDescent="0.2">
      <c r="B30" s="738" t="s">
        <v>4455</v>
      </c>
      <c r="C30" s="734">
        <v>1</v>
      </c>
      <c r="D30" s="147" t="s">
        <v>4449</v>
      </c>
      <c r="E30" s="735">
        <v>3656.75</v>
      </c>
      <c r="F30" s="736">
        <f t="shared" si="2"/>
        <v>3656.75</v>
      </c>
    </row>
    <row r="31" spans="1:7" ht="15.75" x14ac:dyDescent="0.2">
      <c r="B31" s="739" t="s">
        <v>4456</v>
      </c>
      <c r="C31" s="740">
        <v>1</v>
      </c>
      <c r="D31" s="741" t="s">
        <v>4449</v>
      </c>
      <c r="E31" s="742">
        <v>3200</v>
      </c>
      <c r="F31" s="742">
        <f t="shared" si="2"/>
        <v>3200</v>
      </c>
    </row>
    <row r="32" spans="1:7" ht="15.75" customHeight="1" x14ac:dyDescent="0.2">
      <c r="B32" s="743" t="s">
        <v>238</v>
      </c>
      <c r="C32" s="744"/>
      <c r="D32" s="745"/>
      <c r="E32" s="746"/>
      <c r="F32" s="747">
        <f>SUM(F24:F31)</f>
        <v>11541.75</v>
      </c>
    </row>
  </sheetData>
  <mergeCells count="2">
    <mergeCell ref="A4:G4"/>
    <mergeCell ref="A6:G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851D6"/>
  </sheetPr>
  <dimension ref="A1:G24"/>
  <sheetViews>
    <sheetView showGridLines="0" workbookViewId="0"/>
  </sheetViews>
  <sheetFormatPr defaultColWidth="12.5703125" defaultRowHeight="15" customHeight="1" x14ac:dyDescent="0.2"/>
  <cols>
    <col min="1" max="1" width="15.28515625" customWidth="1"/>
    <col min="2" max="2" width="42.140625" customWidth="1"/>
    <col min="3" max="3" width="16.7109375" customWidth="1"/>
    <col min="4" max="4" width="13.28515625" customWidth="1"/>
    <col min="5" max="5" width="20" customWidth="1"/>
    <col min="6" max="6" width="22" customWidth="1"/>
    <col min="7" max="7" width="28.140625" customWidth="1"/>
    <col min="8" max="26" width="8.7109375" customWidth="1"/>
  </cols>
  <sheetData>
    <row r="1" spans="1:7" ht="21.75" x14ac:dyDescent="0.6">
      <c r="A1" s="44" t="s">
        <v>69</v>
      </c>
      <c r="B1" s="45" t="str">
        <f>'Obra '!D1</f>
        <v>Mosaico</v>
      </c>
      <c r="C1" s="708"/>
      <c r="D1" s="708"/>
      <c r="E1" s="709"/>
      <c r="F1" s="709"/>
      <c r="G1" s="132"/>
    </row>
    <row r="2" spans="1:7" ht="21.75" x14ac:dyDescent="0.6">
      <c r="A2" s="52" t="s">
        <v>2</v>
      </c>
      <c r="B2" s="53" t="str">
        <f>'Obra '!D2</f>
        <v>Grupo DUO</v>
      </c>
      <c r="C2" s="710"/>
      <c r="D2" s="710"/>
      <c r="E2" s="711"/>
      <c r="F2" s="711"/>
      <c r="G2" s="133"/>
    </row>
    <row r="3" spans="1:7" ht="21.75" x14ac:dyDescent="0.6">
      <c r="A3" s="52" t="s">
        <v>4</v>
      </c>
      <c r="B3" s="53" t="s">
        <v>5</v>
      </c>
      <c r="C3" s="710"/>
      <c r="D3" s="710"/>
      <c r="E3" s="711"/>
      <c r="F3" s="711"/>
      <c r="G3" s="133"/>
    </row>
    <row r="4" spans="1:7" ht="12.75" x14ac:dyDescent="0.2">
      <c r="A4" s="1153" t="s">
        <v>4442</v>
      </c>
      <c r="B4" s="1063"/>
      <c r="C4" s="1063"/>
      <c r="D4" s="1063"/>
      <c r="E4" s="1063"/>
      <c r="F4" s="1063"/>
      <c r="G4" s="1154"/>
    </row>
    <row r="5" spans="1:7" ht="28.5" x14ac:dyDescent="0.6">
      <c r="A5" s="712"/>
      <c r="B5" s="713"/>
      <c r="C5" s="714"/>
      <c r="D5" s="714"/>
      <c r="E5" s="715"/>
      <c r="F5" s="715"/>
      <c r="G5" s="58"/>
    </row>
    <row r="6" spans="1:7" ht="12.75" x14ac:dyDescent="0.2">
      <c r="A6" s="1155" t="s">
        <v>4458</v>
      </c>
      <c r="B6" s="1063"/>
      <c r="C6" s="1063"/>
      <c r="D6" s="1063"/>
      <c r="E6" s="1063"/>
      <c r="F6" s="1063"/>
      <c r="G6" s="1154"/>
    </row>
    <row r="7" spans="1:7" ht="21.75" x14ac:dyDescent="0.6">
      <c r="A7" s="716"/>
      <c r="B7" s="717"/>
      <c r="C7" s="717"/>
      <c r="D7" s="717"/>
      <c r="E7" s="718"/>
      <c r="F7" s="718"/>
      <c r="G7" s="71"/>
    </row>
    <row r="8" spans="1:7" ht="21.75" x14ac:dyDescent="0.6">
      <c r="A8" s="748" t="s">
        <v>4458</v>
      </c>
      <c r="B8" s="720"/>
      <c r="C8" s="720"/>
      <c r="D8" s="720"/>
      <c r="E8" s="721"/>
      <c r="F8" s="721"/>
      <c r="G8" s="722"/>
    </row>
    <row r="9" spans="1:7" ht="21.75" x14ac:dyDescent="0.6">
      <c r="A9" s="87"/>
      <c r="B9" s="68"/>
      <c r="C9" s="723"/>
      <c r="D9" s="723"/>
      <c r="E9" s="724"/>
      <c r="F9" s="724"/>
      <c r="G9" s="71"/>
    </row>
    <row r="10" spans="1:7" ht="21.75" x14ac:dyDescent="0.6">
      <c r="A10" s="87"/>
      <c r="B10" s="725" t="s">
        <v>4444</v>
      </c>
      <c r="C10" s="726" t="s">
        <v>9</v>
      </c>
      <c r="D10" s="727" t="s">
        <v>4445</v>
      </c>
      <c r="E10" s="728" t="s">
        <v>4446</v>
      </c>
      <c r="F10" s="728" t="s">
        <v>4447</v>
      </c>
      <c r="G10" s="71"/>
    </row>
    <row r="11" spans="1:7" ht="21.75" x14ac:dyDescent="0.6">
      <c r="A11" s="87"/>
      <c r="B11" s="749" t="s">
        <v>4459</v>
      </c>
      <c r="C11" s="734">
        <f>'Obra '!E10</f>
        <v>81</v>
      </c>
      <c r="D11" s="147" t="s">
        <v>4375</v>
      </c>
      <c r="E11" s="735">
        <v>72</v>
      </c>
      <c r="F11" s="736">
        <f t="shared" ref="F11:F21" si="0">E11*C11</f>
        <v>5832</v>
      </c>
      <c r="G11" s="71"/>
    </row>
    <row r="12" spans="1:7" ht="21.75" x14ac:dyDescent="0.6">
      <c r="A12" s="87"/>
      <c r="B12" s="749" t="s">
        <v>4460</v>
      </c>
      <c r="C12" s="734">
        <v>2</v>
      </c>
      <c r="D12" s="147" t="s">
        <v>4375</v>
      </c>
      <c r="E12" s="735">
        <v>492</v>
      </c>
      <c r="F12" s="736">
        <f t="shared" si="0"/>
        <v>984</v>
      </c>
      <c r="G12" s="71"/>
    </row>
    <row r="13" spans="1:7" ht="21.75" x14ac:dyDescent="0.6">
      <c r="A13" s="87"/>
      <c r="B13" s="749" t="s">
        <v>4461</v>
      </c>
      <c r="C13" s="734">
        <v>3</v>
      </c>
      <c r="D13" s="147" t="s">
        <v>4375</v>
      </c>
      <c r="E13" s="735">
        <v>1310</v>
      </c>
      <c r="F13" s="736">
        <f t="shared" si="0"/>
        <v>3930</v>
      </c>
      <c r="G13" s="71"/>
    </row>
    <row r="14" spans="1:7" ht="21.75" x14ac:dyDescent="0.6">
      <c r="A14" s="87"/>
      <c r="B14" s="749" t="s">
        <v>4462</v>
      </c>
      <c r="C14" s="734">
        <v>2</v>
      </c>
      <c r="D14" s="147" t="s">
        <v>4375</v>
      </c>
      <c r="E14" s="735">
        <v>169</v>
      </c>
      <c r="F14" s="736">
        <f t="shared" si="0"/>
        <v>338</v>
      </c>
      <c r="G14" s="71"/>
    </row>
    <row r="15" spans="1:7" ht="21.75" x14ac:dyDescent="0.6">
      <c r="A15" s="87"/>
      <c r="B15" s="749" t="s">
        <v>4463</v>
      </c>
      <c r="C15" s="734">
        <v>3</v>
      </c>
      <c r="D15" s="147" t="s">
        <v>4375</v>
      </c>
      <c r="E15" s="735">
        <v>179</v>
      </c>
      <c r="F15" s="736">
        <f t="shared" si="0"/>
        <v>537</v>
      </c>
      <c r="G15" s="71"/>
    </row>
    <row r="16" spans="1:7" ht="21.75" x14ac:dyDescent="0.6">
      <c r="A16" s="87"/>
      <c r="B16" s="749" t="s">
        <v>4464</v>
      </c>
      <c r="C16" s="734">
        <v>2</v>
      </c>
      <c r="D16" s="147" t="s">
        <v>4375</v>
      </c>
      <c r="E16" s="735">
        <v>269</v>
      </c>
      <c r="F16" s="736">
        <f t="shared" si="0"/>
        <v>538</v>
      </c>
      <c r="G16" s="71"/>
    </row>
    <row r="17" spans="1:7" ht="16.5" x14ac:dyDescent="0.45">
      <c r="A17" s="750"/>
      <c r="B17" s="751" t="s">
        <v>4465</v>
      </c>
      <c r="C17" s="734">
        <v>2</v>
      </c>
      <c r="D17" s="147" t="s">
        <v>4375</v>
      </c>
      <c r="E17" s="735">
        <v>520</v>
      </c>
      <c r="F17" s="736">
        <f t="shared" si="0"/>
        <v>1040</v>
      </c>
      <c r="G17" s="752"/>
    </row>
    <row r="18" spans="1:7" ht="16.5" x14ac:dyDescent="0.45">
      <c r="A18" s="750"/>
      <c r="B18" s="749" t="s">
        <v>4466</v>
      </c>
      <c r="C18" s="734">
        <v>2</v>
      </c>
      <c r="D18" s="147" t="s">
        <v>4375</v>
      </c>
      <c r="E18" s="735">
        <v>95</v>
      </c>
      <c r="F18" s="736">
        <f t="shared" si="0"/>
        <v>190</v>
      </c>
      <c r="G18" s="752"/>
    </row>
    <row r="19" spans="1:7" ht="16.5" x14ac:dyDescent="0.45">
      <c r="A19" s="750"/>
      <c r="B19" s="751" t="s">
        <v>4467</v>
      </c>
      <c r="C19" s="734">
        <f>C12+C13</f>
        <v>5</v>
      </c>
      <c r="D19" s="147" t="s">
        <v>4375</v>
      </c>
      <c r="E19" s="735">
        <v>65</v>
      </c>
      <c r="F19" s="736">
        <f t="shared" si="0"/>
        <v>325</v>
      </c>
      <c r="G19" s="752"/>
    </row>
    <row r="20" spans="1:7" ht="16.5" x14ac:dyDescent="0.45">
      <c r="A20" s="750"/>
      <c r="B20" s="749" t="s">
        <v>4468</v>
      </c>
      <c r="C20" s="734">
        <f>C11+2</f>
        <v>83</v>
      </c>
      <c r="D20" s="147" t="s">
        <v>4375</v>
      </c>
      <c r="E20" s="735">
        <v>2.2000000000000002</v>
      </c>
      <c r="F20" s="736">
        <f t="shared" si="0"/>
        <v>182.60000000000002</v>
      </c>
      <c r="G20" s="752"/>
    </row>
    <row r="21" spans="1:7" ht="16.5" x14ac:dyDescent="0.45">
      <c r="A21" s="750"/>
      <c r="B21" s="749" t="s">
        <v>4469</v>
      </c>
      <c r="C21" s="734">
        <f>'Obra '!E9</f>
        <v>7672.04</v>
      </c>
      <c r="D21" s="147" t="s">
        <v>4470</v>
      </c>
      <c r="E21" s="735">
        <v>3.8</v>
      </c>
      <c r="F21" s="736">
        <f t="shared" si="0"/>
        <v>29153.751999999997</v>
      </c>
      <c r="G21" s="752"/>
    </row>
    <row r="22" spans="1:7" ht="15.75" customHeight="1" x14ac:dyDescent="0.2">
      <c r="A22" s="750"/>
      <c r="B22" s="743" t="s">
        <v>238</v>
      </c>
      <c r="C22" s="744"/>
      <c r="D22" s="745"/>
      <c r="E22" s="746"/>
      <c r="F22" s="747">
        <f>SUM(F11:F21)</f>
        <v>43050.351999999999</v>
      </c>
      <c r="G22" s="752"/>
    </row>
    <row r="23" spans="1:7" ht="15" customHeight="1" x14ac:dyDescent="0.2">
      <c r="A23" s="750"/>
      <c r="B23" s="211"/>
      <c r="C23" s="211"/>
      <c r="D23" s="211"/>
      <c r="E23" s="211"/>
      <c r="F23" s="211"/>
      <c r="G23" s="752"/>
    </row>
    <row r="24" spans="1:7" ht="15" customHeight="1" x14ac:dyDescent="0.2">
      <c r="A24" s="753"/>
      <c r="B24" s="754"/>
      <c r="C24" s="754"/>
      <c r="D24" s="754"/>
      <c r="E24" s="754"/>
      <c r="F24" s="754"/>
      <c r="G24" s="755"/>
    </row>
  </sheetData>
  <mergeCells count="2">
    <mergeCell ref="A4:G4"/>
    <mergeCell ref="A6:G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1851D6"/>
  </sheetPr>
  <dimension ref="A1:G17"/>
  <sheetViews>
    <sheetView workbookViewId="0"/>
  </sheetViews>
  <sheetFormatPr defaultColWidth="12.5703125" defaultRowHeight="15" customHeight="1" x14ac:dyDescent="0.2"/>
  <cols>
    <col min="1" max="1" width="15.28515625" customWidth="1"/>
    <col min="2" max="2" width="42.28515625" customWidth="1"/>
    <col min="3" max="3" width="16.7109375" customWidth="1"/>
    <col min="4" max="4" width="13.28515625" customWidth="1"/>
    <col min="5" max="5" width="20" customWidth="1"/>
    <col min="6" max="6" width="22" customWidth="1"/>
    <col min="7" max="7" width="28.140625" customWidth="1"/>
    <col min="8" max="26" width="8.7109375" customWidth="1"/>
  </cols>
  <sheetData>
    <row r="1" spans="1:7" ht="15" customHeight="1" x14ac:dyDescent="0.6">
      <c r="A1" s="44" t="s">
        <v>69</v>
      </c>
      <c r="B1" s="45" t="str">
        <f>'Obra '!D1</f>
        <v>Mosaico</v>
      </c>
      <c r="C1" s="708"/>
      <c r="D1" s="708"/>
      <c r="E1" s="709"/>
      <c r="F1" s="709"/>
      <c r="G1" s="132"/>
    </row>
    <row r="2" spans="1:7" ht="15" customHeight="1" x14ac:dyDescent="0.6">
      <c r="A2" s="52" t="s">
        <v>2</v>
      </c>
      <c r="B2" s="53" t="str">
        <f>'Obra '!D2</f>
        <v>Grupo DUO</v>
      </c>
      <c r="C2" s="710"/>
      <c r="D2" s="710"/>
      <c r="E2" s="711"/>
      <c r="F2" s="711"/>
      <c r="G2" s="133"/>
    </row>
    <row r="3" spans="1:7" ht="15" customHeight="1" x14ac:dyDescent="0.6">
      <c r="A3" s="52" t="s">
        <v>4</v>
      </c>
      <c r="B3" s="53" t="s">
        <v>5</v>
      </c>
      <c r="C3" s="710"/>
      <c r="D3" s="710"/>
      <c r="E3" s="711"/>
      <c r="F3" s="711"/>
      <c r="G3" s="133"/>
    </row>
    <row r="4" spans="1:7" ht="12.75" x14ac:dyDescent="0.2">
      <c r="A4" s="1153" t="s">
        <v>4442</v>
      </c>
      <c r="B4" s="1063"/>
      <c r="C4" s="1063"/>
      <c r="D4" s="1063"/>
      <c r="E4" s="1063"/>
      <c r="F4" s="1063"/>
      <c r="G4" s="1154"/>
    </row>
    <row r="5" spans="1:7" ht="15" customHeight="1" x14ac:dyDescent="0.6">
      <c r="A5" s="712"/>
      <c r="B5" s="713"/>
      <c r="C5" s="714"/>
      <c r="D5" s="714"/>
      <c r="E5" s="715"/>
      <c r="F5" s="715"/>
      <c r="G5" s="58"/>
    </row>
    <row r="6" spans="1:7" ht="12.75" x14ac:dyDescent="0.2">
      <c r="A6" s="1155" t="s">
        <v>4471</v>
      </c>
      <c r="B6" s="1063"/>
      <c r="C6" s="1063"/>
      <c r="D6" s="1063"/>
      <c r="E6" s="1063"/>
      <c r="F6" s="1063"/>
      <c r="G6" s="1154"/>
    </row>
    <row r="7" spans="1:7" ht="15" customHeight="1" x14ac:dyDescent="0.6">
      <c r="A7" s="716"/>
      <c r="B7" s="717"/>
      <c r="C7" s="717"/>
      <c r="D7" s="717"/>
      <c r="E7" s="718"/>
      <c r="F7" s="718"/>
      <c r="G7" s="71"/>
    </row>
    <row r="8" spans="1:7" ht="15" customHeight="1" x14ac:dyDescent="0.6">
      <c r="A8" s="719" t="s">
        <v>4472</v>
      </c>
      <c r="B8" s="720"/>
      <c r="C8" s="720"/>
      <c r="D8" s="720"/>
      <c r="E8" s="721"/>
      <c r="F8" s="721"/>
      <c r="G8" s="722"/>
    </row>
    <row r="9" spans="1:7" ht="15" customHeight="1" x14ac:dyDescent="0.6">
      <c r="A9" s="87"/>
      <c r="B9" s="68"/>
      <c r="C9" s="723"/>
      <c r="D9" s="723"/>
      <c r="E9" s="724"/>
      <c r="F9" s="724"/>
      <c r="G9" s="71"/>
    </row>
    <row r="10" spans="1:7" ht="15" customHeight="1" x14ac:dyDescent="0.6">
      <c r="A10" s="87"/>
      <c r="B10" s="725" t="s">
        <v>4444</v>
      </c>
      <c r="C10" s="726" t="s">
        <v>9</v>
      </c>
      <c r="D10" s="727" t="s">
        <v>4445</v>
      </c>
      <c r="E10" s="728" t="s">
        <v>4446</v>
      </c>
      <c r="F10" s="728" t="s">
        <v>4447</v>
      </c>
      <c r="G10" s="71"/>
    </row>
    <row r="11" spans="1:7" ht="15" customHeight="1" x14ac:dyDescent="0.6">
      <c r="A11" s="87"/>
      <c r="B11" s="749" t="s">
        <v>4473</v>
      </c>
      <c r="C11" s="734">
        <v>2</v>
      </c>
      <c r="D11" s="147" t="s">
        <v>4375</v>
      </c>
      <c r="E11" s="735">
        <v>900</v>
      </c>
      <c r="F11" s="736">
        <f t="shared" ref="F11:F16" si="0">E11*C11</f>
        <v>1800</v>
      </c>
      <c r="G11" s="71"/>
    </row>
    <row r="12" spans="1:7" ht="15" customHeight="1" x14ac:dyDescent="0.6">
      <c r="A12" s="87"/>
      <c r="B12" s="749" t="s">
        <v>4474</v>
      </c>
      <c r="C12" s="734">
        <v>2</v>
      </c>
      <c r="D12" s="147" t="s">
        <v>4375</v>
      </c>
      <c r="E12" s="735">
        <v>890</v>
      </c>
      <c r="F12" s="736">
        <f t="shared" si="0"/>
        <v>1780</v>
      </c>
      <c r="G12" s="71"/>
    </row>
    <row r="13" spans="1:7" ht="15" customHeight="1" x14ac:dyDescent="0.6">
      <c r="A13" s="87"/>
      <c r="B13" s="749" t="s">
        <v>4475</v>
      </c>
      <c r="C13" s="734">
        <v>2</v>
      </c>
      <c r="D13" s="147" t="s">
        <v>4375</v>
      </c>
      <c r="E13" s="735">
        <v>399</v>
      </c>
      <c r="F13" s="736">
        <f t="shared" si="0"/>
        <v>798</v>
      </c>
      <c r="G13" s="71"/>
    </row>
    <row r="14" spans="1:7" ht="15" customHeight="1" x14ac:dyDescent="0.6">
      <c r="A14" s="87"/>
      <c r="B14" s="749" t="s">
        <v>4476</v>
      </c>
      <c r="C14" s="734">
        <v>2</v>
      </c>
      <c r="D14" s="147" t="s">
        <v>4375</v>
      </c>
      <c r="E14" s="735">
        <v>115</v>
      </c>
      <c r="F14" s="736">
        <f t="shared" si="0"/>
        <v>230</v>
      </c>
      <c r="G14" s="71"/>
    </row>
    <row r="15" spans="1:7" ht="15" customHeight="1" x14ac:dyDescent="0.6">
      <c r="A15" s="87"/>
      <c r="B15" s="749" t="s">
        <v>4477</v>
      </c>
      <c r="C15" s="734">
        <v>2</v>
      </c>
      <c r="D15" s="147" t="s">
        <v>4375</v>
      </c>
      <c r="E15" s="735">
        <v>220</v>
      </c>
      <c r="F15" s="736">
        <f t="shared" si="0"/>
        <v>440</v>
      </c>
      <c r="G15" s="71"/>
    </row>
    <row r="16" spans="1:7" ht="15" customHeight="1" x14ac:dyDescent="0.45">
      <c r="B16" s="749" t="s">
        <v>4478</v>
      </c>
      <c r="C16" s="734">
        <v>2</v>
      </c>
      <c r="D16" s="147" t="s">
        <v>4375</v>
      </c>
      <c r="E16" s="735">
        <v>1134</v>
      </c>
      <c r="F16" s="736">
        <f t="shared" si="0"/>
        <v>2268</v>
      </c>
    </row>
    <row r="17" spans="2:6" ht="18.75" x14ac:dyDescent="0.2">
      <c r="B17" s="743" t="s">
        <v>238</v>
      </c>
      <c r="C17" s="744"/>
      <c r="D17" s="745"/>
      <c r="E17" s="746"/>
      <c r="F17" s="747">
        <f>SUM(F11:F16)</f>
        <v>7316</v>
      </c>
    </row>
  </sheetData>
  <mergeCells count="2">
    <mergeCell ref="A4:G4"/>
    <mergeCell ref="A6:G6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851D6"/>
    <outlinePr summaryBelow="0" summaryRight="0"/>
  </sheetPr>
  <dimension ref="A1:P1000"/>
  <sheetViews>
    <sheetView showGridLines="0" workbookViewId="0">
      <selection activeCell="J104" sqref="J104"/>
    </sheetView>
  </sheetViews>
  <sheetFormatPr defaultColWidth="12.5703125" defaultRowHeight="15" customHeight="1" x14ac:dyDescent="0.2"/>
  <cols>
    <col min="1" max="1" width="12.7109375" customWidth="1"/>
    <col min="2" max="2" width="23.28515625" customWidth="1"/>
    <col min="3" max="3" width="23.7109375" customWidth="1"/>
    <col min="4" max="4" width="59.28515625" customWidth="1"/>
    <col min="5" max="5" width="17.7109375" customWidth="1"/>
    <col min="6" max="6" width="19.7109375" customWidth="1"/>
    <col min="7" max="7" width="19.42578125" customWidth="1"/>
    <col min="8" max="8" width="18.7109375" customWidth="1"/>
    <col min="9" max="9" width="19.7109375" customWidth="1"/>
    <col min="10" max="10" width="21.7109375" customWidth="1"/>
    <col min="11" max="11" width="12.7109375" customWidth="1"/>
    <col min="12" max="12" width="22.7109375" customWidth="1"/>
    <col min="13" max="13" width="36.28515625" customWidth="1"/>
    <col min="14" max="14" width="20" customWidth="1"/>
    <col min="15" max="26" width="12.7109375" customWidth="1"/>
  </cols>
  <sheetData>
    <row r="1" spans="1:16" ht="15" customHeight="1" x14ac:dyDescent="0.2">
      <c r="A1" s="546"/>
      <c r="B1" s="581"/>
      <c r="C1" s="543" t="s">
        <v>0</v>
      </c>
      <c r="D1" s="544" t="str">
        <f>'Obra '!D1</f>
        <v>Mosaico</v>
      </c>
      <c r="E1" s="339"/>
      <c r="F1" s="339"/>
      <c r="G1" s="339"/>
      <c r="H1" s="339"/>
      <c r="I1" s="756"/>
      <c r="J1" s="339"/>
      <c r="K1" s="339"/>
      <c r="L1" s="339"/>
      <c r="M1" s="339"/>
      <c r="N1" s="339"/>
      <c r="O1" s="339"/>
      <c r="P1" s="670"/>
    </row>
    <row r="2" spans="1:16" ht="15" customHeight="1" x14ac:dyDescent="0.2">
      <c r="A2" s="549"/>
      <c r="B2" s="334"/>
      <c r="C2" s="543" t="s">
        <v>2</v>
      </c>
      <c r="D2" s="757" t="str">
        <f>'Obra '!D2</f>
        <v>Grupo DUO</v>
      </c>
      <c r="E2" s="672"/>
      <c r="F2" s="339"/>
      <c r="G2" s="339"/>
      <c r="H2" s="339"/>
      <c r="I2" s="756"/>
      <c r="J2" s="339"/>
      <c r="K2" s="339"/>
      <c r="L2" s="339"/>
      <c r="M2" s="339"/>
      <c r="N2" s="339"/>
      <c r="O2" s="339"/>
      <c r="P2" s="674"/>
    </row>
    <row r="3" spans="1:16" ht="15" customHeight="1" x14ac:dyDescent="0.2">
      <c r="A3" s="549"/>
      <c r="B3" s="334"/>
      <c r="C3" s="543" t="s">
        <v>959</v>
      </c>
      <c r="D3" s="757"/>
      <c r="E3" s="675"/>
      <c r="F3" s="339"/>
      <c r="G3" s="339"/>
      <c r="H3" s="339"/>
      <c r="I3" s="756"/>
      <c r="J3" s="339"/>
      <c r="K3" s="339"/>
      <c r="L3" s="339"/>
      <c r="M3" s="339"/>
      <c r="N3" s="339"/>
      <c r="O3" s="339"/>
      <c r="P3" s="674"/>
    </row>
    <row r="4" spans="1:16" ht="15" customHeight="1" x14ac:dyDescent="0.2">
      <c r="A4" s="583"/>
      <c r="B4" s="676"/>
      <c r="C4" s="543" t="s">
        <v>4</v>
      </c>
      <c r="D4" s="544"/>
      <c r="E4" s="339"/>
      <c r="F4" s="339"/>
      <c r="G4" s="339"/>
      <c r="H4" s="339"/>
      <c r="I4" s="756"/>
      <c r="J4" s="339"/>
      <c r="K4" s="339"/>
      <c r="L4" s="339"/>
      <c r="M4" s="339"/>
      <c r="N4" s="339"/>
      <c r="O4" s="339"/>
      <c r="P4" s="679"/>
    </row>
    <row r="5" spans="1:16" ht="12.75" x14ac:dyDescent="0.2">
      <c r="A5" s="1151"/>
      <c r="B5" s="1088"/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9"/>
    </row>
    <row r="6" spans="1:16" ht="15" customHeight="1" x14ac:dyDescent="0.55000000000000004">
      <c r="A6" s="680" t="s">
        <v>4365</v>
      </c>
      <c r="B6" s="680" t="s">
        <v>4366</v>
      </c>
      <c r="C6" s="680" t="s">
        <v>4367</v>
      </c>
      <c r="D6" s="680" t="s">
        <v>7</v>
      </c>
      <c r="E6" s="680" t="s">
        <v>9</v>
      </c>
      <c r="F6" s="680" t="s">
        <v>4368</v>
      </c>
      <c r="G6" s="680" t="s">
        <v>4369</v>
      </c>
      <c r="H6" s="680" t="s">
        <v>8</v>
      </c>
      <c r="I6" s="758" t="s">
        <v>128</v>
      </c>
      <c r="J6" s="680" t="s">
        <v>4370</v>
      </c>
      <c r="K6" s="759"/>
      <c r="L6" s="703" t="s">
        <v>4479</v>
      </c>
      <c r="M6" s="760" t="s">
        <v>4366</v>
      </c>
      <c r="N6" s="703" t="s">
        <v>4480</v>
      </c>
      <c r="O6" s="334"/>
      <c r="P6" s="334"/>
    </row>
    <row r="7" spans="1:16" ht="15" customHeight="1" x14ac:dyDescent="0.25">
      <c r="A7" s="682" t="s">
        <v>4481</v>
      </c>
      <c r="B7" s="683"/>
      <c r="C7" s="684"/>
      <c r="D7" s="684"/>
      <c r="E7" s="685"/>
      <c r="F7" s="685"/>
      <c r="G7" s="685"/>
      <c r="H7" s="685"/>
      <c r="I7" s="686"/>
      <c r="J7" s="687">
        <f>IF(SUM(E7:I7)=0,SUMIFS($J8:$J$48,$A8:$A$48,$A7),G7*I7)</f>
        <v>46520.270000000004</v>
      </c>
      <c r="K7" s="334"/>
      <c r="L7" s="761" t="s">
        <v>4482</v>
      </c>
      <c r="M7" s="762" t="s">
        <v>4483</v>
      </c>
      <c r="N7" s="763">
        <f t="shared" ref="N7:N9" si="0">SUMIF($B$8:$B$48,M7,$J$8:$J$48)</f>
        <v>8308.6</v>
      </c>
      <c r="O7" s="334"/>
      <c r="P7" s="334"/>
    </row>
    <row r="8" spans="1:16" ht="15" customHeight="1" x14ac:dyDescent="0.25">
      <c r="A8" s="690" t="str">
        <f t="shared" ref="A8:A48" si="1">A7</f>
        <v>INCENDIO</v>
      </c>
      <c r="B8" s="690" t="s">
        <v>4483</v>
      </c>
      <c r="C8" s="690" t="s">
        <v>4484</v>
      </c>
      <c r="D8" s="691" t="s">
        <v>4485</v>
      </c>
      <c r="E8" s="692">
        <v>34</v>
      </c>
      <c r="F8" s="692">
        <v>0</v>
      </c>
      <c r="G8" s="693">
        <f t="shared" ref="G8:G48" si="2">E8+(E8*F8)</f>
        <v>34</v>
      </c>
      <c r="H8" s="694" t="s">
        <v>4375</v>
      </c>
      <c r="I8" s="764">
        <v>128</v>
      </c>
      <c r="J8" s="765">
        <f t="shared" ref="J8:J48" si="3">G8*I8</f>
        <v>4352</v>
      </c>
      <c r="K8" s="334"/>
      <c r="L8" s="766" t="s">
        <v>4482</v>
      </c>
      <c r="M8" s="767" t="s">
        <v>449</v>
      </c>
      <c r="N8" s="768">
        <f t="shared" si="0"/>
        <v>27799.17</v>
      </c>
      <c r="O8" s="334"/>
      <c r="P8" s="334"/>
    </row>
    <row r="9" spans="1:16" ht="15" customHeight="1" x14ac:dyDescent="0.25">
      <c r="A9" s="690" t="str">
        <f t="shared" si="1"/>
        <v>INCENDIO</v>
      </c>
      <c r="B9" s="690" t="s">
        <v>4483</v>
      </c>
      <c r="C9" s="690" t="s">
        <v>4484</v>
      </c>
      <c r="D9" s="690" t="s">
        <v>4486</v>
      </c>
      <c r="E9" s="692">
        <v>2</v>
      </c>
      <c r="F9" s="692">
        <v>0</v>
      </c>
      <c r="G9" s="693">
        <f t="shared" si="2"/>
        <v>2</v>
      </c>
      <c r="H9" s="694" t="s">
        <v>4375</v>
      </c>
      <c r="I9" s="764">
        <v>155</v>
      </c>
      <c r="J9" s="765">
        <f t="shared" si="3"/>
        <v>310</v>
      </c>
      <c r="K9" s="334"/>
      <c r="L9" s="766" t="s">
        <v>4482</v>
      </c>
      <c r="M9" s="767" t="s">
        <v>452</v>
      </c>
      <c r="N9" s="768">
        <f t="shared" si="0"/>
        <v>10412.5</v>
      </c>
      <c r="O9" s="334"/>
      <c r="P9" s="334"/>
    </row>
    <row r="10" spans="1:16" ht="15" customHeight="1" x14ac:dyDescent="0.25">
      <c r="A10" s="690" t="str">
        <f t="shared" si="1"/>
        <v>INCENDIO</v>
      </c>
      <c r="B10" s="690" t="s">
        <v>4483</v>
      </c>
      <c r="C10" s="690" t="s">
        <v>158</v>
      </c>
      <c r="D10" s="691" t="s">
        <v>4487</v>
      </c>
      <c r="E10" s="692">
        <v>34</v>
      </c>
      <c r="F10" s="692">
        <v>0</v>
      </c>
      <c r="G10" s="693">
        <f t="shared" si="2"/>
        <v>34</v>
      </c>
      <c r="H10" s="694" t="s">
        <v>4375</v>
      </c>
      <c r="I10" s="764">
        <v>6.89</v>
      </c>
      <c r="J10" s="765">
        <f t="shared" si="3"/>
        <v>234.26</v>
      </c>
      <c r="K10" s="334"/>
      <c r="L10" s="766" t="s">
        <v>4488</v>
      </c>
      <c r="M10" s="767" t="s">
        <v>1089</v>
      </c>
      <c r="N10" s="768">
        <f>J49</f>
        <v>45335.13</v>
      </c>
      <c r="O10" s="334"/>
      <c r="P10" s="334"/>
    </row>
    <row r="11" spans="1:16" ht="15" customHeight="1" x14ac:dyDescent="0.25">
      <c r="A11" s="690" t="str">
        <f t="shared" si="1"/>
        <v>INCENDIO</v>
      </c>
      <c r="B11" s="690" t="s">
        <v>4483</v>
      </c>
      <c r="C11" s="690" t="s">
        <v>158</v>
      </c>
      <c r="D11" s="691" t="s">
        <v>4489</v>
      </c>
      <c r="E11" s="692">
        <v>6</v>
      </c>
      <c r="F11" s="692">
        <v>0</v>
      </c>
      <c r="G11" s="693">
        <f t="shared" si="2"/>
        <v>6</v>
      </c>
      <c r="H11" s="694" t="s">
        <v>4375</v>
      </c>
      <c r="I11" s="764">
        <v>6.89</v>
      </c>
      <c r="J11" s="765">
        <f t="shared" si="3"/>
        <v>41.339999999999996</v>
      </c>
      <c r="K11" s="334"/>
      <c r="L11" s="769" t="s">
        <v>4490</v>
      </c>
      <c r="M11" s="770" t="s">
        <v>4490</v>
      </c>
      <c r="N11" s="768">
        <f>J84</f>
        <v>91216.259600000019</v>
      </c>
      <c r="O11" s="334"/>
      <c r="P11" s="334"/>
    </row>
    <row r="12" spans="1:16" ht="15" customHeight="1" x14ac:dyDescent="0.25">
      <c r="A12" s="690" t="str">
        <f t="shared" si="1"/>
        <v>INCENDIO</v>
      </c>
      <c r="B12" s="690" t="s">
        <v>4483</v>
      </c>
      <c r="C12" s="690" t="s">
        <v>158</v>
      </c>
      <c r="D12" s="691" t="s">
        <v>4491</v>
      </c>
      <c r="E12" s="692">
        <v>2</v>
      </c>
      <c r="F12" s="692">
        <v>0</v>
      </c>
      <c r="G12" s="693">
        <f t="shared" si="2"/>
        <v>2</v>
      </c>
      <c r="H12" s="694" t="s">
        <v>4375</v>
      </c>
      <c r="I12" s="764">
        <v>68.5</v>
      </c>
      <c r="J12" s="765">
        <f t="shared" si="3"/>
        <v>137</v>
      </c>
      <c r="K12" s="334"/>
      <c r="L12" s="334"/>
      <c r="M12" s="697" t="s">
        <v>59</v>
      </c>
      <c r="N12" s="698">
        <f>SUM(N7:N11)</f>
        <v>183071.65960000001</v>
      </c>
      <c r="O12" s="51" t="str">
        <f>IF(J103=N12,"Ok!","Rever!")</f>
        <v>Ok!</v>
      </c>
      <c r="P12" s="334"/>
    </row>
    <row r="13" spans="1:16" ht="15" customHeight="1" x14ac:dyDescent="0.25">
      <c r="A13" s="690" t="str">
        <f t="shared" si="1"/>
        <v>INCENDIO</v>
      </c>
      <c r="B13" s="690" t="s">
        <v>449</v>
      </c>
      <c r="C13" s="690" t="s">
        <v>4492</v>
      </c>
      <c r="D13" s="691" t="s">
        <v>4493</v>
      </c>
      <c r="E13" s="692">
        <v>26</v>
      </c>
      <c r="F13" s="692">
        <v>0</v>
      </c>
      <c r="G13" s="693">
        <f t="shared" si="2"/>
        <v>26</v>
      </c>
      <c r="H13" s="694" t="s">
        <v>4375</v>
      </c>
      <c r="I13" s="764">
        <v>30</v>
      </c>
      <c r="J13" s="765">
        <f t="shared" si="3"/>
        <v>780</v>
      </c>
      <c r="K13" s="334"/>
      <c r="P13" s="334"/>
    </row>
    <row r="14" spans="1:16" ht="15" customHeight="1" x14ac:dyDescent="0.25">
      <c r="A14" s="690" t="str">
        <f t="shared" si="1"/>
        <v>INCENDIO</v>
      </c>
      <c r="B14" s="690" t="s">
        <v>449</v>
      </c>
      <c r="C14" s="690" t="s">
        <v>4492</v>
      </c>
      <c r="D14" s="691" t="s">
        <v>4494</v>
      </c>
      <c r="E14" s="692">
        <v>13</v>
      </c>
      <c r="F14" s="692">
        <v>0</v>
      </c>
      <c r="G14" s="693">
        <f t="shared" si="2"/>
        <v>13</v>
      </c>
      <c r="H14" s="694" t="s">
        <v>4375</v>
      </c>
      <c r="I14" s="764">
        <v>28</v>
      </c>
      <c r="J14" s="765">
        <f t="shared" si="3"/>
        <v>364</v>
      </c>
      <c r="K14" s="334"/>
      <c r="L14" s="334"/>
      <c r="M14" s="334"/>
      <c r="N14" s="334"/>
      <c r="O14" s="334"/>
      <c r="P14" s="334"/>
    </row>
    <row r="15" spans="1:16" ht="15" customHeight="1" x14ac:dyDescent="0.25">
      <c r="A15" s="690" t="str">
        <f t="shared" si="1"/>
        <v>INCENDIO</v>
      </c>
      <c r="B15" s="690" t="s">
        <v>449</v>
      </c>
      <c r="C15" s="690" t="s">
        <v>4492</v>
      </c>
      <c r="D15" s="691" t="s">
        <v>4495</v>
      </c>
      <c r="E15" s="692">
        <v>13</v>
      </c>
      <c r="F15" s="692">
        <v>0</v>
      </c>
      <c r="G15" s="693">
        <f t="shared" si="2"/>
        <v>13</v>
      </c>
      <c r="H15" s="694" t="s">
        <v>4375</v>
      </c>
      <c r="I15" s="764">
        <v>96</v>
      </c>
      <c r="J15" s="765">
        <f t="shared" si="3"/>
        <v>1248</v>
      </c>
      <c r="K15" s="334"/>
      <c r="L15" s="334"/>
      <c r="M15" s="334"/>
      <c r="N15" s="334"/>
      <c r="O15" s="334"/>
      <c r="P15" s="334"/>
    </row>
    <row r="16" spans="1:16" ht="15" customHeight="1" x14ac:dyDescent="0.25">
      <c r="A16" s="690" t="str">
        <f t="shared" si="1"/>
        <v>INCENDIO</v>
      </c>
      <c r="B16" s="690" t="s">
        <v>449</v>
      </c>
      <c r="C16" s="690" t="s">
        <v>4492</v>
      </c>
      <c r="D16" s="691" t="s">
        <v>4496</v>
      </c>
      <c r="E16" s="692">
        <v>13</v>
      </c>
      <c r="F16" s="692">
        <v>0</v>
      </c>
      <c r="G16" s="693">
        <f t="shared" si="2"/>
        <v>13</v>
      </c>
      <c r="H16" s="694" t="s">
        <v>4375</v>
      </c>
      <c r="I16" s="764">
        <v>295</v>
      </c>
      <c r="J16" s="765">
        <f t="shared" si="3"/>
        <v>3835</v>
      </c>
      <c r="K16" s="334"/>
      <c r="L16" s="334"/>
      <c r="M16" s="334"/>
      <c r="N16" s="334"/>
      <c r="O16" s="334"/>
      <c r="P16" s="334"/>
    </row>
    <row r="17" spans="1:10" ht="15" customHeight="1" x14ac:dyDescent="0.25">
      <c r="A17" s="690" t="str">
        <f t="shared" si="1"/>
        <v>INCENDIO</v>
      </c>
      <c r="B17" s="690" t="s">
        <v>449</v>
      </c>
      <c r="C17" s="690" t="s">
        <v>4492</v>
      </c>
      <c r="D17" s="691" t="s">
        <v>4497</v>
      </c>
      <c r="E17" s="692">
        <v>13</v>
      </c>
      <c r="F17" s="692">
        <v>0</v>
      </c>
      <c r="G17" s="693">
        <f t="shared" si="2"/>
        <v>13</v>
      </c>
      <c r="H17" s="694" t="s">
        <v>4375</v>
      </c>
      <c r="I17" s="764">
        <v>8</v>
      </c>
      <c r="J17" s="765">
        <f t="shared" si="3"/>
        <v>104</v>
      </c>
    </row>
    <row r="18" spans="1:10" x14ac:dyDescent="0.25">
      <c r="A18" s="690" t="str">
        <f t="shared" si="1"/>
        <v>INCENDIO</v>
      </c>
      <c r="B18" s="690" t="s">
        <v>449</v>
      </c>
      <c r="C18" s="690" t="s">
        <v>4492</v>
      </c>
      <c r="D18" s="691" t="s">
        <v>4498</v>
      </c>
      <c r="E18" s="692">
        <v>1</v>
      </c>
      <c r="F18" s="692">
        <v>0</v>
      </c>
      <c r="G18" s="693">
        <f t="shared" si="2"/>
        <v>1</v>
      </c>
      <c r="H18" s="694" t="s">
        <v>4375</v>
      </c>
      <c r="I18" s="764">
        <v>355</v>
      </c>
      <c r="J18" s="765">
        <f t="shared" si="3"/>
        <v>355</v>
      </c>
    </row>
    <row r="19" spans="1:10" x14ac:dyDescent="0.25">
      <c r="A19" s="690" t="str">
        <f t="shared" si="1"/>
        <v>INCENDIO</v>
      </c>
      <c r="B19" s="690" t="s">
        <v>449</v>
      </c>
      <c r="C19" s="690" t="s">
        <v>4492</v>
      </c>
      <c r="D19" s="691" t="s">
        <v>4499</v>
      </c>
      <c r="E19" s="692">
        <v>12</v>
      </c>
      <c r="F19" s="692">
        <v>0</v>
      </c>
      <c r="G19" s="693">
        <f t="shared" si="2"/>
        <v>12</v>
      </c>
      <c r="H19" s="694" t="s">
        <v>4375</v>
      </c>
      <c r="I19" s="764">
        <v>275</v>
      </c>
      <c r="J19" s="765">
        <f t="shared" si="3"/>
        <v>3300</v>
      </c>
    </row>
    <row r="20" spans="1:10" x14ac:dyDescent="0.25">
      <c r="A20" s="690" t="str">
        <f t="shared" si="1"/>
        <v>INCENDIO</v>
      </c>
      <c r="B20" s="690" t="s">
        <v>449</v>
      </c>
      <c r="C20" s="690" t="s">
        <v>4500</v>
      </c>
      <c r="D20" s="691" t="s">
        <v>4501</v>
      </c>
      <c r="E20" s="692">
        <v>1</v>
      </c>
      <c r="F20" s="692">
        <v>0</v>
      </c>
      <c r="G20" s="693">
        <f t="shared" si="2"/>
        <v>1</v>
      </c>
      <c r="H20" s="694" t="s">
        <v>4375</v>
      </c>
      <c r="I20" s="764">
        <v>159.9</v>
      </c>
      <c r="J20" s="765">
        <f t="shared" si="3"/>
        <v>159.9</v>
      </c>
    </row>
    <row r="21" spans="1:10" x14ac:dyDescent="0.25">
      <c r="A21" s="690" t="str">
        <f t="shared" si="1"/>
        <v>INCENDIO</v>
      </c>
      <c r="B21" s="690" t="s">
        <v>449</v>
      </c>
      <c r="C21" s="690" t="s">
        <v>4500</v>
      </c>
      <c r="D21" s="691" t="s">
        <v>4502</v>
      </c>
      <c r="E21" s="692">
        <v>1</v>
      </c>
      <c r="F21" s="692">
        <v>0</v>
      </c>
      <c r="G21" s="693">
        <f t="shared" si="2"/>
        <v>1</v>
      </c>
      <c r="H21" s="694" t="s">
        <v>4375</v>
      </c>
      <c r="I21" s="764">
        <v>112.9</v>
      </c>
      <c r="J21" s="765">
        <f t="shared" si="3"/>
        <v>112.9</v>
      </c>
    </row>
    <row r="22" spans="1:10" x14ac:dyDescent="0.25">
      <c r="A22" s="690" t="str">
        <f t="shared" si="1"/>
        <v>INCENDIO</v>
      </c>
      <c r="B22" s="690" t="s">
        <v>449</v>
      </c>
      <c r="C22" s="690" t="s">
        <v>4503</v>
      </c>
      <c r="D22" s="691" t="s">
        <v>4504</v>
      </c>
      <c r="E22" s="692">
        <v>4</v>
      </c>
      <c r="F22" s="692">
        <v>0</v>
      </c>
      <c r="G22" s="693">
        <f t="shared" si="2"/>
        <v>4</v>
      </c>
      <c r="H22" s="694" t="s">
        <v>4375</v>
      </c>
      <c r="I22" s="764">
        <v>708</v>
      </c>
      <c r="J22" s="765">
        <f t="shared" si="3"/>
        <v>2832</v>
      </c>
    </row>
    <row r="23" spans="1:10" x14ac:dyDescent="0.25">
      <c r="A23" s="690" t="str">
        <f t="shared" si="1"/>
        <v>INCENDIO</v>
      </c>
      <c r="B23" s="690" t="s">
        <v>449</v>
      </c>
      <c r="C23" s="690" t="s">
        <v>4503</v>
      </c>
      <c r="D23" s="690" t="s">
        <v>4505</v>
      </c>
      <c r="E23" s="692">
        <v>13</v>
      </c>
      <c r="F23" s="692">
        <v>0</v>
      </c>
      <c r="G23" s="693">
        <f t="shared" si="2"/>
        <v>13</v>
      </c>
      <c r="H23" s="694" t="s">
        <v>4375</v>
      </c>
      <c r="I23" s="764">
        <v>588</v>
      </c>
      <c r="J23" s="765">
        <f t="shared" si="3"/>
        <v>7644</v>
      </c>
    </row>
    <row r="24" spans="1:10" x14ac:dyDescent="0.25">
      <c r="A24" s="690" t="str">
        <f t="shared" si="1"/>
        <v>INCENDIO</v>
      </c>
      <c r="B24" s="690" t="s">
        <v>449</v>
      </c>
      <c r="C24" s="690" t="s">
        <v>4506</v>
      </c>
      <c r="D24" s="690" t="s">
        <v>4507</v>
      </c>
      <c r="E24" s="692">
        <v>4</v>
      </c>
      <c r="F24" s="692">
        <v>0</v>
      </c>
      <c r="G24" s="693">
        <f t="shared" si="2"/>
        <v>4</v>
      </c>
      <c r="H24" s="694" t="s">
        <v>4375</v>
      </c>
      <c r="I24" s="764">
        <v>67.900000000000006</v>
      </c>
      <c r="J24" s="765">
        <f t="shared" si="3"/>
        <v>271.60000000000002</v>
      </c>
    </row>
    <row r="25" spans="1:10" x14ac:dyDescent="0.25">
      <c r="A25" s="690" t="str">
        <f t="shared" si="1"/>
        <v>INCENDIO</v>
      </c>
      <c r="B25" s="690" t="s">
        <v>449</v>
      </c>
      <c r="C25" s="690" t="s">
        <v>4506</v>
      </c>
      <c r="D25" s="690" t="s">
        <v>4508</v>
      </c>
      <c r="E25" s="692">
        <v>18</v>
      </c>
      <c r="F25" s="692">
        <v>0</v>
      </c>
      <c r="G25" s="693">
        <f t="shared" si="2"/>
        <v>18</v>
      </c>
      <c r="H25" s="694" t="s">
        <v>4375</v>
      </c>
      <c r="I25" s="764">
        <v>48.99</v>
      </c>
      <c r="J25" s="765">
        <f t="shared" si="3"/>
        <v>881.82</v>
      </c>
    </row>
    <row r="26" spans="1:10" x14ac:dyDescent="0.25">
      <c r="A26" s="690" t="str">
        <f t="shared" si="1"/>
        <v>INCENDIO</v>
      </c>
      <c r="B26" s="690" t="s">
        <v>449</v>
      </c>
      <c r="C26" s="690" t="s">
        <v>4506</v>
      </c>
      <c r="D26" s="690" t="s">
        <v>4509</v>
      </c>
      <c r="E26" s="692">
        <v>5</v>
      </c>
      <c r="F26" s="692">
        <v>0</v>
      </c>
      <c r="G26" s="693">
        <f t="shared" si="2"/>
        <v>5</v>
      </c>
      <c r="H26" s="694" t="s">
        <v>4375</v>
      </c>
      <c r="I26" s="764">
        <v>65.989999999999995</v>
      </c>
      <c r="J26" s="765">
        <f t="shared" si="3"/>
        <v>329.95</v>
      </c>
    </row>
    <row r="27" spans="1:10" x14ac:dyDescent="0.25">
      <c r="A27" s="690" t="str">
        <f t="shared" si="1"/>
        <v>INCENDIO</v>
      </c>
      <c r="B27" s="690" t="s">
        <v>449</v>
      </c>
      <c r="C27" s="690" t="s">
        <v>4506</v>
      </c>
      <c r="D27" s="690" t="s">
        <v>4510</v>
      </c>
      <c r="E27" s="692">
        <v>3</v>
      </c>
      <c r="F27" s="692">
        <v>0</v>
      </c>
      <c r="G27" s="693">
        <f t="shared" si="2"/>
        <v>3</v>
      </c>
      <c r="H27" s="694" t="s">
        <v>4375</v>
      </c>
      <c r="I27" s="764">
        <v>88</v>
      </c>
      <c r="J27" s="765">
        <f t="shared" si="3"/>
        <v>264</v>
      </c>
    </row>
    <row r="28" spans="1:10" x14ac:dyDescent="0.25">
      <c r="A28" s="690" t="str">
        <f t="shared" si="1"/>
        <v>INCENDIO</v>
      </c>
      <c r="B28" s="690" t="s">
        <v>449</v>
      </c>
      <c r="C28" s="690" t="s">
        <v>4506</v>
      </c>
      <c r="D28" s="690" t="s">
        <v>4511</v>
      </c>
      <c r="E28" s="692">
        <v>2</v>
      </c>
      <c r="F28" s="692">
        <v>0</v>
      </c>
      <c r="G28" s="693">
        <f t="shared" si="2"/>
        <v>2</v>
      </c>
      <c r="H28" s="694" t="s">
        <v>4375</v>
      </c>
      <c r="I28" s="764">
        <v>85</v>
      </c>
      <c r="J28" s="765">
        <f t="shared" si="3"/>
        <v>170</v>
      </c>
    </row>
    <row r="29" spans="1:10" x14ac:dyDescent="0.25">
      <c r="A29" s="690" t="str">
        <f t="shared" si="1"/>
        <v>INCENDIO</v>
      </c>
      <c r="B29" s="690" t="s">
        <v>449</v>
      </c>
      <c r="C29" s="690" t="s">
        <v>4506</v>
      </c>
      <c r="D29" s="690" t="s">
        <v>4512</v>
      </c>
      <c r="E29" s="692">
        <v>12</v>
      </c>
      <c r="F29" s="692">
        <v>0</v>
      </c>
      <c r="G29" s="693">
        <f t="shared" si="2"/>
        <v>12</v>
      </c>
      <c r="H29" s="694" t="s">
        <v>4375</v>
      </c>
      <c r="I29" s="764">
        <v>86</v>
      </c>
      <c r="J29" s="765">
        <f t="shared" si="3"/>
        <v>1032</v>
      </c>
    </row>
    <row r="30" spans="1:10" x14ac:dyDescent="0.25">
      <c r="A30" s="690" t="str">
        <f t="shared" si="1"/>
        <v>INCENDIO</v>
      </c>
      <c r="B30" s="690" t="s">
        <v>449</v>
      </c>
      <c r="C30" s="690" t="s">
        <v>4506</v>
      </c>
      <c r="D30" s="690" t="s">
        <v>4513</v>
      </c>
      <c r="E30" s="692">
        <v>2</v>
      </c>
      <c r="F30" s="692">
        <v>0</v>
      </c>
      <c r="G30" s="693">
        <f t="shared" si="2"/>
        <v>2</v>
      </c>
      <c r="H30" s="694" t="s">
        <v>4375</v>
      </c>
      <c r="I30" s="764">
        <v>128</v>
      </c>
      <c r="J30" s="765">
        <f t="shared" si="3"/>
        <v>256</v>
      </c>
    </row>
    <row r="31" spans="1:10" x14ac:dyDescent="0.25">
      <c r="A31" s="690" t="str">
        <f t="shared" si="1"/>
        <v>INCENDIO</v>
      </c>
      <c r="B31" s="690" t="s">
        <v>449</v>
      </c>
      <c r="C31" s="690" t="s">
        <v>4506</v>
      </c>
      <c r="D31" s="690" t="s">
        <v>4514</v>
      </c>
      <c r="E31" s="692">
        <v>2</v>
      </c>
      <c r="F31" s="692">
        <v>0</v>
      </c>
      <c r="G31" s="693">
        <f t="shared" si="2"/>
        <v>2</v>
      </c>
      <c r="H31" s="694" t="s">
        <v>4375</v>
      </c>
      <c r="I31" s="764">
        <v>410</v>
      </c>
      <c r="J31" s="765">
        <f t="shared" si="3"/>
        <v>820</v>
      </c>
    </row>
    <row r="32" spans="1:10" x14ac:dyDescent="0.25">
      <c r="A32" s="690" t="str">
        <f t="shared" si="1"/>
        <v>INCENDIO</v>
      </c>
      <c r="B32" s="690" t="s">
        <v>449</v>
      </c>
      <c r="C32" s="690" t="s">
        <v>4506</v>
      </c>
      <c r="D32" s="690" t="s">
        <v>4515</v>
      </c>
      <c r="E32" s="692">
        <v>3</v>
      </c>
      <c r="F32" s="692">
        <v>0</v>
      </c>
      <c r="G32" s="693">
        <f t="shared" si="2"/>
        <v>3</v>
      </c>
      <c r="H32" s="694" t="s">
        <v>4375</v>
      </c>
      <c r="I32" s="764">
        <v>565</v>
      </c>
      <c r="J32" s="765">
        <f t="shared" si="3"/>
        <v>1695</v>
      </c>
    </row>
    <row r="33" spans="1:10" x14ac:dyDescent="0.25">
      <c r="A33" s="690" t="str">
        <f t="shared" si="1"/>
        <v>INCENDIO</v>
      </c>
      <c r="B33" s="690" t="s">
        <v>449</v>
      </c>
      <c r="C33" s="690" t="s">
        <v>4506</v>
      </c>
      <c r="D33" s="690" t="s">
        <v>4516</v>
      </c>
      <c r="E33" s="692">
        <v>14</v>
      </c>
      <c r="F33" s="692">
        <v>0</v>
      </c>
      <c r="G33" s="693">
        <f t="shared" si="2"/>
        <v>14</v>
      </c>
      <c r="H33" s="694" t="s">
        <v>4375</v>
      </c>
      <c r="I33" s="764">
        <v>96</v>
      </c>
      <c r="J33" s="765">
        <f t="shared" si="3"/>
        <v>1344</v>
      </c>
    </row>
    <row r="34" spans="1:10" x14ac:dyDescent="0.25">
      <c r="A34" s="690" t="str">
        <f t="shared" si="1"/>
        <v>INCENDIO</v>
      </c>
      <c r="B34" s="690" t="s">
        <v>4483</v>
      </c>
      <c r="C34" s="690" t="s">
        <v>158</v>
      </c>
      <c r="D34" s="690" t="s">
        <v>4517</v>
      </c>
      <c r="E34" s="692">
        <v>24</v>
      </c>
      <c r="F34" s="692">
        <v>0</v>
      </c>
      <c r="G34" s="693">
        <f t="shared" si="2"/>
        <v>24</v>
      </c>
      <c r="H34" s="694" t="s">
        <v>4375</v>
      </c>
      <c r="I34" s="764">
        <v>12</v>
      </c>
      <c r="J34" s="765">
        <f t="shared" si="3"/>
        <v>288</v>
      </c>
    </row>
    <row r="35" spans="1:10" x14ac:dyDescent="0.25">
      <c r="A35" s="690" t="str">
        <f t="shared" si="1"/>
        <v>INCENDIO</v>
      </c>
      <c r="B35" s="690" t="s">
        <v>4483</v>
      </c>
      <c r="C35" s="690" t="s">
        <v>158</v>
      </c>
      <c r="D35" s="690" t="s">
        <v>4518</v>
      </c>
      <c r="E35" s="692">
        <v>13</v>
      </c>
      <c r="F35" s="692">
        <v>0</v>
      </c>
      <c r="G35" s="693">
        <f t="shared" si="2"/>
        <v>13</v>
      </c>
      <c r="H35" s="694" t="s">
        <v>4375</v>
      </c>
      <c r="I35" s="764">
        <v>12</v>
      </c>
      <c r="J35" s="765">
        <f t="shared" si="3"/>
        <v>156</v>
      </c>
    </row>
    <row r="36" spans="1:10" x14ac:dyDescent="0.25">
      <c r="A36" s="690" t="str">
        <f t="shared" si="1"/>
        <v>INCENDIO</v>
      </c>
      <c r="B36" s="690" t="s">
        <v>4483</v>
      </c>
      <c r="C36" s="690" t="s">
        <v>158</v>
      </c>
      <c r="D36" s="690" t="s">
        <v>4519</v>
      </c>
      <c r="E36" s="692">
        <v>15</v>
      </c>
      <c r="F36" s="692">
        <v>0</v>
      </c>
      <c r="G36" s="693">
        <f t="shared" si="2"/>
        <v>15</v>
      </c>
      <c r="H36" s="694" t="s">
        <v>4375</v>
      </c>
      <c r="I36" s="764">
        <v>12</v>
      </c>
      <c r="J36" s="765">
        <f t="shared" si="3"/>
        <v>180</v>
      </c>
    </row>
    <row r="37" spans="1:10" x14ac:dyDescent="0.25">
      <c r="A37" s="690" t="str">
        <f t="shared" si="1"/>
        <v>INCENDIO</v>
      </c>
      <c r="B37" s="690" t="s">
        <v>4483</v>
      </c>
      <c r="C37" s="690" t="s">
        <v>158</v>
      </c>
      <c r="D37" s="690" t="s">
        <v>4520</v>
      </c>
      <c r="E37" s="692">
        <v>13</v>
      </c>
      <c r="F37" s="692">
        <v>0</v>
      </c>
      <c r="G37" s="693">
        <f t="shared" si="2"/>
        <v>13</v>
      </c>
      <c r="H37" s="694" t="s">
        <v>4375</v>
      </c>
      <c r="I37" s="764">
        <v>12</v>
      </c>
      <c r="J37" s="765">
        <f t="shared" si="3"/>
        <v>156</v>
      </c>
    </row>
    <row r="38" spans="1:10" x14ac:dyDescent="0.25">
      <c r="A38" s="690" t="str">
        <f t="shared" si="1"/>
        <v>INCENDIO</v>
      </c>
      <c r="B38" s="690" t="s">
        <v>4483</v>
      </c>
      <c r="C38" s="690" t="s">
        <v>158</v>
      </c>
      <c r="D38" s="690" t="s">
        <v>4521</v>
      </c>
      <c r="E38" s="692">
        <v>13</v>
      </c>
      <c r="F38" s="692">
        <v>0</v>
      </c>
      <c r="G38" s="693">
        <f t="shared" si="2"/>
        <v>13</v>
      </c>
      <c r="H38" s="694" t="s">
        <v>4375</v>
      </c>
      <c r="I38" s="764">
        <v>12</v>
      </c>
      <c r="J38" s="765">
        <f t="shared" si="3"/>
        <v>156</v>
      </c>
    </row>
    <row r="39" spans="1:10" x14ac:dyDescent="0.25">
      <c r="A39" s="690" t="str">
        <f t="shared" si="1"/>
        <v>INCENDIO</v>
      </c>
      <c r="B39" s="690" t="s">
        <v>4483</v>
      </c>
      <c r="C39" s="690" t="s">
        <v>158</v>
      </c>
      <c r="D39" s="690" t="s">
        <v>4522</v>
      </c>
      <c r="E39" s="692">
        <v>13</v>
      </c>
      <c r="F39" s="692">
        <v>0</v>
      </c>
      <c r="G39" s="693">
        <f t="shared" si="2"/>
        <v>13</v>
      </c>
      <c r="H39" s="694" t="s">
        <v>4375</v>
      </c>
      <c r="I39" s="764">
        <v>12</v>
      </c>
      <c r="J39" s="765">
        <f t="shared" si="3"/>
        <v>156</v>
      </c>
    </row>
    <row r="40" spans="1:10" x14ac:dyDescent="0.25">
      <c r="A40" s="690" t="str">
        <f t="shared" si="1"/>
        <v>INCENDIO</v>
      </c>
      <c r="B40" s="690" t="s">
        <v>4483</v>
      </c>
      <c r="C40" s="690" t="s">
        <v>158</v>
      </c>
      <c r="D40" s="690" t="s">
        <v>4523</v>
      </c>
      <c r="E40" s="692">
        <v>29</v>
      </c>
      <c r="F40" s="692">
        <v>0</v>
      </c>
      <c r="G40" s="693">
        <f t="shared" si="2"/>
        <v>29</v>
      </c>
      <c r="H40" s="694" t="s">
        <v>4375</v>
      </c>
      <c r="I40" s="764">
        <v>18</v>
      </c>
      <c r="J40" s="765">
        <f t="shared" si="3"/>
        <v>522</v>
      </c>
    </row>
    <row r="41" spans="1:10" x14ac:dyDescent="0.25">
      <c r="A41" s="690" t="str">
        <f t="shared" si="1"/>
        <v>INCENDIO</v>
      </c>
      <c r="B41" s="690" t="s">
        <v>4483</v>
      </c>
      <c r="C41" s="690" t="s">
        <v>158</v>
      </c>
      <c r="D41" s="690" t="s">
        <v>4524</v>
      </c>
      <c r="E41" s="692">
        <v>90</v>
      </c>
      <c r="F41" s="692">
        <v>0</v>
      </c>
      <c r="G41" s="693">
        <f t="shared" si="2"/>
        <v>90</v>
      </c>
      <c r="H41" s="694" t="s">
        <v>4375</v>
      </c>
      <c r="I41" s="764">
        <v>18</v>
      </c>
      <c r="J41" s="765">
        <f t="shared" si="3"/>
        <v>1620</v>
      </c>
    </row>
    <row r="42" spans="1:10" x14ac:dyDescent="0.25">
      <c r="A42" s="690" t="str">
        <f t="shared" si="1"/>
        <v>INCENDIO</v>
      </c>
      <c r="B42" s="690" t="s">
        <v>452</v>
      </c>
      <c r="C42" s="690" t="s">
        <v>4525</v>
      </c>
      <c r="D42" s="690" t="s">
        <v>4526</v>
      </c>
      <c r="E42" s="692">
        <v>92</v>
      </c>
      <c r="F42" s="692">
        <v>0</v>
      </c>
      <c r="G42" s="693">
        <f t="shared" si="2"/>
        <v>92</v>
      </c>
      <c r="H42" s="694" t="s">
        <v>4375</v>
      </c>
      <c r="I42" s="764">
        <v>48</v>
      </c>
      <c r="J42" s="765">
        <f t="shared" si="3"/>
        <v>4416</v>
      </c>
    </row>
    <row r="43" spans="1:10" x14ac:dyDescent="0.25">
      <c r="A43" s="690" t="str">
        <f t="shared" si="1"/>
        <v>INCENDIO</v>
      </c>
      <c r="B43" s="690" t="s">
        <v>452</v>
      </c>
      <c r="C43" s="690" t="s">
        <v>4525</v>
      </c>
      <c r="D43" s="690" t="s">
        <v>4527</v>
      </c>
      <c r="E43" s="692">
        <v>53</v>
      </c>
      <c r="F43" s="692">
        <v>0</v>
      </c>
      <c r="G43" s="693">
        <f t="shared" si="2"/>
        <v>53</v>
      </c>
      <c r="H43" s="694" t="s">
        <v>4375</v>
      </c>
      <c r="I43" s="764">
        <v>2.4</v>
      </c>
      <c r="J43" s="765">
        <f t="shared" si="3"/>
        <v>127.19999999999999</v>
      </c>
    </row>
    <row r="44" spans="1:10" x14ac:dyDescent="0.25">
      <c r="A44" s="690" t="str">
        <f t="shared" si="1"/>
        <v>INCENDIO</v>
      </c>
      <c r="B44" s="690" t="s">
        <v>452</v>
      </c>
      <c r="C44" s="690" t="s">
        <v>4525</v>
      </c>
      <c r="D44" s="690" t="s">
        <v>4528</v>
      </c>
      <c r="E44" s="692">
        <v>551.5</v>
      </c>
      <c r="F44" s="692">
        <v>0</v>
      </c>
      <c r="G44" s="693">
        <f t="shared" si="2"/>
        <v>551.5</v>
      </c>
      <c r="H44" s="694" t="s">
        <v>79</v>
      </c>
      <c r="I44" s="764">
        <v>5</v>
      </c>
      <c r="J44" s="765">
        <f t="shared" si="3"/>
        <v>2757.5</v>
      </c>
    </row>
    <row r="45" spans="1:10" x14ac:dyDescent="0.25">
      <c r="A45" s="690" t="str">
        <f t="shared" si="1"/>
        <v>INCENDIO</v>
      </c>
      <c r="B45" s="690" t="s">
        <v>452</v>
      </c>
      <c r="C45" s="690" t="s">
        <v>4525</v>
      </c>
      <c r="D45" s="690" t="s">
        <v>4529</v>
      </c>
      <c r="E45" s="692">
        <v>47</v>
      </c>
      <c r="F45" s="692">
        <v>0</v>
      </c>
      <c r="G45" s="693">
        <f t="shared" si="2"/>
        <v>47</v>
      </c>
      <c r="H45" s="694" t="s">
        <v>4375</v>
      </c>
      <c r="I45" s="764">
        <v>49</v>
      </c>
      <c r="J45" s="765">
        <f t="shared" si="3"/>
        <v>2303</v>
      </c>
    </row>
    <row r="46" spans="1:10" x14ac:dyDescent="0.25">
      <c r="A46" s="690" t="str">
        <f t="shared" si="1"/>
        <v>INCENDIO</v>
      </c>
      <c r="B46" s="690" t="s">
        <v>452</v>
      </c>
      <c r="C46" s="690" t="s">
        <v>4525</v>
      </c>
      <c r="D46" s="690" t="s">
        <v>4530</v>
      </c>
      <c r="E46" s="692">
        <v>16</v>
      </c>
      <c r="F46" s="692">
        <v>0</v>
      </c>
      <c r="G46" s="693">
        <f t="shared" si="2"/>
        <v>16</v>
      </c>
      <c r="H46" s="694" t="s">
        <v>4375</v>
      </c>
      <c r="I46" s="764">
        <v>42</v>
      </c>
      <c r="J46" s="765">
        <f t="shared" si="3"/>
        <v>672</v>
      </c>
    </row>
    <row r="47" spans="1:10" x14ac:dyDescent="0.25">
      <c r="A47" s="690" t="str">
        <f t="shared" si="1"/>
        <v>INCENDIO</v>
      </c>
      <c r="B47" s="690" t="s">
        <v>452</v>
      </c>
      <c r="C47" s="690" t="s">
        <v>4525</v>
      </c>
      <c r="D47" s="690" t="s">
        <v>4531</v>
      </c>
      <c r="E47" s="692">
        <v>1</v>
      </c>
      <c r="F47" s="692">
        <v>0</v>
      </c>
      <c r="G47" s="693">
        <f t="shared" si="2"/>
        <v>1</v>
      </c>
      <c r="H47" s="694" t="s">
        <v>4375</v>
      </c>
      <c r="I47" s="764">
        <v>136.80000000000001</v>
      </c>
      <c r="J47" s="765">
        <f t="shared" si="3"/>
        <v>136.80000000000001</v>
      </c>
    </row>
    <row r="48" spans="1:10" x14ac:dyDescent="0.25">
      <c r="A48" s="690" t="str">
        <f t="shared" si="1"/>
        <v>INCENDIO</v>
      </c>
      <c r="B48" s="690" t="s">
        <v>452</v>
      </c>
      <c r="C48" s="690" t="s">
        <v>4525</v>
      </c>
      <c r="D48" s="690" t="s">
        <v>4532</v>
      </c>
      <c r="E48" s="692">
        <v>16</v>
      </c>
      <c r="F48" s="692">
        <v>0</v>
      </c>
      <c r="G48" s="693">
        <f t="shared" si="2"/>
        <v>16</v>
      </c>
      <c r="H48" s="694" t="s">
        <v>4375</v>
      </c>
      <c r="I48" s="771"/>
      <c r="J48" s="765">
        <f t="shared" si="3"/>
        <v>0</v>
      </c>
    </row>
    <row r="49" spans="1:10" x14ac:dyDescent="0.25">
      <c r="A49" s="682" t="s">
        <v>4533</v>
      </c>
      <c r="B49" s="683"/>
      <c r="C49" s="684"/>
      <c r="D49" s="684"/>
      <c r="E49" s="685"/>
      <c r="F49" s="685"/>
      <c r="G49" s="685"/>
      <c r="H49" s="685"/>
      <c r="I49" s="772"/>
      <c r="J49" s="773">
        <f>SUM(J50:J83)</f>
        <v>45335.13</v>
      </c>
    </row>
    <row r="50" spans="1:10" x14ac:dyDescent="0.25">
      <c r="A50" s="690" t="str">
        <f t="shared" ref="A50:A83" si="4">A49</f>
        <v>GÁS</v>
      </c>
      <c r="B50" s="690" t="s">
        <v>4534</v>
      </c>
      <c r="C50" s="690" t="s">
        <v>4503</v>
      </c>
      <c r="D50" s="690" t="s">
        <v>4535</v>
      </c>
      <c r="E50" s="692">
        <v>31.76</v>
      </c>
      <c r="F50" s="692">
        <v>0</v>
      </c>
      <c r="G50" s="693">
        <f t="shared" ref="G50:G83" si="5">E50+(E50*F50)</f>
        <v>31.76</v>
      </c>
      <c r="H50" s="694" t="s">
        <v>79</v>
      </c>
      <c r="I50" s="771">
        <v>400</v>
      </c>
      <c r="J50" s="774">
        <f t="shared" ref="J50:J83" si="6">G50*I50</f>
        <v>12704</v>
      </c>
    </row>
    <row r="51" spans="1:10" x14ac:dyDescent="0.25">
      <c r="A51" s="690" t="str">
        <f t="shared" si="4"/>
        <v>GÁS</v>
      </c>
      <c r="B51" s="690" t="s">
        <v>4534</v>
      </c>
      <c r="C51" s="690" t="s">
        <v>4503</v>
      </c>
      <c r="D51" s="690" t="s">
        <v>4536</v>
      </c>
      <c r="E51" s="692">
        <v>58.2</v>
      </c>
      <c r="F51" s="692">
        <v>0</v>
      </c>
      <c r="G51" s="693">
        <f t="shared" si="5"/>
        <v>58.2</v>
      </c>
      <c r="H51" s="694" t="s">
        <v>79</v>
      </c>
      <c r="I51" s="771">
        <v>243</v>
      </c>
      <c r="J51" s="774">
        <f t="shared" si="6"/>
        <v>14142.6</v>
      </c>
    </row>
    <row r="52" spans="1:10" x14ac:dyDescent="0.25">
      <c r="A52" s="690" t="str">
        <f t="shared" si="4"/>
        <v>GÁS</v>
      </c>
      <c r="B52" s="690" t="s">
        <v>4534</v>
      </c>
      <c r="C52" s="690" t="s">
        <v>4503</v>
      </c>
      <c r="D52" s="690" t="s">
        <v>4537</v>
      </c>
      <c r="E52" s="692">
        <v>40.700000000000003</v>
      </c>
      <c r="F52" s="692">
        <v>0</v>
      </c>
      <c r="G52" s="693">
        <f t="shared" si="5"/>
        <v>40.700000000000003</v>
      </c>
      <c r="H52" s="694" t="s">
        <v>79</v>
      </c>
      <c r="I52" s="771">
        <v>200</v>
      </c>
      <c r="J52" s="774">
        <f t="shared" si="6"/>
        <v>8140.0000000000009</v>
      </c>
    </row>
    <row r="53" spans="1:10" x14ac:dyDescent="0.25">
      <c r="A53" s="690" t="str">
        <f t="shared" si="4"/>
        <v>GÁS</v>
      </c>
      <c r="B53" s="690" t="s">
        <v>4534</v>
      </c>
      <c r="C53" s="690" t="s">
        <v>4503</v>
      </c>
      <c r="D53" s="690" t="s">
        <v>4538</v>
      </c>
      <c r="E53" s="692">
        <v>4</v>
      </c>
      <c r="F53" s="692">
        <v>0</v>
      </c>
      <c r="G53" s="693">
        <f t="shared" si="5"/>
        <v>4</v>
      </c>
      <c r="H53" s="694" t="s">
        <v>4375</v>
      </c>
      <c r="I53" s="771">
        <v>33</v>
      </c>
      <c r="J53" s="774">
        <f t="shared" si="6"/>
        <v>132</v>
      </c>
    </row>
    <row r="54" spans="1:10" x14ac:dyDescent="0.25">
      <c r="A54" s="690" t="str">
        <f t="shared" si="4"/>
        <v>GÁS</v>
      </c>
      <c r="B54" s="690" t="s">
        <v>4534</v>
      </c>
      <c r="C54" s="690" t="s">
        <v>4503</v>
      </c>
      <c r="D54" s="690" t="s">
        <v>4539</v>
      </c>
      <c r="E54" s="692">
        <v>17</v>
      </c>
      <c r="F54" s="692">
        <v>0</v>
      </c>
      <c r="G54" s="693">
        <f t="shared" si="5"/>
        <v>17</v>
      </c>
      <c r="H54" s="694" t="s">
        <v>4375</v>
      </c>
      <c r="I54" s="771">
        <v>12</v>
      </c>
      <c r="J54" s="774">
        <f t="shared" si="6"/>
        <v>204</v>
      </c>
    </row>
    <row r="55" spans="1:10" x14ac:dyDescent="0.25">
      <c r="A55" s="690" t="str">
        <f t="shared" si="4"/>
        <v>GÁS</v>
      </c>
      <c r="B55" s="690" t="s">
        <v>4534</v>
      </c>
      <c r="C55" s="690" t="s">
        <v>4503</v>
      </c>
      <c r="D55" s="690" t="s">
        <v>4540</v>
      </c>
      <c r="E55" s="692">
        <v>20</v>
      </c>
      <c r="F55" s="692">
        <v>0</v>
      </c>
      <c r="G55" s="693">
        <f t="shared" si="5"/>
        <v>20</v>
      </c>
      <c r="H55" s="694" t="s">
        <v>4375</v>
      </c>
      <c r="I55" s="771">
        <v>9</v>
      </c>
      <c r="J55" s="774">
        <f t="shared" si="6"/>
        <v>180</v>
      </c>
    </row>
    <row r="56" spans="1:10" x14ac:dyDescent="0.25">
      <c r="A56" s="690" t="str">
        <f t="shared" si="4"/>
        <v>GÁS</v>
      </c>
      <c r="B56" s="690" t="s">
        <v>4534</v>
      </c>
      <c r="C56" s="690" t="s">
        <v>4503</v>
      </c>
      <c r="D56" s="690" t="s">
        <v>4541</v>
      </c>
      <c r="E56" s="692">
        <v>8</v>
      </c>
      <c r="F56" s="692">
        <v>0</v>
      </c>
      <c r="G56" s="693">
        <f t="shared" si="5"/>
        <v>8</v>
      </c>
      <c r="H56" s="694" t="s">
        <v>4375</v>
      </c>
      <c r="I56" s="771">
        <v>6</v>
      </c>
      <c r="J56" s="774">
        <f t="shared" si="6"/>
        <v>48</v>
      </c>
    </row>
    <row r="57" spans="1:10" x14ac:dyDescent="0.25">
      <c r="A57" s="690" t="str">
        <f t="shared" si="4"/>
        <v>GÁS</v>
      </c>
      <c r="B57" s="690" t="s">
        <v>4542</v>
      </c>
      <c r="C57" s="690" t="s">
        <v>4542</v>
      </c>
      <c r="D57" s="690" t="s">
        <v>4543</v>
      </c>
      <c r="E57" s="692">
        <v>2</v>
      </c>
      <c r="F57" s="692">
        <v>0</v>
      </c>
      <c r="G57" s="693">
        <f t="shared" si="5"/>
        <v>2</v>
      </c>
      <c r="H57" s="694" t="s">
        <v>4375</v>
      </c>
      <c r="I57" s="771">
        <v>500</v>
      </c>
      <c r="J57" s="774">
        <f t="shared" si="6"/>
        <v>1000</v>
      </c>
    </row>
    <row r="58" spans="1:10" x14ac:dyDescent="0.25">
      <c r="A58" s="690" t="str">
        <f t="shared" si="4"/>
        <v>GÁS</v>
      </c>
      <c r="B58" s="690" t="s">
        <v>4542</v>
      </c>
      <c r="C58" s="690" t="s">
        <v>4542</v>
      </c>
      <c r="D58" s="690" t="s">
        <v>4544</v>
      </c>
      <c r="E58" s="692">
        <v>2</v>
      </c>
      <c r="F58" s="692">
        <v>0</v>
      </c>
      <c r="G58" s="693">
        <f t="shared" si="5"/>
        <v>2</v>
      </c>
      <c r="H58" s="694" t="s">
        <v>4375</v>
      </c>
      <c r="I58" s="771">
        <v>60</v>
      </c>
      <c r="J58" s="774">
        <f t="shared" si="6"/>
        <v>120</v>
      </c>
    </row>
    <row r="59" spans="1:10" x14ac:dyDescent="0.25">
      <c r="A59" s="690" t="str">
        <f t="shared" si="4"/>
        <v>GÁS</v>
      </c>
      <c r="B59" s="690" t="s">
        <v>4542</v>
      </c>
      <c r="C59" s="690" t="s">
        <v>4542</v>
      </c>
      <c r="D59" s="690" t="s">
        <v>4545</v>
      </c>
      <c r="E59" s="692">
        <v>2</v>
      </c>
      <c r="F59" s="692">
        <v>0</v>
      </c>
      <c r="G59" s="693">
        <f t="shared" si="5"/>
        <v>2</v>
      </c>
      <c r="H59" s="694" t="s">
        <v>4375</v>
      </c>
      <c r="I59" s="771">
        <v>50</v>
      </c>
      <c r="J59" s="774">
        <f t="shared" si="6"/>
        <v>100</v>
      </c>
    </row>
    <row r="60" spans="1:10" x14ac:dyDescent="0.25">
      <c r="A60" s="690" t="str">
        <f t="shared" si="4"/>
        <v>GÁS</v>
      </c>
      <c r="B60" s="690" t="s">
        <v>4542</v>
      </c>
      <c r="C60" s="690" t="s">
        <v>4542</v>
      </c>
      <c r="D60" s="690" t="s">
        <v>4546</v>
      </c>
      <c r="E60" s="692">
        <v>2</v>
      </c>
      <c r="F60" s="692">
        <v>0</v>
      </c>
      <c r="G60" s="693">
        <f t="shared" si="5"/>
        <v>2</v>
      </c>
      <c r="H60" s="694" t="s">
        <v>4375</v>
      </c>
      <c r="I60" s="771">
        <v>30</v>
      </c>
      <c r="J60" s="774">
        <f t="shared" si="6"/>
        <v>60</v>
      </c>
    </row>
    <row r="61" spans="1:10" x14ac:dyDescent="0.25">
      <c r="A61" s="690" t="str">
        <f t="shared" si="4"/>
        <v>GÁS</v>
      </c>
      <c r="B61" s="690" t="s">
        <v>4542</v>
      </c>
      <c r="C61" s="690" t="s">
        <v>4542</v>
      </c>
      <c r="D61" s="690" t="s">
        <v>4547</v>
      </c>
      <c r="E61" s="692">
        <v>14</v>
      </c>
      <c r="F61" s="692">
        <v>0</v>
      </c>
      <c r="G61" s="693">
        <f t="shared" si="5"/>
        <v>14</v>
      </c>
      <c r="H61" s="694" t="s">
        <v>4375</v>
      </c>
      <c r="I61" s="771">
        <v>120</v>
      </c>
      <c r="J61" s="774">
        <f t="shared" si="6"/>
        <v>1680</v>
      </c>
    </row>
    <row r="62" spans="1:10" x14ac:dyDescent="0.25">
      <c r="A62" s="690" t="str">
        <f t="shared" si="4"/>
        <v>GÁS</v>
      </c>
      <c r="B62" s="690" t="s">
        <v>4542</v>
      </c>
      <c r="C62" s="690" t="s">
        <v>4542</v>
      </c>
      <c r="D62" s="690" t="s">
        <v>4548</v>
      </c>
      <c r="E62" s="692">
        <v>1</v>
      </c>
      <c r="F62" s="692">
        <v>0</v>
      </c>
      <c r="G62" s="693">
        <f t="shared" si="5"/>
        <v>1</v>
      </c>
      <c r="H62" s="694" t="s">
        <v>4375</v>
      </c>
      <c r="I62" s="771">
        <v>10</v>
      </c>
      <c r="J62" s="774">
        <f t="shared" si="6"/>
        <v>10</v>
      </c>
    </row>
    <row r="63" spans="1:10" x14ac:dyDescent="0.25">
      <c r="A63" s="690" t="str">
        <f t="shared" si="4"/>
        <v>GÁS</v>
      </c>
      <c r="B63" s="690" t="s">
        <v>4542</v>
      </c>
      <c r="C63" s="690" t="s">
        <v>4542</v>
      </c>
      <c r="D63" s="690" t="s">
        <v>4549</v>
      </c>
      <c r="E63" s="692">
        <v>1</v>
      </c>
      <c r="F63" s="692">
        <v>0</v>
      </c>
      <c r="G63" s="693">
        <f t="shared" si="5"/>
        <v>1</v>
      </c>
      <c r="H63" s="694" t="s">
        <v>4375</v>
      </c>
      <c r="I63" s="771">
        <v>5.63</v>
      </c>
      <c r="J63" s="774">
        <f t="shared" si="6"/>
        <v>5.63</v>
      </c>
    </row>
    <row r="64" spans="1:10" x14ac:dyDescent="0.25">
      <c r="A64" s="690" t="str">
        <f t="shared" si="4"/>
        <v>GÁS</v>
      </c>
      <c r="B64" s="690" t="s">
        <v>4542</v>
      </c>
      <c r="C64" s="690" t="s">
        <v>4542</v>
      </c>
      <c r="D64" s="690" t="s">
        <v>4550</v>
      </c>
      <c r="E64" s="692">
        <v>1</v>
      </c>
      <c r="F64" s="692">
        <v>0</v>
      </c>
      <c r="G64" s="693">
        <f t="shared" si="5"/>
        <v>1</v>
      </c>
      <c r="H64" s="694" t="s">
        <v>4375</v>
      </c>
      <c r="I64" s="771">
        <v>673</v>
      </c>
      <c r="J64" s="774">
        <f t="shared" si="6"/>
        <v>673</v>
      </c>
    </row>
    <row r="65" spans="1:10" x14ac:dyDescent="0.25">
      <c r="A65" s="690" t="str">
        <f t="shared" si="4"/>
        <v>GÁS</v>
      </c>
      <c r="B65" s="690" t="s">
        <v>4542</v>
      </c>
      <c r="C65" s="690" t="s">
        <v>4542</v>
      </c>
      <c r="D65" s="690" t="s">
        <v>4551</v>
      </c>
      <c r="E65" s="692">
        <v>2</v>
      </c>
      <c r="F65" s="692">
        <v>0</v>
      </c>
      <c r="G65" s="693">
        <f t="shared" si="5"/>
        <v>2</v>
      </c>
      <c r="H65" s="694" t="s">
        <v>4375</v>
      </c>
      <c r="I65" s="771">
        <v>14</v>
      </c>
      <c r="J65" s="774">
        <f t="shared" si="6"/>
        <v>28</v>
      </c>
    </row>
    <row r="66" spans="1:10" x14ac:dyDescent="0.25">
      <c r="A66" s="690" t="str">
        <f t="shared" si="4"/>
        <v>GÁS</v>
      </c>
      <c r="B66" s="690" t="s">
        <v>4542</v>
      </c>
      <c r="C66" s="690" t="s">
        <v>4542</v>
      </c>
      <c r="D66" s="690" t="s">
        <v>4552</v>
      </c>
      <c r="E66" s="692">
        <v>2</v>
      </c>
      <c r="F66" s="692">
        <v>0</v>
      </c>
      <c r="G66" s="693">
        <f t="shared" si="5"/>
        <v>2</v>
      </c>
      <c r="H66" s="694" t="s">
        <v>4375</v>
      </c>
      <c r="I66" s="771">
        <v>14</v>
      </c>
      <c r="J66" s="774">
        <f t="shared" si="6"/>
        <v>28</v>
      </c>
    </row>
    <row r="67" spans="1:10" x14ac:dyDescent="0.25">
      <c r="A67" s="690" t="str">
        <f t="shared" si="4"/>
        <v>GÁS</v>
      </c>
      <c r="B67" s="690" t="s">
        <v>4542</v>
      </c>
      <c r="C67" s="690" t="s">
        <v>4542</v>
      </c>
      <c r="D67" s="690" t="s">
        <v>4553</v>
      </c>
      <c r="E67" s="692">
        <v>1</v>
      </c>
      <c r="F67" s="692">
        <v>0</v>
      </c>
      <c r="G67" s="693">
        <f t="shared" si="5"/>
        <v>1</v>
      </c>
      <c r="H67" s="694" t="s">
        <v>4375</v>
      </c>
      <c r="I67" s="771">
        <v>350</v>
      </c>
      <c r="J67" s="774">
        <f t="shared" si="6"/>
        <v>350</v>
      </c>
    </row>
    <row r="68" spans="1:10" x14ac:dyDescent="0.25">
      <c r="A68" s="690" t="str">
        <f t="shared" si="4"/>
        <v>GÁS</v>
      </c>
      <c r="B68" s="690" t="s">
        <v>4542</v>
      </c>
      <c r="C68" s="690" t="s">
        <v>4542</v>
      </c>
      <c r="D68" s="690" t="s">
        <v>4554</v>
      </c>
      <c r="E68" s="692">
        <v>2</v>
      </c>
      <c r="F68" s="692">
        <v>0</v>
      </c>
      <c r="G68" s="693">
        <f t="shared" si="5"/>
        <v>2</v>
      </c>
      <c r="H68" s="694" t="s">
        <v>4375</v>
      </c>
      <c r="I68" s="771">
        <v>100</v>
      </c>
      <c r="J68" s="774">
        <f t="shared" si="6"/>
        <v>200</v>
      </c>
    </row>
    <row r="69" spans="1:10" x14ac:dyDescent="0.25">
      <c r="A69" s="690" t="str">
        <f t="shared" si="4"/>
        <v>GÁS</v>
      </c>
      <c r="B69" s="690" t="s">
        <v>4542</v>
      </c>
      <c r="C69" s="690" t="s">
        <v>4542</v>
      </c>
      <c r="D69" s="690" t="s">
        <v>4555</v>
      </c>
      <c r="E69" s="692">
        <v>1</v>
      </c>
      <c r="F69" s="692">
        <v>0</v>
      </c>
      <c r="G69" s="693">
        <f t="shared" si="5"/>
        <v>1</v>
      </c>
      <c r="H69" s="694" t="s">
        <v>4375</v>
      </c>
      <c r="I69" s="771">
        <v>44</v>
      </c>
      <c r="J69" s="774">
        <f t="shared" si="6"/>
        <v>44</v>
      </c>
    </row>
    <row r="70" spans="1:10" x14ac:dyDescent="0.25">
      <c r="A70" s="690" t="str">
        <f t="shared" si="4"/>
        <v>GÁS</v>
      </c>
      <c r="B70" s="690" t="s">
        <v>4542</v>
      </c>
      <c r="C70" s="690" t="s">
        <v>4542</v>
      </c>
      <c r="D70" s="690" t="s">
        <v>4556</v>
      </c>
      <c r="E70" s="692">
        <v>1</v>
      </c>
      <c r="F70" s="692">
        <v>0</v>
      </c>
      <c r="G70" s="693">
        <f t="shared" si="5"/>
        <v>1</v>
      </c>
      <c r="H70" s="694" t="s">
        <v>4375</v>
      </c>
      <c r="I70" s="771">
        <v>17</v>
      </c>
      <c r="J70" s="774">
        <f t="shared" si="6"/>
        <v>17</v>
      </c>
    </row>
    <row r="71" spans="1:10" x14ac:dyDescent="0.25">
      <c r="A71" s="690" t="str">
        <f t="shared" si="4"/>
        <v>GÁS</v>
      </c>
      <c r="B71" s="690" t="s">
        <v>4542</v>
      </c>
      <c r="C71" s="690" t="s">
        <v>4542</v>
      </c>
      <c r="D71" s="690" t="s">
        <v>4557</v>
      </c>
      <c r="E71" s="692">
        <v>2</v>
      </c>
      <c r="F71" s="692">
        <v>0</v>
      </c>
      <c r="G71" s="693">
        <f t="shared" si="5"/>
        <v>2</v>
      </c>
      <c r="H71" s="694" t="s">
        <v>4375</v>
      </c>
      <c r="I71" s="771">
        <v>500</v>
      </c>
      <c r="J71" s="774">
        <f t="shared" si="6"/>
        <v>1000</v>
      </c>
    </row>
    <row r="72" spans="1:10" x14ac:dyDescent="0.25">
      <c r="A72" s="690" t="str">
        <f t="shared" si="4"/>
        <v>GÁS</v>
      </c>
      <c r="B72" s="690" t="s">
        <v>4542</v>
      </c>
      <c r="C72" s="690" t="s">
        <v>4542</v>
      </c>
      <c r="D72" s="690" t="s">
        <v>4558</v>
      </c>
      <c r="E72" s="692">
        <v>2</v>
      </c>
      <c r="F72" s="692">
        <v>0</v>
      </c>
      <c r="G72" s="693">
        <f t="shared" si="5"/>
        <v>2</v>
      </c>
      <c r="H72" s="694" t="s">
        <v>4375</v>
      </c>
      <c r="I72" s="771">
        <v>180</v>
      </c>
      <c r="J72" s="774">
        <f t="shared" si="6"/>
        <v>360</v>
      </c>
    </row>
    <row r="73" spans="1:10" x14ac:dyDescent="0.25">
      <c r="A73" s="690" t="str">
        <f t="shared" si="4"/>
        <v>GÁS</v>
      </c>
      <c r="B73" s="690" t="s">
        <v>4542</v>
      </c>
      <c r="C73" s="690" t="s">
        <v>4542</v>
      </c>
      <c r="D73" s="690" t="s">
        <v>4559</v>
      </c>
      <c r="E73" s="692">
        <v>1</v>
      </c>
      <c r="F73" s="692">
        <v>0</v>
      </c>
      <c r="G73" s="693">
        <f t="shared" si="5"/>
        <v>1</v>
      </c>
      <c r="H73" s="694" t="s">
        <v>4375</v>
      </c>
      <c r="I73" s="771">
        <v>900</v>
      </c>
      <c r="J73" s="774">
        <f t="shared" si="6"/>
        <v>900</v>
      </c>
    </row>
    <row r="74" spans="1:10" x14ac:dyDescent="0.25">
      <c r="A74" s="690" t="str">
        <f t="shared" si="4"/>
        <v>GÁS</v>
      </c>
      <c r="B74" s="690" t="s">
        <v>4560</v>
      </c>
      <c r="C74" s="690" t="s">
        <v>4561</v>
      </c>
      <c r="D74" s="690" t="s">
        <v>4562</v>
      </c>
      <c r="E74" s="692">
        <v>1</v>
      </c>
      <c r="F74" s="692">
        <v>0</v>
      </c>
      <c r="G74" s="693">
        <f t="shared" si="5"/>
        <v>1</v>
      </c>
      <c r="H74" s="694" t="s">
        <v>4375</v>
      </c>
      <c r="I74" s="771">
        <v>400</v>
      </c>
      <c r="J74" s="774">
        <f t="shared" si="6"/>
        <v>400</v>
      </c>
    </row>
    <row r="75" spans="1:10" x14ac:dyDescent="0.25">
      <c r="A75" s="690" t="str">
        <f t="shared" si="4"/>
        <v>GÁS</v>
      </c>
      <c r="B75" s="690" t="s">
        <v>4560</v>
      </c>
      <c r="C75" s="690" t="s">
        <v>4561</v>
      </c>
      <c r="D75" s="690" t="s">
        <v>4563</v>
      </c>
      <c r="E75" s="692">
        <v>3</v>
      </c>
      <c r="F75" s="692">
        <v>0</v>
      </c>
      <c r="G75" s="693">
        <f t="shared" si="5"/>
        <v>3</v>
      </c>
      <c r="H75" s="694" t="s">
        <v>4375</v>
      </c>
      <c r="I75" s="771">
        <v>627</v>
      </c>
      <c r="J75" s="774">
        <f t="shared" si="6"/>
        <v>1881</v>
      </c>
    </row>
    <row r="76" spans="1:10" x14ac:dyDescent="0.25">
      <c r="A76" s="690" t="str">
        <f t="shared" si="4"/>
        <v>GÁS</v>
      </c>
      <c r="B76" s="690" t="s">
        <v>4560</v>
      </c>
      <c r="C76" s="690" t="s">
        <v>4561</v>
      </c>
      <c r="D76" s="690" t="s">
        <v>4564</v>
      </c>
      <c r="E76" s="692">
        <v>3</v>
      </c>
      <c r="F76" s="692">
        <v>0</v>
      </c>
      <c r="G76" s="693">
        <f t="shared" si="5"/>
        <v>3</v>
      </c>
      <c r="H76" s="694" t="s">
        <v>4375</v>
      </c>
      <c r="I76" s="771">
        <v>128</v>
      </c>
      <c r="J76" s="774">
        <f t="shared" si="6"/>
        <v>384</v>
      </c>
    </row>
    <row r="77" spans="1:10" x14ac:dyDescent="0.25">
      <c r="A77" s="690" t="str">
        <f t="shared" si="4"/>
        <v>GÁS</v>
      </c>
      <c r="B77" s="690" t="s">
        <v>4560</v>
      </c>
      <c r="C77" s="690" t="s">
        <v>4561</v>
      </c>
      <c r="D77" s="690" t="s">
        <v>4565</v>
      </c>
      <c r="E77" s="692">
        <v>3</v>
      </c>
      <c r="F77" s="692">
        <v>0</v>
      </c>
      <c r="G77" s="693">
        <f t="shared" si="5"/>
        <v>3</v>
      </c>
      <c r="H77" s="694" t="s">
        <v>4375</v>
      </c>
      <c r="I77" s="771">
        <v>12</v>
      </c>
      <c r="J77" s="774">
        <f t="shared" si="6"/>
        <v>36</v>
      </c>
    </row>
    <row r="78" spans="1:10" x14ac:dyDescent="0.25">
      <c r="A78" s="690" t="str">
        <f t="shared" si="4"/>
        <v>GÁS</v>
      </c>
      <c r="B78" s="690" t="s">
        <v>4560</v>
      </c>
      <c r="C78" s="690" t="s">
        <v>4561</v>
      </c>
      <c r="D78" s="690" t="s">
        <v>4566</v>
      </c>
      <c r="E78" s="692">
        <v>3</v>
      </c>
      <c r="F78" s="692">
        <v>0</v>
      </c>
      <c r="G78" s="693">
        <f t="shared" si="5"/>
        <v>3</v>
      </c>
      <c r="H78" s="694" t="s">
        <v>4375</v>
      </c>
      <c r="I78" s="771">
        <v>33</v>
      </c>
      <c r="J78" s="774">
        <f t="shared" si="6"/>
        <v>99</v>
      </c>
    </row>
    <row r="79" spans="1:10" x14ac:dyDescent="0.25">
      <c r="A79" s="690" t="str">
        <f t="shared" si="4"/>
        <v>GÁS</v>
      </c>
      <c r="B79" s="690" t="s">
        <v>4560</v>
      </c>
      <c r="C79" s="690" t="s">
        <v>4561</v>
      </c>
      <c r="D79" s="690" t="s">
        <v>4567</v>
      </c>
      <c r="E79" s="692">
        <v>3</v>
      </c>
      <c r="F79" s="692">
        <v>0</v>
      </c>
      <c r="G79" s="693">
        <f t="shared" si="5"/>
        <v>3</v>
      </c>
      <c r="H79" s="694" t="s">
        <v>4375</v>
      </c>
      <c r="I79" s="771">
        <v>14</v>
      </c>
      <c r="J79" s="774">
        <f t="shared" si="6"/>
        <v>42</v>
      </c>
    </row>
    <row r="80" spans="1:10" x14ac:dyDescent="0.25">
      <c r="A80" s="690" t="str">
        <f t="shared" si="4"/>
        <v>GÁS</v>
      </c>
      <c r="B80" s="690" t="s">
        <v>4560</v>
      </c>
      <c r="C80" s="690" t="s">
        <v>4561</v>
      </c>
      <c r="D80" s="690" t="s">
        <v>4568</v>
      </c>
      <c r="E80" s="692">
        <v>3</v>
      </c>
      <c r="F80" s="692">
        <v>0</v>
      </c>
      <c r="G80" s="693">
        <f t="shared" si="5"/>
        <v>3</v>
      </c>
      <c r="H80" s="694" t="s">
        <v>4375</v>
      </c>
      <c r="I80" s="771">
        <v>88</v>
      </c>
      <c r="J80" s="774">
        <f t="shared" si="6"/>
        <v>264</v>
      </c>
    </row>
    <row r="81" spans="1:10" x14ac:dyDescent="0.25">
      <c r="A81" s="690" t="str">
        <f t="shared" si="4"/>
        <v>GÁS</v>
      </c>
      <c r="B81" s="690" t="s">
        <v>4560</v>
      </c>
      <c r="C81" s="690" t="s">
        <v>4561</v>
      </c>
      <c r="D81" s="690" t="s">
        <v>4569</v>
      </c>
      <c r="E81" s="692">
        <v>3</v>
      </c>
      <c r="F81" s="692">
        <v>0</v>
      </c>
      <c r="G81" s="693">
        <f t="shared" si="5"/>
        <v>3</v>
      </c>
      <c r="H81" s="694" t="s">
        <v>4375</v>
      </c>
      <c r="I81" s="771">
        <v>6.3</v>
      </c>
      <c r="J81" s="774">
        <f t="shared" si="6"/>
        <v>18.899999999999999</v>
      </c>
    </row>
    <row r="82" spans="1:10" x14ac:dyDescent="0.25">
      <c r="A82" s="690" t="str">
        <f t="shared" si="4"/>
        <v>GÁS</v>
      </c>
      <c r="B82" s="690" t="s">
        <v>4560</v>
      </c>
      <c r="C82" s="690" t="s">
        <v>4561</v>
      </c>
      <c r="D82" s="690" t="s">
        <v>4570</v>
      </c>
      <c r="E82" s="692">
        <v>3</v>
      </c>
      <c r="F82" s="692">
        <v>0</v>
      </c>
      <c r="G82" s="693">
        <f t="shared" si="5"/>
        <v>3</v>
      </c>
      <c r="H82" s="694" t="s">
        <v>4375</v>
      </c>
      <c r="I82" s="771">
        <v>8</v>
      </c>
      <c r="J82" s="774">
        <f t="shared" si="6"/>
        <v>24</v>
      </c>
    </row>
    <row r="83" spans="1:10" x14ac:dyDescent="0.25">
      <c r="A83" s="690" t="str">
        <f t="shared" si="4"/>
        <v>GÁS</v>
      </c>
      <c r="B83" s="690" t="s">
        <v>4560</v>
      </c>
      <c r="C83" s="690" t="s">
        <v>4561</v>
      </c>
      <c r="D83" s="690" t="s">
        <v>4571</v>
      </c>
      <c r="E83" s="692">
        <v>2</v>
      </c>
      <c r="F83" s="692">
        <v>0</v>
      </c>
      <c r="G83" s="693">
        <f t="shared" si="5"/>
        <v>2</v>
      </c>
      <c r="H83" s="694" t="s">
        <v>79</v>
      </c>
      <c r="I83" s="771">
        <v>30</v>
      </c>
      <c r="J83" s="774">
        <f t="shared" si="6"/>
        <v>60</v>
      </c>
    </row>
    <row r="84" spans="1:10" x14ac:dyDescent="0.25">
      <c r="A84" s="682" t="s">
        <v>4490</v>
      </c>
      <c r="B84" s="683"/>
      <c r="C84" s="684"/>
      <c r="D84" s="684"/>
      <c r="E84" s="685"/>
      <c r="F84" s="685"/>
      <c r="G84" s="685"/>
      <c r="H84" s="685"/>
      <c r="I84" s="772"/>
      <c r="J84" s="687">
        <f>SUM(J85:J102)</f>
        <v>91216.259600000019</v>
      </c>
    </row>
    <row r="85" spans="1:10" x14ac:dyDescent="0.25">
      <c r="A85" s="690" t="str">
        <f t="shared" ref="A85:A102" si="7">A84</f>
        <v>SPDA</v>
      </c>
      <c r="B85" s="690" t="s">
        <v>4490</v>
      </c>
      <c r="C85" s="775" t="s">
        <v>4490</v>
      </c>
      <c r="D85" s="690" t="s">
        <v>4572</v>
      </c>
      <c r="E85" s="692">
        <v>0.09</v>
      </c>
      <c r="F85" s="692">
        <v>0</v>
      </c>
      <c r="G85" s="693">
        <f t="shared" ref="G85:G102" si="8">E85+(E85*F85)</f>
        <v>0.09</v>
      </c>
      <c r="H85" s="694" t="s">
        <v>79</v>
      </c>
      <c r="I85" s="764">
        <v>31.49</v>
      </c>
      <c r="J85" s="765">
        <f t="shared" ref="J85:J102" si="9">G85*I85</f>
        <v>2.8340999999999998</v>
      </c>
    </row>
    <row r="86" spans="1:10" x14ac:dyDescent="0.25">
      <c r="A86" s="690" t="str">
        <f t="shared" si="7"/>
        <v>SPDA</v>
      </c>
      <c r="B86" s="690" t="s">
        <v>4490</v>
      </c>
      <c r="C86" s="775" t="s">
        <v>4490</v>
      </c>
      <c r="D86" s="690" t="s">
        <v>4573</v>
      </c>
      <c r="E86" s="692">
        <v>7.05</v>
      </c>
      <c r="F86" s="692">
        <v>0</v>
      </c>
      <c r="G86" s="693">
        <f t="shared" si="8"/>
        <v>7.05</v>
      </c>
      <c r="H86" s="694" t="s">
        <v>79</v>
      </c>
      <c r="I86" s="764">
        <v>43.99</v>
      </c>
      <c r="J86" s="765">
        <f t="shared" si="9"/>
        <v>310.12950000000001</v>
      </c>
    </row>
    <row r="87" spans="1:10" x14ac:dyDescent="0.25">
      <c r="A87" s="690" t="str">
        <f t="shared" si="7"/>
        <v>SPDA</v>
      </c>
      <c r="B87" s="690" t="s">
        <v>4490</v>
      </c>
      <c r="C87" s="775" t="s">
        <v>4490</v>
      </c>
      <c r="D87" s="690" t="s">
        <v>4574</v>
      </c>
      <c r="E87" s="692">
        <v>0.14000000000000001</v>
      </c>
      <c r="F87" s="692">
        <v>0</v>
      </c>
      <c r="G87" s="693">
        <f t="shared" si="8"/>
        <v>0.14000000000000001</v>
      </c>
      <c r="H87" s="694" t="s">
        <v>79</v>
      </c>
      <c r="I87" s="764">
        <v>17.39</v>
      </c>
      <c r="J87" s="765">
        <f t="shared" si="9"/>
        <v>2.4346000000000001</v>
      </c>
    </row>
    <row r="88" spans="1:10" x14ac:dyDescent="0.25">
      <c r="A88" s="690" t="str">
        <f t="shared" si="7"/>
        <v>SPDA</v>
      </c>
      <c r="B88" s="690" t="s">
        <v>4490</v>
      </c>
      <c r="C88" s="775" t="s">
        <v>4490</v>
      </c>
      <c r="D88" s="690" t="s">
        <v>4575</v>
      </c>
      <c r="E88" s="692">
        <v>791.49</v>
      </c>
      <c r="F88" s="692">
        <v>0</v>
      </c>
      <c r="G88" s="693">
        <f t="shared" si="8"/>
        <v>791.49</v>
      </c>
      <c r="H88" s="694" t="s">
        <v>79</v>
      </c>
      <c r="I88" s="764">
        <v>67.260000000000005</v>
      </c>
      <c r="J88" s="765">
        <f t="shared" si="9"/>
        <v>53235.617400000003</v>
      </c>
    </row>
    <row r="89" spans="1:10" x14ac:dyDescent="0.25">
      <c r="A89" s="690" t="str">
        <f t="shared" si="7"/>
        <v>SPDA</v>
      </c>
      <c r="B89" s="690" t="s">
        <v>4490</v>
      </c>
      <c r="C89" s="775" t="s">
        <v>4490</v>
      </c>
      <c r="D89" s="690" t="s">
        <v>4576</v>
      </c>
      <c r="E89" s="692">
        <v>291.24</v>
      </c>
      <c r="F89" s="692">
        <v>0</v>
      </c>
      <c r="G89" s="693">
        <f t="shared" si="8"/>
        <v>291.24</v>
      </c>
      <c r="H89" s="694" t="s">
        <v>79</v>
      </c>
      <c r="I89" s="764">
        <v>39.1</v>
      </c>
      <c r="J89" s="765">
        <f t="shared" si="9"/>
        <v>11387.484</v>
      </c>
    </row>
    <row r="90" spans="1:10" x14ac:dyDescent="0.25">
      <c r="A90" s="690" t="str">
        <f t="shared" si="7"/>
        <v>SPDA</v>
      </c>
      <c r="B90" s="690" t="s">
        <v>4490</v>
      </c>
      <c r="C90" s="775" t="s">
        <v>4490</v>
      </c>
      <c r="D90" s="690" t="s">
        <v>4577</v>
      </c>
      <c r="E90" s="692">
        <v>2</v>
      </c>
      <c r="F90" s="692">
        <v>0</v>
      </c>
      <c r="G90" s="693">
        <f t="shared" si="8"/>
        <v>2</v>
      </c>
      <c r="H90" s="694" t="s">
        <v>4375</v>
      </c>
      <c r="I90" s="764">
        <v>95.65</v>
      </c>
      <c r="J90" s="765">
        <f t="shared" si="9"/>
        <v>191.3</v>
      </c>
    </row>
    <row r="91" spans="1:10" x14ac:dyDescent="0.25">
      <c r="A91" s="690" t="str">
        <f t="shared" si="7"/>
        <v>SPDA</v>
      </c>
      <c r="B91" s="690" t="s">
        <v>4490</v>
      </c>
      <c r="C91" s="775" t="s">
        <v>4490</v>
      </c>
      <c r="D91" s="690" t="s">
        <v>4578</v>
      </c>
      <c r="E91" s="692">
        <v>32</v>
      </c>
      <c r="F91" s="692">
        <v>0</v>
      </c>
      <c r="G91" s="693">
        <f t="shared" si="8"/>
        <v>32</v>
      </c>
      <c r="H91" s="694" t="s">
        <v>4375</v>
      </c>
      <c r="I91" s="764">
        <v>15.04</v>
      </c>
      <c r="J91" s="765">
        <f t="shared" si="9"/>
        <v>481.28</v>
      </c>
    </row>
    <row r="92" spans="1:10" x14ac:dyDescent="0.25">
      <c r="A92" s="690" t="str">
        <f t="shared" si="7"/>
        <v>SPDA</v>
      </c>
      <c r="B92" s="690" t="s">
        <v>4490</v>
      </c>
      <c r="C92" s="775" t="s">
        <v>4490</v>
      </c>
      <c r="D92" s="690" t="s">
        <v>4579</v>
      </c>
      <c r="E92" s="692">
        <v>13</v>
      </c>
      <c r="F92" s="692">
        <v>0</v>
      </c>
      <c r="G92" s="693">
        <f t="shared" si="8"/>
        <v>13</v>
      </c>
      <c r="H92" s="694" t="s">
        <v>4375</v>
      </c>
      <c r="I92" s="764">
        <v>13.16</v>
      </c>
      <c r="J92" s="765">
        <f t="shared" si="9"/>
        <v>171.08</v>
      </c>
    </row>
    <row r="93" spans="1:10" x14ac:dyDescent="0.25">
      <c r="A93" s="690" t="str">
        <f t="shared" si="7"/>
        <v>SPDA</v>
      </c>
      <c r="B93" s="690" t="s">
        <v>4490</v>
      </c>
      <c r="C93" s="775" t="s">
        <v>4490</v>
      </c>
      <c r="D93" s="690" t="s">
        <v>4580</v>
      </c>
      <c r="E93" s="692">
        <v>16</v>
      </c>
      <c r="F93" s="692">
        <v>0</v>
      </c>
      <c r="G93" s="693">
        <f t="shared" si="8"/>
        <v>16</v>
      </c>
      <c r="H93" s="694" t="s">
        <v>4375</v>
      </c>
      <c r="I93" s="764">
        <v>119.99</v>
      </c>
      <c r="J93" s="765">
        <f t="shared" si="9"/>
        <v>1919.84</v>
      </c>
    </row>
    <row r="94" spans="1:10" x14ac:dyDescent="0.25">
      <c r="A94" s="690" t="str">
        <f t="shared" si="7"/>
        <v>SPDA</v>
      </c>
      <c r="B94" s="690" t="s">
        <v>4490</v>
      </c>
      <c r="C94" s="775" t="s">
        <v>4490</v>
      </c>
      <c r="D94" s="690" t="s">
        <v>4581</v>
      </c>
      <c r="E94" s="692">
        <v>33</v>
      </c>
      <c r="F94" s="692">
        <v>0</v>
      </c>
      <c r="G94" s="693">
        <f t="shared" si="8"/>
        <v>33</v>
      </c>
      <c r="H94" s="694" t="s">
        <v>4375</v>
      </c>
      <c r="I94" s="764">
        <v>17.86</v>
      </c>
      <c r="J94" s="765">
        <f t="shared" si="9"/>
        <v>589.38</v>
      </c>
    </row>
    <row r="95" spans="1:10" x14ac:dyDescent="0.25">
      <c r="A95" s="690" t="str">
        <f t="shared" si="7"/>
        <v>SPDA</v>
      </c>
      <c r="B95" s="690" t="s">
        <v>4490</v>
      </c>
      <c r="C95" s="775" t="s">
        <v>4490</v>
      </c>
      <c r="D95" s="690" t="s">
        <v>4582</v>
      </c>
      <c r="E95" s="692">
        <v>14</v>
      </c>
      <c r="F95" s="692">
        <v>0</v>
      </c>
      <c r="G95" s="693">
        <f t="shared" si="8"/>
        <v>14</v>
      </c>
      <c r="H95" s="694" t="s">
        <v>4375</v>
      </c>
      <c r="I95" s="764">
        <v>16.66</v>
      </c>
      <c r="J95" s="765">
        <f t="shared" si="9"/>
        <v>233.24</v>
      </c>
    </row>
    <row r="96" spans="1:10" x14ac:dyDescent="0.25">
      <c r="A96" s="690" t="str">
        <f t="shared" si="7"/>
        <v>SPDA</v>
      </c>
      <c r="B96" s="690" t="s">
        <v>4490</v>
      </c>
      <c r="C96" s="775" t="s">
        <v>4490</v>
      </c>
      <c r="D96" s="690" t="s">
        <v>4583</v>
      </c>
      <c r="E96" s="692">
        <v>1</v>
      </c>
      <c r="F96" s="692">
        <v>0</v>
      </c>
      <c r="G96" s="693">
        <f t="shared" si="8"/>
        <v>1</v>
      </c>
      <c r="H96" s="694" t="s">
        <v>4375</v>
      </c>
      <c r="I96" s="764">
        <v>69.95</v>
      </c>
      <c r="J96" s="765">
        <f t="shared" si="9"/>
        <v>69.95</v>
      </c>
    </row>
    <row r="97" spans="1:10" x14ac:dyDescent="0.25">
      <c r="A97" s="690" t="str">
        <f t="shared" si="7"/>
        <v>SPDA</v>
      </c>
      <c r="B97" s="690" t="s">
        <v>4490</v>
      </c>
      <c r="C97" s="775" t="s">
        <v>4490</v>
      </c>
      <c r="D97" s="690" t="s">
        <v>4584</v>
      </c>
      <c r="E97" s="692">
        <v>470</v>
      </c>
      <c r="F97" s="692">
        <v>0</v>
      </c>
      <c r="G97" s="693">
        <f t="shared" si="8"/>
        <v>470</v>
      </c>
      <c r="H97" s="694" t="s">
        <v>4375</v>
      </c>
      <c r="I97" s="764">
        <v>27.9</v>
      </c>
      <c r="J97" s="765">
        <f t="shared" si="9"/>
        <v>13113</v>
      </c>
    </row>
    <row r="98" spans="1:10" x14ac:dyDescent="0.25">
      <c r="A98" s="690" t="str">
        <f t="shared" si="7"/>
        <v>SPDA</v>
      </c>
      <c r="B98" s="690" t="s">
        <v>4490</v>
      </c>
      <c r="C98" s="775" t="s">
        <v>4490</v>
      </c>
      <c r="D98" s="690" t="s">
        <v>4585</v>
      </c>
      <c r="E98" s="692">
        <v>316</v>
      </c>
      <c r="F98" s="692">
        <v>0</v>
      </c>
      <c r="G98" s="693">
        <f t="shared" si="8"/>
        <v>316</v>
      </c>
      <c r="H98" s="694" t="s">
        <v>4375</v>
      </c>
      <c r="I98" s="764">
        <v>0.45</v>
      </c>
      <c r="J98" s="765">
        <f t="shared" si="9"/>
        <v>142.20000000000002</v>
      </c>
    </row>
    <row r="99" spans="1:10" x14ac:dyDescent="0.25">
      <c r="A99" s="690" t="str">
        <f t="shared" si="7"/>
        <v>SPDA</v>
      </c>
      <c r="B99" s="690" t="s">
        <v>4490</v>
      </c>
      <c r="C99" s="775" t="s">
        <v>4490</v>
      </c>
      <c r="D99" s="690" t="s">
        <v>4586</v>
      </c>
      <c r="E99" s="692">
        <v>47</v>
      </c>
      <c r="F99" s="692">
        <v>0</v>
      </c>
      <c r="G99" s="693">
        <f t="shared" si="8"/>
        <v>47</v>
      </c>
      <c r="H99" s="694" t="s">
        <v>4375</v>
      </c>
      <c r="I99" s="764">
        <v>4.7300000000000004</v>
      </c>
      <c r="J99" s="765">
        <f t="shared" si="9"/>
        <v>222.31000000000003</v>
      </c>
    </row>
    <row r="100" spans="1:10" x14ac:dyDescent="0.25">
      <c r="A100" s="690" t="str">
        <f t="shared" si="7"/>
        <v>SPDA</v>
      </c>
      <c r="B100" s="690" t="s">
        <v>4490</v>
      </c>
      <c r="C100" s="775" t="s">
        <v>4490</v>
      </c>
      <c r="D100" s="690" t="s">
        <v>4587</v>
      </c>
      <c r="E100" s="692">
        <v>2</v>
      </c>
      <c r="F100" s="692">
        <v>0</v>
      </c>
      <c r="G100" s="693">
        <f t="shared" si="8"/>
        <v>2</v>
      </c>
      <c r="H100" s="694" t="s">
        <v>4375</v>
      </c>
      <c r="I100" s="764">
        <v>1.82</v>
      </c>
      <c r="J100" s="765">
        <f t="shared" si="9"/>
        <v>3.64</v>
      </c>
    </row>
    <row r="101" spans="1:10" x14ac:dyDescent="0.25">
      <c r="A101" s="690" t="str">
        <f t="shared" si="7"/>
        <v>SPDA</v>
      </c>
      <c r="B101" s="690" t="s">
        <v>4490</v>
      </c>
      <c r="C101" s="775" t="s">
        <v>4490</v>
      </c>
      <c r="D101" s="690" t="s">
        <v>4588</v>
      </c>
      <c r="E101" s="692">
        <v>32</v>
      </c>
      <c r="F101" s="692">
        <v>0</v>
      </c>
      <c r="G101" s="693">
        <f t="shared" si="8"/>
        <v>32</v>
      </c>
      <c r="H101" s="694" t="s">
        <v>4375</v>
      </c>
      <c r="I101" s="764">
        <v>280.3</v>
      </c>
      <c r="J101" s="765">
        <f t="shared" si="9"/>
        <v>8969.6</v>
      </c>
    </row>
    <row r="102" spans="1:10" x14ac:dyDescent="0.25">
      <c r="A102" s="690" t="str">
        <f t="shared" si="7"/>
        <v>SPDA</v>
      </c>
      <c r="B102" s="690" t="s">
        <v>4490</v>
      </c>
      <c r="C102" s="775" t="s">
        <v>4490</v>
      </c>
      <c r="D102" s="690" t="s">
        <v>4589</v>
      </c>
      <c r="E102" s="692">
        <v>2</v>
      </c>
      <c r="F102" s="692">
        <v>0</v>
      </c>
      <c r="G102" s="693">
        <f t="shared" si="8"/>
        <v>2</v>
      </c>
      <c r="H102" s="694" t="s">
        <v>4375</v>
      </c>
      <c r="I102" s="776">
        <v>85.47</v>
      </c>
      <c r="J102" s="765">
        <f t="shared" si="9"/>
        <v>170.94</v>
      </c>
    </row>
    <row r="103" spans="1:10" x14ac:dyDescent="0.25">
      <c r="A103" s="699"/>
      <c r="B103" s="699"/>
      <c r="C103" s="699"/>
      <c r="D103" s="699"/>
      <c r="E103" s="699"/>
      <c r="F103" s="699"/>
      <c r="G103" s="699"/>
      <c r="H103" s="699"/>
      <c r="I103" s="701" t="s">
        <v>4437</v>
      </c>
      <c r="J103" s="701">
        <f>SUMPRODUCT(G6:G102,I6:I102)</f>
        <v>183071.65960000001</v>
      </c>
    </row>
    <row r="104" spans="1:10" ht="12.75" x14ac:dyDescent="0.2">
      <c r="I104" s="777"/>
    </row>
    <row r="105" spans="1:10" ht="12.75" x14ac:dyDescent="0.2">
      <c r="I105" s="777"/>
    </row>
    <row r="106" spans="1:10" ht="12.75" x14ac:dyDescent="0.2">
      <c r="I106" s="777"/>
    </row>
    <row r="107" spans="1:10" ht="12.75" x14ac:dyDescent="0.2">
      <c r="I107" s="777"/>
    </row>
    <row r="108" spans="1:10" ht="12.75" x14ac:dyDescent="0.2">
      <c r="I108" s="777"/>
    </row>
    <row r="109" spans="1:10" ht="12.75" x14ac:dyDescent="0.2">
      <c r="I109" s="777"/>
    </row>
    <row r="110" spans="1:10" ht="12.75" x14ac:dyDescent="0.2">
      <c r="I110" s="777"/>
    </row>
    <row r="111" spans="1:10" ht="12.75" x14ac:dyDescent="0.2">
      <c r="I111" s="777"/>
    </row>
    <row r="112" spans="1:10" ht="12.75" x14ac:dyDescent="0.2">
      <c r="I112" s="777"/>
    </row>
    <row r="113" spans="9:9" ht="12.75" x14ac:dyDescent="0.2">
      <c r="I113" s="777"/>
    </row>
    <row r="114" spans="9:9" ht="12.75" x14ac:dyDescent="0.2">
      <c r="I114" s="777"/>
    </row>
    <row r="115" spans="9:9" ht="12.75" x14ac:dyDescent="0.2">
      <c r="I115" s="777"/>
    </row>
    <row r="116" spans="9:9" ht="12.75" x14ac:dyDescent="0.2">
      <c r="I116" s="777"/>
    </row>
    <row r="117" spans="9:9" ht="12.75" x14ac:dyDescent="0.2">
      <c r="I117" s="777"/>
    </row>
    <row r="118" spans="9:9" ht="12.75" x14ac:dyDescent="0.2">
      <c r="I118" s="777"/>
    </row>
    <row r="119" spans="9:9" ht="12.75" x14ac:dyDescent="0.2">
      <c r="I119" s="777"/>
    </row>
    <row r="120" spans="9:9" ht="12.75" x14ac:dyDescent="0.2">
      <c r="I120" s="777"/>
    </row>
    <row r="121" spans="9:9" ht="12.75" x14ac:dyDescent="0.2">
      <c r="I121" s="777"/>
    </row>
    <row r="122" spans="9:9" ht="12.75" x14ac:dyDescent="0.2">
      <c r="I122" s="777"/>
    </row>
    <row r="123" spans="9:9" ht="12.75" x14ac:dyDescent="0.2">
      <c r="I123" s="777"/>
    </row>
    <row r="124" spans="9:9" ht="12.75" x14ac:dyDescent="0.2">
      <c r="I124" s="777"/>
    </row>
    <row r="125" spans="9:9" ht="12.75" x14ac:dyDescent="0.2">
      <c r="I125" s="777"/>
    </row>
    <row r="126" spans="9:9" ht="12.75" x14ac:dyDescent="0.2">
      <c r="I126" s="777"/>
    </row>
    <row r="127" spans="9:9" ht="12.75" x14ac:dyDescent="0.2">
      <c r="I127" s="777"/>
    </row>
    <row r="128" spans="9:9" ht="12.75" x14ac:dyDescent="0.2">
      <c r="I128" s="777"/>
    </row>
    <row r="129" spans="9:9" ht="12.75" x14ac:dyDescent="0.2">
      <c r="I129" s="777"/>
    </row>
    <row r="130" spans="9:9" ht="12.75" x14ac:dyDescent="0.2">
      <c r="I130" s="777"/>
    </row>
    <row r="131" spans="9:9" ht="12.75" x14ac:dyDescent="0.2">
      <c r="I131" s="777"/>
    </row>
    <row r="132" spans="9:9" ht="12.75" x14ac:dyDescent="0.2">
      <c r="I132" s="777"/>
    </row>
    <row r="133" spans="9:9" ht="12.75" x14ac:dyDescent="0.2">
      <c r="I133" s="777"/>
    </row>
    <row r="134" spans="9:9" ht="12.75" x14ac:dyDescent="0.2">
      <c r="I134" s="777"/>
    </row>
    <row r="135" spans="9:9" ht="12.75" x14ac:dyDescent="0.2">
      <c r="I135" s="777"/>
    </row>
    <row r="136" spans="9:9" ht="12.75" x14ac:dyDescent="0.2">
      <c r="I136" s="777"/>
    </row>
    <row r="137" spans="9:9" ht="12.75" x14ac:dyDescent="0.2">
      <c r="I137" s="777"/>
    </row>
    <row r="138" spans="9:9" ht="12.75" x14ac:dyDescent="0.2">
      <c r="I138" s="777"/>
    </row>
    <row r="139" spans="9:9" ht="12.75" x14ac:dyDescent="0.2">
      <c r="I139" s="777"/>
    </row>
    <row r="140" spans="9:9" ht="12.75" x14ac:dyDescent="0.2">
      <c r="I140" s="777"/>
    </row>
    <row r="141" spans="9:9" ht="12.75" x14ac:dyDescent="0.2">
      <c r="I141" s="777"/>
    </row>
    <row r="142" spans="9:9" ht="12.75" x14ac:dyDescent="0.2">
      <c r="I142" s="777"/>
    </row>
    <row r="143" spans="9:9" ht="12.75" x14ac:dyDescent="0.2">
      <c r="I143" s="777"/>
    </row>
    <row r="144" spans="9:9" ht="12.75" x14ac:dyDescent="0.2">
      <c r="I144" s="777"/>
    </row>
    <row r="145" spans="9:9" ht="12.75" x14ac:dyDescent="0.2">
      <c r="I145" s="777"/>
    </row>
    <row r="146" spans="9:9" ht="12.75" x14ac:dyDescent="0.2">
      <c r="I146" s="777"/>
    </row>
    <row r="147" spans="9:9" ht="12.75" x14ac:dyDescent="0.2">
      <c r="I147" s="777"/>
    </row>
    <row r="148" spans="9:9" ht="12.75" x14ac:dyDescent="0.2">
      <c r="I148" s="777"/>
    </row>
    <row r="149" spans="9:9" ht="12.75" x14ac:dyDescent="0.2">
      <c r="I149" s="777"/>
    </row>
    <row r="150" spans="9:9" ht="12.75" x14ac:dyDescent="0.2">
      <c r="I150" s="777"/>
    </row>
    <row r="151" spans="9:9" ht="12.75" x14ac:dyDescent="0.2">
      <c r="I151" s="777"/>
    </row>
    <row r="152" spans="9:9" ht="12.75" x14ac:dyDescent="0.2">
      <c r="I152" s="777"/>
    </row>
    <row r="153" spans="9:9" ht="12.75" x14ac:dyDescent="0.2">
      <c r="I153" s="777"/>
    </row>
    <row r="154" spans="9:9" ht="12.75" x14ac:dyDescent="0.2">
      <c r="I154" s="777"/>
    </row>
    <row r="155" spans="9:9" ht="12.75" x14ac:dyDescent="0.2">
      <c r="I155" s="777"/>
    </row>
    <row r="156" spans="9:9" ht="12.75" x14ac:dyDescent="0.2">
      <c r="I156" s="777"/>
    </row>
    <row r="157" spans="9:9" ht="12.75" x14ac:dyDescent="0.2">
      <c r="I157" s="777"/>
    </row>
    <row r="158" spans="9:9" ht="12.75" x14ac:dyDescent="0.2">
      <c r="I158" s="777"/>
    </row>
    <row r="159" spans="9:9" ht="12.75" x14ac:dyDescent="0.2">
      <c r="I159" s="777"/>
    </row>
    <row r="160" spans="9:9" ht="12.75" x14ac:dyDescent="0.2">
      <c r="I160" s="777"/>
    </row>
    <row r="161" spans="9:9" ht="12.75" x14ac:dyDescent="0.2">
      <c r="I161" s="777"/>
    </row>
    <row r="162" spans="9:9" ht="12.75" x14ac:dyDescent="0.2">
      <c r="I162" s="777"/>
    </row>
    <row r="163" spans="9:9" ht="12.75" x14ac:dyDescent="0.2">
      <c r="I163" s="777"/>
    </row>
    <row r="164" spans="9:9" ht="12.75" x14ac:dyDescent="0.2">
      <c r="I164" s="777"/>
    </row>
    <row r="165" spans="9:9" ht="12.75" x14ac:dyDescent="0.2">
      <c r="I165" s="777"/>
    </row>
    <row r="166" spans="9:9" ht="12.75" x14ac:dyDescent="0.2">
      <c r="I166" s="777"/>
    </row>
    <row r="167" spans="9:9" ht="12.75" x14ac:dyDescent="0.2">
      <c r="I167" s="777"/>
    </row>
    <row r="168" spans="9:9" ht="12.75" x14ac:dyDescent="0.2">
      <c r="I168" s="777"/>
    </row>
    <row r="169" spans="9:9" ht="12.75" x14ac:dyDescent="0.2">
      <c r="I169" s="777"/>
    </row>
    <row r="170" spans="9:9" ht="12.75" x14ac:dyDescent="0.2">
      <c r="I170" s="777"/>
    </row>
    <row r="171" spans="9:9" ht="12.75" x14ac:dyDescent="0.2">
      <c r="I171" s="777"/>
    </row>
    <row r="172" spans="9:9" ht="12.75" x14ac:dyDescent="0.2">
      <c r="I172" s="777"/>
    </row>
    <row r="173" spans="9:9" ht="12.75" x14ac:dyDescent="0.2">
      <c r="I173" s="777"/>
    </row>
    <row r="174" spans="9:9" ht="12.75" x14ac:dyDescent="0.2">
      <c r="I174" s="777"/>
    </row>
    <row r="175" spans="9:9" ht="12.75" x14ac:dyDescent="0.2">
      <c r="I175" s="777"/>
    </row>
    <row r="176" spans="9:9" ht="12.75" x14ac:dyDescent="0.2">
      <c r="I176" s="777"/>
    </row>
    <row r="177" spans="9:9" ht="12.75" x14ac:dyDescent="0.2">
      <c r="I177" s="777"/>
    </row>
    <row r="178" spans="9:9" ht="12.75" x14ac:dyDescent="0.2">
      <c r="I178" s="777"/>
    </row>
    <row r="179" spans="9:9" ht="12.75" x14ac:dyDescent="0.2">
      <c r="I179" s="777"/>
    </row>
    <row r="180" spans="9:9" ht="12.75" x14ac:dyDescent="0.2">
      <c r="I180" s="777"/>
    </row>
    <row r="181" spans="9:9" ht="12.75" x14ac:dyDescent="0.2">
      <c r="I181" s="777"/>
    </row>
    <row r="182" spans="9:9" ht="12.75" x14ac:dyDescent="0.2">
      <c r="I182" s="777"/>
    </row>
    <row r="183" spans="9:9" ht="12.75" x14ac:dyDescent="0.2">
      <c r="I183" s="777"/>
    </row>
    <row r="184" spans="9:9" ht="12.75" x14ac:dyDescent="0.2">
      <c r="I184" s="777"/>
    </row>
    <row r="185" spans="9:9" ht="12.75" x14ac:dyDescent="0.2">
      <c r="I185" s="777"/>
    </row>
    <row r="186" spans="9:9" ht="12.75" x14ac:dyDescent="0.2">
      <c r="I186" s="777"/>
    </row>
    <row r="187" spans="9:9" ht="12.75" x14ac:dyDescent="0.2">
      <c r="I187" s="777"/>
    </row>
    <row r="188" spans="9:9" ht="12.75" x14ac:dyDescent="0.2">
      <c r="I188" s="777"/>
    </row>
    <row r="189" spans="9:9" ht="12.75" x14ac:dyDescent="0.2">
      <c r="I189" s="777"/>
    </row>
    <row r="190" spans="9:9" ht="12.75" x14ac:dyDescent="0.2">
      <c r="I190" s="777"/>
    </row>
    <row r="191" spans="9:9" ht="12.75" x14ac:dyDescent="0.2">
      <c r="I191" s="777"/>
    </row>
    <row r="192" spans="9:9" ht="12.75" x14ac:dyDescent="0.2">
      <c r="I192" s="777"/>
    </row>
    <row r="193" spans="9:9" ht="12.75" x14ac:dyDescent="0.2">
      <c r="I193" s="777"/>
    </row>
    <row r="194" spans="9:9" ht="12.75" x14ac:dyDescent="0.2">
      <c r="I194" s="777"/>
    </row>
    <row r="195" spans="9:9" ht="12.75" x14ac:dyDescent="0.2">
      <c r="I195" s="777"/>
    </row>
    <row r="196" spans="9:9" ht="12.75" x14ac:dyDescent="0.2">
      <c r="I196" s="777"/>
    </row>
    <row r="197" spans="9:9" ht="12.75" x14ac:dyDescent="0.2">
      <c r="I197" s="777"/>
    </row>
    <row r="198" spans="9:9" ht="12.75" x14ac:dyDescent="0.2">
      <c r="I198" s="777"/>
    </row>
    <row r="199" spans="9:9" ht="12.75" x14ac:dyDescent="0.2">
      <c r="I199" s="777"/>
    </row>
    <row r="200" spans="9:9" ht="12.75" x14ac:dyDescent="0.2">
      <c r="I200" s="777"/>
    </row>
    <row r="201" spans="9:9" ht="12.75" x14ac:dyDescent="0.2">
      <c r="I201" s="777"/>
    </row>
    <row r="202" spans="9:9" ht="12.75" x14ac:dyDescent="0.2">
      <c r="I202" s="777"/>
    </row>
    <row r="203" spans="9:9" ht="12.75" x14ac:dyDescent="0.2">
      <c r="I203" s="777"/>
    </row>
    <row r="204" spans="9:9" ht="12.75" x14ac:dyDescent="0.2">
      <c r="I204" s="777"/>
    </row>
    <row r="205" spans="9:9" ht="12.75" x14ac:dyDescent="0.2">
      <c r="I205" s="777"/>
    </row>
    <row r="206" spans="9:9" ht="12.75" x14ac:dyDescent="0.2">
      <c r="I206" s="777"/>
    </row>
    <row r="207" spans="9:9" ht="12.75" x14ac:dyDescent="0.2">
      <c r="I207" s="777"/>
    </row>
    <row r="208" spans="9:9" ht="12.75" x14ac:dyDescent="0.2">
      <c r="I208" s="777"/>
    </row>
    <row r="209" spans="9:9" ht="12.75" x14ac:dyDescent="0.2">
      <c r="I209" s="777"/>
    </row>
    <row r="210" spans="9:9" ht="12.75" x14ac:dyDescent="0.2">
      <c r="I210" s="777"/>
    </row>
    <row r="211" spans="9:9" ht="12.75" x14ac:dyDescent="0.2">
      <c r="I211" s="777"/>
    </row>
    <row r="212" spans="9:9" ht="12.75" x14ac:dyDescent="0.2">
      <c r="I212" s="777"/>
    </row>
    <row r="213" spans="9:9" ht="12.75" x14ac:dyDescent="0.2">
      <c r="I213" s="777"/>
    </row>
    <row r="214" spans="9:9" ht="12.75" x14ac:dyDescent="0.2">
      <c r="I214" s="777"/>
    </row>
    <row r="215" spans="9:9" ht="12.75" x14ac:dyDescent="0.2">
      <c r="I215" s="777"/>
    </row>
    <row r="216" spans="9:9" ht="12.75" x14ac:dyDescent="0.2">
      <c r="I216" s="777"/>
    </row>
    <row r="217" spans="9:9" ht="12.75" x14ac:dyDescent="0.2">
      <c r="I217" s="777"/>
    </row>
    <row r="218" spans="9:9" ht="12.75" x14ac:dyDescent="0.2">
      <c r="I218" s="777"/>
    </row>
    <row r="219" spans="9:9" ht="12.75" x14ac:dyDescent="0.2">
      <c r="I219" s="777"/>
    </row>
    <row r="220" spans="9:9" ht="12.75" x14ac:dyDescent="0.2">
      <c r="I220" s="777"/>
    </row>
    <row r="221" spans="9:9" ht="12.75" x14ac:dyDescent="0.2">
      <c r="I221" s="777"/>
    </row>
    <row r="222" spans="9:9" ht="12.75" x14ac:dyDescent="0.2">
      <c r="I222" s="777"/>
    </row>
    <row r="223" spans="9:9" ht="12.75" x14ac:dyDescent="0.2">
      <c r="I223" s="777"/>
    </row>
    <row r="224" spans="9:9" ht="12.75" x14ac:dyDescent="0.2">
      <c r="I224" s="777"/>
    </row>
    <row r="225" spans="9:9" ht="12.75" x14ac:dyDescent="0.2">
      <c r="I225" s="777"/>
    </row>
    <row r="226" spans="9:9" ht="12.75" x14ac:dyDescent="0.2">
      <c r="I226" s="777"/>
    </row>
    <row r="227" spans="9:9" ht="12.75" x14ac:dyDescent="0.2">
      <c r="I227" s="777"/>
    </row>
    <row r="228" spans="9:9" ht="12.75" x14ac:dyDescent="0.2">
      <c r="I228" s="777"/>
    </row>
    <row r="229" spans="9:9" ht="12.75" x14ac:dyDescent="0.2">
      <c r="I229" s="777"/>
    </row>
    <row r="230" spans="9:9" ht="12.75" x14ac:dyDescent="0.2">
      <c r="I230" s="777"/>
    </row>
    <row r="231" spans="9:9" ht="12.75" x14ac:dyDescent="0.2">
      <c r="I231" s="777"/>
    </row>
    <row r="232" spans="9:9" ht="12.75" x14ac:dyDescent="0.2">
      <c r="I232" s="777"/>
    </row>
    <row r="233" spans="9:9" ht="12.75" x14ac:dyDescent="0.2">
      <c r="I233" s="777"/>
    </row>
    <row r="234" spans="9:9" ht="12.75" x14ac:dyDescent="0.2">
      <c r="I234" s="777"/>
    </row>
    <row r="235" spans="9:9" ht="12.75" x14ac:dyDescent="0.2">
      <c r="I235" s="777"/>
    </row>
    <row r="236" spans="9:9" ht="12.75" x14ac:dyDescent="0.2">
      <c r="I236" s="777"/>
    </row>
    <row r="237" spans="9:9" ht="12.75" x14ac:dyDescent="0.2">
      <c r="I237" s="777"/>
    </row>
    <row r="238" spans="9:9" ht="12.75" x14ac:dyDescent="0.2">
      <c r="I238" s="777"/>
    </row>
    <row r="239" spans="9:9" ht="12.75" x14ac:dyDescent="0.2">
      <c r="I239" s="777"/>
    </row>
    <row r="240" spans="9:9" ht="12.75" x14ac:dyDescent="0.2">
      <c r="I240" s="777"/>
    </row>
    <row r="241" spans="9:9" ht="12.75" x14ac:dyDescent="0.2">
      <c r="I241" s="777"/>
    </row>
    <row r="242" spans="9:9" ht="12.75" x14ac:dyDescent="0.2">
      <c r="I242" s="777"/>
    </row>
    <row r="243" spans="9:9" ht="12.75" x14ac:dyDescent="0.2">
      <c r="I243" s="777"/>
    </row>
    <row r="244" spans="9:9" ht="12.75" x14ac:dyDescent="0.2">
      <c r="I244" s="777"/>
    </row>
    <row r="245" spans="9:9" ht="12.75" x14ac:dyDescent="0.2">
      <c r="I245" s="777"/>
    </row>
    <row r="246" spans="9:9" ht="12.75" x14ac:dyDescent="0.2">
      <c r="I246" s="777"/>
    </row>
    <row r="247" spans="9:9" ht="12.75" x14ac:dyDescent="0.2">
      <c r="I247" s="777"/>
    </row>
    <row r="248" spans="9:9" ht="12.75" x14ac:dyDescent="0.2">
      <c r="I248" s="777"/>
    </row>
    <row r="249" spans="9:9" ht="12.75" x14ac:dyDescent="0.2">
      <c r="I249" s="777"/>
    </row>
    <row r="250" spans="9:9" ht="12.75" x14ac:dyDescent="0.2">
      <c r="I250" s="777"/>
    </row>
    <row r="251" spans="9:9" ht="12.75" x14ac:dyDescent="0.2">
      <c r="I251" s="777"/>
    </row>
    <row r="252" spans="9:9" ht="12.75" x14ac:dyDescent="0.2">
      <c r="I252" s="777"/>
    </row>
    <row r="253" spans="9:9" ht="12.75" x14ac:dyDescent="0.2">
      <c r="I253" s="777"/>
    </row>
    <row r="254" spans="9:9" ht="12.75" x14ac:dyDescent="0.2">
      <c r="I254" s="777"/>
    </row>
    <row r="255" spans="9:9" ht="12.75" x14ac:dyDescent="0.2">
      <c r="I255" s="777"/>
    </row>
    <row r="256" spans="9:9" ht="12.75" x14ac:dyDescent="0.2">
      <c r="I256" s="777"/>
    </row>
    <row r="257" spans="9:9" ht="12.75" x14ac:dyDescent="0.2">
      <c r="I257" s="777"/>
    </row>
    <row r="258" spans="9:9" ht="12.75" x14ac:dyDescent="0.2">
      <c r="I258" s="777"/>
    </row>
    <row r="259" spans="9:9" ht="12.75" x14ac:dyDescent="0.2">
      <c r="I259" s="777"/>
    </row>
    <row r="260" spans="9:9" ht="12.75" x14ac:dyDescent="0.2">
      <c r="I260" s="777"/>
    </row>
    <row r="261" spans="9:9" ht="12.75" x14ac:dyDescent="0.2">
      <c r="I261" s="777"/>
    </row>
    <row r="262" spans="9:9" ht="12.75" x14ac:dyDescent="0.2">
      <c r="I262" s="777"/>
    </row>
    <row r="263" spans="9:9" ht="12.75" x14ac:dyDescent="0.2">
      <c r="I263" s="777"/>
    </row>
    <row r="264" spans="9:9" ht="12.75" x14ac:dyDescent="0.2">
      <c r="I264" s="777"/>
    </row>
    <row r="265" spans="9:9" ht="12.75" x14ac:dyDescent="0.2">
      <c r="I265" s="777"/>
    </row>
    <row r="266" spans="9:9" ht="12.75" x14ac:dyDescent="0.2">
      <c r="I266" s="777"/>
    </row>
    <row r="267" spans="9:9" ht="12.75" x14ac:dyDescent="0.2">
      <c r="I267" s="777"/>
    </row>
    <row r="268" spans="9:9" ht="12.75" x14ac:dyDescent="0.2">
      <c r="I268" s="777"/>
    </row>
    <row r="269" spans="9:9" ht="12.75" x14ac:dyDescent="0.2">
      <c r="I269" s="777"/>
    </row>
    <row r="270" spans="9:9" ht="12.75" x14ac:dyDescent="0.2">
      <c r="I270" s="777"/>
    </row>
    <row r="271" spans="9:9" ht="12.75" x14ac:dyDescent="0.2">
      <c r="I271" s="777"/>
    </row>
    <row r="272" spans="9:9" ht="12.75" x14ac:dyDescent="0.2">
      <c r="I272" s="777"/>
    </row>
    <row r="273" spans="9:9" ht="12.75" x14ac:dyDescent="0.2">
      <c r="I273" s="777"/>
    </row>
    <row r="274" spans="9:9" ht="12.75" x14ac:dyDescent="0.2">
      <c r="I274" s="777"/>
    </row>
    <row r="275" spans="9:9" ht="12.75" x14ac:dyDescent="0.2">
      <c r="I275" s="777"/>
    </row>
    <row r="276" spans="9:9" ht="12.75" x14ac:dyDescent="0.2">
      <c r="I276" s="777"/>
    </row>
    <row r="277" spans="9:9" ht="12.75" x14ac:dyDescent="0.2">
      <c r="I277" s="777"/>
    </row>
    <row r="278" spans="9:9" ht="12.75" x14ac:dyDescent="0.2">
      <c r="I278" s="777"/>
    </row>
    <row r="279" spans="9:9" ht="12.75" x14ac:dyDescent="0.2">
      <c r="I279" s="777"/>
    </row>
    <row r="280" spans="9:9" ht="12.75" x14ac:dyDescent="0.2">
      <c r="I280" s="777"/>
    </row>
    <row r="281" spans="9:9" ht="12.75" x14ac:dyDescent="0.2">
      <c r="I281" s="777"/>
    </row>
    <row r="282" spans="9:9" ht="12.75" x14ac:dyDescent="0.2">
      <c r="I282" s="777"/>
    </row>
    <row r="283" spans="9:9" ht="12.75" x14ac:dyDescent="0.2">
      <c r="I283" s="777"/>
    </row>
    <row r="284" spans="9:9" ht="12.75" x14ac:dyDescent="0.2">
      <c r="I284" s="777"/>
    </row>
    <row r="285" spans="9:9" ht="12.75" x14ac:dyDescent="0.2">
      <c r="I285" s="777"/>
    </row>
    <row r="286" spans="9:9" ht="12.75" x14ac:dyDescent="0.2">
      <c r="I286" s="777"/>
    </row>
    <row r="287" spans="9:9" ht="12.75" x14ac:dyDescent="0.2">
      <c r="I287" s="777"/>
    </row>
    <row r="288" spans="9:9" ht="12.75" x14ac:dyDescent="0.2">
      <c r="I288" s="777"/>
    </row>
    <row r="289" spans="9:9" ht="12.75" x14ac:dyDescent="0.2">
      <c r="I289" s="777"/>
    </row>
    <row r="290" spans="9:9" ht="12.75" x14ac:dyDescent="0.2">
      <c r="I290" s="777"/>
    </row>
    <row r="291" spans="9:9" ht="12.75" x14ac:dyDescent="0.2">
      <c r="I291" s="777"/>
    </row>
    <row r="292" spans="9:9" ht="12.75" x14ac:dyDescent="0.2">
      <c r="I292" s="777"/>
    </row>
    <row r="293" spans="9:9" ht="12.75" x14ac:dyDescent="0.2">
      <c r="I293" s="777"/>
    </row>
    <row r="294" spans="9:9" ht="12.75" x14ac:dyDescent="0.2">
      <c r="I294" s="777"/>
    </row>
    <row r="295" spans="9:9" ht="12.75" x14ac:dyDescent="0.2">
      <c r="I295" s="777"/>
    </row>
    <row r="296" spans="9:9" ht="12.75" x14ac:dyDescent="0.2">
      <c r="I296" s="777"/>
    </row>
    <row r="297" spans="9:9" ht="12.75" x14ac:dyDescent="0.2">
      <c r="I297" s="777"/>
    </row>
    <row r="298" spans="9:9" ht="12.75" x14ac:dyDescent="0.2">
      <c r="I298" s="777"/>
    </row>
    <row r="299" spans="9:9" ht="12.75" x14ac:dyDescent="0.2">
      <c r="I299" s="777"/>
    </row>
    <row r="300" spans="9:9" ht="12.75" x14ac:dyDescent="0.2">
      <c r="I300" s="777"/>
    </row>
    <row r="301" spans="9:9" ht="12.75" x14ac:dyDescent="0.2">
      <c r="I301" s="777"/>
    </row>
    <row r="302" spans="9:9" ht="12.75" x14ac:dyDescent="0.2">
      <c r="I302" s="777"/>
    </row>
    <row r="303" spans="9:9" ht="12.75" x14ac:dyDescent="0.2">
      <c r="I303" s="777"/>
    </row>
    <row r="304" spans="9:9" ht="12.75" x14ac:dyDescent="0.2">
      <c r="I304" s="777"/>
    </row>
    <row r="305" spans="9:9" ht="12.75" x14ac:dyDescent="0.2">
      <c r="I305" s="777"/>
    </row>
    <row r="306" spans="9:9" ht="12.75" x14ac:dyDescent="0.2">
      <c r="I306" s="777"/>
    </row>
    <row r="307" spans="9:9" ht="12.75" x14ac:dyDescent="0.2">
      <c r="I307" s="777"/>
    </row>
    <row r="308" spans="9:9" ht="12.75" x14ac:dyDescent="0.2">
      <c r="I308" s="777"/>
    </row>
    <row r="309" spans="9:9" ht="12.75" x14ac:dyDescent="0.2">
      <c r="I309" s="777"/>
    </row>
    <row r="310" spans="9:9" ht="12.75" x14ac:dyDescent="0.2">
      <c r="I310" s="777"/>
    </row>
    <row r="311" spans="9:9" ht="12.75" x14ac:dyDescent="0.2">
      <c r="I311" s="777"/>
    </row>
    <row r="312" spans="9:9" ht="12.75" x14ac:dyDescent="0.2">
      <c r="I312" s="777"/>
    </row>
    <row r="313" spans="9:9" ht="12.75" x14ac:dyDescent="0.2">
      <c r="I313" s="777"/>
    </row>
    <row r="314" spans="9:9" ht="12.75" x14ac:dyDescent="0.2">
      <c r="I314" s="777"/>
    </row>
    <row r="315" spans="9:9" ht="12.75" x14ac:dyDescent="0.2">
      <c r="I315" s="777"/>
    </row>
    <row r="316" spans="9:9" ht="12.75" x14ac:dyDescent="0.2">
      <c r="I316" s="777"/>
    </row>
    <row r="317" spans="9:9" ht="12.75" x14ac:dyDescent="0.2">
      <c r="I317" s="777"/>
    </row>
    <row r="318" spans="9:9" ht="12.75" x14ac:dyDescent="0.2">
      <c r="I318" s="777"/>
    </row>
    <row r="319" spans="9:9" ht="12.75" x14ac:dyDescent="0.2">
      <c r="I319" s="777"/>
    </row>
    <row r="320" spans="9:9" ht="12.75" x14ac:dyDescent="0.2">
      <c r="I320" s="777"/>
    </row>
    <row r="321" spans="9:9" ht="12.75" x14ac:dyDescent="0.2">
      <c r="I321" s="777"/>
    </row>
    <row r="322" spans="9:9" ht="12.75" x14ac:dyDescent="0.2">
      <c r="I322" s="777"/>
    </row>
    <row r="323" spans="9:9" ht="12.75" x14ac:dyDescent="0.2">
      <c r="I323" s="777"/>
    </row>
    <row r="324" spans="9:9" ht="12.75" x14ac:dyDescent="0.2">
      <c r="I324" s="777"/>
    </row>
    <row r="325" spans="9:9" ht="12.75" x14ac:dyDescent="0.2">
      <c r="I325" s="777"/>
    </row>
    <row r="326" spans="9:9" ht="12.75" x14ac:dyDescent="0.2">
      <c r="I326" s="777"/>
    </row>
    <row r="327" spans="9:9" ht="12.75" x14ac:dyDescent="0.2">
      <c r="I327" s="777"/>
    </row>
    <row r="328" spans="9:9" ht="12.75" x14ac:dyDescent="0.2">
      <c r="I328" s="777"/>
    </row>
    <row r="329" spans="9:9" ht="12.75" x14ac:dyDescent="0.2">
      <c r="I329" s="777"/>
    </row>
    <row r="330" spans="9:9" ht="12.75" x14ac:dyDescent="0.2">
      <c r="I330" s="777"/>
    </row>
    <row r="331" spans="9:9" ht="12.75" x14ac:dyDescent="0.2">
      <c r="I331" s="777"/>
    </row>
    <row r="332" spans="9:9" ht="12.75" x14ac:dyDescent="0.2">
      <c r="I332" s="777"/>
    </row>
    <row r="333" spans="9:9" ht="12.75" x14ac:dyDescent="0.2">
      <c r="I333" s="777"/>
    </row>
    <row r="334" spans="9:9" ht="12.75" x14ac:dyDescent="0.2">
      <c r="I334" s="777"/>
    </row>
    <row r="335" spans="9:9" ht="12.75" x14ac:dyDescent="0.2">
      <c r="I335" s="777"/>
    </row>
    <row r="336" spans="9:9" ht="12.75" x14ac:dyDescent="0.2">
      <c r="I336" s="777"/>
    </row>
    <row r="337" spans="9:9" ht="12.75" x14ac:dyDescent="0.2">
      <c r="I337" s="777"/>
    </row>
    <row r="338" spans="9:9" ht="12.75" x14ac:dyDescent="0.2">
      <c r="I338" s="777"/>
    </row>
    <row r="339" spans="9:9" ht="12.75" x14ac:dyDescent="0.2">
      <c r="I339" s="777"/>
    </row>
    <row r="340" spans="9:9" ht="12.75" x14ac:dyDescent="0.2">
      <c r="I340" s="777"/>
    </row>
    <row r="341" spans="9:9" ht="12.75" x14ac:dyDescent="0.2">
      <c r="I341" s="777"/>
    </row>
    <row r="342" spans="9:9" ht="12.75" x14ac:dyDescent="0.2">
      <c r="I342" s="777"/>
    </row>
    <row r="343" spans="9:9" ht="12.75" x14ac:dyDescent="0.2">
      <c r="I343" s="777"/>
    </row>
    <row r="344" spans="9:9" ht="12.75" x14ac:dyDescent="0.2">
      <c r="I344" s="777"/>
    </row>
    <row r="345" spans="9:9" ht="12.75" x14ac:dyDescent="0.2">
      <c r="I345" s="777"/>
    </row>
    <row r="346" spans="9:9" ht="12.75" x14ac:dyDescent="0.2">
      <c r="I346" s="777"/>
    </row>
    <row r="347" spans="9:9" ht="12.75" x14ac:dyDescent="0.2">
      <c r="I347" s="777"/>
    </row>
    <row r="348" spans="9:9" ht="12.75" x14ac:dyDescent="0.2">
      <c r="I348" s="777"/>
    </row>
    <row r="349" spans="9:9" ht="12.75" x14ac:dyDescent="0.2">
      <c r="I349" s="777"/>
    </row>
    <row r="350" spans="9:9" ht="12.75" x14ac:dyDescent="0.2">
      <c r="I350" s="777"/>
    </row>
    <row r="351" spans="9:9" ht="12.75" x14ac:dyDescent="0.2">
      <c r="I351" s="777"/>
    </row>
    <row r="352" spans="9:9" ht="12.75" x14ac:dyDescent="0.2">
      <c r="I352" s="777"/>
    </row>
    <row r="353" spans="9:9" ht="12.75" x14ac:dyDescent="0.2">
      <c r="I353" s="777"/>
    </row>
    <row r="354" spans="9:9" ht="12.75" x14ac:dyDescent="0.2">
      <c r="I354" s="777"/>
    </row>
    <row r="355" spans="9:9" ht="12.75" x14ac:dyDescent="0.2">
      <c r="I355" s="777"/>
    </row>
    <row r="356" spans="9:9" ht="12.75" x14ac:dyDescent="0.2">
      <c r="I356" s="777"/>
    </row>
    <row r="357" spans="9:9" ht="12.75" x14ac:dyDescent="0.2">
      <c r="I357" s="777"/>
    </row>
    <row r="358" spans="9:9" ht="12.75" x14ac:dyDescent="0.2">
      <c r="I358" s="777"/>
    </row>
    <row r="359" spans="9:9" ht="12.75" x14ac:dyDescent="0.2">
      <c r="I359" s="777"/>
    </row>
    <row r="360" spans="9:9" ht="12.75" x14ac:dyDescent="0.2">
      <c r="I360" s="777"/>
    </row>
    <row r="361" spans="9:9" ht="12.75" x14ac:dyDescent="0.2">
      <c r="I361" s="777"/>
    </row>
    <row r="362" spans="9:9" ht="12.75" x14ac:dyDescent="0.2">
      <c r="I362" s="777"/>
    </row>
    <row r="363" spans="9:9" ht="12.75" x14ac:dyDescent="0.2">
      <c r="I363" s="777"/>
    </row>
    <row r="364" spans="9:9" ht="12.75" x14ac:dyDescent="0.2">
      <c r="I364" s="777"/>
    </row>
    <row r="365" spans="9:9" ht="12.75" x14ac:dyDescent="0.2">
      <c r="I365" s="777"/>
    </row>
    <row r="366" spans="9:9" ht="12.75" x14ac:dyDescent="0.2">
      <c r="I366" s="777"/>
    </row>
    <row r="367" spans="9:9" ht="12.75" x14ac:dyDescent="0.2">
      <c r="I367" s="777"/>
    </row>
    <row r="368" spans="9:9" ht="12.75" x14ac:dyDescent="0.2">
      <c r="I368" s="777"/>
    </row>
    <row r="369" spans="9:9" ht="12.75" x14ac:dyDescent="0.2">
      <c r="I369" s="777"/>
    </row>
    <row r="370" spans="9:9" ht="12.75" x14ac:dyDescent="0.2">
      <c r="I370" s="777"/>
    </row>
    <row r="371" spans="9:9" ht="12.75" x14ac:dyDescent="0.2">
      <c r="I371" s="777"/>
    </row>
    <row r="372" spans="9:9" ht="12.75" x14ac:dyDescent="0.2">
      <c r="I372" s="777"/>
    </row>
    <row r="373" spans="9:9" ht="12.75" x14ac:dyDescent="0.2">
      <c r="I373" s="777"/>
    </row>
    <row r="374" spans="9:9" ht="12.75" x14ac:dyDescent="0.2">
      <c r="I374" s="777"/>
    </row>
    <row r="375" spans="9:9" ht="12.75" x14ac:dyDescent="0.2">
      <c r="I375" s="777"/>
    </row>
    <row r="376" spans="9:9" ht="12.75" x14ac:dyDescent="0.2">
      <c r="I376" s="777"/>
    </row>
    <row r="377" spans="9:9" ht="12.75" x14ac:dyDescent="0.2">
      <c r="I377" s="777"/>
    </row>
    <row r="378" spans="9:9" ht="12.75" x14ac:dyDescent="0.2">
      <c r="I378" s="777"/>
    </row>
    <row r="379" spans="9:9" ht="12.75" x14ac:dyDescent="0.2">
      <c r="I379" s="777"/>
    </row>
    <row r="380" spans="9:9" ht="12.75" x14ac:dyDescent="0.2">
      <c r="I380" s="777"/>
    </row>
    <row r="381" spans="9:9" ht="12.75" x14ac:dyDescent="0.2">
      <c r="I381" s="777"/>
    </row>
    <row r="382" spans="9:9" ht="12.75" x14ac:dyDescent="0.2">
      <c r="I382" s="777"/>
    </row>
    <row r="383" spans="9:9" ht="12.75" x14ac:dyDescent="0.2">
      <c r="I383" s="777"/>
    </row>
    <row r="384" spans="9:9" ht="12.75" x14ac:dyDescent="0.2">
      <c r="I384" s="777"/>
    </row>
    <row r="385" spans="9:9" ht="12.75" x14ac:dyDescent="0.2">
      <c r="I385" s="777"/>
    </row>
    <row r="386" spans="9:9" ht="12.75" x14ac:dyDescent="0.2">
      <c r="I386" s="777"/>
    </row>
    <row r="387" spans="9:9" ht="12.75" x14ac:dyDescent="0.2">
      <c r="I387" s="777"/>
    </row>
    <row r="388" spans="9:9" ht="12.75" x14ac:dyDescent="0.2">
      <c r="I388" s="777"/>
    </row>
    <row r="389" spans="9:9" ht="12.75" x14ac:dyDescent="0.2">
      <c r="I389" s="777"/>
    </row>
    <row r="390" spans="9:9" ht="12.75" x14ac:dyDescent="0.2">
      <c r="I390" s="777"/>
    </row>
    <row r="391" spans="9:9" ht="12.75" x14ac:dyDescent="0.2">
      <c r="I391" s="777"/>
    </row>
    <row r="392" spans="9:9" ht="12.75" x14ac:dyDescent="0.2">
      <c r="I392" s="777"/>
    </row>
    <row r="393" spans="9:9" ht="12.75" x14ac:dyDescent="0.2">
      <c r="I393" s="777"/>
    </row>
    <row r="394" spans="9:9" ht="12.75" x14ac:dyDescent="0.2">
      <c r="I394" s="777"/>
    </row>
    <row r="395" spans="9:9" ht="12.75" x14ac:dyDescent="0.2">
      <c r="I395" s="777"/>
    </row>
    <row r="396" spans="9:9" ht="12.75" x14ac:dyDescent="0.2">
      <c r="I396" s="777"/>
    </row>
    <row r="397" spans="9:9" ht="12.75" x14ac:dyDescent="0.2">
      <c r="I397" s="777"/>
    </row>
    <row r="398" spans="9:9" ht="12.75" x14ac:dyDescent="0.2">
      <c r="I398" s="777"/>
    </row>
    <row r="399" spans="9:9" ht="12.75" x14ac:dyDescent="0.2">
      <c r="I399" s="777"/>
    </row>
    <row r="400" spans="9:9" ht="12.75" x14ac:dyDescent="0.2">
      <c r="I400" s="777"/>
    </row>
    <row r="401" spans="9:9" ht="12.75" x14ac:dyDescent="0.2">
      <c r="I401" s="777"/>
    </row>
    <row r="402" spans="9:9" ht="12.75" x14ac:dyDescent="0.2">
      <c r="I402" s="777"/>
    </row>
    <row r="403" spans="9:9" ht="12.75" x14ac:dyDescent="0.2">
      <c r="I403" s="777"/>
    </row>
    <row r="404" spans="9:9" ht="12.75" x14ac:dyDescent="0.2">
      <c r="I404" s="777"/>
    </row>
    <row r="405" spans="9:9" ht="12.75" x14ac:dyDescent="0.2">
      <c r="I405" s="777"/>
    </row>
    <row r="406" spans="9:9" ht="12.75" x14ac:dyDescent="0.2">
      <c r="I406" s="777"/>
    </row>
    <row r="407" spans="9:9" ht="12.75" x14ac:dyDescent="0.2">
      <c r="I407" s="777"/>
    </row>
    <row r="408" spans="9:9" ht="12.75" x14ac:dyDescent="0.2">
      <c r="I408" s="777"/>
    </row>
    <row r="409" spans="9:9" ht="12.75" x14ac:dyDescent="0.2">
      <c r="I409" s="777"/>
    </row>
    <row r="410" spans="9:9" ht="12.75" x14ac:dyDescent="0.2">
      <c r="I410" s="777"/>
    </row>
    <row r="411" spans="9:9" ht="12.75" x14ac:dyDescent="0.2">
      <c r="I411" s="777"/>
    </row>
    <row r="412" spans="9:9" ht="12.75" x14ac:dyDescent="0.2">
      <c r="I412" s="777"/>
    </row>
    <row r="413" spans="9:9" ht="12.75" x14ac:dyDescent="0.2">
      <c r="I413" s="777"/>
    </row>
    <row r="414" spans="9:9" ht="12.75" x14ac:dyDescent="0.2">
      <c r="I414" s="777"/>
    </row>
    <row r="415" spans="9:9" ht="12.75" x14ac:dyDescent="0.2">
      <c r="I415" s="777"/>
    </row>
    <row r="416" spans="9:9" ht="12.75" x14ac:dyDescent="0.2">
      <c r="I416" s="777"/>
    </row>
    <row r="417" spans="9:9" ht="12.75" x14ac:dyDescent="0.2">
      <c r="I417" s="777"/>
    </row>
    <row r="418" spans="9:9" ht="12.75" x14ac:dyDescent="0.2">
      <c r="I418" s="777"/>
    </row>
    <row r="419" spans="9:9" ht="12.75" x14ac:dyDescent="0.2">
      <c r="I419" s="777"/>
    </row>
    <row r="420" spans="9:9" ht="12.75" x14ac:dyDescent="0.2">
      <c r="I420" s="777"/>
    </row>
    <row r="421" spans="9:9" ht="12.75" x14ac:dyDescent="0.2">
      <c r="I421" s="777"/>
    </row>
    <row r="422" spans="9:9" ht="12.75" x14ac:dyDescent="0.2">
      <c r="I422" s="777"/>
    </row>
    <row r="423" spans="9:9" ht="12.75" x14ac:dyDescent="0.2">
      <c r="I423" s="777"/>
    </row>
    <row r="424" spans="9:9" ht="12.75" x14ac:dyDescent="0.2">
      <c r="I424" s="777"/>
    </row>
    <row r="425" spans="9:9" ht="12.75" x14ac:dyDescent="0.2">
      <c r="I425" s="777"/>
    </row>
    <row r="426" spans="9:9" ht="12.75" x14ac:dyDescent="0.2">
      <c r="I426" s="777"/>
    </row>
    <row r="427" spans="9:9" ht="12.75" x14ac:dyDescent="0.2">
      <c r="I427" s="777"/>
    </row>
    <row r="428" spans="9:9" ht="12.75" x14ac:dyDescent="0.2">
      <c r="I428" s="777"/>
    </row>
    <row r="429" spans="9:9" ht="12.75" x14ac:dyDescent="0.2">
      <c r="I429" s="777"/>
    </row>
    <row r="430" spans="9:9" ht="12.75" x14ac:dyDescent="0.2">
      <c r="I430" s="777"/>
    </row>
    <row r="431" spans="9:9" ht="12.75" x14ac:dyDescent="0.2">
      <c r="I431" s="777"/>
    </row>
    <row r="432" spans="9:9" ht="12.75" x14ac:dyDescent="0.2">
      <c r="I432" s="777"/>
    </row>
    <row r="433" spans="9:9" ht="12.75" x14ac:dyDescent="0.2">
      <c r="I433" s="777"/>
    </row>
    <row r="434" spans="9:9" ht="12.75" x14ac:dyDescent="0.2">
      <c r="I434" s="777"/>
    </row>
    <row r="435" spans="9:9" ht="12.75" x14ac:dyDescent="0.2">
      <c r="I435" s="777"/>
    </row>
    <row r="436" spans="9:9" ht="12.75" x14ac:dyDescent="0.2">
      <c r="I436" s="777"/>
    </row>
    <row r="437" spans="9:9" ht="12.75" x14ac:dyDescent="0.2">
      <c r="I437" s="777"/>
    </row>
    <row r="438" spans="9:9" ht="12.75" x14ac:dyDescent="0.2">
      <c r="I438" s="777"/>
    </row>
    <row r="439" spans="9:9" ht="12.75" x14ac:dyDescent="0.2">
      <c r="I439" s="777"/>
    </row>
    <row r="440" spans="9:9" ht="12.75" x14ac:dyDescent="0.2">
      <c r="I440" s="777"/>
    </row>
    <row r="441" spans="9:9" ht="12.75" x14ac:dyDescent="0.2">
      <c r="I441" s="777"/>
    </row>
    <row r="442" spans="9:9" ht="12.75" x14ac:dyDescent="0.2">
      <c r="I442" s="777"/>
    </row>
    <row r="443" spans="9:9" ht="12.75" x14ac:dyDescent="0.2">
      <c r="I443" s="777"/>
    </row>
    <row r="444" spans="9:9" ht="12.75" x14ac:dyDescent="0.2">
      <c r="I444" s="777"/>
    </row>
    <row r="445" spans="9:9" ht="12.75" x14ac:dyDescent="0.2">
      <c r="I445" s="777"/>
    </row>
    <row r="446" spans="9:9" ht="12.75" x14ac:dyDescent="0.2">
      <c r="I446" s="777"/>
    </row>
    <row r="447" spans="9:9" ht="12.75" x14ac:dyDescent="0.2">
      <c r="I447" s="777"/>
    </row>
    <row r="448" spans="9:9" ht="12.75" x14ac:dyDescent="0.2">
      <c r="I448" s="777"/>
    </row>
    <row r="449" spans="9:9" ht="12.75" x14ac:dyDescent="0.2">
      <c r="I449" s="777"/>
    </row>
    <row r="450" spans="9:9" ht="12.75" x14ac:dyDescent="0.2">
      <c r="I450" s="777"/>
    </row>
    <row r="451" spans="9:9" ht="12.75" x14ac:dyDescent="0.2">
      <c r="I451" s="777"/>
    </row>
    <row r="452" spans="9:9" ht="12.75" x14ac:dyDescent="0.2">
      <c r="I452" s="777"/>
    </row>
    <row r="453" spans="9:9" ht="12.75" x14ac:dyDescent="0.2">
      <c r="I453" s="777"/>
    </row>
    <row r="454" spans="9:9" ht="12.75" x14ac:dyDescent="0.2">
      <c r="I454" s="777"/>
    </row>
    <row r="455" spans="9:9" ht="12.75" x14ac:dyDescent="0.2">
      <c r="I455" s="777"/>
    </row>
    <row r="456" spans="9:9" ht="12.75" x14ac:dyDescent="0.2">
      <c r="I456" s="777"/>
    </row>
    <row r="457" spans="9:9" ht="12.75" x14ac:dyDescent="0.2">
      <c r="I457" s="777"/>
    </row>
    <row r="458" spans="9:9" ht="12.75" x14ac:dyDescent="0.2">
      <c r="I458" s="777"/>
    </row>
    <row r="459" spans="9:9" ht="12.75" x14ac:dyDescent="0.2">
      <c r="I459" s="777"/>
    </row>
    <row r="460" spans="9:9" ht="12.75" x14ac:dyDescent="0.2">
      <c r="I460" s="777"/>
    </row>
    <row r="461" spans="9:9" ht="12.75" x14ac:dyDescent="0.2">
      <c r="I461" s="777"/>
    </row>
    <row r="462" spans="9:9" ht="12.75" x14ac:dyDescent="0.2">
      <c r="I462" s="777"/>
    </row>
    <row r="463" spans="9:9" ht="12.75" x14ac:dyDescent="0.2">
      <c r="I463" s="777"/>
    </row>
    <row r="464" spans="9:9" ht="12.75" x14ac:dyDescent="0.2">
      <c r="I464" s="777"/>
    </row>
    <row r="465" spans="9:9" ht="12.75" x14ac:dyDescent="0.2">
      <c r="I465" s="777"/>
    </row>
    <row r="466" spans="9:9" ht="12.75" x14ac:dyDescent="0.2">
      <c r="I466" s="777"/>
    </row>
    <row r="467" spans="9:9" ht="12.75" x14ac:dyDescent="0.2">
      <c r="I467" s="777"/>
    </row>
    <row r="468" spans="9:9" ht="12.75" x14ac:dyDescent="0.2">
      <c r="I468" s="777"/>
    </row>
    <row r="469" spans="9:9" ht="12.75" x14ac:dyDescent="0.2">
      <c r="I469" s="777"/>
    </row>
    <row r="470" spans="9:9" ht="12.75" x14ac:dyDescent="0.2">
      <c r="I470" s="777"/>
    </row>
    <row r="471" spans="9:9" ht="12.75" x14ac:dyDescent="0.2">
      <c r="I471" s="777"/>
    </row>
    <row r="472" spans="9:9" ht="12.75" x14ac:dyDescent="0.2">
      <c r="I472" s="777"/>
    </row>
    <row r="473" spans="9:9" ht="12.75" x14ac:dyDescent="0.2">
      <c r="I473" s="777"/>
    </row>
    <row r="474" spans="9:9" ht="12.75" x14ac:dyDescent="0.2">
      <c r="I474" s="777"/>
    </row>
    <row r="475" spans="9:9" ht="12.75" x14ac:dyDescent="0.2">
      <c r="I475" s="777"/>
    </row>
    <row r="476" spans="9:9" ht="12.75" x14ac:dyDescent="0.2">
      <c r="I476" s="777"/>
    </row>
    <row r="477" spans="9:9" ht="12.75" x14ac:dyDescent="0.2">
      <c r="I477" s="777"/>
    </row>
    <row r="478" spans="9:9" ht="12.75" x14ac:dyDescent="0.2">
      <c r="I478" s="777"/>
    </row>
    <row r="479" spans="9:9" ht="12.75" x14ac:dyDescent="0.2">
      <c r="I479" s="777"/>
    </row>
    <row r="480" spans="9:9" ht="12.75" x14ac:dyDescent="0.2">
      <c r="I480" s="777"/>
    </row>
    <row r="481" spans="9:9" ht="12.75" x14ac:dyDescent="0.2">
      <c r="I481" s="777"/>
    </row>
    <row r="482" spans="9:9" ht="12.75" x14ac:dyDescent="0.2">
      <c r="I482" s="777"/>
    </row>
    <row r="483" spans="9:9" ht="12.75" x14ac:dyDescent="0.2">
      <c r="I483" s="777"/>
    </row>
    <row r="484" spans="9:9" ht="12.75" x14ac:dyDescent="0.2">
      <c r="I484" s="777"/>
    </row>
    <row r="485" spans="9:9" ht="12.75" x14ac:dyDescent="0.2">
      <c r="I485" s="777"/>
    </row>
    <row r="486" spans="9:9" ht="12.75" x14ac:dyDescent="0.2">
      <c r="I486" s="777"/>
    </row>
    <row r="487" spans="9:9" ht="12.75" x14ac:dyDescent="0.2">
      <c r="I487" s="777"/>
    </row>
    <row r="488" spans="9:9" ht="12.75" x14ac:dyDescent="0.2">
      <c r="I488" s="777"/>
    </row>
    <row r="489" spans="9:9" ht="12.75" x14ac:dyDescent="0.2">
      <c r="I489" s="777"/>
    </row>
    <row r="490" spans="9:9" ht="12.75" x14ac:dyDescent="0.2">
      <c r="I490" s="777"/>
    </row>
    <row r="491" spans="9:9" ht="12.75" x14ac:dyDescent="0.2">
      <c r="I491" s="777"/>
    </row>
    <row r="492" spans="9:9" ht="12.75" x14ac:dyDescent="0.2">
      <c r="I492" s="777"/>
    </row>
    <row r="493" spans="9:9" ht="12.75" x14ac:dyDescent="0.2">
      <c r="I493" s="777"/>
    </row>
    <row r="494" spans="9:9" ht="12.75" x14ac:dyDescent="0.2">
      <c r="I494" s="777"/>
    </row>
    <row r="495" spans="9:9" ht="12.75" x14ac:dyDescent="0.2">
      <c r="I495" s="777"/>
    </row>
    <row r="496" spans="9:9" ht="12.75" x14ac:dyDescent="0.2">
      <c r="I496" s="777"/>
    </row>
    <row r="497" spans="9:9" ht="12.75" x14ac:dyDescent="0.2">
      <c r="I497" s="777"/>
    </row>
    <row r="498" spans="9:9" ht="12.75" x14ac:dyDescent="0.2">
      <c r="I498" s="777"/>
    </row>
    <row r="499" spans="9:9" ht="12.75" x14ac:dyDescent="0.2">
      <c r="I499" s="777"/>
    </row>
    <row r="500" spans="9:9" ht="12.75" x14ac:dyDescent="0.2">
      <c r="I500" s="777"/>
    </row>
    <row r="501" spans="9:9" ht="12.75" x14ac:dyDescent="0.2">
      <c r="I501" s="777"/>
    </row>
    <row r="502" spans="9:9" ht="12.75" x14ac:dyDescent="0.2">
      <c r="I502" s="777"/>
    </row>
    <row r="503" spans="9:9" ht="12.75" x14ac:dyDescent="0.2">
      <c r="I503" s="777"/>
    </row>
    <row r="504" spans="9:9" ht="12.75" x14ac:dyDescent="0.2">
      <c r="I504" s="777"/>
    </row>
    <row r="505" spans="9:9" ht="12.75" x14ac:dyDescent="0.2">
      <c r="I505" s="777"/>
    </row>
    <row r="506" spans="9:9" ht="12.75" x14ac:dyDescent="0.2">
      <c r="I506" s="777"/>
    </row>
    <row r="507" spans="9:9" ht="12.75" x14ac:dyDescent="0.2">
      <c r="I507" s="777"/>
    </row>
    <row r="508" spans="9:9" ht="12.75" x14ac:dyDescent="0.2">
      <c r="I508" s="777"/>
    </row>
    <row r="509" spans="9:9" ht="12.75" x14ac:dyDescent="0.2">
      <c r="I509" s="777"/>
    </row>
    <row r="510" spans="9:9" ht="12.75" x14ac:dyDescent="0.2">
      <c r="I510" s="777"/>
    </row>
    <row r="511" spans="9:9" ht="12.75" x14ac:dyDescent="0.2">
      <c r="I511" s="777"/>
    </row>
    <row r="512" spans="9:9" ht="12.75" x14ac:dyDescent="0.2">
      <c r="I512" s="777"/>
    </row>
    <row r="513" spans="9:9" ht="12.75" x14ac:dyDescent="0.2">
      <c r="I513" s="777"/>
    </row>
    <row r="514" spans="9:9" ht="12.75" x14ac:dyDescent="0.2">
      <c r="I514" s="777"/>
    </row>
    <row r="515" spans="9:9" ht="12.75" x14ac:dyDescent="0.2">
      <c r="I515" s="777"/>
    </row>
    <row r="516" spans="9:9" ht="12.75" x14ac:dyDescent="0.2">
      <c r="I516" s="777"/>
    </row>
    <row r="517" spans="9:9" ht="12.75" x14ac:dyDescent="0.2">
      <c r="I517" s="777"/>
    </row>
    <row r="518" spans="9:9" ht="12.75" x14ac:dyDescent="0.2">
      <c r="I518" s="777"/>
    </row>
    <row r="519" spans="9:9" ht="12.75" x14ac:dyDescent="0.2">
      <c r="I519" s="777"/>
    </row>
    <row r="520" spans="9:9" ht="12.75" x14ac:dyDescent="0.2">
      <c r="I520" s="777"/>
    </row>
    <row r="521" spans="9:9" ht="12.75" x14ac:dyDescent="0.2">
      <c r="I521" s="777"/>
    </row>
    <row r="522" spans="9:9" ht="12.75" x14ac:dyDescent="0.2">
      <c r="I522" s="777"/>
    </row>
    <row r="523" spans="9:9" ht="12.75" x14ac:dyDescent="0.2">
      <c r="I523" s="777"/>
    </row>
    <row r="524" spans="9:9" ht="12.75" x14ac:dyDescent="0.2">
      <c r="I524" s="777"/>
    </row>
    <row r="525" spans="9:9" ht="12.75" x14ac:dyDescent="0.2">
      <c r="I525" s="777"/>
    </row>
    <row r="526" spans="9:9" ht="12.75" x14ac:dyDescent="0.2">
      <c r="I526" s="777"/>
    </row>
    <row r="527" spans="9:9" ht="12.75" x14ac:dyDescent="0.2">
      <c r="I527" s="777"/>
    </row>
    <row r="528" spans="9:9" ht="12.75" x14ac:dyDescent="0.2">
      <c r="I528" s="777"/>
    </row>
    <row r="529" spans="9:9" ht="12.75" x14ac:dyDescent="0.2">
      <c r="I529" s="777"/>
    </row>
    <row r="530" spans="9:9" ht="12.75" x14ac:dyDescent="0.2">
      <c r="I530" s="777"/>
    </row>
    <row r="531" spans="9:9" ht="12.75" x14ac:dyDescent="0.2">
      <c r="I531" s="777"/>
    </row>
    <row r="532" spans="9:9" ht="12.75" x14ac:dyDescent="0.2">
      <c r="I532" s="777"/>
    </row>
    <row r="533" spans="9:9" ht="12.75" x14ac:dyDescent="0.2">
      <c r="I533" s="777"/>
    </row>
    <row r="534" spans="9:9" ht="12.75" x14ac:dyDescent="0.2">
      <c r="I534" s="777"/>
    </row>
    <row r="535" spans="9:9" ht="12.75" x14ac:dyDescent="0.2">
      <c r="I535" s="777"/>
    </row>
    <row r="536" spans="9:9" ht="12.75" x14ac:dyDescent="0.2">
      <c r="I536" s="777"/>
    </row>
    <row r="537" spans="9:9" ht="12.75" x14ac:dyDescent="0.2">
      <c r="I537" s="777"/>
    </row>
    <row r="538" spans="9:9" ht="12.75" x14ac:dyDescent="0.2">
      <c r="I538" s="777"/>
    </row>
    <row r="539" spans="9:9" ht="12.75" x14ac:dyDescent="0.2">
      <c r="I539" s="777"/>
    </row>
    <row r="540" spans="9:9" ht="12.75" x14ac:dyDescent="0.2">
      <c r="I540" s="777"/>
    </row>
    <row r="541" spans="9:9" ht="12.75" x14ac:dyDescent="0.2">
      <c r="I541" s="777"/>
    </row>
    <row r="542" spans="9:9" ht="12.75" x14ac:dyDescent="0.2">
      <c r="I542" s="777"/>
    </row>
    <row r="543" spans="9:9" ht="12.75" x14ac:dyDescent="0.2">
      <c r="I543" s="777"/>
    </row>
    <row r="544" spans="9:9" ht="12.75" x14ac:dyDescent="0.2">
      <c r="I544" s="777"/>
    </row>
    <row r="545" spans="9:9" ht="12.75" x14ac:dyDescent="0.2">
      <c r="I545" s="777"/>
    </row>
    <row r="546" spans="9:9" ht="12.75" x14ac:dyDescent="0.2">
      <c r="I546" s="777"/>
    </row>
    <row r="547" spans="9:9" ht="12.75" x14ac:dyDescent="0.2">
      <c r="I547" s="777"/>
    </row>
    <row r="548" spans="9:9" ht="12.75" x14ac:dyDescent="0.2">
      <c r="I548" s="777"/>
    </row>
    <row r="549" spans="9:9" ht="12.75" x14ac:dyDescent="0.2">
      <c r="I549" s="777"/>
    </row>
    <row r="550" spans="9:9" ht="12.75" x14ac:dyDescent="0.2">
      <c r="I550" s="777"/>
    </row>
    <row r="551" spans="9:9" ht="12.75" x14ac:dyDescent="0.2">
      <c r="I551" s="777"/>
    </row>
    <row r="552" spans="9:9" ht="12.75" x14ac:dyDescent="0.2">
      <c r="I552" s="777"/>
    </row>
    <row r="553" spans="9:9" ht="12.75" x14ac:dyDescent="0.2">
      <c r="I553" s="777"/>
    </row>
    <row r="554" spans="9:9" ht="12.75" x14ac:dyDescent="0.2">
      <c r="I554" s="777"/>
    </row>
    <row r="555" spans="9:9" ht="12.75" x14ac:dyDescent="0.2">
      <c r="I555" s="777"/>
    </row>
    <row r="556" spans="9:9" ht="12.75" x14ac:dyDescent="0.2">
      <c r="I556" s="777"/>
    </row>
    <row r="557" spans="9:9" ht="12.75" x14ac:dyDescent="0.2">
      <c r="I557" s="777"/>
    </row>
    <row r="558" spans="9:9" ht="12.75" x14ac:dyDescent="0.2">
      <c r="I558" s="777"/>
    </row>
    <row r="559" spans="9:9" ht="12.75" x14ac:dyDescent="0.2">
      <c r="I559" s="777"/>
    </row>
    <row r="560" spans="9:9" ht="12.75" x14ac:dyDescent="0.2">
      <c r="I560" s="777"/>
    </row>
    <row r="561" spans="9:9" ht="12.75" x14ac:dyDescent="0.2">
      <c r="I561" s="777"/>
    </row>
    <row r="562" spans="9:9" ht="12.75" x14ac:dyDescent="0.2">
      <c r="I562" s="777"/>
    </row>
    <row r="563" spans="9:9" ht="12.75" x14ac:dyDescent="0.2">
      <c r="I563" s="777"/>
    </row>
    <row r="564" spans="9:9" ht="12.75" x14ac:dyDescent="0.2">
      <c r="I564" s="777"/>
    </row>
    <row r="565" spans="9:9" ht="12.75" x14ac:dyDescent="0.2">
      <c r="I565" s="777"/>
    </row>
    <row r="566" spans="9:9" ht="12.75" x14ac:dyDescent="0.2">
      <c r="I566" s="777"/>
    </row>
    <row r="567" spans="9:9" ht="12.75" x14ac:dyDescent="0.2">
      <c r="I567" s="777"/>
    </row>
    <row r="568" spans="9:9" ht="12.75" x14ac:dyDescent="0.2">
      <c r="I568" s="777"/>
    </row>
    <row r="569" spans="9:9" ht="12.75" x14ac:dyDescent="0.2">
      <c r="I569" s="777"/>
    </row>
    <row r="570" spans="9:9" ht="12.75" x14ac:dyDescent="0.2">
      <c r="I570" s="777"/>
    </row>
    <row r="571" spans="9:9" ht="12.75" x14ac:dyDescent="0.2">
      <c r="I571" s="777"/>
    </row>
    <row r="572" spans="9:9" ht="12.75" x14ac:dyDescent="0.2">
      <c r="I572" s="777"/>
    </row>
    <row r="573" spans="9:9" ht="12.75" x14ac:dyDescent="0.2">
      <c r="I573" s="777"/>
    </row>
    <row r="574" spans="9:9" ht="12.75" x14ac:dyDescent="0.2">
      <c r="I574" s="777"/>
    </row>
    <row r="575" spans="9:9" ht="12.75" x14ac:dyDescent="0.2">
      <c r="I575" s="777"/>
    </row>
    <row r="576" spans="9:9" ht="12.75" x14ac:dyDescent="0.2">
      <c r="I576" s="777"/>
    </row>
    <row r="577" spans="9:9" ht="12.75" x14ac:dyDescent="0.2">
      <c r="I577" s="777"/>
    </row>
    <row r="578" spans="9:9" ht="12.75" x14ac:dyDescent="0.2">
      <c r="I578" s="777"/>
    </row>
    <row r="579" spans="9:9" ht="12.75" x14ac:dyDescent="0.2">
      <c r="I579" s="777"/>
    </row>
    <row r="580" spans="9:9" ht="12.75" x14ac:dyDescent="0.2">
      <c r="I580" s="777"/>
    </row>
    <row r="581" spans="9:9" ht="12.75" x14ac:dyDescent="0.2">
      <c r="I581" s="777"/>
    </row>
    <row r="582" spans="9:9" ht="12.75" x14ac:dyDescent="0.2">
      <c r="I582" s="777"/>
    </row>
    <row r="583" spans="9:9" ht="12.75" x14ac:dyDescent="0.2">
      <c r="I583" s="777"/>
    </row>
    <row r="584" spans="9:9" ht="12.75" x14ac:dyDescent="0.2">
      <c r="I584" s="777"/>
    </row>
    <row r="585" spans="9:9" ht="12.75" x14ac:dyDescent="0.2">
      <c r="I585" s="777"/>
    </row>
    <row r="586" spans="9:9" ht="12.75" x14ac:dyDescent="0.2">
      <c r="I586" s="777"/>
    </row>
    <row r="587" spans="9:9" ht="12.75" x14ac:dyDescent="0.2">
      <c r="I587" s="777"/>
    </row>
    <row r="588" spans="9:9" ht="12.75" x14ac:dyDescent="0.2">
      <c r="I588" s="777"/>
    </row>
    <row r="589" spans="9:9" ht="12.75" x14ac:dyDescent="0.2">
      <c r="I589" s="777"/>
    </row>
    <row r="590" spans="9:9" ht="12.75" x14ac:dyDescent="0.2">
      <c r="I590" s="777"/>
    </row>
    <row r="591" spans="9:9" ht="12.75" x14ac:dyDescent="0.2">
      <c r="I591" s="777"/>
    </row>
    <row r="592" spans="9:9" ht="12.75" x14ac:dyDescent="0.2">
      <c r="I592" s="777"/>
    </row>
    <row r="593" spans="9:9" ht="12.75" x14ac:dyDescent="0.2">
      <c r="I593" s="777"/>
    </row>
    <row r="594" spans="9:9" ht="12.75" x14ac:dyDescent="0.2">
      <c r="I594" s="777"/>
    </row>
    <row r="595" spans="9:9" ht="12.75" x14ac:dyDescent="0.2">
      <c r="I595" s="777"/>
    </row>
    <row r="596" spans="9:9" ht="12.75" x14ac:dyDescent="0.2">
      <c r="I596" s="777"/>
    </row>
    <row r="597" spans="9:9" ht="12.75" x14ac:dyDescent="0.2">
      <c r="I597" s="777"/>
    </row>
    <row r="598" spans="9:9" ht="12.75" x14ac:dyDescent="0.2">
      <c r="I598" s="777"/>
    </row>
    <row r="599" spans="9:9" ht="12.75" x14ac:dyDescent="0.2">
      <c r="I599" s="777"/>
    </row>
    <row r="600" spans="9:9" ht="12.75" x14ac:dyDescent="0.2">
      <c r="I600" s="777"/>
    </row>
    <row r="601" spans="9:9" ht="12.75" x14ac:dyDescent="0.2">
      <c r="I601" s="777"/>
    </row>
    <row r="602" spans="9:9" ht="12.75" x14ac:dyDescent="0.2">
      <c r="I602" s="777"/>
    </row>
    <row r="603" spans="9:9" ht="12.75" x14ac:dyDescent="0.2">
      <c r="I603" s="777"/>
    </row>
    <row r="604" spans="9:9" ht="12.75" x14ac:dyDescent="0.2">
      <c r="I604" s="777"/>
    </row>
    <row r="605" spans="9:9" ht="12.75" x14ac:dyDescent="0.2">
      <c r="I605" s="777"/>
    </row>
    <row r="606" spans="9:9" ht="12.75" x14ac:dyDescent="0.2">
      <c r="I606" s="777"/>
    </row>
    <row r="607" spans="9:9" ht="12.75" x14ac:dyDescent="0.2">
      <c r="I607" s="777"/>
    </row>
    <row r="608" spans="9:9" ht="12.75" x14ac:dyDescent="0.2">
      <c r="I608" s="777"/>
    </row>
    <row r="609" spans="9:9" ht="12.75" x14ac:dyDescent="0.2">
      <c r="I609" s="777"/>
    </row>
    <row r="610" spans="9:9" ht="12.75" x14ac:dyDescent="0.2">
      <c r="I610" s="777"/>
    </row>
    <row r="611" spans="9:9" ht="12.75" x14ac:dyDescent="0.2">
      <c r="I611" s="777"/>
    </row>
    <row r="612" spans="9:9" ht="12.75" x14ac:dyDescent="0.2">
      <c r="I612" s="777"/>
    </row>
    <row r="613" spans="9:9" ht="12.75" x14ac:dyDescent="0.2">
      <c r="I613" s="777"/>
    </row>
    <row r="614" spans="9:9" ht="12.75" x14ac:dyDescent="0.2">
      <c r="I614" s="777"/>
    </row>
    <row r="615" spans="9:9" ht="12.75" x14ac:dyDescent="0.2">
      <c r="I615" s="777"/>
    </row>
    <row r="616" spans="9:9" ht="12.75" x14ac:dyDescent="0.2">
      <c r="I616" s="777"/>
    </row>
    <row r="617" spans="9:9" ht="12.75" x14ac:dyDescent="0.2">
      <c r="I617" s="777"/>
    </row>
    <row r="618" spans="9:9" ht="12.75" x14ac:dyDescent="0.2">
      <c r="I618" s="777"/>
    </row>
    <row r="619" spans="9:9" ht="12.75" x14ac:dyDescent="0.2">
      <c r="I619" s="777"/>
    </row>
    <row r="620" spans="9:9" ht="12.75" x14ac:dyDescent="0.2">
      <c r="I620" s="777"/>
    </row>
    <row r="621" spans="9:9" ht="12.75" x14ac:dyDescent="0.2">
      <c r="I621" s="777"/>
    </row>
    <row r="622" spans="9:9" ht="12.75" x14ac:dyDescent="0.2">
      <c r="I622" s="777"/>
    </row>
    <row r="623" spans="9:9" ht="12.75" x14ac:dyDescent="0.2">
      <c r="I623" s="777"/>
    </row>
    <row r="624" spans="9:9" ht="12.75" x14ac:dyDescent="0.2">
      <c r="I624" s="777"/>
    </row>
    <row r="625" spans="9:9" ht="12.75" x14ac:dyDescent="0.2">
      <c r="I625" s="777"/>
    </row>
    <row r="626" spans="9:9" ht="12.75" x14ac:dyDescent="0.2">
      <c r="I626" s="777"/>
    </row>
    <row r="627" spans="9:9" ht="12.75" x14ac:dyDescent="0.2">
      <c r="I627" s="777"/>
    </row>
    <row r="628" spans="9:9" ht="12.75" x14ac:dyDescent="0.2">
      <c r="I628" s="777"/>
    </row>
    <row r="629" spans="9:9" ht="12.75" x14ac:dyDescent="0.2">
      <c r="I629" s="777"/>
    </row>
    <row r="630" spans="9:9" ht="12.75" x14ac:dyDescent="0.2">
      <c r="I630" s="777"/>
    </row>
    <row r="631" spans="9:9" ht="12.75" x14ac:dyDescent="0.2">
      <c r="I631" s="777"/>
    </row>
    <row r="632" spans="9:9" ht="12.75" x14ac:dyDescent="0.2">
      <c r="I632" s="777"/>
    </row>
    <row r="633" spans="9:9" ht="12.75" x14ac:dyDescent="0.2">
      <c r="I633" s="777"/>
    </row>
    <row r="634" spans="9:9" ht="12.75" x14ac:dyDescent="0.2">
      <c r="I634" s="777"/>
    </row>
    <row r="635" spans="9:9" ht="12.75" x14ac:dyDescent="0.2">
      <c r="I635" s="777"/>
    </row>
    <row r="636" spans="9:9" ht="12.75" x14ac:dyDescent="0.2">
      <c r="I636" s="777"/>
    </row>
    <row r="637" spans="9:9" ht="12.75" x14ac:dyDescent="0.2">
      <c r="I637" s="777"/>
    </row>
    <row r="638" spans="9:9" ht="12.75" x14ac:dyDescent="0.2">
      <c r="I638" s="777"/>
    </row>
    <row r="639" spans="9:9" ht="12.75" x14ac:dyDescent="0.2">
      <c r="I639" s="777"/>
    </row>
    <row r="640" spans="9:9" ht="12.75" x14ac:dyDescent="0.2">
      <c r="I640" s="777"/>
    </row>
    <row r="641" spans="9:9" ht="12.75" x14ac:dyDescent="0.2">
      <c r="I641" s="777"/>
    </row>
    <row r="642" spans="9:9" ht="12.75" x14ac:dyDescent="0.2">
      <c r="I642" s="777"/>
    </row>
    <row r="643" spans="9:9" ht="12.75" x14ac:dyDescent="0.2">
      <c r="I643" s="777"/>
    </row>
    <row r="644" spans="9:9" ht="12.75" x14ac:dyDescent="0.2">
      <c r="I644" s="777"/>
    </row>
    <row r="645" spans="9:9" ht="12.75" x14ac:dyDescent="0.2">
      <c r="I645" s="777"/>
    </row>
    <row r="646" spans="9:9" ht="12.75" x14ac:dyDescent="0.2">
      <c r="I646" s="777"/>
    </row>
    <row r="647" spans="9:9" ht="12.75" x14ac:dyDescent="0.2">
      <c r="I647" s="777"/>
    </row>
    <row r="648" spans="9:9" ht="12.75" x14ac:dyDescent="0.2">
      <c r="I648" s="777"/>
    </row>
    <row r="649" spans="9:9" ht="12.75" x14ac:dyDescent="0.2">
      <c r="I649" s="777"/>
    </row>
    <row r="650" spans="9:9" ht="12.75" x14ac:dyDescent="0.2">
      <c r="I650" s="777"/>
    </row>
    <row r="651" spans="9:9" ht="12.75" x14ac:dyDescent="0.2">
      <c r="I651" s="777"/>
    </row>
    <row r="652" spans="9:9" ht="12.75" x14ac:dyDescent="0.2">
      <c r="I652" s="777"/>
    </row>
    <row r="653" spans="9:9" ht="12.75" x14ac:dyDescent="0.2">
      <c r="I653" s="777"/>
    </row>
    <row r="654" spans="9:9" ht="12.75" x14ac:dyDescent="0.2">
      <c r="I654" s="777"/>
    </row>
    <row r="655" spans="9:9" ht="12.75" x14ac:dyDescent="0.2">
      <c r="I655" s="777"/>
    </row>
    <row r="656" spans="9:9" ht="12.75" x14ac:dyDescent="0.2">
      <c r="I656" s="777"/>
    </row>
    <row r="657" spans="9:9" ht="12.75" x14ac:dyDescent="0.2">
      <c r="I657" s="777"/>
    </row>
    <row r="658" spans="9:9" ht="12.75" x14ac:dyDescent="0.2">
      <c r="I658" s="777"/>
    </row>
    <row r="659" spans="9:9" ht="12.75" x14ac:dyDescent="0.2">
      <c r="I659" s="777"/>
    </row>
    <row r="660" spans="9:9" ht="12.75" x14ac:dyDescent="0.2">
      <c r="I660" s="777"/>
    </row>
    <row r="661" spans="9:9" ht="12.75" x14ac:dyDescent="0.2">
      <c r="I661" s="777"/>
    </row>
    <row r="662" spans="9:9" ht="12.75" x14ac:dyDescent="0.2">
      <c r="I662" s="777"/>
    </row>
    <row r="663" spans="9:9" ht="12.75" x14ac:dyDescent="0.2">
      <c r="I663" s="777"/>
    </row>
    <row r="664" spans="9:9" ht="12.75" x14ac:dyDescent="0.2">
      <c r="I664" s="777"/>
    </row>
    <row r="665" spans="9:9" ht="12.75" x14ac:dyDescent="0.2">
      <c r="I665" s="777"/>
    </row>
    <row r="666" spans="9:9" ht="12.75" x14ac:dyDescent="0.2">
      <c r="I666" s="777"/>
    </row>
    <row r="667" spans="9:9" ht="12.75" x14ac:dyDescent="0.2">
      <c r="I667" s="777"/>
    </row>
    <row r="668" spans="9:9" ht="12.75" x14ac:dyDescent="0.2">
      <c r="I668" s="777"/>
    </row>
    <row r="669" spans="9:9" ht="12.75" x14ac:dyDescent="0.2">
      <c r="I669" s="777"/>
    </row>
    <row r="670" spans="9:9" ht="12.75" x14ac:dyDescent="0.2">
      <c r="I670" s="777"/>
    </row>
    <row r="671" spans="9:9" ht="12.75" x14ac:dyDescent="0.2">
      <c r="I671" s="777"/>
    </row>
    <row r="672" spans="9:9" ht="12.75" x14ac:dyDescent="0.2">
      <c r="I672" s="777"/>
    </row>
    <row r="673" spans="9:9" ht="12.75" x14ac:dyDescent="0.2">
      <c r="I673" s="777"/>
    </row>
    <row r="674" spans="9:9" ht="12.75" x14ac:dyDescent="0.2">
      <c r="I674" s="777"/>
    </row>
    <row r="675" spans="9:9" ht="12.75" x14ac:dyDescent="0.2">
      <c r="I675" s="777"/>
    </row>
    <row r="676" spans="9:9" ht="12.75" x14ac:dyDescent="0.2">
      <c r="I676" s="777"/>
    </row>
    <row r="677" spans="9:9" ht="12.75" x14ac:dyDescent="0.2">
      <c r="I677" s="777"/>
    </row>
    <row r="678" spans="9:9" ht="12.75" x14ac:dyDescent="0.2">
      <c r="I678" s="777"/>
    </row>
    <row r="679" spans="9:9" ht="12.75" x14ac:dyDescent="0.2">
      <c r="I679" s="777"/>
    </row>
    <row r="680" spans="9:9" ht="12.75" x14ac:dyDescent="0.2">
      <c r="I680" s="777"/>
    </row>
    <row r="681" spans="9:9" ht="12.75" x14ac:dyDescent="0.2">
      <c r="I681" s="777"/>
    </row>
    <row r="682" spans="9:9" ht="12.75" x14ac:dyDescent="0.2">
      <c r="I682" s="777"/>
    </row>
    <row r="683" spans="9:9" ht="12.75" x14ac:dyDescent="0.2">
      <c r="I683" s="777"/>
    </row>
    <row r="684" spans="9:9" ht="12.75" x14ac:dyDescent="0.2">
      <c r="I684" s="777"/>
    </row>
    <row r="685" spans="9:9" ht="12.75" x14ac:dyDescent="0.2">
      <c r="I685" s="777"/>
    </row>
    <row r="686" spans="9:9" ht="12.75" x14ac:dyDescent="0.2">
      <c r="I686" s="777"/>
    </row>
    <row r="687" spans="9:9" ht="12.75" x14ac:dyDescent="0.2">
      <c r="I687" s="777"/>
    </row>
    <row r="688" spans="9:9" ht="12.75" x14ac:dyDescent="0.2">
      <c r="I688" s="777"/>
    </row>
    <row r="689" spans="9:9" ht="12.75" x14ac:dyDescent="0.2">
      <c r="I689" s="777"/>
    </row>
    <row r="690" spans="9:9" ht="12.75" x14ac:dyDescent="0.2">
      <c r="I690" s="777"/>
    </row>
    <row r="691" spans="9:9" ht="12.75" x14ac:dyDescent="0.2">
      <c r="I691" s="777"/>
    </row>
    <row r="692" spans="9:9" ht="12.75" x14ac:dyDescent="0.2">
      <c r="I692" s="777"/>
    </row>
    <row r="693" spans="9:9" ht="12.75" x14ac:dyDescent="0.2">
      <c r="I693" s="777"/>
    </row>
    <row r="694" spans="9:9" ht="12.75" x14ac:dyDescent="0.2">
      <c r="I694" s="777"/>
    </row>
    <row r="695" spans="9:9" ht="12.75" x14ac:dyDescent="0.2">
      <c r="I695" s="777"/>
    </row>
    <row r="696" spans="9:9" ht="12.75" x14ac:dyDescent="0.2">
      <c r="I696" s="777"/>
    </row>
    <row r="697" spans="9:9" ht="12.75" x14ac:dyDescent="0.2">
      <c r="I697" s="777"/>
    </row>
    <row r="698" spans="9:9" ht="12.75" x14ac:dyDescent="0.2">
      <c r="I698" s="777"/>
    </row>
    <row r="699" spans="9:9" ht="12.75" x14ac:dyDescent="0.2">
      <c r="I699" s="777"/>
    </row>
    <row r="700" spans="9:9" ht="12.75" x14ac:dyDescent="0.2">
      <c r="I700" s="777"/>
    </row>
    <row r="701" spans="9:9" ht="12.75" x14ac:dyDescent="0.2">
      <c r="I701" s="777"/>
    </row>
    <row r="702" spans="9:9" ht="12.75" x14ac:dyDescent="0.2">
      <c r="I702" s="777"/>
    </row>
    <row r="703" spans="9:9" ht="12.75" x14ac:dyDescent="0.2">
      <c r="I703" s="777"/>
    </row>
    <row r="704" spans="9:9" ht="12.75" x14ac:dyDescent="0.2">
      <c r="I704" s="777"/>
    </row>
    <row r="705" spans="9:9" ht="12.75" x14ac:dyDescent="0.2">
      <c r="I705" s="777"/>
    </row>
    <row r="706" spans="9:9" ht="12.75" x14ac:dyDescent="0.2">
      <c r="I706" s="777"/>
    </row>
    <row r="707" spans="9:9" ht="12.75" x14ac:dyDescent="0.2">
      <c r="I707" s="777"/>
    </row>
    <row r="708" spans="9:9" ht="12.75" x14ac:dyDescent="0.2">
      <c r="I708" s="777"/>
    </row>
    <row r="709" spans="9:9" ht="12.75" x14ac:dyDescent="0.2">
      <c r="I709" s="777"/>
    </row>
    <row r="710" spans="9:9" ht="12.75" x14ac:dyDescent="0.2">
      <c r="I710" s="777"/>
    </row>
    <row r="711" spans="9:9" ht="12.75" x14ac:dyDescent="0.2">
      <c r="I711" s="777"/>
    </row>
    <row r="712" spans="9:9" ht="12.75" x14ac:dyDescent="0.2">
      <c r="I712" s="777"/>
    </row>
    <row r="713" spans="9:9" ht="12.75" x14ac:dyDescent="0.2">
      <c r="I713" s="777"/>
    </row>
    <row r="714" spans="9:9" ht="12.75" x14ac:dyDescent="0.2">
      <c r="I714" s="777"/>
    </row>
    <row r="715" spans="9:9" ht="12.75" x14ac:dyDescent="0.2">
      <c r="I715" s="777"/>
    </row>
    <row r="716" spans="9:9" ht="12.75" x14ac:dyDescent="0.2">
      <c r="I716" s="777"/>
    </row>
    <row r="717" spans="9:9" ht="12.75" x14ac:dyDescent="0.2">
      <c r="I717" s="777"/>
    </row>
    <row r="718" spans="9:9" ht="12.75" x14ac:dyDescent="0.2">
      <c r="I718" s="777"/>
    </row>
    <row r="719" spans="9:9" ht="12.75" x14ac:dyDescent="0.2">
      <c r="I719" s="777"/>
    </row>
    <row r="720" spans="9:9" ht="12.75" x14ac:dyDescent="0.2">
      <c r="I720" s="777"/>
    </row>
    <row r="721" spans="9:9" ht="12.75" x14ac:dyDescent="0.2">
      <c r="I721" s="777"/>
    </row>
    <row r="722" spans="9:9" ht="12.75" x14ac:dyDescent="0.2">
      <c r="I722" s="777"/>
    </row>
    <row r="723" spans="9:9" ht="12.75" x14ac:dyDescent="0.2">
      <c r="I723" s="777"/>
    </row>
    <row r="724" spans="9:9" ht="12.75" x14ac:dyDescent="0.2">
      <c r="I724" s="777"/>
    </row>
    <row r="725" spans="9:9" ht="12.75" x14ac:dyDescent="0.2">
      <c r="I725" s="777"/>
    </row>
    <row r="726" spans="9:9" ht="12.75" x14ac:dyDescent="0.2">
      <c r="I726" s="777"/>
    </row>
    <row r="727" spans="9:9" ht="12.75" x14ac:dyDescent="0.2">
      <c r="I727" s="777"/>
    </row>
    <row r="728" spans="9:9" ht="12.75" x14ac:dyDescent="0.2">
      <c r="I728" s="777"/>
    </row>
    <row r="729" spans="9:9" ht="12.75" x14ac:dyDescent="0.2">
      <c r="I729" s="777"/>
    </row>
    <row r="730" spans="9:9" ht="12.75" x14ac:dyDescent="0.2">
      <c r="I730" s="777"/>
    </row>
    <row r="731" spans="9:9" ht="12.75" x14ac:dyDescent="0.2">
      <c r="I731" s="777"/>
    </row>
    <row r="732" spans="9:9" ht="12.75" x14ac:dyDescent="0.2">
      <c r="I732" s="777"/>
    </row>
    <row r="733" spans="9:9" ht="12.75" x14ac:dyDescent="0.2">
      <c r="I733" s="777"/>
    </row>
    <row r="734" spans="9:9" ht="12.75" x14ac:dyDescent="0.2">
      <c r="I734" s="777"/>
    </row>
    <row r="735" spans="9:9" ht="12.75" x14ac:dyDescent="0.2">
      <c r="I735" s="777"/>
    </row>
    <row r="736" spans="9:9" ht="12.75" x14ac:dyDescent="0.2">
      <c r="I736" s="777"/>
    </row>
    <row r="737" spans="9:9" ht="12.75" x14ac:dyDescent="0.2">
      <c r="I737" s="777"/>
    </row>
    <row r="738" spans="9:9" ht="12.75" x14ac:dyDescent="0.2">
      <c r="I738" s="777"/>
    </row>
    <row r="739" spans="9:9" ht="12.75" x14ac:dyDescent="0.2">
      <c r="I739" s="777"/>
    </row>
    <row r="740" spans="9:9" ht="12.75" x14ac:dyDescent="0.2">
      <c r="I740" s="777"/>
    </row>
    <row r="741" spans="9:9" ht="12.75" x14ac:dyDescent="0.2">
      <c r="I741" s="777"/>
    </row>
    <row r="742" spans="9:9" ht="12.75" x14ac:dyDescent="0.2">
      <c r="I742" s="777"/>
    </row>
    <row r="743" spans="9:9" ht="12.75" x14ac:dyDescent="0.2">
      <c r="I743" s="777"/>
    </row>
    <row r="744" spans="9:9" ht="12.75" x14ac:dyDescent="0.2">
      <c r="I744" s="777"/>
    </row>
    <row r="745" spans="9:9" ht="12.75" x14ac:dyDescent="0.2">
      <c r="I745" s="777"/>
    </row>
    <row r="746" spans="9:9" ht="12.75" x14ac:dyDescent="0.2">
      <c r="I746" s="777"/>
    </row>
    <row r="747" spans="9:9" ht="12.75" x14ac:dyDescent="0.2">
      <c r="I747" s="777"/>
    </row>
    <row r="748" spans="9:9" ht="12.75" x14ac:dyDescent="0.2">
      <c r="I748" s="777"/>
    </row>
    <row r="749" spans="9:9" ht="12.75" x14ac:dyDescent="0.2">
      <c r="I749" s="777"/>
    </row>
    <row r="750" spans="9:9" ht="12.75" x14ac:dyDescent="0.2">
      <c r="I750" s="777"/>
    </row>
    <row r="751" spans="9:9" ht="12.75" x14ac:dyDescent="0.2">
      <c r="I751" s="777"/>
    </row>
    <row r="752" spans="9:9" ht="12.75" x14ac:dyDescent="0.2">
      <c r="I752" s="777"/>
    </row>
    <row r="753" spans="9:9" ht="12.75" x14ac:dyDescent="0.2">
      <c r="I753" s="777"/>
    </row>
    <row r="754" spans="9:9" ht="12.75" x14ac:dyDescent="0.2">
      <c r="I754" s="777"/>
    </row>
    <row r="755" spans="9:9" ht="12.75" x14ac:dyDescent="0.2">
      <c r="I755" s="777"/>
    </row>
    <row r="756" spans="9:9" ht="12.75" x14ac:dyDescent="0.2">
      <c r="I756" s="777"/>
    </row>
    <row r="757" spans="9:9" ht="12.75" x14ac:dyDescent="0.2">
      <c r="I757" s="777"/>
    </row>
    <row r="758" spans="9:9" ht="12.75" x14ac:dyDescent="0.2">
      <c r="I758" s="777"/>
    </row>
    <row r="759" spans="9:9" ht="12.75" x14ac:dyDescent="0.2">
      <c r="I759" s="777"/>
    </row>
    <row r="760" spans="9:9" ht="12.75" x14ac:dyDescent="0.2">
      <c r="I760" s="777"/>
    </row>
    <row r="761" spans="9:9" ht="12.75" x14ac:dyDescent="0.2">
      <c r="I761" s="777"/>
    </row>
    <row r="762" spans="9:9" ht="12.75" x14ac:dyDescent="0.2">
      <c r="I762" s="777"/>
    </row>
    <row r="763" spans="9:9" ht="12.75" x14ac:dyDescent="0.2">
      <c r="I763" s="777"/>
    </row>
    <row r="764" spans="9:9" ht="12.75" x14ac:dyDescent="0.2">
      <c r="I764" s="777"/>
    </row>
    <row r="765" spans="9:9" ht="12.75" x14ac:dyDescent="0.2">
      <c r="I765" s="777"/>
    </row>
    <row r="766" spans="9:9" ht="12.75" x14ac:dyDescent="0.2">
      <c r="I766" s="777"/>
    </row>
    <row r="767" spans="9:9" ht="12.75" x14ac:dyDescent="0.2">
      <c r="I767" s="777"/>
    </row>
    <row r="768" spans="9:9" ht="12.75" x14ac:dyDescent="0.2">
      <c r="I768" s="777"/>
    </row>
    <row r="769" spans="9:9" ht="12.75" x14ac:dyDescent="0.2">
      <c r="I769" s="777"/>
    </row>
    <row r="770" spans="9:9" ht="12.75" x14ac:dyDescent="0.2">
      <c r="I770" s="777"/>
    </row>
    <row r="771" spans="9:9" ht="12.75" x14ac:dyDescent="0.2">
      <c r="I771" s="777"/>
    </row>
    <row r="772" spans="9:9" ht="12.75" x14ac:dyDescent="0.2">
      <c r="I772" s="777"/>
    </row>
    <row r="773" spans="9:9" ht="12.75" x14ac:dyDescent="0.2">
      <c r="I773" s="777"/>
    </row>
    <row r="774" spans="9:9" ht="12.75" x14ac:dyDescent="0.2">
      <c r="I774" s="777"/>
    </row>
    <row r="775" spans="9:9" ht="12.75" x14ac:dyDescent="0.2">
      <c r="I775" s="777"/>
    </row>
    <row r="776" spans="9:9" ht="12.75" x14ac:dyDescent="0.2">
      <c r="I776" s="777"/>
    </row>
    <row r="777" spans="9:9" ht="12.75" x14ac:dyDescent="0.2">
      <c r="I777" s="777"/>
    </row>
    <row r="778" spans="9:9" ht="12.75" x14ac:dyDescent="0.2">
      <c r="I778" s="777"/>
    </row>
    <row r="779" spans="9:9" ht="12.75" x14ac:dyDescent="0.2">
      <c r="I779" s="777"/>
    </row>
    <row r="780" spans="9:9" ht="12.75" x14ac:dyDescent="0.2">
      <c r="I780" s="777"/>
    </row>
    <row r="781" spans="9:9" ht="12.75" x14ac:dyDescent="0.2">
      <c r="I781" s="777"/>
    </row>
    <row r="782" spans="9:9" ht="12.75" x14ac:dyDescent="0.2">
      <c r="I782" s="777"/>
    </row>
    <row r="783" spans="9:9" ht="12.75" x14ac:dyDescent="0.2">
      <c r="I783" s="777"/>
    </row>
    <row r="784" spans="9:9" ht="12.75" x14ac:dyDescent="0.2">
      <c r="I784" s="777"/>
    </row>
    <row r="785" spans="9:9" ht="12.75" x14ac:dyDescent="0.2">
      <c r="I785" s="777"/>
    </row>
    <row r="786" spans="9:9" ht="12.75" x14ac:dyDescent="0.2">
      <c r="I786" s="777"/>
    </row>
    <row r="787" spans="9:9" ht="12.75" x14ac:dyDescent="0.2">
      <c r="I787" s="777"/>
    </row>
    <row r="788" spans="9:9" ht="12.75" x14ac:dyDescent="0.2">
      <c r="I788" s="777"/>
    </row>
    <row r="789" spans="9:9" ht="12.75" x14ac:dyDescent="0.2">
      <c r="I789" s="777"/>
    </row>
    <row r="790" spans="9:9" ht="12.75" x14ac:dyDescent="0.2">
      <c r="I790" s="777"/>
    </row>
    <row r="791" spans="9:9" ht="12.75" x14ac:dyDescent="0.2">
      <c r="I791" s="777"/>
    </row>
    <row r="792" spans="9:9" ht="12.75" x14ac:dyDescent="0.2">
      <c r="I792" s="777"/>
    </row>
    <row r="793" spans="9:9" ht="12.75" x14ac:dyDescent="0.2">
      <c r="I793" s="777"/>
    </row>
    <row r="794" spans="9:9" ht="12.75" x14ac:dyDescent="0.2">
      <c r="I794" s="777"/>
    </row>
    <row r="795" spans="9:9" ht="12.75" x14ac:dyDescent="0.2">
      <c r="I795" s="777"/>
    </row>
    <row r="796" spans="9:9" ht="12.75" x14ac:dyDescent="0.2">
      <c r="I796" s="777"/>
    </row>
    <row r="797" spans="9:9" ht="12.75" x14ac:dyDescent="0.2">
      <c r="I797" s="777"/>
    </row>
    <row r="798" spans="9:9" ht="12.75" x14ac:dyDescent="0.2">
      <c r="I798" s="777"/>
    </row>
    <row r="799" spans="9:9" ht="12.75" x14ac:dyDescent="0.2">
      <c r="I799" s="777"/>
    </row>
    <row r="800" spans="9:9" ht="12.75" x14ac:dyDescent="0.2">
      <c r="I800" s="777"/>
    </row>
    <row r="801" spans="9:9" ht="12.75" x14ac:dyDescent="0.2">
      <c r="I801" s="777"/>
    </row>
    <row r="802" spans="9:9" ht="12.75" x14ac:dyDescent="0.2">
      <c r="I802" s="777"/>
    </row>
    <row r="803" spans="9:9" ht="12.75" x14ac:dyDescent="0.2">
      <c r="I803" s="777"/>
    </row>
    <row r="804" spans="9:9" ht="12.75" x14ac:dyDescent="0.2">
      <c r="I804" s="777"/>
    </row>
    <row r="805" spans="9:9" ht="12.75" x14ac:dyDescent="0.2">
      <c r="I805" s="777"/>
    </row>
    <row r="806" spans="9:9" ht="12.75" x14ac:dyDescent="0.2">
      <c r="I806" s="777"/>
    </row>
    <row r="807" spans="9:9" ht="12.75" x14ac:dyDescent="0.2">
      <c r="I807" s="777"/>
    </row>
    <row r="808" spans="9:9" ht="12.75" x14ac:dyDescent="0.2">
      <c r="I808" s="777"/>
    </row>
    <row r="809" spans="9:9" ht="12.75" x14ac:dyDescent="0.2">
      <c r="I809" s="777"/>
    </row>
    <row r="810" spans="9:9" ht="12.75" x14ac:dyDescent="0.2">
      <c r="I810" s="777"/>
    </row>
    <row r="811" spans="9:9" ht="12.75" x14ac:dyDescent="0.2">
      <c r="I811" s="777"/>
    </row>
    <row r="812" spans="9:9" ht="12.75" x14ac:dyDescent="0.2">
      <c r="I812" s="777"/>
    </row>
    <row r="813" spans="9:9" ht="12.75" x14ac:dyDescent="0.2">
      <c r="I813" s="777"/>
    </row>
    <row r="814" spans="9:9" ht="12.75" x14ac:dyDescent="0.2">
      <c r="I814" s="777"/>
    </row>
    <row r="815" spans="9:9" ht="12.75" x14ac:dyDescent="0.2">
      <c r="I815" s="777"/>
    </row>
    <row r="816" spans="9:9" ht="12.75" x14ac:dyDescent="0.2">
      <c r="I816" s="777"/>
    </row>
    <row r="817" spans="9:9" ht="12.75" x14ac:dyDescent="0.2">
      <c r="I817" s="777"/>
    </row>
    <row r="818" spans="9:9" ht="12.75" x14ac:dyDescent="0.2">
      <c r="I818" s="777"/>
    </row>
    <row r="819" spans="9:9" ht="12.75" x14ac:dyDescent="0.2">
      <c r="I819" s="777"/>
    </row>
    <row r="820" spans="9:9" ht="12.75" x14ac:dyDescent="0.2">
      <c r="I820" s="777"/>
    </row>
    <row r="821" spans="9:9" ht="12.75" x14ac:dyDescent="0.2">
      <c r="I821" s="777"/>
    </row>
    <row r="822" spans="9:9" ht="12.75" x14ac:dyDescent="0.2">
      <c r="I822" s="777"/>
    </row>
    <row r="823" spans="9:9" ht="12.75" x14ac:dyDescent="0.2">
      <c r="I823" s="777"/>
    </row>
    <row r="824" spans="9:9" ht="12.75" x14ac:dyDescent="0.2">
      <c r="I824" s="777"/>
    </row>
    <row r="825" spans="9:9" ht="12.75" x14ac:dyDescent="0.2">
      <c r="I825" s="777"/>
    </row>
    <row r="826" spans="9:9" ht="12.75" x14ac:dyDescent="0.2">
      <c r="I826" s="777"/>
    </row>
    <row r="827" spans="9:9" ht="12.75" x14ac:dyDescent="0.2">
      <c r="I827" s="777"/>
    </row>
    <row r="828" spans="9:9" ht="12.75" x14ac:dyDescent="0.2">
      <c r="I828" s="777"/>
    </row>
    <row r="829" spans="9:9" ht="12.75" x14ac:dyDescent="0.2">
      <c r="I829" s="777"/>
    </row>
    <row r="830" spans="9:9" ht="12.75" x14ac:dyDescent="0.2">
      <c r="I830" s="777"/>
    </row>
    <row r="831" spans="9:9" ht="12.75" x14ac:dyDescent="0.2">
      <c r="I831" s="777"/>
    </row>
    <row r="832" spans="9:9" ht="12.75" x14ac:dyDescent="0.2">
      <c r="I832" s="777"/>
    </row>
    <row r="833" spans="9:9" ht="12.75" x14ac:dyDescent="0.2">
      <c r="I833" s="777"/>
    </row>
    <row r="834" spans="9:9" ht="12.75" x14ac:dyDescent="0.2">
      <c r="I834" s="777"/>
    </row>
    <row r="835" spans="9:9" ht="12.75" x14ac:dyDescent="0.2">
      <c r="I835" s="777"/>
    </row>
    <row r="836" spans="9:9" ht="12.75" x14ac:dyDescent="0.2">
      <c r="I836" s="777"/>
    </row>
    <row r="837" spans="9:9" ht="12.75" x14ac:dyDescent="0.2">
      <c r="I837" s="777"/>
    </row>
    <row r="838" spans="9:9" ht="12.75" x14ac:dyDescent="0.2">
      <c r="I838" s="777"/>
    </row>
    <row r="839" spans="9:9" ht="12.75" x14ac:dyDescent="0.2">
      <c r="I839" s="777"/>
    </row>
    <row r="840" spans="9:9" ht="12.75" x14ac:dyDescent="0.2">
      <c r="I840" s="777"/>
    </row>
    <row r="841" spans="9:9" ht="12.75" x14ac:dyDescent="0.2">
      <c r="I841" s="777"/>
    </row>
    <row r="842" spans="9:9" ht="12.75" x14ac:dyDescent="0.2">
      <c r="I842" s="777"/>
    </row>
    <row r="843" spans="9:9" ht="12.75" x14ac:dyDescent="0.2">
      <c r="I843" s="777"/>
    </row>
    <row r="844" spans="9:9" ht="12.75" x14ac:dyDescent="0.2">
      <c r="I844" s="777"/>
    </row>
    <row r="845" spans="9:9" ht="12.75" x14ac:dyDescent="0.2">
      <c r="I845" s="777"/>
    </row>
    <row r="846" spans="9:9" ht="12.75" x14ac:dyDescent="0.2">
      <c r="I846" s="777"/>
    </row>
    <row r="847" spans="9:9" ht="12.75" x14ac:dyDescent="0.2">
      <c r="I847" s="777"/>
    </row>
    <row r="848" spans="9:9" ht="12.75" x14ac:dyDescent="0.2">
      <c r="I848" s="777"/>
    </row>
    <row r="849" spans="9:9" ht="12.75" x14ac:dyDescent="0.2">
      <c r="I849" s="777"/>
    </row>
    <row r="850" spans="9:9" ht="12.75" x14ac:dyDescent="0.2">
      <c r="I850" s="777"/>
    </row>
    <row r="851" spans="9:9" ht="12.75" x14ac:dyDescent="0.2">
      <c r="I851" s="777"/>
    </row>
    <row r="852" spans="9:9" ht="12.75" x14ac:dyDescent="0.2">
      <c r="I852" s="777"/>
    </row>
    <row r="853" spans="9:9" ht="12.75" x14ac:dyDescent="0.2">
      <c r="I853" s="777"/>
    </row>
    <row r="854" spans="9:9" ht="12.75" x14ac:dyDescent="0.2">
      <c r="I854" s="777"/>
    </row>
    <row r="855" spans="9:9" ht="12.75" x14ac:dyDescent="0.2">
      <c r="I855" s="777"/>
    </row>
    <row r="856" spans="9:9" ht="12.75" x14ac:dyDescent="0.2">
      <c r="I856" s="777"/>
    </row>
    <row r="857" spans="9:9" ht="12.75" x14ac:dyDescent="0.2">
      <c r="I857" s="777"/>
    </row>
    <row r="858" spans="9:9" ht="12.75" x14ac:dyDescent="0.2">
      <c r="I858" s="777"/>
    </row>
    <row r="859" spans="9:9" ht="12.75" x14ac:dyDescent="0.2">
      <c r="I859" s="777"/>
    </row>
    <row r="860" spans="9:9" ht="12.75" x14ac:dyDescent="0.2">
      <c r="I860" s="777"/>
    </row>
    <row r="861" spans="9:9" ht="12.75" x14ac:dyDescent="0.2">
      <c r="I861" s="777"/>
    </row>
    <row r="862" spans="9:9" ht="12.75" x14ac:dyDescent="0.2">
      <c r="I862" s="777"/>
    </row>
    <row r="863" spans="9:9" ht="12.75" x14ac:dyDescent="0.2">
      <c r="I863" s="777"/>
    </row>
    <row r="864" spans="9:9" ht="12.75" x14ac:dyDescent="0.2">
      <c r="I864" s="777"/>
    </row>
    <row r="865" spans="9:9" ht="12.75" x14ac:dyDescent="0.2">
      <c r="I865" s="777"/>
    </row>
    <row r="866" spans="9:9" ht="12.75" x14ac:dyDescent="0.2">
      <c r="I866" s="777"/>
    </row>
    <row r="867" spans="9:9" ht="12.75" x14ac:dyDescent="0.2">
      <c r="I867" s="777"/>
    </row>
    <row r="868" spans="9:9" ht="12.75" x14ac:dyDescent="0.2">
      <c r="I868" s="777"/>
    </row>
    <row r="869" spans="9:9" ht="12.75" x14ac:dyDescent="0.2">
      <c r="I869" s="777"/>
    </row>
    <row r="870" spans="9:9" ht="12.75" x14ac:dyDescent="0.2">
      <c r="I870" s="777"/>
    </row>
    <row r="871" spans="9:9" ht="12.75" x14ac:dyDescent="0.2">
      <c r="I871" s="777"/>
    </row>
    <row r="872" spans="9:9" ht="12.75" x14ac:dyDescent="0.2">
      <c r="I872" s="777"/>
    </row>
    <row r="873" spans="9:9" ht="12.75" x14ac:dyDescent="0.2">
      <c r="I873" s="777"/>
    </row>
    <row r="874" spans="9:9" ht="12.75" x14ac:dyDescent="0.2">
      <c r="I874" s="777"/>
    </row>
    <row r="875" spans="9:9" ht="12.75" x14ac:dyDescent="0.2">
      <c r="I875" s="777"/>
    </row>
    <row r="876" spans="9:9" ht="12.75" x14ac:dyDescent="0.2">
      <c r="I876" s="777"/>
    </row>
    <row r="877" spans="9:9" ht="12.75" x14ac:dyDescent="0.2">
      <c r="I877" s="777"/>
    </row>
    <row r="878" spans="9:9" ht="12.75" x14ac:dyDescent="0.2">
      <c r="I878" s="777"/>
    </row>
    <row r="879" spans="9:9" ht="12.75" x14ac:dyDescent="0.2">
      <c r="I879" s="777"/>
    </row>
    <row r="880" spans="9:9" ht="12.75" x14ac:dyDescent="0.2">
      <c r="I880" s="777"/>
    </row>
    <row r="881" spans="9:9" ht="12.75" x14ac:dyDescent="0.2">
      <c r="I881" s="777"/>
    </row>
    <row r="882" spans="9:9" ht="12.75" x14ac:dyDescent="0.2">
      <c r="I882" s="777"/>
    </row>
    <row r="883" spans="9:9" ht="12.75" x14ac:dyDescent="0.2">
      <c r="I883" s="777"/>
    </row>
    <row r="884" spans="9:9" ht="12.75" x14ac:dyDescent="0.2">
      <c r="I884" s="777"/>
    </row>
    <row r="885" spans="9:9" ht="12.75" x14ac:dyDescent="0.2">
      <c r="I885" s="777"/>
    </row>
    <row r="886" spans="9:9" ht="12.75" x14ac:dyDescent="0.2">
      <c r="I886" s="777"/>
    </row>
    <row r="887" spans="9:9" ht="12.75" x14ac:dyDescent="0.2">
      <c r="I887" s="777"/>
    </row>
    <row r="888" spans="9:9" ht="12.75" x14ac:dyDescent="0.2">
      <c r="I888" s="777"/>
    </row>
    <row r="889" spans="9:9" ht="12.75" x14ac:dyDescent="0.2">
      <c r="I889" s="777"/>
    </row>
    <row r="890" spans="9:9" ht="12.75" x14ac:dyDescent="0.2">
      <c r="I890" s="777"/>
    </row>
    <row r="891" spans="9:9" ht="12.75" x14ac:dyDescent="0.2">
      <c r="I891" s="777"/>
    </row>
    <row r="892" spans="9:9" ht="12.75" x14ac:dyDescent="0.2">
      <c r="I892" s="777"/>
    </row>
    <row r="893" spans="9:9" ht="12.75" x14ac:dyDescent="0.2">
      <c r="I893" s="777"/>
    </row>
    <row r="894" spans="9:9" ht="12.75" x14ac:dyDescent="0.2">
      <c r="I894" s="777"/>
    </row>
    <row r="895" spans="9:9" ht="12.75" x14ac:dyDescent="0.2">
      <c r="I895" s="777"/>
    </row>
    <row r="896" spans="9:9" ht="12.75" x14ac:dyDescent="0.2">
      <c r="I896" s="777"/>
    </row>
    <row r="897" spans="9:9" ht="12.75" x14ac:dyDescent="0.2">
      <c r="I897" s="777"/>
    </row>
    <row r="898" spans="9:9" ht="12.75" x14ac:dyDescent="0.2">
      <c r="I898" s="777"/>
    </row>
    <row r="899" spans="9:9" ht="12.75" x14ac:dyDescent="0.2">
      <c r="I899" s="777"/>
    </row>
    <row r="900" spans="9:9" ht="12.75" x14ac:dyDescent="0.2">
      <c r="I900" s="777"/>
    </row>
    <row r="901" spans="9:9" ht="12.75" x14ac:dyDescent="0.2">
      <c r="I901" s="777"/>
    </row>
    <row r="902" spans="9:9" ht="12.75" x14ac:dyDescent="0.2">
      <c r="I902" s="777"/>
    </row>
    <row r="903" spans="9:9" ht="12.75" x14ac:dyDescent="0.2">
      <c r="I903" s="777"/>
    </row>
    <row r="904" spans="9:9" ht="12.75" x14ac:dyDescent="0.2">
      <c r="I904" s="777"/>
    </row>
    <row r="905" spans="9:9" ht="12.75" x14ac:dyDescent="0.2">
      <c r="I905" s="777"/>
    </row>
    <row r="906" spans="9:9" ht="12.75" x14ac:dyDescent="0.2">
      <c r="I906" s="777"/>
    </row>
    <row r="907" spans="9:9" ht="12.75" x14ac:dyDescent="0.2">
      <c r="I907" s="777"/>
    </row>
    <row r="908" spans="9:9" ht="12.75" x14ac:dyDescent="0.2">
      <c r="I908" s="777"/>
    </row>
    <row r="909" spans="9:9" ht="12.75" x14ac:dyDescent="0.2">
      <c r="I909" s="777"/>
    </row>
    <row r="910" spans="9:9" ht="12.75" x14ac:dyDescent="0.2">
      <c r="I910" s="777"/>
    </row>
    <row r="911" spans="9:9" ht="12.75" x14ac:dyDescent="0.2">
      <c r="I911" s="777"/>
    </row>
    <row r="912" spans="9:9" ht="12.75" x14ac:dyDescent="0.2">
      <c r="I912" s="777"/>
    </row>
    <row r="913" spans="9:9" ht="12.75" x14ac:dyDescent="0.2">
      <c r="I913" s="777"/>
    </row>
    <row r="914" spans="9:9" ht="12.75" x14ac:dyDescent="0.2">
      <c r="I914" s="777"/>
    </row>
    <row r="915" spans="9:9" ht="12.75" x14ac:dyDescent="0.2">
      <c r="I915" s="777"/>
    </row>
    <row r="916" spans="9:9" ht="12.75" x14ac:dyDescent="0.2">
      <c r="I916" s="777"/>
    </row>
    <row r="917" spans="9:9" ht="12.75" x14ac:dyDescent="0.2">
      <c r="I917" s="777"/>
    </row>
    <row r="918" spans="9:9" ht="12.75" x14ac:dyDescent="0.2">
      <c r="I918" s="777"/>
    </row>
    <row r="919" spans="9:9" ht="12.75" x14ac:dyDescent="0.2">
      <c r="I919" s="777"/>
    </row>
    <row r="920" spans="9:9" ht="12.75" x14ac:dyDescent="0.2">
      <c r="I920" s="777"/>
    </row>
    <row r="921" spans="9:9" ht="12.75" x14ac:dyDescent="0.2">
      <c r="I921" s="777"/>
    </row>
    <row r="922" spans="9:9" ht="12.75" x14ac:dyDescent="0.2">
      <c r="I922" s="777"/>
    </row>
    <row r="923" spans="9:9" ht="12.75" x14ac:dyDescent="0.2">
      <c r="I923" s="777"/>
    </row>
    <row r="924" spans="9:9" ht="12.75" x14ac:dyDescent="0.2">
      <c r="I924" s="777"/>
    </row>
    <row r="925" spans="9:9" ht="12.75" x14ac:dyDescent="0.2">
      <c r="I925" s="777"/>
    </row>
    <row r="926" spans="9:9" ht="12.75" x14ac:dyDescent="0.2">
      <c r="I926" s="777"/>
    </row>
    <row r="927" spans="9:9" ht="12.75" x14ac:dyDescent="0.2">
      <c r="I927" s="777"/>
    </row>
    <row r="928" spans="9:9" ht="12.75" x14ac:dyDescent="0.2">
      <c r="I928" s="777"/>
    </row>
    <row r="929" spans="9:9" ht="12.75" x14ac:dyDescent="0.2">
      <c r="I929" s="777"/>
    </row>
    <row r="930" spans="9:9" ht="12.75" x14ac:dyDescent="0.2">
      <c r="I930" s="777"/>
    </row>
    <row r="931" spans="9:9" ht="12.75" x14ac:dyDescent="0.2">
      <c r="I931" s="777"/>
    </row>
    <row r="932" spans="9:9" ht="12.75" x14ac:dyDescent="0.2">
      <c r="I932" s="777"/>
    </row>
    <row r="933" spans="9:9" ht="12.75" x14ac:dyDescent="0.2">
      <c r="I933" s="777"/>
    </row>
    <row r="934" spans="9:9" ht="12.75" x14ac:dyDescent="0.2">
      <c r="I934" s="777"/>
    </row>
    <row r="935" spans="9:9" ht="12.75" x14ac:dyDescent="0.2">
      <c r="I935" s="777"/>
    </row>
    <row r="936" spans="9:9" ht="12.75" x14ac:dyDescent="0.2">
      <c r="I936" s="777"/>
    </row>
    <row r="937" spans="9:9" ht="12.75" x14ac:dyDescent="0.2">
      <c r="I937" s="777"/>
    </row>
    <row r="938" spans="9:9" ht="12.75" x14ac:dyDescent="0.2">
      <c r="I938" s="777"/>
    </row>
    <row r="939" spans="9:9" ht="12.75" x14ac:dyDescent="0.2">
      <c r="I939" s="777"/>
    </row>
    <row r="940" spans="9:9" ht="12.75" x14ac:dyDescent="0.2">
      <c r="I940" s="777"/>
    </row>
    <row r="941" spans="9:9" ht="12.75" x14ac:dyDescent="0.2">
      <c r="I941" s="777"/>
    </row>
    <row r="942" spans="9:9" ht="12.75" x14ac:dyDescent="0.2">
      <c r="I942" s="777"/>
    </row>
    <row r="943" spans="9:9" ht="12.75" x14ac:dyDescent="0.2">
      <c r="I943" s="777"/>
    </row>
    <row r="944" spans="9:9" ht="12.75" x14ac:dyDescent="0.2">
      <c r="I944" s="777"/>
    </row>
    <row r="945" spans="9:9" ht="12.75" x14ac:dyDescent="0.2">
      <c r="I945" s="777"/>
    </row>
    <row r="946" spans="9:9" ht="12.75" x14ac:dyDescent="0.2">
      <c r="I946" s="777"/>
    </row>
    <row r="947" spans="9:9" ht="12.75" x14ac:dyDescent="0.2">
      <c r="I947" s="777"/>
    </row>
    <row r="948" spans="9:9" ht="12.75" x14ac:dyDescent="0.2">
      <c r="I948" s="777"/>
    </row>
    <row r="949" spans="9:9" ht="12.75" x14ac:dyDescent="0.2">
      <c r="I949" s="777"/>
    </row>
    <row r="950" spans="9:9" ht="12.75" x14ac:dyDescent="0.2">
      <c r="I950" s="777"/>
    </row>
    <row r="951" spans="9:9" ht="12.75" x14ac:dyDescent="0.2">
      <c r="I951" s="777"/>
    </row>
    <row r="952" spans="9:9" ht="12.75" x14ac:dyDescent="0.2">
      <c r="I952" s="777"/>
    </row>
    <row r="953" spans="9:9" ht="12.75" x14ac:dyDescent="0.2">
      <c r="I953" s="777"/>
    </row>
    <row r="954" spans="9:9" ht="12.75" x14ac:dyDescent="0.2">
      <c r="I954" s="777"/>
    </row>
    <row r="955" spans="9:9" ht="12.75" x14ac:dyDescent="0.2">
      <c r="I955" s="777"/>
    </row>
    <row r="956" spans="9:9" ht="12.75" x14ac:dyDescent="0.2">
      <c r="I956" s="777"/>
    </row>
    <row r="957" spans="9:9" ht="12.75" x14ac:dyDescent="0.2">
      <c r="I957" s="777"/>
    </row>
    <row r="958" spans="9:9" ht="12.75" x14ac:dyDescent="0.2">
      <c r="I958" s="777"/>
    </row>
    <row r="959" spans="9:9" ht="12.75" x14ac:dyDescent="0.2">
      <c r="I959" s="777"/>
    </row>
    <row r="960" spans="9:9" ht="12.75" x14ac:dyDescent="0.2">
      <c r="I960" s="777"/>
    </row>
    <row r="961" spans="9:9" ht="12.75" x14ac:dyDescent="0.2">
      <c r="I961" s="777"/>
    </row>
    <row r="962" spans="9:9" ht="12.75" x14ac:dyDescent="0.2">
      <c r="I962" s="777"/>
    </row>
    <row r="963" spans="9:9" ht="12.75" x14ac:dyDescent="0.2">
      <c r="I963" s="777"/>
    </row>
    <row r="964" spans="9:9" ht="12.75" x14ac:dyDescent="0.2">
      <c r="I964" s="777"/>
    </row>
    <row r="965" spans="9:9" ht="12.75" x14ac:dyDescent="0.2">
      <c r="I965" s="777"/>
    </row>
    <row r="966" spans="9:9" ht="12.75" x14ac:dyDescent="0.2">
      <c r="I966" s="777"/>
    </row>
    <row r="967" spans="9:9" ht="12.75" x14ac:dyDescent="0.2">
      <c r="I967" s="777"/>
    </row>
    <row r="968" spans="9:9" ht="12.75" x14ac:dyDescent="0.2">
      <c r="I968" s="777"/>
    </row>
    <row r="969" spans="9:9" ht="12.75" x14ac:dyDescent="0.2">
      <c r="I969" s="777"/>
    </row>
    <row r="970" spans="9:9" ht="12.75" x14ac:dyDescent="0.2">
      <c r="I970" s="777"/>
    </row>
    <row r="971" spans="9:9" ht="12.75" x14ac:dyDescent="0.2">
      <c r="I971" s="777"/>
    </row>
    <row r="972" spans="9:9" ht="12.75" x14ac:dyDescent="0.2">
      <c r="I972" s="777"/>
    </row>
    <row r="973" spans="9:9" ht="12.75" x14ac:dyDescent="0.2">
      <c r="I973" s="777"/>
    </row>
    <row r="974" spans="9:9" ht="12.75" x14ac:dyDescent="0.2">
      <c r="I974" s="777"/>
    </row>
    <row r="975" spans="9:9" ht="12.75" x14ac:dyDescent="0.2">
      <c r="I975" s="777"/>
    </row>
    <row r="976" spans="9:9" ht="12.75" x14ac:dyDescent="0.2">
      <c r="I976" s="777"/>
    </row>
    <row r="977" spans="9:9" ht="12.75" x14ac:dyDescent="0.2">
      <c r="I977" s="777"/>
    </row>
    <row r="978" spans="9:9" ht="12.75" x14ac:dyDescent="0.2">
      <c r="I978" s="777"/>
    </row>
    <row r="979" spans="9:9" ht="12.75" x14ac:dyDescent="0.2">
      <c r="I979" s="777"/>
    </row>
    <row r="980" spans="9:9" ht="12.75" x14ac:dyDescent="0.2">
      <c r="I980" s="777"/>
    </row>
    <row r="981" spans="9:9" ht="12.75" x14ac:dyDescent="0.2">
      <c r="I981" s="777"/>
    </row>
    <row r="982" spans="9:9" ht="12.75" x14ac:dyDescent="0.2">
      <c r="I982" s="777"/>
    </row>
    <row r="983" spans="9:9" ht="12.75" x14ac:dyDescent="0.2">
      <c r="I983" s="777"/>
    </row>
    <row r="984" spans="9:9" ht="12.75" x14ac:dyDescent="0.2">
      <c r="I984" s="777"/>
    </row>
    <row r="985" spans="9:9" ht="12.75" x14ac:dyDescent="0.2">
      <c r="I985" s="777"/>
    </row>
    <row r="986" spans="9:9" ht="12.75" x14ac:dyDescent="0.2">
      <c r="I986" s="777"/>
    </row>
    <row r="987" spans="9:9" ht="12.75" x14ac:dyDescent="0.2">
      <c r="I987" s="777"/>
    </row>
    <row r="988" spans="9:9" ht="12.75" x14ac:dyDescent="0.2">
      <c r="I988" s="777"/>
    </row>
    <row r="989" spans="9:9" ht="12.75" x14ac:dyDescent="0.2">
      <c r="I989" s="777"/>
    </row>
    <row r="990" spans="9:9" ht="12.75" x14ac:dyDescent="0.2">
      <c r="I990" s="777"/>
    </row>
    <row r="991" spans="9:9" ht="12.75" x14ac:dyDescent="0.2">
      <c r="I991" s="777"/>
    </row>
    <row r="992" spans="9:9" ht="12.75" x14ac:dyDescent="0.2">
      <c r="I992" s="777"/>
    </row>
    <row r="993" spans="9:9" ht="12.75" x14ac:dyDescent="0.2">
      <c r="I993" s="777"/>
    </row>
    <row r="994" spans="9:9" ht="12.75" x14ac:dyDescent="0.2">
      <c r="I994" s="777"/>
    </row>
    <row r="995" spans="9:9" ht="12.75" x14ac:dyDescent="0.2">
      <c r="I995" s="777"/>
    </row>
    <row r="996" spans="9:9" ht="12.75" x14ac:dyDescent="0.2">
      <c r="I996" s="777"/>
    </row>
    <row r="997" spans="9:9" ht="12.75" x14ac:dyDescent="0.2">
      <c r="I997" s="777"/>
    </row>
    <row r="998" spans="9:9" ht="12.75" x14ac:dyDescent="0.2">
      <c r="I998" s="777"/>
    </row>
    <row r="999" spans="9:9" ht="12.75" x14ac:dyDescent="0.2">
      <c r="I999" s="777"/>
    </row>
    <row r="1000" spans="9:9" ht="12.75" x14ac:dyDescent="0.2">
      <c r="I1000" s="777"/>
    </row>
  </sheetData>
  <mergeCells count="1">
    <mergeCell ref="A5:P5"/>
  </mergeCells>
  <pageMargins left="0.511811024" right="0.511811024" top="0.78740157499999996" bottom="0.78740157499999996" header="0" footer="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outlinePr summaryBelow="0" summaryRight="0"/>
  </sheetPr>
  <dimension ref="A1:G99"/>
  <sheetViews>
    <sheetView workbookViewId="0"/>
  </sheetViews>
  <sheetFormatPr defaultColWidth="12.5703125" defaultRowHeight="15" customHeight="1" x14ac:dyDescent="0.2"/>
  <cols>
    <col min="1" max="1" width="28.7109375" customWidth="1"/>
    <col min="2" max="2" width="12.7109375" customWidth="1"/>
    <col min="3" max="3" width="115.7109375" customWidth="1"/>
    <col min="4" max="4" width="20" customWidth="1"/>
    <col min="5" max="5" width="23" customWidth="1"/>
    <col min="6" max="26" width="12.7109375" customWidth="1"/>
  </cols>
  <sheetData>
    <row r="1" spans="1:7" ht="15" customHeight="1" x14ac:dyDescent="0.2">
      <c r="A1" s="546"/>
      <c r="B1" s="543" t="s">
        <v>0</v>
      </c>
      <c r="C1" s="544" t="s">
        <v>4590</v>
      </c>
      <c r="D1" s="339"/>
      <c r="E1" s="339"/>
      <c r="F1" s="339"/>
      <c r="G1" s="674"/>
    </row>
    <row r="2" spans="1:7" ht="15" customHeight="1" x14ac:dyDescent="0.2">
      <c r="A2" s="549"/>
      <c r="B2" s="543" t="s">
        <v>2</v>
      </c>
      <c r="C2" s="548" t="s">
        <v>4591</v>
      </c>
      <c r="D2" s="672"/>
      <c r="E2" s="672"/>
      <c r="F2" s="672"/>
      <c r="G2" s="674"/>
    </row>
    <row r="3" spans="1:7" ht="15" customHeight="1" x14ac:dyDescent="0.2">
      <c r="A3" s="549"/>
      <c r="B3" s="543" t="s">
        <v>959</v>
      </c>
      <c r="C3" s="778" t="s">
        <v>4592</v>
      </c>
      <c r="D3" s="675"/>
      <c r="E3" s="675"/>
      <c r="F3" s="675"/>
      <c r="G3" s="674"/>
    </row>
    <row r="4" spans="1:7" ht="15" customHeight="1" x14ac:dyDescent="0.2">
      <c r="A4" s="583"/>
      <c r="B4" s="543" t="s">
        <v>4</v>
      </c>
      <c r="C4" s="544" t="s">
        <v>4438</v>
      </c>
      <c r="D4" s="339"/>
      <c r="E4" s="339"/>
      <c r="F4" s="339"/>
      <c r="G4" s="679"/>
    </row>
    <row r="5" spans="1:7" ht="15" customHeight="1" x14ac:dyDescent="0.25">
      <c r="A5" s="1152" t="s">
        <v>4593</v>
      </c>
      <c r="B5" s="1149"/>
      <c r="C5" s="1149"/>
      <c r="D5" s="1149"/>
      <c r="E5" s="1149"/>
      <c r="F5" s="1149"/>
      <c r="G5" s="1108"/>
    </row>
    <row r="6" spans="1:7" ht="15" customHeight="1" x14ac:dyDescent="0.55000000000000004">
      <c r="A6" s="334"/>
      <c r="B6" s="334"/>
      <c r="C6" s="702" t="s">
        <v>7</v>
      </c>
      <c r="D6" s="680" t="s">
        <v>8</v>
      </c>
      <c r="E6" s="703" t="s">
        <v>128</v>
      </c>
      <c r="F6" s="334"/>
      <c r="G6" s="334"/>
    </row>
    <row r="7" spans="1:7" ht="15" customHeight="1" x14ac:dyDescent="0.25">
      <c r="A7" s="334"/>
      <c r="B7" s="334"/>
      <c r="C7" s="707" t="s">
        <v>4485</v>
      </c>
      <c r="D7" s="705" t="s">
        <v>4375</v>
      </c>
      <c r="E7" s="706">
        <v>128</v>
      </c>
      <c r="F7" s="334"/>
      <c r="G7" s="334"/>
    </row>
    <row r="8" spans="1:7" ht="15" customHeight="1" x14ac:dyDescent="0.25">
      <c r="A8" s="334"/>
      <c r="B8" s="334"/>
      <c r="C8" s="707" t="s">
        <v>4486</v>
      </c>
      <c r="D8" s="694" t="s">
        <v>4375</v>
      </c>
      <c r="E8" s="706">
        <v>155</v>
      </c>
      <c r="F8" s="334"/>
      <c r="G8" s="334"/>
    </row>
    <row r="9" spans="1:7" ht="15" customHeight="1" x14ac:dyDescent="0.25">
      <c r="A9" s="334"/>
      <c r="B9" s="334"/>
      <c r="C9" s="707" t="s">
        <v>4487</v>
      </c>
      <c r="D9" s="694" t="s">
        <v>4375</v>
      </c>
      <c r="E9" s="706">
        <v>6.89</v>
      </c>
      <c r="F9" s="334"/>
      <c r="G9" s="334"/>
    </row>
    <row r="10" spans="1:7" ht="15" customHeight="1" x14ac:dyDescent="0.25">
      <c r="A10" s="334"/>
      <c r="B10" s="334"/>
      <c r="C10" s="707" t="s">
        <v>4489</v>
      </c>
      <c r="D10" s="694" t="s">
        <v>4375</v>
      </c>
      <c r="E10" s="706">
        <v>6.89</v>
      </c>
      <c r="F10" s="334"/>
      <c r="G10" s="334"/>
    </row>
    <row r="11" spans="1:7" ht="15" customHeight="1" x14ac:dyDescent="0.25">
      <c r="A11" s="334"/>
      <c r="B11" s="334"/>
      <c r="C11" s="707" t="s">
        <v>4491</v>
      </c>
      <c r="D11" s="694" t="s">
        <v>4375</v>
      </c>
      <c r="E11" s="706">
        <v>68.5</v>
      </c>
      <c r="F11" s="334"/>
      <c r="G11" s="334"/>
    </row>
    <row r="12" spans="1:7" ht="15" customHeight="1" x14ac:dyDescent="0.25">
      <c r="A12" s="334"/>
      <c r="B12" s="334"/>
      <c r="C12" s="707" t="s">
        <v>4493</v>
      </c>
      <c r="D12" s="694" t="s">
        <v>4375</v>
      </c>
      <c r="E12" s="706">
        <v>30</v>
      </c>
      <c r="F12" s="334"/>
      <c r="G12" s="334"/>
    </row>
    <row r="13" spans="1:7" ht="15" customHeight="1" x14ac:dyDescent="0.25">
      <c r="A13" s="334"/>
      <c r="B13" s="334"/>
      <c r="C13" s="707" t="s">
        <v>4494</v>
      </c>
      <c r="D13" s="694" t="s">
        <v>4375</v>
      </c>
      <c r="E13" s="706">
        <v>28</v>
      </c>
      <c r="F13" s="334"/>
      <c r="G13" s="334"/>
    </row>
    <row r="14" spans="1:7" ht="15" customHeight="1" x14ac:dyDescent="0.25">
      <c r="A14" s="334"/>
      <c r="B14" s="334"/>
      <c r="C14" s="707" t="s">
        <v>4495</v>
      </c>
      <c r="D14" s="694" t="s">
        <v>4375</v>
      </c>
      <c r="E14" s="706">
        <v>96</v>
      </c>
      <c r="F14" s="334"/>
      <c r="G14" s="334"/>
    </row>
    <row r="15" spans="1:7" ht="15" customHeight="1" x14ac:dyDescent="0.25">
      <c r="A15" s="334"/>
      <c r="B15" s="334"/>
      <c r="C15" s="707" t="s">
        <v>4496</v>
      </c>
      <c r="D15" s="694" t="s">
        <v>4375</v>
      </c>
      <c r="E15" s="706">
        <v>295</v>
      </c>
      <c r="F15" s="334"/>
      <c r="G15" s="334"/>
    </row>
    <row r="16" spans="1:7" ht="15" customHeight="1" x14ac:dyDescent="0.25">
      <c r="A16" s="334"/>
      <c r="B16" s="334"/>
      <c r="C16" s="707" t="s">
        <v>4497</v>
      </c>
      <c r="D16" s="694" t="s">
        <v>4375</v>
      </c>
      <c r="E16" s="706">
        <v>8</v>
      </c>
      <c r="F16" s="334"/>
      <c r="G16" s="334"/>
    </row>
    <row r="17" spans="1:7" ht="15" customHeight="1" x14ac:dyDescent="0.25">
      <c r="A17" s="334"/>
      <c r="B17" s="334"/>
      <c r="C17" s="707" t="s">
        <v>4498</v>
      </c>
      <c r="D17" s="694" t="s">
        <v>4375</v>
      </c>
      <c r="E17" s="706">
        <v>355</v>
      </c>
      <c r="F17" s="334"/>
      <c r="G17" s="334"/>
    </row>
    <row r="18" spans="1:7" x14ac:dyDescent="0.25">
      <c r="A18" s="334"/>
      <c r="B18" s="334"/>
      <c r="C18" s="707" t="s">
        <v>4499</v>
      </c>
      <c r="D18" s="694" t="s">
        <v>4375</v>
      </c>
      <c r="E18" s="706">
        <v>275</v>
      </c>
      <c r="F18" s="334"/>
      <c r="G18" s="334"/>
    </row>
    <row r="19" spans="1:7" x14ac:dyDescent="0.25">
      <c r="A19" s="334"/>
      <c r="B19" s="334"/>
      <c r="C19" s="707" t="s">
        <v>4501</v>
      </c>
      <c r="D19" s="694" t="s">
        <v>4375</v>
      </c>
      <c r="E19" s="706">
        <v>159.9</v>
      </c>
      <c r="F19" s="334"/>
      <c r="G19" s="334"/>
    </row>
    <row r="20" spans="1:7" x14ac:dyDescent="0.25">
      <c r="A20" s="334"/>
      <c r="B20" s="334"/>
      <c r="C20" s="707" t="s">
        <v>4502</v>
      </c>
      <c r="D20" s="694" t="s">
        <v>4375</v>
      </c>
      <c r="E20" s="706">
        <v>112.9</v>
      </c>
      <c r="F20" s="334"/>
      <c r="G20" s="334"/>
    </row>
    <row r="21" spans="1:7" x14ac:dyDescent="0.25">
      <c r="A21" s="334"/>
      <c r="B21" s="334"/>
      <c r="C21" s="707" t="s">
        <v>4504</v>
      </c>
      <c r="D21" s="694" t="s">
        <v>4375</v>
      </c>
      <c r="E21" s="706">
        <f>118*6</f>
        <v>708</v>
      </c>
      <c r="F21" s="334"/>
      <c r="G21" s="334"/>
    </row>
    <row r="22" spans="1:7" x14ac:dyDescent="0.25">
      <c r="A22" s="334"/>
      <c r="B22" s="334"/>
      <c r="C22" s="707" t="s">
        <v>4505</v>
      </c>
      <c r="D22" s="694" t="s">
        <v>4375</v>
      </c>
      <c r="E22" s="706">
        <f>98*6</f>
        <v>588</v>
      </c>
      <c r="F22" s="334"/>
      <c r="G22" s="334"/>
    </row>
    <row r="23" spans="1:7" x14ac:dyDescent="0.25">
      <c r="A23" s="334"/>
      <c r="B23" s="334"/>
      <c r="C23" s="707" t="s">
        <v>4507</v>
      </c>
      <c r="D23" s="694" t="s">
        <v>4375</v>
      </c>
      <c r="E23" s="706">
        <v>67.900000000000006</v>
      </c>
      <c r="F23" s="334"/>
      <c r="G23" s="334"/>
    </row>
    <row r="24" spans="1:7" x14ac:dyDescent="0.25">
      <c r="A24" s="334"/>
      <c r="B24" s="334"/>
      <c r="C24" s="707" t="s">
        <v>4508</v>
      </c>
      <c r="D24" s="694" t="s">
        <v>4375</v>
      </c>
      <c r="E24" s="706">
        <v>48.99</v>
      </c>
      <c r="F24" s="334"/>
      <c r="G24" s="334"/>
    </row>
    <row r="25" spans="1:7" x14ac:dyDescent="0.25">
      <c r="A25" s="334"/>
      <c r="B25" s="334"/>
      <c r="C25" s="707" t="s">
        <v>4509</v>
      </c>
      <c r="D25" s="694" t="s">
        <v>4375</v>
      </c>
      <c r="E25" s="706">
        <v>65.989999999999995</v>
      </c>
      <c r="F25" s="334"/>
      <c r="G25" s="334"/>
    </row>
    <row r="26" spans="1:7" x14ac:dyDescent="0.25">
      <c r="A26" s="334"/>
      <c r="B26" s="334"/>
      <c r="C26" s="707" t="s">
        <v>4510</v>
      </c>
      <c r="D26" s="694" t="s">
        <v>4375</v>
      </c>
      <c r="E26" s="706">
        <v>88</v>
      </c>
      <c r="F26" s="334"/>
      <c r="G26" s="334"/>
    </row>
    <row r="27" spans="1:7" x14ac:dyDescent="0.25">
      <c r="A27" s="334"/>
      <c r="B27" s="334"/>
      <c r="C27" s="707" t="s">
        <v>4511</v>
      </c>
      <c r="D27" s="694" t="s">
        <v>4375</v>
      </c>
      <c r="E27" s="706">
        <v>85</v>
      </c>
      <c r="F27" s="334"/>
      <c r="G27" s="334"/>
    </row>
    <row r="28" spans="1:7" x14ac:dyDescent="0.25">
      <c r="A28" s="334"/>
      <c r="B28" s="334"/>
      <c r="C28" s="707" t="s">
        <v>4512</v>
      </c>
      <c r="D28" s="694" t="s">
        <v>4375</v>
      </c>
      <c r="E28" s="706">
        <v>86</v>
      </c>
      <c r="F28" s="334"/>
      <c r="G28" s="334"/>
    </row>
    <row r="29" spans="1:7" x14ac:dyDescent="0.25">
      <c r="A29" s="334"/>
      <c r="B29" s="334"/>
      <c r="C29" s="707" t="s">
        <v>4513</v>
      </c>
      <c r="D29" s="694" t="s">
        <v>4375</v>
      </c>
      <c r="E29" s="706">
        <v>128</v>
      </c>
      <c r="F29" s="334"/>
      <c r="G29" s="334"/>
    </row>
    <row r="30" spans="1:7" x14ac:dyDescent="0.25">
      <c r="A30" s="334"/>
      <c r="B30" s="334"/>
      <c r="C30" s="707" t="s">
        <v>4514</v>
      </c>
      <c r="D30" s="694" t="s">
        <v>4375</v>
      </c>
      <c r="E30" s="706">
        <v>410</v>
      </c>
      <c r="F30" s="334"/>
      <c r="G30" s="334"/>
    </row>
    <row r="31" spans="1:7" x14ac:dyDescent="0.25">
      <c r="A31" s="334"/>
      <c r="B31" s="334"/>
      <c r="C31" s="707" t="s">
        <v>4515</v>
      </c>
      <c r="D31" s="694" t="s">
        <v>4375</v>
      </c>
      <c r="E31" s="706">
        <v>565</v>
      </c>
      <c r="F31" s="334"/>
      <c r="G31" s="334"/>
    </row>
    <row r="32" spans="1:7" x14ac:dyDescent="0.25">
      <c r="A32" s="334"/>
      <c r="B32" s="334"/>
      <c r="C32" s="707" t="s">
        <v>4516</v>
      </c>
      <c r="D32" s="694" t="s">
        <v>4375</v>
      </c>
      <c r="E32" s="706">
        <v>96</v>
      </c>
      <c r="F32" s="334"/>
      <c r="G32" s="334"/>
    </row>
    <row r="33" spans="1:7" x14ac:dyDescent="0.25">
      <c r="A33" s="334"/>
      <c r="B33" s="334"/>
      <c r="C33" s="707" t="s">
        <v>4517</v>
      </c>
      <c r="D33" s="694" t="s">
        <v>4375</v>
      </c>
      <c r="E33" s="706">
        <v>12</v>
      </c>
      <c r="F33" s="334"/>
      <c r="G33" s="334"/>
    </row>
    <row r="34" spans="1:7" x14ac:dyDescent="0.25">
      <c r="A34" s="334"/>
      <c r="B34" s="334"/>
      <c r="C34" s="707" t="s">
        <v>4518</v>
      </c>
      <c r="D34" s="694" t="s">
        <v>4375</v>
      </c>
      <c r="E34" s="706">
        <v>12</v>
      </c>
      <c r="F34" s="334"/>
      <c r="G34" s="334"/>
    </row>
    <row r="35" spans="1:7" x14ac:dyDescent="0.25">
      <c r="A35" s="334"/>
      <c r="B35" s="334"/>
      <c r="C35" s="707" t="s">
        <v>4519</v>
      </c>
      <c r="D35" s="694" t="s">
        <v>4375</v>
      </c>
      <c r="E35" s="706">
        <v>12</v>
      </c>
      <c r="F35" s="334"/>
      <c r="G35" s="334"/>
    </row>
    <row r="36" spans="1:7" x14ac:dyDescent="0.25">
      <c r="A36" s="334"/>
      <c r="B36" s="334"/>
      <c r="C36" s="707" t="s">
        <v>4520</v>
      </c>
      <c r="D36" s="694" t="s">
        <v>4375</v>
      </c>
      <c r="E36" s="706">
        <v>12</v>
      </c>
      <c r="F36" s="334"/>
      <c r="G36" s="334"/>
    </row>
    <row r="37" spans="1:7" x14ac:dyDescent="0.25">
      <c r="A37" s="334"/>
      <c r="B37" s="334"/>
      <c r="C37" s="707" t="s">
        <v>4521</v>
      </c>
      <c r="D37" s="694" t="s">
        <v>4375</v>
      </c>
      <c r="E37" s="706">
        <v>12</v>
      </c>
      <c r="F37" s="334"/>
      <c r="G37" s="334"/>
    </row>
    <row r="38" spans="1:7" x14ac:dyDescent="0.25">
      <c r="A38" s="334"/>
      <c r="B38" s="334"/>
      <c r="C38" s="707" t="s">
        <v>4522</v>
      </c>
      <c r="D38" s="694" t="s">
        <v>4375</v>
      </c>
      <c r="E38" s="706">
        <v>12</v>
      </c>
      <c r="F38" s="334"/>
      <c r="G38" s="334"/>
    </row>
    <row r="39" spans="1:7" x14ac:dyDescent="0.25">
      <c r="A39" s="334"/>
      <c r="B39" s="334"/>
      <c r="C39" s="707" t="s">
        <v>4523</v>
      </c>
      <c r="D39" s="694" t="s">
        <v>4375</v>
      </c>
      <c r="E39" s="706">
        <v>18</v>
      </c>
      <c r="F39" s="334"/>
      <c r="G39" s="334"/>
    </row>
    <row r="40" spans="1:7" x14ac:dyDescent="0.25">
      <c r="A40" s="334"/>
      <c r="B40" s="334"/>
      <c r="C40" s="707" t="s">
        <v>4524</v>
      </c>
      <c r="D40" s="694" t="s">
        <v>4375</v>
      </c>
      <c r="E40" s="706">
        <v>18</v>
      </c>
      <c r="F40" s="334"/>
      <c r="G40" s="334"/>
    </row>
    <row r="41" spans="1:7" x14ac:dyDescent="0.25">
      <c r="A41" s="334"/>
      <c r="B41" s="334"/>
      <c r="C41" s="707" t="s">
        <v>4526</v>
      </c>
      <c r="D41" s="694" t="s">
        <v>4375</v>
      </c>
      <c r="E41" s="706">
        <f>16*3</f>
        <v>48</v>
      </c>
      <c r="F41" s="334"/>
      <c r="G41" s="334"/>
    </row>
    <row r="42" spans="1:7" x14ac:dyDescent="0.25">
      <c r="A42" s="334"/>
      <c r="B42" s="334"/>
      <c r="C42" s="707" t="s">
        <v>4527</v>
      </c>
      <c r="D42" s="694" t="s">
        <v>4375</v>
      </c>
      <c r="E42" s="706">
        <v>2.4</v>
      </c>
      <c r="F42" s="334"/>
      <c r="G42" s="334"/>
    </row>
    <row r="43" spans="1:7" x14ac:dyDescent="0.25">
      <c r="A43" s="334"/>
      <c r="B43" s="334"/>
      <c r="C43" s="707" t="s">
        <v>4528</v>
      </c>
      <c r="D43" s="694" t="s">
        <v>79</v>
      </c>
      <c r="E43" s="706">
        <v>5</v>
      </c>
      <c r="F43" s="334"/>
      <c r="G43" s="334"/>
    </row>
    <row r="44" spans="1:7" x14ac:dyDescent="0.25">
      <c r="A44" s="334"/>
      <c r="B44" s="334"/>
      <c r="C44" s="707" t="s">
        <v>4529</v>
      </c>
      <c r="D44" s="694" t="s">
        <v>4375</v>
      </c>
      <c r="E44" s="706">
        <v>49</v>
      </c>
      <c r="F44" s="334"/>
      <c r="G44" s="334"/>
    </row>
    <row r="45" spans="1:7" x14ac:dyDescent="0.25">
      <c r="A45" s="334"/>
      <c r="B45" s="334"/>
      <c r="C45" s="707" t="s">
        <v>4530</v>
      </c>
      <c r="D45" s="694" t="s">
        <v>4375</v>
      </c>
      <c r="E45" s="706">
        <v>42</v>
      </c>
      <c r="F45" s="334"/>
      <c r="G45" s="334"/>
    </row>
    <row r="46" spans="1:7" x14ac:dyDescent="0.25">
      <c r="A46" s="334"/>
      <c r="B46" s="334"/>
      <c r="C46" s="707" t="s">
        <v>4531</v>
      </c>
      <c r="D46" s="694" t="s">
        <v>4375</v>
      </c>
      <c r="E46" s="706">
        <v>136.80000000000001</v>
      </c>
      <c r="F46" s="334"/>
      <c r="G46" s="334"/>
    </row>
    <row r="47" spans="1:7" x14ac:dyDescent="0.25">
      <c r="A47" s="334"/>
      <c r="B47" s="334"/>
      <c r="C47" s="707" t="s">
        <v>4532</v>
      </c>
      <c r="D47" s="694" t="s">
        <v>4375</v>
      </c>
      <c r="E47" s="779"/>
      <c r="F47" s="334"/>
      <c r="G47" s="334"/>
    </row>
    <row r="48" spans="1:7" x14ac:dyDescent="0.25">
      <c r="A48" s="334"/>
      <c r="B48" s="51" t="s">
        <v>4488</v>
      </c>
      <c r="C48" s="707" t="s">
        <v>4535</v>
      </c>
      <c r="D48" s="694" t="s">
        <v>79</v>
      </c>
      <c r="E48" s="779"/>
      <c r="F48" s="334"/>
      <c r="G48" s="334"/>
    </row>
    <row r="49" spans="1:7" x14ac:dyDescent="0.25">
      <c r="A49" s="334"/>
      <c r="B49" s="51" t="s">
        <v>4488</v>
      </c>
      <c r="C49" s="707" t="s">
        <v>4536</v>
      </c>
      <c r="D49" s="694" t="s">
        <v>79</v>
      </c>
      <c r="E49" s="779"/>
      <c r="F49" s="334"/>
      <c r="G49" s="334"/>
    </row>
    <row r="50" spans="1:7" x14ac:dyDescent="0.25">
      <c r="A50" s="334"/>
      <c r="B50" s="51" t="s">
        <v>4488</v>
      </c>
      <c r="C50" s="707" t="s">
        <v>4537</v>
      </c>
      <c r="D50" s="694" t="s">
        <v>79</v>
      </c>
      <c r="E50" s="779"/>
      <c r="F50" s="334"/>
      <c r="G50" s="334"/>
    </row>
    <row r="51" spans="1:7" x14ac:dyDescent="0.25">
      <c r="A51" s="334"/>
      <c r="B51" s="51" t="s">
        <v>4488</v>
      </c>
      <c r="C51" s="707" t="s">
        <v>4538</v>
      </c>
      <c r="D51" s="694" t="s">
        <v>4375</v>
      </c>
      <c r="E51" s="779"/>
      <c r="F51" s="334"/>
      <c r="G51" s="334"/>
    </row>
    <row r="52" spans="1:7" x14ac:dyDescent="0.25">
      <c r="A52" s="334"/>
      <c r="B52" s="51" t="s">
        <v>4488</v>
      </c>
      <c r="C52" s="707" t="s">
        <v>4539</v>
      </c>
      <c r="D52" s="694" t="s">
        <v>4375</v>
      </c>
      <c r="E52" s="779"/>
      <c r="F52" s="334"/>
      <c r="G52" s="334"/>
    </row>
    <row r="53" spans="1:7" x14ac:dyDescent="0.25">
      <c r="A53" s="334"/>
      <c r="B53" s="51" t="s">
        <v>4488</v>
      </c>
      <c r="C53" s="707" t="s">
        <v>4540</v>
      </c>
      <c r="D53" s="694" t="s">
        <v>4375</v>
      </c>
      <c r="E53" s="779"/>
      <c r="F53" s="334"/>
      <c r="G53" s="334"/>
    </row>
    <row r="54" spans="1:7" x14ac:dyDescent="0.25">
      <c r="A54" s="334"/>
      <c r="B54" s="51" t="s">
        <v>4488</v>
      </c>
      <c r="C54" s="707" t="s">
        <v>4541</v>
      </c>
      <c r="D54" s="694" t="s">
        <v>4375</v>
      </c>
      <c r="E54" s="779"/>
      <c r="F54" s="334"/>
      <c r="G54" s="334"/>
    </row>
    <row r="55" spans="1:7" x14ac:dyDescent="0.25">
      <c r="A55" s="334"/>
      <c r="B55" s="51" t="s">
        <v>4488</v>
      </c>
      <c r="C55" s="707" t="s">
        <v>4543</v>
      </c>
      <c r="D55" s="694" t="s">
        <v>4375</v>
      </c>
      <c r="E55" s="779"/>
      <c r="F55" s="334"/>
      <c r="G55" s="334"/>
    </row>
    <row r="56" spans="1:7" x14ac:dyDescent="0.25">
      <c r="A56" s="334"/>
      <c r="B56" s="51" t="s">
        <v>4488</v>
      </c>
      <c r="C56" s="707" t="s">
        <v>4544</v>
      </c>
      <c r="D56" s="694" t="s">
        <v>4375</v>
      </c>
      <c r="E56" s="779"/>
      <c r="F56" s="334"/>
      <c r="G56" s="334"/>
    </row>
    <row r="57" spans="1:7" x14ac:dyDescent="0.25">
      <c r="A57" s="334"/>
      <c r="B57" s="51" t="s">
        <v>4488</v>
      </c>
      <c r="C57" s="707" t="s">
        <v>4545</v>
      </c>
      <c r="D57" s="694" t="s">
        <v>4375</v>
      </c>
      <c r="E57" s="779"/>
      <c r="F57" s="334"/>
      <c r="G57" s="334"/>
    </row>
    <row r="58" spans="1:7" x14ac:dyDescent="0.25">
      <c r="A58" s="334"/>
      <c r="B58" s="51" t="s">
        <v>4488</v>
      </c>
      <c r="C58" s="707" t="s">
        <v>4546</v>
      </c>
      <c r="D58" s="694" t="s">
        <v>4375</v>
      </c>
      <c r="E58" s="779"/>
      <c r="F58" s="334"/>
      <c r="G58" s="334"/>
    </row>
    <row r="59" spans="1:7" x14ac:dyDescent="0.25">
      <c r="A59" s="334"/>
      <c r="B59" s="51" t="s">
        <v>4488</v>
      </c>
      <c r="C59" s="704" t="s">
        <v>4547</v>
      </c>
      <c r="D59" s="694" t="s">
        <v>4375</v>
      </c>
      <c r="E59" s="779"/>
      <c r="F59" s="334"/>
      <c r="G59" s="334"/>
    </row>
    <row r="60" spans="1:7" x14ac:dyDescent="0.25">
      <c r="A60" s="334"/>
      <c r="B60" s="51" t="s">
        <v>4488</v>
      </c>
      <c r="C60" s="707" t="s">
        <v>4548</v>
      </c>
      <c r="D60" s="694" t="s">
        <v>4375</v>
      </c>
      <c r="E60" s="779"/>
      <c r="F60" s="334"/>
      <c r="G60" s="334"/>
    </row>
    <row r="61" spans="1:7" x14ac:dyDescent="0.25">
      <c r="A61" s="334"/>
      <c r="B61" s="51" t="s">
        <v>4488</v>
      </c>
      <c r="C61" s="707" t="s">
        <v>4549</v>
      </c>
      <c r="D61" s="694" t="s">
        <v>4375</v>
      </c>
      <c r="E61" s="779"/>
      <c r="F61" s="334"/>
      <c r="G61" s="334"/>
    </row>
    <row r="62" spans="1:7" x14ac:dyDescent="0.25">
      <c r="A62" s="334"/>
      <c r="B62" s="51" t="s">
        <v>4488</v>
      </c>
      <c r="C62" s="707" t="s">
        <v>4550</v>
      </c>
      <c r="D62" s="694" t="s">
        <v>4375</v>
      </c>
      <c r="E62" s="779"/>
      <c r="F62" s="334"/>
      <c r="G62" s="334"/>
    </row>
    <row r="63" spans="1:7" x14ac:dyDescent="0.25">
      <c r="A63" s="334"/>
      <c r="B63" s="51" t="s">
        <v>4488</v>
      </c>
      <c r="C63" s="707" t="s">
        <v>4551</v>
      </c>
      <c r="D63" s="694" t="s">
        <v>4375</v>
      </c>
      <c r="E63" s="779"/>
      <c r="F63" s="334"/>
      <c r="G63" s="334"/>
    </row>
    <row r="64" spans="1:7" x14ac:dyDescent="0.25">
      <c r="A64" s="334"/>
      <c r="B64" s="51" t="s">
        <v>4488</v>
      </c>
      <c r="C64" s="707" t="s">
        <v>4552</v>
      </c>
      <c r="D64" s="694" t="s">
        <v>4375</v>
      </c>
      <c r="E64" s="779"/>
      <c r="F64" s="334"/>
      <c r="G64" s="334"/>
    </row>
    <row r="65" spans="1:7" x14ac:dyDescent="0.25">
      <c r="A65" s="334"/>
      <c r="B65" s="51" t="s">
        <v>4488</v>
      </c>
      <c r="C65" s="707" t="s">
        <v>4553</v>
      </c>
      <c r="D65" s="694" t="s">
        <v>4375</v>
      </c>
      <c r="E65" s="779"/>
      <c r="F65" s="334"/>
      <c r="G65" s="334"/>
    </row>
    <row r="66" spans="1:7" x14ac:dyDescent="0.25">
      <c r="A66" s="334"/>
      <c r="B66" s="51" t="s">
        <v>4488</v>
      </c>
      <c r="C66" s="707" t="s">
        <v>4554</v>
      </c>
      <c r="D66" s="694" t="s">
        <v>4375</v>
      </c>
      <c r="E66" s="779"/>
      <c r="F66" s="334"/>
      <c r="G66" s="334"/>
    </row>
    <row r="67" spans="1:7" x14ac:dyDescent="0.25">
      <c r="A67" s="334"/>
      <c r="B67" s="51" t="s">
        <v>4488</v>
      </c>
      <c r="C67" s="707" t="s">
        <v>4555</v>
      </c>
      <c r="D67" s="694" t="s">
        <v>4375</v>
      </c>
      <c r="E67" s="779"/>
      <c r="F67" s="334"/>
      <c r="G67" s="334"/>
    </row>
    <row r="68" spans="1:7" x14ac:dyDescent="0.25">
      <c r="A68" s="334"/>
      <c r="B68" s="51" t="s">
        <v>4488</v>
      </c>
      <c r="C68" s="707" t="s">
        <v>4556</v>
      </c>
      <c r="D68" s="694" t="s">
        <v>4375</v>
      </c>
      <c r="E68" s="779"/>
      <c r="F68" s="334"/>
      <c r="G68" s="334"/>
    </row>
    <row r="69" spans="1:7" x14ac:dyDescent="0.25">
      <c r="A69" s="334"/>
      <c r="B69" s="51" t="s">
        <v>4488</v>
      </c>
      <c r="C69" s="707" t="s">
        <v>4557</v>
      </c>
      <c r="D69" s="694" t="s">
        <v>4375</v>
      </c>
      <c r="E69" s="779"/>
      <c r="F69" s="334"/>
      <c r="G69" s="334"/>
    </row>
    <row r="70" spans="1:7" x14ac:dyDescent="0.25">
      <c r="A70" s="334"/>
      <c r="B70" s="51" t="s">
        <v>4488</v>
      </c>
      <c r="C70" s="707" t="s">
        <v>4558</v>
      </c>
      <c r="D70" s="694" t="s">
        <v>4375</v>
      </c>
      <c r="E70" s="779"/>
      <c r="F70" s="334"/>
      <c r="G70" s="334"/>
    </row>
    <row r="71" spans="1:7" x14ac:dyDescent="0.25">
      <c r="A71" s="334"/>
      <c r="B71" s="51" t="s">
        <v>4488</v>
      </c>
      <c r="C71" s="707" t="s">
        <v>4559</v>
      </c>
      <c r="D71" s="694" t="s">
        <v>4375</v>
      </c>
      <c r="E71" s="779"/>
      <c r="F71" s="334"/>
      <c r="G71" s="334"/>
    </row>
    <row r="72" spans="1:7" x14ac:dyDescent="0.25">
      <c r="A72" s="334"/>
      <c r="B72" s="51" t="s">
        <v>4488</v>
      </c>
      <c r="C72" s="707" t="s">
        <v>4562</v>
      </c>
      <c r="D72" s="694" t="s">
        <v>4375</v>
      </c>
      <c r="E72" s="779"/>
      <c r="F72" s="334"/>
      <c r="G72" s="334"/>
    </row>
    <row r="73" spans="1:7" x14ac:dyDescent="0.25">
      <c r="A73" s="334"/>
      <c r="B73" s="51" t="s">
        <v>4488</v>
      </c>
      <c r="C73" s="707" t="s">
        <v>4563</v>
      </c>
      <c r="D73" s="694" t="s">
        <v>4375</v>
      </c>
      <c r="E73" s="779"/>
      <c r="F73" s="334"/>
      <c r="G73" s="334"/>
    </row>
    <row r="74" spans="1:7" x14ac:dyDescent="0.25">
      <c r="A74" s="334"/>
      <c r="B74" s="51" t="s">
        <v>4488</v>
      </c>
      <c r="C74" s="707" t="s">
        <v>4564</v>
      </c>
      <c r="D74" s="694" t="s">
        <v>4375</v>
      </c>
      <c r="E74" s="779"/>
      <c r="F74" s="334"/>
      <c r="G74" s="334"/>
    </row>
    <row r="75" spans="1:7" x14ac:dyDescent="0.25">
      <c r="A75" s="334"/>
      <c r="B75" s="51" t="s">
        <v>4488</v>
      </c>
      <c r="C75" s="707" t="s">
        <v>4565</v>
      </c>
      <c r="D75" s="694" t="s">
        <v>4375</v>
      </c>
      <c r="E75" s="779"/>
      <c r="F75" s="334"/>
      <c r="G75" s="334"/>
    </row>
    <row r="76" spans="1:7" x14ac:dyDescent="0.25">
      <c r="A76" s="334"/>
      <c r="B76" s="51" t="s">
        <v>4488</v>
      </c>
      <c r="C76" s="707" t="s">
        <v>4566</v>
      </c>
      <c r="D76" s="694" t="s">
        <v>4375</v>
      </c>
      <c r="E76" s="779"/>
      <c r="F76" s="334"/>
      <c r="G76" s="334"/>
    </row>
    <row r="77" spans="1:7" x14ac:dyDescent="0.25">
      <c r="A77" s="334"/>
      <c r="B77" s="51" t="s">
        <v>4488</v>
      </c>
      <c r="C77" s="707" t="s">
        <v>4567</v>
      </c>
      <c r="D77" s="694" t="s">
        <v>4375</v>
      </c>
      <c r="E77" s="779"/>
      <c r="F77" s="334"/>
      <c r="G77" s="334"/>
    </row>
    <row r="78" spans="1:7" x14ac:dyDescent="0.25">
      <c r="A78" s="334"/>
      <c r="B78" s="51" t="s">
        <v>4488</v>
      </c>
      <c r="C78" s="707" t="s">
        <v>4568</v>
      </c>
      <c r="D78" s="694" t="s">
        <v>4375</v>
      </c>
      <c r="E78" s="779"/>
      <c r="F78" s="334"/>
      <c r="G78" s="334"/>
    </row>
    <row r="79" spans="1:7" x14ac:dyDescent="0.25">
      <c r="A79" s="334"/>
      <c r="B79" s="51" t="s">
        <v>4488</v>
      </c>
      <c r="C79" s="707" t="s">
        <v>4569</v>
      </c>
      <c r="D79" s="694" t="s">
        <v>4375</v>
      </c>
      <c r="E79" s="779"/>
      <c r="F79" s="334"/>
      <c r="G79" s="334"/>
    </row>
    <row r="80" spans="1:7" x14ac:dyDescent="0.25">
      <c r="A80" s="334"/>
      <c r="B80" s="51" t="s">
        <v>4488</v>
      </c>
      <c r="C80" s="707" t="s">
        <v>4570</v>
      </c>
      <c r="D80" s="694" t="s">
        <v>4375</v>
      </c>
      <c r="E80" s="779"/>
      <c r="F80" s="334"/>
      <c r="G80" s="334"/>
    </row>
    <row r="81" spans="1:7" x14ac:dyDescent="0.25">
      <c r="A81" s="334"/>
      <c r="B81" s="51" t="s">
        <v>4488</v>
      </c>
      <c r="C81" s="707" t="s">
        <v>4571</v>
      </c>
      <c r="D81" s="694" t="s">
        <v>79</v>
      </c>
      <c r="E81" s="779"/>
      <c r="F81" s="334"/>
      <c r="G81" s="334"/>
    </row>
    <row r="82" spans="1:7" x14ac:dyDescent="0.25">
      <c r="A82" s="334"/>
      <c r="B82" s="690" t="s">
        <v>4490</v>
      </c>
      <c r="C82" s="707" t="s">
        <v>4572</v>
      </c>
      <c r="D82" s="694" t="s">
        <v>79</v>
      </c>
      <c r="E82" s="706">
        <v>31.49</v>
      </c>
      <c r="F82" s="334"/>
      <c r="G82" s="334"/>
    </row>
    <row r="83" spans="1:7" x14ac:dyDescent="0.25">
      <c r="A83" s="334"/>
      <c r="B83" s="690" t="s">
        <v>4490</v>
      </c>
      <c r="C83" s="707" t="s">
        <v>4573</v>
      </c>
      <c r="D83" s="694" t="s">
        <v>79</v>
      </c>
      <c r="E83" s="706">
        <v>43.99</v>
      </c>
      <c r="F83" s="334"/>
      <c r="G83" s="334"/>
    </row>
    <row r="84" spans="1:7" x14ac:dyDescent="0.25">
      <c r="A84" s="334"/>
      <c r="B84" s="690" t="s">
        <v>4490</v>
      </c>
      <c r="C84" s="707" t="s">
        <v>4574</v>
      </c>
      <c r="D84" s="694" t="s">
        <v>79</v>
      </c>
      <c r="E84" s="706">
        <v>17.39</v>
      </c>
      <c r="F84" s="334"/>
      <c r="G84" s="334"/>
    </row>
    <row r="85" spans="1:7" x14ac:dyDescent="0.25">
      <c r="A85" s="334"/>
      <c r="B85" s="690" t="s">
        <v>4490</v>
      </c>
      <c r="C85" s="707" t="s">
        <v>4575</v>
      </c>
      <c r="D85" s="694" t="s">
        <v>79</v>
      </c>
      <c r="E85" s="706">
        <f>201.78/3</f>
        <v>67.260000000000005</v>
      </c>
      <c r="F85" s="334"/>
      <c r="G85" s="334"/>
    </row>
    <row r="86" spans="1:7" x14ac:dyDescent="0.25">
      <c r="A86" s="334"/>
      <c r="B86" s="690" t="s">
        <v>4490</v>
      </c>
      <c r="C86" s="707" t="s">
        <v>4576</v>
      </c>
      <c r="D86" s="694" t="s">
        <v>79</v>
      </c>
      <c r="E86" s="706">
        <v>39.1</v>
      </c>
      <c r="F86" s="334"/>
      <c r="G86" s="334"/>
    </row>
    <row r="87" spans="1:7" x14ac:dyDescent="0.25">
      <c r="A87" s="334"/>
      <c r="B87" s="690" t="s">
        <v>4490</v>
      </c>
      <c r="C87" s="707" t="s">
        <v>4577</v>
      </c>
      <c r="D87" s="694" t="s">
        <v>4375</v>
      </c>
      <c r="E87" s="706">
        <f>286.95/3</f>
        <v>95.649999999999991</v>
      </c>
      <c r="F87" s="334"/>
      <c r="G87" s="334"/>
    </row>
    <row r="88" spans="1:7" x14ac:dyDescent="0.25">
      <c r="A88" s="334"/>
      <c r="B88" s="690" t="s">
        <v>4490</v>
      </c>
      <c r="C88" s="707" t="s">
        <v>4578</v>
      </c>
      <c r="D88" s="694" t="s">
        <v>4375</v>
      </c>
      <c r="E88" s="706">
        <v>15.04</v>
      </c>
      <c r="F88" s="334"/>
      <c r="G88" s="334"/>
    </row>
    <row r="89" spans="1:7" x14ac:dyDescent="0.25">
      <c r="A89" s="334"/>
      <c r="B89" s="690" t="s">
        <v>4490</v>
      </c>
      <c r="C89" s="707" t="s">
        <v>4579</v>
      </c>
      <c r="D89" s="694" t="s">
        <v>4375</v>
      </c>
      <c r="E89" s="706">
        <v>13.16</v>
      </c>
      <c r="F89" s="334"/>
      <c r="G89" s="334"/>
    </row>
    <row r="90" spans="1:7" x14ac:dyDescent="0.25">
      <c r="A90" s="334"/>
      <c r="B90" s="690" t="s">
        <v>4490</v>
      </c>
      <c r="C90" s="707" t="s">
        <v>4580</v>
      </c>
      <c r="D90" s="694" t="s">
        <v>4375</v>
      </c>
      <c r="E90" s="706">
        <v>119.99</v>
      </c>
      <c r="F90" s="334"/>
      <c r="G90" s="334"/>
    </row>
    <row r="91" spans="1:7" x14ac:dyDescent="0.25">
      <c r="A91" s="334"/>
      <c r="B91" s="690" t="s">
        <v>4490</v>
      </c>
      <c r="C91" s="707" t="s">
        <v>4581</v>
      </c>
      <c r="D91" s="694" t="s">
        <v>4375</v>
      </c>
      <c r="E91" s="706">
        <v>17.86</v>
      </c>
      <c r="F91" s="334"/>
      <c r="G91" s="334"/>
    </row>
    <row r="92" spans="1:7" x14ac:dyDescent="0.25">
      <c r="A92" s="334"/>
      <c r="B92" s="690" t="s">
        <v>4490</v>
      </c>
      <c r="C92" s="707" t="s">
        <v>4582</v>
      </c>
      <c r="D92" s="694" t="s">
        <v>4375</v>
      </c>
      <c r="E92" s="706">
        <v>16.66</v>
      </c>
      <c r="F92" s="334"/>
      <c r="G92" s="334"/>
    </row>
    <row r="93" spans="1:7" x14ac:dyDescent="0.25">
      <c r="A93" s="334"/>
      <c r="B93" s="690" t="s">
        <v>4490</v>
      </c>
      <c r="C93" s="704" t="s">
        <v>4583</v>
      </c>
      <c r="D93" s="694" t="s">
        <v>4375</v>
      </c>
      <c r="E93" s="706">
        <v>69.95</v>
      </c>
      <c r="F93" s="334"/>
      <c r="G93" s="334"/>
    </row>
    <row r="94" spans="1:7" x14ac:dyDescent="0.25">
      <c r="A94" s="334"/>
      <c r="B94" s="690" t="s">
        <v>4490</v>
      </c>
      <c r="C94" s="707" t="s">
        <v>4584</v>
      </c>
      <c r="D94" s="694" t="s">
        <v>4375</v>
      </c>
      <c r="E94" s="706">
        <v>27.9</v>
      </c>
      <c r="F94" s="334"/>
      <c r="G94" s="334"/>
    </row>
    <row r="95" spans="1:7" x14ac:dyDescent="0.25">
      <c r="A95" s="334"/>
      <c r="B95" s="690" t="s">
        <v>4490</v>
      </c>
      <c r="C95" s="707" t="s">
        <v>4585</v>
      </c>
      <c r="D95" s="694" t="s">
        <v>4375</v>
      </c>
      <c r="E95" s="706">
        <v>0.45</v>
      </c>
      <c r="F95" s="334"/>
      <c r="G95" s="334"/>
    </row>
    <row r="96" spans="1:7" x14ac:dyDescent="0.25">
      <c r="A96" s="334"/>
      <c r="B96" s="690" t="s">
        <v>4490</v>
      </c>
      <c r="C96" s="707" t="s">
        <v>4586</v>
      </c>
      <c r="D96" s="694" t="s">
        <v>4375</v>
      </c>
      <c r="E96" s="706">
        <v>4.7300000000000004</v>
      </c>
      <c r="F96" s="334"/>
      <c r="G96" s="334"/>
    </row>
    <row r="97" spans="1:7" x14ac:dyDescent="0.25">
      <c r="A97" s="334"/>
      <c r="B97" s="690" t="s">
        <v>4490</v>
      </c>
      <c r="C97" s="704" t="s">
        <v>4587</v>
      </c>
      <c r="D97" s="694" t="s">
        <v>4375</v>
      </c>
      <c r="E97" s="706">
        <v>1.82</v>
      </c>
      <c r="F97" s="334"/>
      <c r="G97" s="334"/>
    </row>
    <row r="98" spans="1:7" x14ac:dyDescent="0.25">
      <c r="A98" s="334"/>
      <c r="B98" s="690" t="s">
        <v>4490</v>
      </c>
      <c r="C98" s="704" t="s">
        <v>4588</v>
      </c>
      <c r="D98" s="694" t="s">
        <v>4375</v>
      </c>
      <c r="E98" s="706">
        <v>280.3</v>
      </c>
      <c r="F98" s="334"/>
      <c r="G98" s="334"/>
    </row>
    <row r="99" spans="1:7" x14ac:dyDescent="0.25">
      <c r="A99" s="334"/>
      <c r="B99" s="690" t="s">
        <v>4490</v>
      </c>
      <c r="C99" s="707" t="s">
        <v>4589</v>
      </c>
      <c r="D99" s="694" t="s">
        <v>4375</v>
      </c>
      <c r="E99" s="706">
        <v>85.47</v>
      </c>
      <c r="F99" s="334"/>
      <c r="G99" s="334"/>
    </row>
  </sheetData>
  <mergeCells count="1">
    <mergeCell ref="A5:G5"/>
  </mergeCells>
  <pageMargins left="0.511811024" right="0.511811024" top="0.78740157499999996" bottom="0.78740157499999996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1851D6"/>
  </sheetPr>
  <dimension ref="A1:S156"/>
  <sheetViews>
    <sheetView showGridLines="0" workbookViewId="0">
      <selection activeCell="I146" sqref="I146"/>
    </sheetView>
  </sheetViews>
  <sheetFormatPr defaultColWidth="12.5703125" defaultRowHeight="15" customHeight="1" x14ac:dyDescent="0.2"/>
  <cols>
    <col min="1" max="1" width="31.28515625" customWidth="1"/>
    <col min="2" max="2" width="43.28515625" customWidth="1"/>
    <col min="3" max="3" width="18.28515625" customWidth="1"/>
    <col min="4" max="4" width="73" customWidth="1"/>
    <col min="5" max="5" width="15.28515625" customWidth="1"/>
    <col min="6" max="6" width="9.7109375" customWidth="1"/>
    <col min="7" max="7" width="15.140625" customWidth="1"/>
    <col min="8" max="8" width="13.28515625" customWidth="1"/>
    <col min="9" max="9" width="15.140625" customWidth="1"/>
    <col min="10" max="10" width="17" customWidth="1"/>
    <col min="11" max="11" width="6.28515625" customWidth="1"/>
    <col min="12" max="12" width="38.7109375" customWidth="1"/>
    <col min="13" max="17" width="17.85546875" customWidth="1"/>
    <col min="18" max="18" width="14.28515625" customWidth="1"/>
    <col min="19" max="19" width="16.7109375" customWidth="1"/>
    <col min="20" max="25" width="9.140625" customWidth="1"/>
    <col min="26" max="26" width="12.7109375" customWidth="1"/>
  </cols>
  <sheetData>
    <row r="1" spans="1:19" ht="15" customHeight="1" x14ac:dyDescent="0.2">
      <c r="A1" s="780"/>
      <c r="B1" s="1" t="s">
        <v>0</v>
      </c>
      <c r="C1" s="2" t="str">
        <f>'HIDRO - PREÇO'!C1</f>
        <v>Mosaico</v>
      </c>
      <c r="D1" s="2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781"/>
      <c r="S1" s="782"/>
    </row>
    <row r="2" spans="1:19" ht="15" customHeight="1" x14ac:dyDescent="0.2">
      <c r="A2" s="235"/>
      <c r="B2" s="1" t="s">
        <v>2</v>
      </c>
      <c r="C2" s="2" t="str">
        <f>'HIDRO - PREÇO'!C2</f>
        <v>Grupo DUO</v>
      </c>
      <c r="D2" s="5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83"/>
      <c r="S2" s="784"/>
    </row>
    <row r="3" spans="1:19" ht="15" customHeight="1" x14ac:dyDescent="0.2">
      <c r="A3" s="235"/>
      <c r="B3" s="1" t="s">
        <v>959</v>
      </c>
      <c r="C3" s="2"/>
      <c r="D3" s="78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783"/>
      <c r="S3" s="784"/>
    </row>
    <row r="4" spans="1:19" ht="15" customHeight="1" x14ac:dyDescent="0.2">
      <c r="A4" s="786"/>
      <c r="B4" s="1" t="s">
        <v>4</v>
      </c>
      <c r="C4" s="2">
        <f>'HIDRO - PREÇO'!C4</f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787"/>
      <c r="S4" s="788"/>
    </row>
    <row r="5" spans="1:19" ht="21.75" customHeight="1" x14ac:dyDescent="0.2">
      <c r="A5" s="1156"/>
      <c r="B5" s="1088"/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8"/>
      <c r="Q5" s="1088"/>
      <c r="R5" s="1088"/>
      <c r="S5" s="1089"/>
    </row>
    <row r="6" spans="1:19" ht="41.25" customHeight="1" x14ac:dyDescent="0.2">
      <c r="A6" s="789" t="s">
        <v>4365</v>
      </c>
      <c r="B6" s="789" t="s">
        <v>4366</v>
      </c>
      <c r="C6" s="789" t="s">
        <v>4367</v>
      </c>
      <c r="D6" s="789" t="s">
        <v>7</v>
      </c>
      <c r="E6" s="789" t="s">
        <v>9</v>
      </c>
      <c r="F6" s="789" t="s">
        <v>4368</v>
      </c>
      <c r="G6" s="789" t="s">
        <v>4369</v>
      </c>
      <c r="H6" s="789" t="s">
        <v>8</v>
      </c>
      <c r="I6" s="789" t="s">
        <v>128</v>
      </c>
      <c r="J6" s="789" t="s">
        <v>4370</v>
      </c>
      <c r="K6" s="790"/>
      <c r="L6" s="791" t="s">
        <v>4594</v>
      </c>
      <c r="M6" s="792" t="s">
        <v>4595</v>
      </c>
      <c r="N6" s="792" t="s">
        <v>4596</v>
      </c>
      <c r="O6" s="792" t="s">
        <v>4597</v>
      </c>
      <c r="P6" s="792" t="s">
        <v>4598</v>
      </c>
      <c r="Q6" s="792" t="s">
        <v>59</v>
      </c>
      <c r="R6" s="790"/>
      <c r="S6" s="790"/>
    </row>
    <row r="7" spans="1:19" x14ac:dyDescent="0.25">
      <c r="A7" s="682" t="s">
        <v>4595</v>
      </c>
      <c r="B7" s="683"/>
      <c r="C7" s="684"/>
      <c r="D7" s="684"/>
      <c r="E7" s="793"/>
      <c r="F7" s="685"/>
      <c r="G7" s="685"/>
      <c r="H7" s="685"/>
      <c r="I7" s="686"/>
      <c r="J7" s="687">
        <f>IF(SUM(E7:I7)=0,SUMIFS($J8:$J$155,$A8:$A$155,$A7),G7*I7)</f>
        <v>218077.68697000001</v>
      </c>
      <c r="K7" s="759"/>
      <c r="L7" s="794" t="s">
        <v>431</v>
      </c>
      <c r="M7" s="689">
        <f t="shared" ref="M7:P7" si="0">SUMIFS($J$7:$J$155,$B$7:$B$155,$L7,$A$7:$A$155,M$6)</f>
        <v>104081.76387000001</v>
      </c>
      <c r="N7" s="689">
        <f t="shared" si="0"/>
        <v>0</v>
      </c>
      <c r="O7" s="689">
        <f t="shared" si="0"/>
        <v>40.359000000000002</v>
      </c>
      <c r="P7" s="689">
        <f t="shared" si="0"/>
        <v>42494.814999999988</v>
      </c>
      <c r="Q7" s="795">
        <f t="shared" ref="Q7:Q11" si="1">SUM(M7:P7)</f>
        <v>146616.93786999999</v>
      </c>
      <c r="R7" s="334"/>
      <c r="S7" s="334"/>
    </row>
    <row r="8" spans="1:19" x14ac:dyDescent="0.25">
      <c r="A8" s="690" t="str">
        <f t="shared" ref="A8:A66" si="2">A7</f>
        <v>HIDRÁULICO</v>
      </c>
      <c r="B8" s="796" t="s">
        <v>431</v>
      </c>
      <c r="C8" s="690" t="s">
        <v>4599</v>
      </c>
      <c r="D8" s="690" t="s">
        <v>4600</v>
      </c>
      <c r="E8" s="797">
        <v>1961.59</v>
      </c>
      <c r="F8" s="692">
        <v>0</v>
      </c>
      <c r="G8" s="693">
        <f t="shared" ref="G8:G66" si="3">E8+(E8*F8)</f>
        <v>1961.59</v>
      </c>
      <c r="H8" s="694"/>
      <c r="I8" s="695">
        <v>17.866</v>
      </c>
      <c r="J8" s="765">
        <f t="shared" ref="J8:J66" si="4">G8*I8</f>
        <v>35045.766940000001</v>
      </c>
      <c r="K8" s="759"/>
      <c r="L8" s="767" t="s">
        <v>432</v>
      </c>
      <c r="M8" s="689">
        <f t="shared" ref="M8:P8" si="5">SUMIFS($J$7:$J$155,$B$7:$B$155,$L8,$A$7:$A$155,M$6)</f>
        <v>113995.92310000006</v>
      </c>
      <c r="N8" s="689">
        <f t="shared" si="5"/>
        <v>0</v>
      </c>
      <c r="O8" s="689">
        <f t="shared" si="5"/>
        <v>57318.63</v>
      </c>
      <c r="P8" s="689">
        <f t="shared" si="5"/>
        <v>0</v>
      </c>
      <c r="Q8" s="795">
        <f t="shared" si="1"/>
        <v>171314.55310000005</v>
      </c>
      <c r="R8" s="334"/>
      <c r="S8" s="334"/>
    </row>
    <row r="9" spans="1:19" x14ac:dyDescent="0.25">
      <c r="A9" s="690" t="str">
        <f t="shared" si="2"/>
        <v>HIDRÁULICO</v>
      </c>
      <c r="B9" s="796" t="s">
        <v>431</v>
      </c>
      <c r="C9" s="690" t="s">
        <v>4599</v>
      </c>
      <c r="D9" s="690" t="s">
        <v>4601</v>
      </c>
      <c r="E9" s="797">
        <v>911.12</v>
      </c>
      <c r="F9" s="692">
        <v>0</v>
      </c>
      <c r="G9" s="693">
        <f t="shared" si="3"/>
        <v>911.12</v>
      </c>
      <c r="H9" s="694"/>
      <c r="I9" s="695">
        <v>44.305</v>
      </c>
      <c r="J9" s="765">
        <f t="shared" si="4"/>
        <v>40367.171600000001</v>
      </c>
      <c r="K9" s="759"/>
      <c r="L9" s="767" t="s">
        <v>433</v>
      </c>
      <c r="M9" s="689">
        <f t="shared" ref="M9:P9" si="6">SUMIFS($J$7:$J$155,$B$7:$B$155,$L9,$A$7:$A$155,M$6)</f>
        <v>0</v>
      </c>
      <c r="N9" s="689">
        <f t="shared" si="6"/>
        <v>71197.374133305013</v>
      </c>
      <c r="O9" s="689">
        <f t="shared" si="6"/>
        <v>22117.655000000002</v>
      </c>
      <c r="P9" s="689">
        <f t="shared" si="6"/>
        <v>0</v>
      </c>
      <c r="Q9" s="795">
        <f t="shared" si="1"/>
        <v>93315.029133305012</v>
      </c>
      <c r="R9" s="334"/>
      <c r="S9" s="334"/>
    </row>
    <row r="10" spans="1:19" x14ac:dyDescent="0.25">
      <c r="A10" s="690" t="str">
        <f t="shared" si="2"/>
        <v>HIDRÁULICO</v>
      </c>
      <c r="B10" s="796" t="s">
        <v>431</v>
      </c>
      <c r="C10" s="690" t="s">
        <v>4599</v>
      </c>
      <c r="D10" s="690" t="s">
        <v>4602</v>
      </c>
      <c r="E10" s="797">
        <v>81.52</v>
      </c>
      <c r="F10" s="692">
        <v>0</v>
      </c>
      <c r="G10" s="693">
        <f t="shared" si="3"/>
        <v>81.52</v>
      </c>
      <c r="H10" s="694"/>
      <c r="I10" s="695">
        <v>64.828999999999994</v>
      </c>
      <c r="J10" s="765">
        <f t="shared" si="4"/>
        <v>5284.8600799999995</v>
      </c>
      <c r="K10" s="759"/>
      <c r="L10" s="794" t="s">
        <v>4603</v>
      </c>
      <c r="M10" s="689">
        <f t="shared" ref="M10:P10" si="7">SUMIFS($J$7:$J$155,$B$7:$B$155,$L10,$A$7:$A$155,M$6)</f>
        <v>0</v>
      </c>
      <c r="N10" s="798">
        <f t="shared" si="7"/>
        <v>0</v>
      </c>
      <c r="O10" s="798">
        <f t="shared" si="7"/>
        <v>0</v>
      </c>
      <c r="P10" s="798">
        <f t="shared" si="7"/>
        <v>19717.11</v>
      </c>
      <c r="Q10" s="795">
        <f t="shared" si="1"/>
        <v>19717.11</v>
      </c>
      <c r="R10" s="334"/>
      <c r="S10" s="334"/>
    </row>
    <row r="11" spans="1:19" x14ac:dyDescent="0.25">
      <c r="A11" s="690" t="str">
        <f t="shared" si="2"/>
        <v>HIDRÁULICO</v>
      </c>
      <c r="B11" s="796" t="s">
        <v>431</v>
      </c>
      <c r="C11" s="690" t="s">
        <v>4599</v>
      </c>
      <c r="D11" s="690" t="s">
        <v>4604</v>
      </c>
      <c r="E11" s="797">
        <v>5.23</v>
      </c>
      <c r="F11" s="692">
        <v>0</v>
      </c>
      <c r="G11" s="693">
        <f t="shared" si="3"/>
        <v>5.23</v>
      </c>
      <c r="H11" s="694"/>
      <c r="I11" s="695">
        <v>65.564999999999998</v>
      </c>
      <c r="J11" s="765">
        <f t="shared" si="4"/>
        <v>342.90495000000004</v>
      </c>
      <c r="K11" s="759"/>
      <c r="L11" s="799"/>
      <c r="M11" s="800">
        <f t="shared" ref="M11:P11" si="8">SUMIFS($J$7:$J$155,$B$7:$B$155,$L11,$A$7:$A$155,M$6)</f>
        <v>0</v>
      </c>
      <c r="N11" s="800">
        <f t="shared" si="8"/>
        <v>0</v>
      </c>
      <c r="O11" s="800">
        <f t="shared" si="8"/>
        <v>0</v>
      </c>
      <c r="P11" s="800">
        <f t="shared" si="8"/>
        <v>0</v>
      </c>
      <c r="Q11" s="795">
        <f t="shared" si="1"/>
        <v>0</v>
      </c>
      <c r="R11" s="334"/>
      <c r="S11" s="334"/>
    </row>
    <row r="12" spans="1:19" ht="15.75" x14ac:dyDescent="0.25">
      <c r="A12" s="690" t="str">
        <f t="shared" si="2"/>
        <v>HIDRÁULICO</v>
      </c>
      <c r="B12" s="796" t="s">
        <v>431</v>
      </c>
      <c r="C12" s="690" t="s">
        <v>4599</v>
      </c>
      <c r="D12" s="690" t="s">
        <v>4605</v>
      </c>
      <c r="E12" s="797">
        <v>100.22</v>
      </c>
      <c r="F12" s="692">
        <v>0</v>
      </c>
      <c r="G12" s="693">
        <f t="shared" si="3"/>
        <v>100.22</v>
      </c>
      <c r="H12" s="694"/>
      <c r="I12" s="695">
        <v>129.255</v>
      </c>
      <c r="J12" s="765">
        <f t="shared" si="4"/>
        <v>12953.936099999999</v>
      </c>
      <c r="K12" s="759"/>
      <c r="L12" s="334"/>
      <c r="M12" s="334"/>
      <c r="P12" s="697" t="s">
        <v>59</v>
      </c>
      <c r="Q12" s="698">
        <f>SUM(Q7:Q11)</f>
        <v>430963.63010330504</v>
      </c>
      <c r="R12" s="333" t="str">
        <f>IF(J156=Q12,"Ok!","Rever!")</f>
        <v>Ok!</v>
      </c>
      <c r="S12" s="336"/>
    </row>
    <row r="13" spans="1:19" x14ac:dyDescent="0.25">
      <c r="A13" s="690" t="str">
        <f t="shared" si="2"/>
        <v>HIDRÁULICO</v>
      </c>
      <c r="B13" s="796" t="s">
        <v>431</v>
      </c>
      <c r="C13" s="690" t="s">
        <v>4606</v>
      </c>
      <c r="D13" s="690" t="s">
        <v>4607</v>
      </c>
      <c r="E13" s="797">
        <v>223</v>
      </c>
      <c r="F13" s="692">
        <v>0</v>
      </c>
      <c r="G13" s="693">
        <f t="shared" si="3"/>
        <v>223</v>
      </c>
      <c r="H13" s="694"/>
      <c r="I13" s="695">
        <v>0.63100000000000001</v>
      </c>
      <c r="J13" s="765">
        <f t="shared" si="4"/>
        <v>140.71299999999999</v>
      </c>
      <c r="K13" s="334"/>
      <c r="R13" s="334"/>
      <c r="S13" s="334"/>
    </row>
    <row r="14" spans="1:19" x14ac:dyDescent="0.25">
      <c r="A14" s="690" t="str">
        <f t="shared" si="2"/>
        <v>HIDRÁULICO</v>
      </c>
      <c r="B14" s="796" t="s">
        <v>431</v>
      </c>
      <c r="C14" s="690" t="s">
        <v>4606</v>
      </c>
      <c r="D14" s="690" t="s">
        <v>4608</v>
      </c>
      <c r="E14" s="797">
        <v>284</v>
      </c>
      <c r="F14" s="692">
        <v>0</v>
      </c>
      <c r="G14" s="693">
        <f t="shared" si="3"/>
        <v>284</v>
      </c>
      <c r="H14" s="694"/>
      <c r="I14" s="695">
        <v>1.347</v>
      </c>
      <c r="J14" s="765">
        <f t="shared" si="4"/>
        <v>382.548</v>
      </c>
      <c r="K14" s="334"/>
      <c r="S14" s="334"/>
    </row>
    <row r="15" spans="1:19" x14ac:dyDescent="0.25">
      <c r="A15" s="690" t="str">
        <f t="shared" si="2"/>
        <v>HIDRÁULICO</v>
      </c>
      <c r="B15" s="796" t="s">
        <v>431</v>
      </c>
      <c r="C15" s="690" t="s">
        <v>4606</v>
      </c>
      <c r="D15" s="690" t="s">
        <v>4609</v>
      </c>
      <c r="E15" s="797">
        <v>20</v>
      </c>
      <c r="F15" s="692">
        <v>0</v>
      </c>
      <c r="G15" s="693">
        <f t="shared" si="3"/>
        <v>20</v>
      </c>
      <c r="H15" s="694"/>
      <c r="I15" s="695">
        <v>4.1500000000000004</v>
      </c>
      <c r="J15" s="765">
        <f t="shared" si="4"/>
        <v>83</v>
      </c>
      <c r="K15" s="334"/>
      <c r="L15" s="334"/>
      <c r="M15" s="334"/>
      <c r="N15" s="334"/>
      <c r="O15" s="334"/>
      <c r="P15" s="334"/>
      <c r="Q15" s="334"/>
      <c r="R15" s="334"/>
      <c r="S15" s="334"/>
    </row>
    <row r="16" spans="1:19" x14ac:dyDescent="0.25">
      <c r="A16" s="690" t="str">
        <f t="shared" si="2"/>
        <v>HIDRÁULICO</v>
      </c>
      <c r="B16" s="796" t="s">
        <v>431</v>
      </c>
      <c r="C16" s="690" t="s">
        <v>4606</v>
      </c>
      <c r="D16" s="690" t="s">
        <v>4610</v>
      </c>
      <c r="E16" s="797">
        <v>2</v>
      </c>
      <c r="F16" s="692">
        <v>0</v>
      </c>
      <c r="G16" s="693">
        <f t="shared" si="3"/>
        <v>2</v>
      </c>
      <c r="H16" s="694"/>
      <c r="I16" s="695">
        <v>3.3210000000000002</v>
      </c>
      <c r="J16" s="765">
        <f t="shared" si="4"/>
        <v>6.6420000000000003</v>
      </c>
      <c r="K16" s="334"/>
      <c r="L16" s="334"/>
      <c r="M16" s="334"/>
      <c r="N16" s="334"/>
      <c r="O16" s="334"/>
      <c r="P16" s="334"/>
      <c r="Q16" s="334"/>
      <c r="R16" s="334"/>
      <c r="S16" s="334"/>
    </row>
    <row r="17" spans="1:10" x14ac:dyDescent="0.25">
      <c r="A17" s="690" t="str">
        <f t="shared" si="2"/>
        <v>HIDRÁULICO</v>
      </c>
      <c r="B17" s="796" t="s">
        <v>431</v>
      </c>
      <c r="C17" s="690" t="s">
        <v>4606</v>
      </c>
      <c r="D17" s="690" t="s">
        <v>4611</v>
      </c>
      <c r="E17" s="797">
        <v>217</v>
      </c>
      <c r="F17" s="692">
        <v>0</v>
      </c>
      <c r="G17" s="693">
        <f t="shared" si="3"/>
        <v>217</v>
      </c>
      <c r="H17" s="694"/>
      <c r="I17" s="695">
        <v>0.67300000000000004</v>
      </c>
      <c r="J17" s="765">
        <f t="shared" si="4"/>
        <v>146.041</v>
      </c>
    </row>
    <row r="18" spans="1:10" x14ac:dyDescent="0.25">
      <c r="A18" s="690" t="str">
        <f t="shared" si="2"/>
        <v>HIDRÁULICO</v>
      </c>
      <c r="B18" s="796" t="s">
        <v>431</v>
      </c>
      <c r="C18" s="690" t="s">
        <v>4606</v>
      </c>
      <c r="D18" s="690" t="s">
        <v>4612</v>
      </c>
      <c r="E18" s="797">
        <v>14</v>
      </c>
      <c r="F18" s="692">
        <v>0</v>
      </c>
      <c r="G18" s="693">
        <f t="shared" si="3"/>
        <v>14</v>
      </c>
      <c r="H18" s="694"/>
      <c r="I18" s="695">
        <v>4.4809999999999999</v>
      </c>
      <c r="J18" s="765">
        <f t="shared" si="4"/>
        <v>62.733999999999995</v>
      </c>
    </row>
    <row r="19" spans="1:10" x14ac:dyDescent="0.25">
      <c r="A19" s="690" t="str">
        <f t="shared" si="2"/>
        <v>HIDRÁULICO</v>
      </c>
      <c r="B19" s="796" t="s">
        <v>431</v>
      </c>
      <c r="C19" s="690" t="s">
        <v>4606</v>
      </c>
      <c r="D19" s="690" t="s">
        <v>4613</v>
      </c>
      <c r="E19" s="797">
        <v>1</v>
      </c>
      <c r="F19" s="692">
        <v>0</v>
      </c>
      <c r="G19" s="693">
        <f t="shared" si="3"/>
        <v>1</v>
      </c>
      <c r="H19" s="694"/>
      <c r="I19" s="695">
        <v>2.39</v>
      </c>
      <c r="J19" s="765">
        <f t="shared" si="4"/>
        <v>2.39</v>
      </c>
    </row>
    <row r="20" spans="1:10" x14ac:dyDescent="0.25">
      <c r="A20" s="690" t="str">
        <f t="shared" si="2"/>
        <v>HIDRÁULICO</v>
      </c>
      <c r="B20" s="796" t="s">
        <v>431</v>
      </c>
      <c r="C20" s="690" t="s">
        <v>4606</v>
      </c>
      <c r="D20" s="690" t="s">
        <v>4614</v>
      </c>
      <c r="E20" s="797">
        <v>1</v>
      </c>
      <c r="F20" s="692">
        <v>0</v>
      </c>
      <c r="G20" s="693">
        <f t="shared" si="3"/>
        <v>1</v>
      </c>
      <c r="H20" s="694"/>
      <c r="I20" s="695">
        <v>13.377000000000001</v>
      </c>
      <c r="J20" s="765">
        <f t="shared" si="4"/>
        <v>13.377000000000001</v>
      </c>
    </row>
    <row r="21" spans="1:10" ht="15.75" customHeight="1" x14ac:dyDescent="0.25">
      <c r="A21" s="690" t="str">
        <f t="shared" si="2"/>
        <v>HIDRÁULICO</v>
      </c>
      <c r="B21" s="796" t="s">
        <v>431</v>
      </c>
      <c r="C21" s="690" t="s">
        <v>4606</v>
      </c>
      <c r="D21" s="690" t="s">
        <v>4615</v>
      </c>
      <c r="E21" s="797">
        <v>1</v>
      </c>
      <c r="F21" s="692">
        <v>0</v>
      </c>
      <c r="G21" s="693">
        <f t="shared" si="3"/>
        <v>1</v>
      </c>
      <c r="H21" s="694"/>
      <c r="I21" s="695">
        <v>7.7721999999999998</v>
      </c>
      <c r="J21" s="765">
        <f t="shared" si="4"/>
        <v>7.7721999999999998</v>
      </c>
    </row>
    <row r="22" spans="1:10" ht="15.75" customHeight="1" x14ac:dyDescent="0.25">
      <c r="A22" s="690" t="str">
        <f t="shared" si="2"/>
        <v>HIDRÁULICO</v>
      </c>
      <c r="B22" s="796" t="s">
        <v>431</v>
      </c>
      <c r="C22" s="690" t="s">
        <v>4606</v>
      </c>
      <c r="D22" s="690" t="s">
        <v>4616</v>
      </c>
      <c r="E22" s="797">
        <v>31</v>
      </c>
      <c r="F22" s="692">
        <v>0</v>
      </c>
      <c r="G22" s="693">
        <f t="shared" si="3"/>
        <v>31</v>
      </c>
      <c r="H22" s="694"/>
      <c r="I22" s="695">
        <v>2.3279999999999998</v>
      </c>
      <c r="J22" s="765">
        <f t="shared" si="4"/>
        <v>72.167999999999992</v>
      </c>
    </row>
    <row r="23" spans="1:10" ht="15.75" customHeight="1" x14ac:dyDescent="0.25">
      <c r="A23" s="690" t="str">
        <f t="shared" si="2"/>
        <v>HIDRÁULICO</v>
      </c>
      <c r="B23" s="796" t="s">
        <v>431</v>
      </c>
      <c r="C23" s="690" t="s">
        <v>4606</v>
      </c>
      <c r="D23" s="690" t="s">
        <v>4617</v>
      </c>
      <c r="E23" s="797">
        <v>4</v>
      </c>
      <c r="F23" s="692">
        <v>0</v>
      </c>
      <c r="G23" s="693">
        <f t="shared" si="3"/>
        <v>4</v>
      </c>
      <c r="H23" s="694"/>
      <c r="I23" s="695">
        <v>1.258</v>
      </c>
      <c r="J23" s="765">
        <f t="shared" si="4"/>
        <v>5.032</v>
      </c>
    </row>
    <row r="24" spans="1:10" ht="15.75" customHeight="1" x14ac:dyDescent="0.25">
      <c r="A24" s="690" t="str">
        <f t="shared" si="2"/>
        <v>HIDRÁULICO</v>
      </c>
      <c r="B24" s="796" t="s">
        <v>431</v>
      </c>
      <c r="C24" s="690" t="s">
        <v>4606</v>
      </c>
      <c r="D24" s="690" t="s">
        <v>4618</v>
      </c>
      <c r="E24" s="797">
        <v>4</v>
      </c>
      <c r="F24" s="692">
        <v>0</v>
      </c>
      <c r="G24" s="693">
        <f t="shared" si="3"/>
        <v>4</v>
      </c>
      <c r="H24" s="694"/>
      <c r="I24" s="695">
        <v>34.415999999999997</v>
      </c>
      <c r="J24" s="765">
        <f t="shared" si="4"/>
        <v>137.66399999999999</v>
      </c>
    </row>
    <row r="25" spans="1:10" ht="15.75" customHeight="1" x14ac:dyDescent="0.25">
      <c r="A25" s="690" t="str">
        <f t="shared" si="2"/>
        <v>HIDRÁULICO</v>
      </c>
      <c r="B25" s="796" t="s">
        <v>431</v>
      </c>
      <c r="C25" s="690" t="s">
        <v>4606</v>
      </c>
      <c r="D25" s="690" t="s">
        <v>4619</v>
      </c>
      <c r="E25" s="797">
        <v>978</v>
      </c>
      <c r="F25" s="692">
        <v>0</v>
      </c>
      <c r="G25" s="693">
        <f t="shared" si="3"/>
        <v>978</v>
      </c>
      <c r="H25" s="694"/>
      <c r="I25" s="695">
        <v>0.56399999999999995</v>
      </c>
      <c r="J25" s="765">
        <f t="shared" si="4"/>
        <v>551.59199999999998</v>
      </c>
    </row>
    <row r="26" spans="1:10" ht="15.75" customHeight="1" x14ac:dyDescent="0.25">
      <c r="A26" s="690" t="str">
        <f t="shared" si="2"/>
        <v>HIDRÁULICO</v>
      </c>
      <c r="B26" s="796" t="s">
        <v>431</v>
      </c>
      <c r="C26" s="690" t="s">
        <v>4606</v>
      </c>
      <c r="D26" s="690" t="s">
        <v>4620</v>
      </c>
      <c r="E26" s="797">
        <v>336</v>
      </c>
      <c r="F26" s="692">
        <v>0</v>
      </c>
      <c r="G26" s="693">
        <f t="shared" si="3"/>
        <v>336</v>
      </c>
      <c r="H26" s="694"/>
      <c r="I26" s="695">
        <v>1.7609999999999999</v>
      </c>
      <c r="J26" s="765">
        <f t="shared" si="4"/>
        <v>591.69599999999991</v>
      </c>
    </row>
    <row r="27" spans="1:10" ht="15.75" customHeight="1" x14ac:dyDescent="0.25">
      <c r="A27" s="690" t="str">
        <f t="shared" si="2"/>
        <v>HIDRÁULICO</v>
      </c>
      <c r="B27" s="796" t="s">
        <v>431</v>
      </c>
      <c r="C27" s="690" t="s">
        <v>4606</v>
      </c>
      <c r="D27" s="690" t="s">
        <v>4621</v>
      </c>
      <c r="E27" s="797">
        <v>16</v>
      </c>
      <c r="F27" s="692">
        <v>0</v>
      </c>
      <c r="G27" s="693">
        <f t="shared" si="3"/>
        <v>16</v>
      </c>
      <c r="H27" s="694"/>
      <c r="I27" s="695">
        <v>3.919</v>
      </c>
      <c r="J27" s="765">
        <f t="shared" si="4"/>
        <v>62.704000000000001</v>
      </c>
    </row>
    <row r="28" spans="1:10" ht="15.75" customHeight="1" x14ac:dyDescent="0.25">
      <c r="A28" s="690" t="str">
        <f t="shared" si="2"/>
        <v>HIDRÁULICO</v>
      </c>
      <c r="B28" s="796" t="s">
        <v>431</v>
      </c>
      <c r="C28" s="690" t="s">
        <v>4606</v>
      </c>
      <c r="D28" s="690" t="s">
        <v>4622</v>
      </c>
      <c r="E28" s="797">
        <v>4</v>
      </c>
      <c r="F28" s="692">
        <v>0</v>
      </c>
      <c r="G28" s="693">
        <f t="shared" si="3"/>
        <v>4</v>
      </c>
      <c r="H28" s="694"/>
      <c r="I28" s="695">
        <v>3.4969999999999999</v>
      </c>
      <c r="J28" s="765">
        <f t="shared" si="4"/>
        <v>13.988</v>
      </c>
    </row>
    <row r="29" spans="1:10" ht="15.75" customHeight="1" x14ac:dyDescent="0.25">
      <c r="A29" s="690" t="str">
        <f t="shared" si="2"/>
        <v>HIDRÁULICO</v>
      </c>
      <c r="B29" s="796" t="s">
        <v>431</v>
      </c>
      <c r="C29" s="690" t="s">
        <v>4606</v>
      </c>
      <c r="D29" s="690" t="s">
        <v>4623</v>
      </c>
      <c r="E29" s="797">
        <v>27</v>
      </c>
      <c r="F29" s="692">
        <v>0</v>
      </c>
      <c r="G29" s="693">
        <f t="shared" si="3"/>
        <v>27</v>
      </c>
      <c r="H29" s="694"/>
      <c r="I29" s="695">
        <v>17.382999999999999</v>
      </c>
      <c r="J29" s="765">
        <f t="shared" si="4"/>
        <v>469.34099999999995</v>
      </c>
    </row>
    <row r="30" spans="1:10" ht="15.75" customHeight="1" x14ac:dyDescent="0.25">
      <c r="A30" s="690" t="str">
        <f t="shared" si="2"/>
        <v>HIDRÁULICO</v>
      </c>
      <c r="B30" s="796" t="s">
        <v>431</v>
      </c>
      <c r="C30" s="690" t="s">
        <v>4606</v>
      </c>
      <c r="D30" s="690" t="s">
        <v>4624</v>
      </c>
      <c r="E30" s="797">
        <v>430</v>
      </c>
      <c r="F30" s="692">
        <v>0</v>
      </c>
      <c r="G30" s="693">
        <f t="shared" si="3"/>
        <v>430</v>
      </c>
      <c r="H30" s="694"/>
      <c r="I30" s="695">
        <v>6.5170000000000003</v>
      </c>
      <c r="J30" s="765">
        <f t="shared" si="4"/>
        <v>2802.31</v>
      </c>
    </row>
    <row r="31" spans="1:10" ht="15.75" customHeight="1" x14ac:dyDescent="0.25">
      <c r="A31" s="690" t="str">
        <f t="shared" si="2"/>
        <v>HIDRÁULICO</v>
      </c>
      <c r="B31" s="690" t="s">
        <v>431</v>
      </c>
      <c r="C31" s="690" t="s">
        <v>4606</v>
      </c>
      <c r="D31" s="690" t="s">
        <v>4625</v>
      </c>
      <c r="E31" s="797">
        <v>10</v>
      </c>
      <c r="F31" s="692">
        <v>0</v>
      </c>
      <c r="G31" s="693">
        <f t="shared" si="3"/>
        <v>10</v>
      </c>
      <c r="H31" s="694"/>
      <c r="I31" s="695">
        <v>0.56699999999999995</v>
      </c>
      <c r="J31" s="765">
        <f t="shared" si="4"/>
        <v>5.67</v>
      </c>
    </row>
    <row r="32" spans="1:10" ht="15.75" customHeight="1" x14ac:dyDescent="0.25">
      <c r="A32" s="690" t="str">
        <f t="shared" si="2"/>
        <v>HIDRÁULICO</v>
      </c>
      <c r="B32" s="690" t="s">
        <v>431</v>
      </c>
      <c r="C32" s="690" t="s">
        <v>4606</v>
      </c>
      <c r="D32" s="690" t="s">
        <v>4626</v>
      </c>
      <c r="E32" s="797">
        <v>502</v>
      </c>
      <c r="F32" s="692">
        <v>0</v>
      </c>
      <c r="G32" s="693">
        <f t="shared" si="3"/>
        <v>502</v>
      </c>
      <c r="H32" s="694"/>
      <c r="I32" s="695">
        <v>5.4390000000000001</v>
      </c>
      <c r="J32" s="765">
        <f t="shared" si="4"/>
        <v>2730.3780000000002</v>
      </c>
    </row>
    <row r="33" spans="1:10" ht="15.75" customHeight="1" x14ac:dyDescent="0.25">
      <c r="A33" s="690" t="str">
        <f t="shared" si="2"/>
        <v>HIDRÁULICO</v>
      </c>
      <c r="B33" s="690" t="s">
        <v>431</v>
      </c>
      <c r="C33" s="690" t="s">
        <v>4606</v>
      </c>
      <c r="D33" s="690" t="s">
        <v>4627</v>
      </c>
      <c r="E33" s="797">
        <v>2</v>
      </c>
      <c r="F33" s="692">
        <v>0</v>
      </c>
      <c r="G33" s="693">
        <f t="shared" si="3"/>
        <v>2</v>
      </c>
      <c r="H33" s="694"/>
      <c r="I33" s="695">
        <v>15</v>
      </c>
      <c r="J33" s="765">
        <f t="shared" si="4"/>
        <v>30</v>
      </c>
    </row>
    <row r="34" spans="1:10" ht="15.75" customHeight="1" x14ac:dyDescent="0.25">
      <c r="A34" s="690" t="str">
        <f t="shared" si="2"/>
        <v>HIDRÁULICO</v>
      </c>
      <c r="B34" s="690" t="s">
        <v>431</v>
      </c>
      <c r="C34" s="690" t="s">
        <v>4606</v>
      </c>
      <c r="D34" s="690" t="s">
        <v>4628</v>
      </c>
      <c r="E34" s="797">
        <v>54</v>
      </c>
      <c r="F34" s="692">
        <v>0</v>
      </c>
      <c r="G34" s="693">
        <f t="shared" si="3"/>
        <v>54</v>
      </c>
      <c r="H34" s="694"/>
      <c r="I34" s="695">
        <v>6.11</v>
      </c>
      <c r="J34" s="765">
        <f t="shared" si="4"/>
        <v>329.94</v>
      </c>
    </row>
    <row r="35" spans="1:10" ht="15.75" customHeight="1" x14ac:dyDescent="0.25">
      <c r="A35" s="690" t="str">
        <f t="shared" si="2"/>
        <v>HIDRÁULICO</v>
      </c>
      <c r="B35" s="690" t="s">
        <v>431</v>
      </c>
      <c r="C35" s="690" t="s">
        <v>4606</v>
      </c>
      <c r="D35" s="690" t="s">
        <v>4628</v>
      </c>
      <c r="E35" s="797">
        <v>8</v>
      </c>
      <c r="F35" s="692">
        <v>0</v>
      </c>
      <c r="G35" s="693">
        <f t="shared" si="3"/>
        <v>8</v>
      </c>
      <c r="H35" s="694"/>
      <c r="I35" s="695">
        <v>6.11</v>
      </c>
      <c r="J35" s="765">
        <f t="shared" si="4"/>
        <v>48.88</v>
      </c>
    </row>
    <row r="36" spans="1:10" ht="15.75" customHeight="1" x14ac:dyDescent="0.25">
      <c r="A36" s="690" t="str">
        <f t="shared" si="2"/>
        <v>HIDRÁULICO</v>
      </c>
      <c r="B36" s="690" t="s">
        <v>431</v>
      </c>
      <c r="C36" s="690" t="s">
        <v>4606</v>
      </c>
      <c r="D36" s="690" t="s">
        <v>4629</v>
      </c>
      <c r="E36" s="797">
        <v>59</v>
      </c>
      <c r="F36" s="692">
        <v>0</v>
      </c>
      <c r="G36" s="693">
        <f t="shared" si="3"/>
        <v>59</v>
      </c>
      <c r="H36" s="694"/>
      <c r="I36" s="695">
        <v>11.09</v>
      </c>
      <c r="J36" s="765">
        <f t="shared" si="4"/>
        <v>654.30999999999995</v>
      </c>
    </row>
    <row r="37" spans="1:10" ht="15.75" customHeight="1" x14ac:dyDescent="0.25">
      <c r="A37" s="690" t="str">
        <f t="shared" si="2"/>
        <v>HIDRÁULICO</v>
      </c>
      <c r="B37" s="796" t="s">
        <v>431</v>
      </c>
      <c r="C37" s="690" t="s">
        <v>4606</v>
      </c>
      <c r="D37" s="690" t="s">
        <v>4630</v>
      </c>
      <c r="E37" s="797">
        <v>13</v>
      </c>
      <c r="F37" s="692">
        <v>0</v>
      </c>
      <c r="G37" s="693">
        <f t="shared" si="3"/>
        <v>13</v>
      </c>
      <c r="H37" s="694"/>
      <c r="I37" s="695">
        <v>12.67</v>
      </c>
      <c r="J37" s="765">
        <f t="shared" si="4"/>
        <v>164.71</v>
      </c>
    </row>
    <row r="38" spans="1:10" ht="15.75" customHeight="1" x14ac:dyDescent="0.25">
      <c r="A38" s="690" t="str">
        <f t="shared" si="2"/>
        <v>HIDRÁULICO</v>
      </c>
      <c r="B38" s="796" t="s">
        <v>431</v>
      </c>
      <c r="C38" s="690" t="s">
        <v>4606</v>
      </c>
      <c r="D38" s="690" t="s">
        <v>4631</v>
      </c>
      <c r="E38" s="797">
        <v>321</v>
      </c>
      <c r="F38" s="692">
        <v>0</v>
      </c>
      <c r="G38" s="693">
        <f t="shared" si="3"/>
        <v>321</v>
      </c>
      <c r="H38" s="694"/>
      <c r="I38" s="695">
        <v>0.95099999999999996</v>
      </c>
      <c r="J38" s="765">
        <f t="shared" si="4"/>
        <v>305.27099999999996</v>
      </c>
    </row>
    <row r="39" spans="1:10" ht="15.75" customHeight="1" x14ac:dyDescent="0.25">
      <c r="A39" s="690" t="str">
        <f t="shared" si="2"/>
        <v>HIDRÁULICO</v>
      </c>
      <c r="B39" s="796" t="s">
        <v>431</v>
      </c>
      <c r="C39" s="690" t="s">
        <v>4606</v>
      </c>
      <c r="D39" s="690" t="s">
        <v>4632</v>
      </c>
      <c r="E39" s="797">
        <v>5</v>
      </c>
      <c r="F39" s="692">
        <v>0</v>
      </c>
      <c r="G39" s="693">
        <f t="shared" si="3"/>
        <v>5</v>
      </c>
      <c r="H39" s="694"/>
      <c r="I39" s="695">
        <v>3.3580000000000001</v>
      </c>
      <c r="J39" s="765">
        <f t="shared" si="4"/>
        <v>16.79</v>
      </c>
    </row>
    <row r="40" spans="1:10" ht="15.75" customHeight="1" x14ac:dyDescent="0.25">
      <c r="A40" s="690" t="str">
        <f t="shared" si="2"/>
        <v>HIDRÁULICO</v>
      </c>
      <c r="B40" s="796" t="s">
        <v>431</v>
      </c>
      <c r="C40" s="690" t="s">
        <v>4606</v>
      </c>
      <c r="D40" s="690" t="s">
        <v>4633</v>
      </c>
      <c r="E40" s="801">
        <v>4</v>
      </c>
      <c r="F40" s="692">
        <v>0</v>
      </c>
      <c r="G40" s="693">
        <f t="shared" si="3"/>
        <v>4</v>
      </c>
      <c r="H40" s="694"/>
      <c r="I40" s="695">
        <v>7.7229999999999999</v>
      </c>
      <c r="J40" s="765">
        <f t="shared" si="4"/>
        <v>30.891999999999999</v>
      </c>
    </row>
    <row r="41" spans="1:10" ht="15.75" customHeight="1" x14ac:dyDescent="0.25">
      <c r="A41" s="690" t="str">
        <f t="shared" si="2"/>
        <v>HIDRÁULICO</v>
      </c>
      <c r="B41" s="796" t="s">
        <v>431</v>
      </c>
      <c r="C41" s="690" t="s">
        <v>4606</v>
      </c>
      <c r="D41" s="690" t="s">
        <v>4634</v>
      </c>
      <c r="E41" s="801">
        <v>1</v>
      </c>
      <c r="F41" s="692">
        <v>0</v>
      </c>
      <c r="G41" s="693">
        <f t="shared" si="3"/>
        <v>1</v>
      </c>
      <c r="H41" s="694"/>
      <c r="I41" s="695">
        <v>6.8869999999999996</v>
      </c>
      <c r="J41" s="765">
        <f t="shared" si="4"/>
        <v>6.8869999999999996</v>
      </c>
    </row>
    <row r="42" spans="1:10" ht="15.75" customHeight="1" x14ac:dyDescent="0.25">
      <c r="A42" s="690" t="str">
        <f t="shared" si="2"/>
        <v>HIDRÁULICO</v>
      </c>
      <c r="B42" s="690" t="s">
        <v>431</v>
      </c>
      <c r="C42" s="690" t="s">
        <v>4606</v>
      </c>
      <c r="D42" s="690" t="s">
        <v>4635</v>
      </c>
      <c r="E42" s="801">
        <v>5</v>
      </c>
      <c r="F42" s="692">
        <v>0</v>
      </c>
      <c r="G42" s="693">
        <f t="shared" si="3"/>
        <v>5</v>
      </c>
      <c r="H42" s="694"/>
      <c r="I42" s="695">
        <v>19.623999999999999</v>
      </c>
      <c r="J42" s="765">
        <f t="shared" si="4"/>
        <v>98.11999999999999</v>
      </c>
    </row>
    <row r="43" spans="1:10" ht="15.75" customHeight="1" x14ac:dyDescent="0.25">
      <c r="A43" s="690" t="str">
        <f t="shared" si="2"/>
        <v>HIDRÁULICO</v>
      </c>
      <c r="B43" s="690" t="s">
        <v>431</v>
      </c>
      <c r="C43" s="690" t="s">
        <v>4606</v>
      </c>
      <c r="D43" s="690" t="s">
        <v>4636</v>
      </c>
      <c r="E43" s="801">
        <v>22</v>
      </c>
      <c r="F43" s="692">
        <v>0</v>
      </c>
      <c r="G43" s="693">
        <f t="shared" si="3"/>
        <v>22</v>
      </c>
      <c r="H43" s="694"/>
      <c r="I43" s="695">
        <v>5.1619999999999999</v>
      </c>
      <c r="J43" s="765">
        <f t="shared" si="4"/>
        <v>113.56399999999999</v>
      </c>
    </row>
    <row r="44" spans="1:10" ht="15.75" customHeight="1" x14ac:dyDescent="0.25">
      <c r="A44" s="690" t="str">
        <f t="shared" si="2"/>
        <v>HIDRÁULICO</v>
      </c>
      <c r="B44" s="690" t="s">
        <v>432</v>
      </c>
      <c r="C44" s="690" t="s">
        <v>4599</v>
      </c>
      <c r="D44" s="690" t="s">
        <v>4637</v>
      </c>
      <c r="E44" s="797">
        <v>1580</v>
      </c>
      <c r="F44" s="692">
        <v>0</v>
      </c>
      <c r="G44" s="693">
        <f t="shared" si="3"/>
        <v>1580</v>
      </c>
      <c r="H44" s="694"/>
      <c r="I44" s="695">
        <v>22.233599999999999</v>
      </c>
      <c r="J44" s="765">
        <f t="shared" si="4"/>
        <v>35129.087999999996</v>
      </c>
    </row>
    <row r="45" spans="1:10" ht="15.75" customHeight="1" x14ac:dyDescent="0.25">
      <c r="A45" s="690" t="str">
        <f t="shared" si="2"/>
        <v>HIDRÁULICO</v>
      </c>
      <c r="B45" s="690" t="s">
        <v>432</v>
      </c>
      <c r="C45" s="690" t="s">
        <v>4599</v>
      </c>
      <c r="D45" s="690" t="s">
        <v>4638</v>
      </c>
      <c r="E45" s="797">
        <v>1325</v>
      </c>
      <c r="F45" s="692">
        <v>0</v>
      </c>
      <c r="G45" s="693">
        <f t="shared" si="3"/>
        <v>1325</v>
      </c>
      <c r="H45" s="694"/>
      <c r="I45" s="695">
        <v>39.025399999999998</v>
      </c>
      <c r="J45" s="765">
        <f t="shared" si="4"/>
        <v>51708.654999999999</v>
      </c>
    </row>
    <row r="46" spans="1:10" ht="15.75" customHeight="1" x14ac:dyDescent="0.25">
      <c r="A46" s="690" t="str">
        <f t="shared" si="2"/>
        <v>HIDRÁULICO</v>
      </c>
      <c r="B46" s="690" t="s">
        <v>432</v>
      </c>
      <c r="C46" s="690" t="s">
        <v>4599</v>
      </c>
      <c r="D46" s="690" t="s">
        <v>4639</v>
      </c>
      <c r="E46" s="797">
        <v>55</v>
      </c>
      <c r="F46" s="692">
        <v>0</v>
      </c>
      <c r="G46" s="693">
        <f t="shared" si="3"/>
        <v>55</v>
      </c>
      <c r="H46" s="694"/>
      <c r="I46" s="695">
        <v>46.715699999999998</v>
      </c>
      <c r="J46" s="765">
        <f t="shared" si="4"/>
        <v>2569.3634999999999</v>
      </c>
    </row>
    <row r="47" spans="1:10" ht="15.75" customHeight="1" x14ac:dyDescent="0.25">
      <c r="A47" s="690" t="str">
        <f t="shared" si="2"/>
        <v>HIDRÁULICO</v>
      </c>
      <c r="B47" s="690" t="s">
        <v>432</v>
      </c>
      <c r="C47" s="690" t="s">
        <v>4606</v>
      </c>
      <c r="D47" s="690" t="s">
        <v>4640</v>
      </c>
      <c r="E47" s="797">
        <v>230</v>
      </c>
      <c r="F47" s="692">
        <v>0</v>
      </c>
      <c r="G47" s="693">
        <f t="shared" si="3"/>
        <v>230</v>
      </c>
      <c r="H47" s="694"/>
      <c r="I47" s="695">
        <v>3.0019999999999998</v>
      </c>
      <c r="J47" s="765">
        <f t="shared" si="4"/>
        <v>690.45999999999992</v>
      </c>
    </row>
    <row r="48" spans="1:10" ht="15.75" customHeight="1" x14ac:dyDescent="0.25">
      <c r="A48" s="690" t="str">
        <f t="shared" si="2"/>
        <v>HIDRÁULICO</v>
      </c>
      <c r="B48" s="690" t="s">
        <v>432</v>
      </c>
      <c r="C48" s="690" t="s">
        <v>4606</v>
      </c>
      <c r="D48" s="690" t="s">
        <v>4641</v>
      </c>
      <c r="E48" s="797">
        <v>1</v>
      </c>
      <c r="F48" s="692">
        <v>0</v>
      </c>
      <c r="G48" s="693">
        <f t="shared" si="3"/>
        <v>1</v>
      </c>
      <c r="H48" s="694"/>
      <c r="I48" s="695">
        <v>6.4584000000000001</v>
      </c>
      <c r="J48" s="765">
        <f t="shared" si="4"/>
        <v>6.4584000000000001</v>
      </c>
    </row>
    <row r="49" spans="1:10" ht="15.75" customHeight="1" x14ac:dyDescent="0.25">
      <c r="A49" s="690" t="str">
        <f t="shared" si="2"/>
        <v>HIDRÁULICO</v>
      </c>
      <c r="B49" s="690" t="s">
        <v>432</v>
      </c>
      <c r="C49" s="690" t="s">
        <v>4606</v>
      </c>
      <c r="D49" s="690" t="s">
        <v>4642</v>
      </c>
      <c r="E49" s="797">
        <v>1</v>
      </c>
      <c r="F49" s="692">
        <v>0</v>
      </c>
      <c r="G49" s="693">
        <f t="shared" si="3"/>
        <v>1</v>
      </c>
      <c r="H49" s="694"/>
      <c r="I49" s="695">
        <v>7.1281999999999996</v>
      </c>
      <c r="J49" s="765">
        <f t="shared" si="4"/>
        <v>7.1281999999999996</v>
      </c>
    </row>
    <row r="50" spans="1:10" ht="15.75" customHeight="1" x14ac:dyDescent="0.25">
      <c r="A50" s="690" t="str">
        <f t="shared" si="2"/>
        <v>HIDRÁULICO</v>
      </c>
      <c r="B50" s="690" t="s">
        <v>432</v>
      </c>
      <c r="C50" s="690" t="s">
        <v>4606</v>
      </c>
      <c r="D50" s="690" t="s">
        <v>4643</v>
      </c>
      <c r="E50" s="797">
        <v>8</v>
      </c>
      <c r="F50" s="692">
        <v>0</v>
      </c>
      <c r="G50" s="693">
        <f t="shared" si="3"/>
        <v>8</v>
      </c>
      <c r="H50" s="694"/>
      <c r="I50" s="695">
        <v>13.2278</v>
      </c>
      <c r="J50" s="765">
        <f t="shared" si="4"/>
        <v>105.8224</v>
      </c>
    </row>
    <row r="51" spans="1:10" ht="15.75" customHeight="1" x14ac:dyDescent="0.25">
      <c r="A51" s="690" t="str">
        <f t="shared" si="2"/>
        <v>HIDRÁULICO</v>
      </c>
      <c r="B51" s="690" t="s">
        <v>432</v>
      </c>
      <c r="C51" s="690" t="s">
        <v>4606</v>
      </c>
      <c r="D51" s="690" t="s">
        <v>4644</v>
      </c>
      <c r="E51" s="797">
        <v>1096</v>
      </c>
      <c r="F51" s="692">
        <v>0</v>
      </c>
      <c r="G51" s="693">
        <f t="shared" si="3"/>
        <v>1096</v>
      </c>
      <c r="H51" s="694"/>
      <c r="I51" s="695">
        <v>16.2178</v>
      </c>
      <c r="J51" s="765">
        <f t="shared" si="4"/>
        <v>17774.7088</v>
      </c>
    </row>
    <row r="52" spans="1:10" ht="15.75" customHeight="1" x14ac:dyDescent="0.25">
      <c r="A52" s="690" t="str">
        <f t="shared" si="2"/>
        <v>HIDRÁULICO</v>
      </c>
      <c r="B52" s="690" t="s">
        <v>432</v>
      </c>
      <c r="C52" s="690" t="s">
        <v>4606</v>
      </c>
      <c r="D52" s="690" t="s">
        <v>4645</v>
      </c>
      <c r="E52" s="797">
        <v>3</v>
      </c>
      <c r="F52" s="692">
        <v>0</v>
      </c>
      <c r="G52" s="693">
        <f t="shared" si="3"/>
        <v>3</v>
      </c>
      <c r="H52" s="694"/>
      <c r="I52" s="695">
        <v>26.2044</v>
      </c>
      <c r="J52" s="765">
        <f t="shared" si="4"/>
        <v>78.613200000000006</v>
      </c>
    </row>
    <row r="53" spans="1:10" ht="15.75" customHeight="1" x14ac:dyDescent="0.25">
      <c r="A53" s="690" t="str">
        <f t="shared" si="2"/>
        <v>HIDRÁULICO</v>
      </c>
      <c r="B53" s="690" t="s">
        <v>432</v>
      </c>
      <c r="C53" s="690" t="s">
        <v>4606</v>
      </c>
      <c r="D53" s="690" t="s">
        <v>4646</v>
      </c>
      <c r="E53" s="797">
        <v>1</v>
      </c>
      <c r="F53" s="692">
        <v>0</v>
      </c>
      <c r="G53" s="693">
        <f t="shared" si="3"/>
        <v>1</v>
      </c>
      <c r="H53" s="694"/>
      <c r="I53" s="695">
        <v>21.384499999999999</v>
      </c>
      <c r="J53" s="765">
        <f t="shared" si="4"/>
        <v>21.384499999999999</v>
      </c>
    </row>
    <row r="54" spans="1:10" ht="15.75" customHeight="1" x14ac:dyDescent="0.25">
      <c r="A54" s="690" t="str">
        <f t="shared" si="2"/>
        <v>HIDRÁULICO</v>
      </c>
      <c r="B54" s="690" t="s">
        <v>432</v>
      </c>
      <c r="C54" s="690" t="s">
        <v>4606</v>
      </c>
      <c r="D54" s="690" t="s">
        <v>4647</v>
      </c>
      <c r="E54" s="797">
        <v>1</v>
      </c>
      <c r="F54" s="692">
        <v>0</v>
      </c>
      <c r="G54" s="693">
        <f t="shared" si="3"/>
        <v>1</v>
      </c>
      <c r="H54" s="694"/>
      <c r="I54" s="695">
        <v>83.851500000000001</v>
      </c>
      <c r="J54" s="765">
        <f t="shared" si="4"/>
        <v>83.851500000000001</v>
      </c>
    </row>
    <row r="55" spans="1:10" ht="15.75" customHeight="1" x14ac:dyDescent="0.25">
      <c r="A55" s="690" t="str">
        <f t="shared" si="2"/>
        <v>HIDRÁULICO</v>
      </c>
      <c r="B55" s="690" t="s">
        <v>432</v>
      </c>
      <c r="C55" s="690" t="s">
        <v>4606</v>
      </c>
      <c r="D55" s="690" t="s">
        <v>4648</v>
      </c>
      <c r="E55" s="797">
        <v>4</v>
      </c>
      <c r="F55" s="692">
        <v>0</v>
      </c>
      <c r="G55" s="693">
        <f t="shared" si="3"/>
        <v>4</v>
      </c>
      <c r="H55" s="694"/>
      <c r="I55" s="695">
        <v>10.178000000000001</v>
      </c>
      <c r="J55" s="765">
        <f t="shared" si="4"/>
        <v>40.712000000000003</v>
      </c>
    </row>
    <row r="56" spans="1:10" ht="15.75" customHeight="1" x14ac:dyDescent="0.25">
      <c r="A56" s="690" t="str">
        <f t="shared" si="2"/>
        <v>HIDRÁULICO</v>
      </c>
      <c r="B56" s="796" t="s">
        <v>432</v>
      </c>
      <c r="C56" s="690" t="s">
        <v>4606</v>
      </c>
      <c r="D56" s="690" t="s">
        <v>4649</v>
      </c>
      <c r="E56" s="797">
        <v>4</v>
      </c>
      <c r="F56" s="692">
        <v>0</v>
      </c>
      <c r="G56" s="693">
        <f t="shared" si="3"/>
        <v>4</v>
      </c>
      <c r="H56" s="694"/>
      <c r="I56" s="695">
        <v>2.0499999999999998</v>
      </c>
      <c r="J56" s="765">
        <f t="shared" si="4"/>
        <v>8.1999999999999993</v>
      </c>
    </row>
    <row r="57" spans="1:10" ht="15.75" customHeight="1" x14ac:dyDescent="0.25">
      <c r="A57" s="690" t="str">
        <f t="shared" si="2"/>
        <v>HIDRÁULICO</v>
      </c>
      <c r="B57" s="796" t="s">
        <v>432</v>
      </c>
      <c r="C57" s="690" t="s">
        <v>4606</v>
      </c>
      <c r="D57" s="690" t="s">
        <v>4650</v>
      </c>
      <c r="E57" s="797">
        <v>1082</v>
      </c>
      <c r="F57" s="692">
        <v>0</v>
      </c>
      <c r="G57" s="693">
        <f t="shared" si="3"/>
        <v>1082</v>
      </c>
      <c r="H57" s="694"/>
      <c r="I57" s="695">
        <v>1.3874</v>
      </c>
      <c r="J57" s="765">
        <f t="shared" si="4"/>
        <v>1501.1668</v>
      </c>
    </row>
    <row r="58" spans="1:10" ht="15.75" customHeight="1" x14ac:dyDescent="0.25">
      <c r="A58" s="690" t="str">
        <f t="shared" si="2"/>
        <v>HIDRÁULICO</v>
      </c>
      <c r="B58" s="796" t="s">
        <v>432</v>
      </c>
      <c r="C58" s="690" t="s">
        <v>4606</v>
      </c>
      <c r="D58" s="690" t="s">
        <v>4651</v>
      </c>
      <c r="E58" s="797">
        <v>450</v>
      </c>
      <c r="F58" s="692">
        <v>0</v>
      </c>
      <c r="G58" s="693">
        <f t="shared" si="3"/>
        <v>450</v>
      </c>
      <c r="H58" s="694"/>
      <c r="I58" s="695">
        <v>2.1648000000000001</v>
      </c>
      <c r="J58" s="765">
        <f t="shared" si="4"/>
        <v>974.16000000000008</v>
      </c>
    </row>
    <row r="59" spans="1:10" ht="15.75" customHeight="1" x14ac:dyDescent="0.25">
      <c r="A59" s="690" t="str">
        <f t="shared" si="2"/>
        <v>HIDRÁULICO</v>
      </c>
      <c r="B59" s="796" t="s">
        <v>432</v>
      </c>
      <c r="C59" s="690" t="s">
        <v>4606</v>
      </c>
      <c r="D59" s="690" t="s">
        <v>4652</v>
      </c>
      <c r="E59" s="797">
        <v>105</v>
      </c>
      <c r="F59" s="692">
        <v>0</v>
      </c>
      <c r="G59" s="693">
        <f t="shared" si="3"/>
        <v>105</v>
      </c>
      <c r="H59" s="694"/>
      <c r="I59" s="695">
        <v>12.2112</v>
      </c>
      <c r="J59" s="765">
        <f t="shared" si="4"/>
        <v>1282.1759999999999</v>
      </c>
    </row>
    <row r="60" spans="1:10" ht="15.75" customHeight="1" x14ac:dyDescent="0.25">
      <c r="A60" s="690" t="str">
        <f t="shared" si="2"/>
        <v>HIDRÁULICO</v>
      </c>
      <c r="B60" s="796" t="s">
        <v>432</v>
      </c>
      <c r="C60" s="690" t="s">
        <v>4606</v>
      </c>
      <c r="D60" s="690" t="s">
        <v>4653</v>
      </c>
      <c r="E60" s="797">
        <v>98</v>
      </c>
      <c r="F60" s="692">
        <v>0</v>
      </c>
      <c r="G60" s="693">
        <f t="shared" si="3"/>
        <v>98</v>
      </c>
      <c r="H60" s="694"/>
      <c r="I60" s="695">
        <v>5.6212</v>
      </c>
      <c r="J60" s="765">
        <f t="shared" si="4"/>
        <v>550.87760000000003</v>
      </c>
    </row>
    <row r="61" spans="1:10" ht="15.75" customHeight="1" x14ac:dyDescent="0.25">
      <c r="A61" s="690" t="str">
        <f t="shared" si="2"/>
        <v>HIDRÁULICO</v>
      </c>
      <c r="B61" s="796" t="s">
        <v>432</v>
      </c>
      <c r="C61" s="690" t="s">
        <v>4606</v>
      </c>
      <c r="D61" s="690" t="s">
        <v>4654</v>
      </c>
      <c r="E61" s="797">
        <v>10</v>
      </c>
      <c r="F61" s="692">
        <v>0</v>
      </c>
      <c r="G61" s="693">
        <f t="shared" si="3"/>
        <v>10</v>
      </c>
      <c r="H61" s="694"/>
      <c r="I61" s="695">
        <v>9.6859999999999999</v>
      </c>
      <c r="J61" s="765">
        <f t="shared" si="4"/>
        <v>96.86</v>
      </c>
    </row>
    <row r="62" spans="1:10" ht="15.75" customHeight="1" x14ac:dyDescent="0.25">
      <c r="A62" s="690" t="str">
        <f t="shared" si="2"/>
        <v>HIDRÁULICO</v>
      </c>
      <c r="B62" s="690" t="s">
        <v>432</v>
      </c>
      <c r="C62" s="690" t="s">
        <v>4606</v>
      </c>
      <c r="D62" s="690" t="s">
        <v>4655</v>
      </c>
      <c r="E62" s="797">
        <v>67</v>
      </c>
      <c r="F62" s="692">
        <v>0</v>
      </c>
      <c r="G62" s="693">
        <f t="shared" si="3"/>
        <v>67</v>
      </c>
      <c r="H62" s="694"/>
      <c r="I62" s="695">
        <v>12.354699999999999</v>
      </c>
      <c r="J62" s="765">
        <f t="shared" si="4"/>
        <v>827.76490000000001</v>
      </c>
    </row>
    <row r="63" spans="1:10" ht="15.75" customHeight="1" x14ac:dyDescent="0.25">
      <c r="A63" s="690" t="str">
        <f t="shared" si="2"/>
        <v>HIDRÁULICO</v>
      </c>
      <c r="B63" s="690" t="s">
        <v>432</v>
      </c>
      <c r="C63" s="690" t="s">
        <v>4606</v>
      </c>
      <c r="D63" s="690" t="s">
        <v>4656</v>
      </c>
      <c r="E63" s="797">
        <v>2</v>
      </c>
      <c r="F63" s="692">
        <v>0</v>
      </c>
      <c r="G63" s="693">
        <f t="shared" si="3"/>
        <v>2</v>
      </c>
      <c r="H63" s="694"/>
      <c r="I63" s="695">
        <v>10.7281</v>
      </c>
      <c r="J63" s="765">
        <f t="shared" si="4"/>
        <v>21.456199999999999</v>
      </c>
    </row>
    <row r="64" spans="1:10" ht="15.75" customHeight="1" x14ac:dyDescent="0.25">
      <c r="A64" s="690" t="str">
        <f t="shared" si="2"/>
        <v>HIDRÁULICO</v>
      </c>
      <c r="B64" s="690" t="s">
        <v>432</v>
      </c>
      <c r="C64" s="690" t="s">
        <v>4606</v>
      </c>
      <c r="D64" s="690" t="s">
        <v>4657</v>
      </c>
      <c r="E64" s="797">
        <v>235</v>
      </c>
      <c r="F64" s="692">
        <v>0</v>
      </c>
      <c r="G64" s="693">
        <f t="shared" si="3"/>
        <v>235</v>
      </c>
      <c r="H64" s="694"/>
      <c r="I64" s="695">
        <v>1.9854000000000001</v>
      </c>
      <c r="J64" s="765">
        <f t="shared" si="4"/>
        <v>466.56900000000002</v>
      </c>
    </row>
    <row r="65" spans="1:10" ht="15.75" customHeight="1" x14ac:dyDescent="0.25">
      <c r="A65" s="690" t="str">
        <f t="shared" si="2"/>
        <v>HIDRÁULICO</v>
      </c>
      <c r="B65" s="796" t="s">
        <v>432</v>
      </c>
      <c r="C65" s="690" t="s">
        <v>4606</v>
      </c>
      <c r="D65" s="690" t="s">
        <v>4658</v>
      </c>
      <c r="E65" s="797">
        <v>6</v>
      </c>
      <c r="F65" s="692">
        <v>0</v>
      </c>
      <c r="G65" s="693">
        <f t="shared" si="3"/>
        <v>6</v>
      </c>
      <c r="H65" s="694"/>
      <c r="I65" s="695">
        <v>4.5327999999999999</v>
      </c>
      <c r="J65" s="765">
        <f t="shared" si="4"/>
        <v>27.1968</v>
      </c>
    </row>
    <row r="66" spans="1:10" ht="15.75" customHeight="1" x14ac:dyDescent="0.25">
      <c r="A66" s="690" t="str">
        <f t="shared" si="2"/>
        <v>HIDRÁULICO</v>
      </c>
      <c r="B66" s="796" t="s">
        <v>432</v>
      </c>
      <c r="C66" s="690" t="s">
        <v>4606</v>
      </c>
      <c r="D66" s="690" t="s">
        <v>4659</v>
      </c>
      <c r="E66" s="801">
        <v>3</v>
      </c>
      <c r="F66" s="692">
        <v>0</v>
      </c>
      <c r="G66" s="693">
        <f t="shared" si="3"/>
        <v>3</v>
      </c>
      <c r="H66" s="694"/>
      <c r="I66" s="695">
        <v>7.7500999999999998</v>
      </c>
      <c r="J66" s="765">
        <f t="shared" si="4"/>
        <v>23.250299999999999</v>
      </c>
    </row>
    <row r="67" spans="1:10" ht="15.75" customHeight="1" x14ac:dyDescent="0.25">
      <c r="A67" s="682" t="s">
        <v>4596</v>
      </c>
      <c r="B67" s="802"/>
      <c r="C67" s="684"/>
      <c r="D67" s="684"/>
      <c r="E67" s="803"/>
      <c r="F67" s="685"/>
      <c r="G67" s="685"/>
      <c r="H67" s="685"/>
      <c r="I67" s="686"/>
      <c r="J67" s="773">
        <f>IF(SUM(E67:I67)=0,SUMIFS($J68:$J$155,$A68:$A$155,$A67),G67*I67)</f>
        <v>71197.374133305013</v>
      </c>
    </row>
    <row r="68" spans="1:10" ht="15.75" customHeight="1" x14ac:dyDescent="0.25">
      <c r="A68" s="690" t="str">
        <f t="shared" ref="A68:A112" si="9">A67</f>
        <v>SANITÁRIO</v>
      </c>
      <c r="B68" s="796" t="s">
        <v>433</v>
      </c>
      <c r="C68" s="690" t="s">
        <v>4599</v>
      </c>
      <c r="D68" s="690" t="s">
        <v>4660</v>
      </c>
      <c r="E68" s="797">
        <v>362</v>
      </c>
      <c r="F68" s="692">
        <v>0</v>
      </c>
      <c r="G68" s="693">
        <f t="shared" ref="G68:G112" si="10">E68+(E68*F68)</f>
        <v>362</v>
      </c>
      <c r="H68" s="694"/>
      <c r="I68" s="695">
        <v>5.2218333330000002</v>
      </c>
      <c r="J68" s="765">
        <f t="shared" ref="J68:J112" si="11">G68*I68</f>
        <v>1890.3036665460002</v>
      </c>
    </row>
    <row r="69" spans="1:10" ht="15.75" customHeight="1" x14ac:dyDescent="0.25">
      <c r="A69" s="690" t="str">
        <f t="shared" si="9"/>
        <v>SANITÁRIO</v>
      </c>
      <c r="B69" s="796" t="s">
        <v>433</v>
      </c>
      <c r="C69" s="690" t="s">
        <v>4599</v>
      </c>
      <c r="D69" s="690" t="s">
        <v>4661</v>
      </c>
      <c r="E69" s="797">
        <v>1383</v>
      </c>
      <c r="F69" s="692">
        <v>0</v>
      </c>
      <c r="G69" s="693">
        <f t="shared" si="10"/>
        <v>1383</v>
      </c>
      <c r="H69" s="694"/>
      <c r="I69" s="695">
        <v>7.5503333330000002</v>
      </c>
      <c r="J69" s="765">
        <f t="shared" si="11"/>
        <v>10442.110999539</v>
      </c>
    </row>
    <row r="70" spans="1:10" ht="15.75" customHeight="1" x14ac:dyDescent="0.25">
      <c r="A70" s="690" t="str">
        <f t="shared" si="9"/>
        <v>SANITÁRIO</v>
      </c>
      <c r="B70" s="796" t="s">
        <v>433</v>
      </c>
      <c r="C70" s="690" t="s">
        <v>4599</v>
      </c>
      <c r="D70" s="690" t="s">
        <v>4662</v>
      </c>
      <c r="E70" s="797">
        <v>147</v>
      </c>
      <c r="F70" s="692">
        <v>0</v>
      </c>
      <c r="G70" s="693">
        <f t="shared" si="10"/>
        <v>147</v>
      </c>
      <c r="H70" s="694"/>
      <c r="I70" s="695">
        <v>11.66716667</v>
      </c>
      <c r="J70" s="765">
        <f t="shared" si="11"/>
        <v>1715.07350049</v>
      </c>
    </row>
    <row r="71" spans="1:10" ht="15.75" customHeight="1" x14ac:dyDescent="0.25">
      <c r="A71" s="690" t="str">
        <f t="shared" si="9"/>
        <v>SANITÁRIO</v>
      </c>
      <c r="B71" s="796" t="s">
        <v>433</v>
      </c>
      <c r="C71" s="690" t="s">
        <v>4599</v>
      </c>
      <c r="D71" s="690" t="s">
        <v>4663</v>
      </c>
      <c r="E71" s="797">
        <v>2194</v>
      </c>
      <c r="F71" s="692">
        <v>0</v>
      </c>
      <c r="G71" s="693">
        <f t="shared" si="10"/>
        <v>2194</v>
      </c>
      <c r="H71" s="694"/>
      <c r="I71" s="695">
        <v>10.700200000000001</v>
      </c>
      <c r="J71" s="765">
        <f t="shared" si="11"/>
        <v>23476.238800000003</v>
      </c>
    </row>
    <row r="72" spans="1:10" ht="15.75" customHeight="1" x14ac:dyDescent="0.25">
      <c r="A72" s="690" t="str">
        <f t="shared" si="9"/>
        <v>SANITÁRIO</v>
      </c>
      <c r="B72" s="796" t="s">
        <v>433</v>
      </c>
      <c r="C72" s="690" t="s">
        <v>4599</v>
      </c>
      <c r="D72" s="690" t="s">
        <v>4664</v>
      </c>
      <c r="E72" s="797">
        <v>15</v>
      </c>
      <c r="F72" s="692">
        <v>0</v>
      </c>
      <c r="G72" s="693">
        <f t="shared" si="10"/>
        <v>15</v>
      </c>
      <c r="H72" s="694"/>
      <c r="I72" s="695">
        <v>23.385766669999999</v>
      </c>
      <c r="J72" s="765">
        <f t="shared" si="11"/>
        <v>350.78650004999997</v>
      </c>
    </row>
    <row r="73" spans="1:10" ht="15.75" customHeight="1" x14ac:dyDescent="0.25">
      <c r="A73" s="690" t="str">
        <f t="shared" si="9"/>
        <v>SANITÁRIO</v>
      </c>
      <c r="B73" s="796" t="s">
        <v>433</v>
      </c>
      <c r="C73" s="690" t="s">
        <v>4599</v>
      </c>
      <c r="D73" s="690" t="s">
        <v>4665</v>
      </c>
      <c r="E73" s="797">
        <v>4</v>
      </c>
      <c r="F73" s="692">
        <v>0</v>
      </c>
      <c r="G73" s="693">
        <f t="shared" si="10"/>
        <v>4</v>
      </c>
      <c r="H73" s="694"/>
      <c r="I73" s="695">
        <v>66.531166670000005</v>
      </c>
      <c r="J73" s="765">
        <f t="shared" si="11"/>
        <v>266.12466668000002</v>
      </c>
    </row>
    <row r="74" spans="1:10" ht="15.75" customHeight="1" x14ac:dyDescent="0.25">
      <c r="A74" s="690" t="str">
        <f t="shared" si="9"/>
        <v>SANITÁRIO</v>
      </c>
      <c r="B74" s="796" t="s">
        <v>433</v>
      </c>
      <c r="C74" s="690" t="s">
        <v>4606</v>
      </c>
      <c r="D74" s="690" t="s">
        <v>4666</v>
      </c>
      <c r="E74" s="797">
        <v>1372</v>
      </c>
      <c r="F74" s="692">
        <v>0</v>
      </c>
      <c r="G74" s="693">
        <f t="shared" si="10"/>
        <v>1372</v>
      </c>
      <c r="H74" s="694"/>
      <c r="I74" s="695">
        <v>0.53</v>
      </c>
      <c r="J74" s="765">
        <f t="shared" si="11"/>
        <v>727.16000000000008</v>
      </c>
    </row>
    <row r="75" spans="1:10" ht="15.75" customHeight="1" x14ac:dyDescent="0.25">
      <c r="A75" s="690" t="str">
        <f t="shared" si="9"/>
        <v>SANITÁRIO</v>
      </c>
      <c r="B75" s="796" t="s">
        <v>433</v>
      </c>
      <c r="C75" s="690" t="s">
        <v>4606</v>
      </c>
      <c r="D75" s="690" t="s">
        <v>4667</v>
      </c>
      <c r="E75" s="797">
        <v>3500</v>
      </c>
      <c r="F75" s="692">
        <v>0</v>
      </c>
      <c r="G75" s="693">
        <f t="shared" si="10"/>
        <v>3500</v>
      </c>
      <c r="H75" s="694"/>
      <c r="I75" s="695">
        <v>0.51200000000000001</v>
      </c>
      <c r="J75" s="765">
        <f t="shared" si="11"/>
        <v>1792</v>
      </c>
    </row>
    <row r="76" spans="1:10" ht="15.75" customHeight="1" x14ac:dyDescent="0.25">
      <c r="A76" s="690" t="str">
        <f t="shared" si="9"/>
        <v>SANITÁRIO</v>
      </c>
      <c r="B76" s="796" t="s">
        <v>433</v>
      </c>
      <c r="C76" s="690" t="s">
        <v>4606</v>
      </c>
      <c r="D76" s="690" t="s">
        <v>4668</v>
      </c>
      <c r="E76" s="797">
        <v>147</v>
      </c>
      <c r="F76" s="692">
        <v>0</v>
      </c>
      <c r="G76" s="693">
        <f t="shared" si="10"/>
        <v>147</v>
      </c>
      <c r="H76" s="694"/>
      <c r="I76" s="695">
        <v>0.65800000000000003</v>
      </c>
      <c r="J76" s="765">
        <f t="shared" si="11"/>
        <v>96.725999999999999</v>
      </c>
    </row>
    <row r="77" spans="1:10" ht="15.75" customHeight="1" x14ac:dyDescent="0.25">
      <c r="A77" s="690" t="str">
        <f t="shared" si="9"/>
        <v>SANITÁRIO</v>
      </c>
      <c r="B77" s="796" t="s">
        <v>433</v>
      </c>
      <c r="C77" s="690" t="s">
        <v>4606</v>
      </c>
      <c r="D77" s="690" t="s">
        <v>4669</v>
      </c>
      <c r="E77" s="797">
        <v>3016</v>
      </c>
      <c r="F77" s="692">
        <v>0</v>
      </c>
      <c r="G77" s="693">
        <f t="shared" si="10"/>
        <v>3016</v>
      </c>
      <c r="H77" s="694"/>
      <c r="I77" s="695">
        <v>0.82299999999999995</v>
      </c>
      <c r="J77" s="765">
        <f t="shared" si="11"/>
        <v>2482.1679999999997</v>
      </c>
    </row>
    <row r="78" spans="1:10" ht="15.75" customHeight="1" x14ac:dyDescent="0.25">
      <c r="A78" s="690" t="str">
        <f t="shared" si="9"/>
        <v>SANITÁRIO</v>
      </c>
      <c r="B78" s="796" t="s">
        <v>433</v>
      </c>
      <c r="C78" s="690" t="s">
        <v>4606</v>
      </c>
      <c r="D78" s="690" t="s">
        <v>4670</v>
      </c>
      <c r="E78" s="797">
        <v>2</v>
      </c>
      <c r="F78" s="692">
        <v>0</v>
      </c>
      <c r="G78" s="693">
        <f t="shared" si="10"/>
        <v>2</v>
      </c>
      <c r="H78" s="694"/>
      <c r="I78" s="695">
        <v>2.65</v>
      </c>
      <c r="J78" s="765">
        <f t="shared" si="11"/>
        <v>5.3</v>
      </c>
    </row>
    <row r="79" spans="1:10" ht="15.75" customHeight="1" x14ac:dyDescent="0.25">
      <c r="A79" s="690" t="str">
        <f t="shared" si="9"/>
        <v>SANITÁRIO</v>
      </c>
      <c r="B79" s="796" t="s">
        <v>433</v>
      </c>
      <c r="C79" s="690" t="s">
        <v>4606</v>
      </c>
      <c r="D79" s="690" t="s">
        <v>4671</v>
      </c>
      <c r="E79" s="797">
        <v>116</v>
      </c>
      <c r="F79" s="692">
        <v>0</v>
      </c>
      <c r="G79" s="693">
        <f t="shared" si="10"/>
        <v>116</v>
      </c>
      <c r="H79" s="694"/>
      <c r="I79" s="695">
        <v>5.89</v>
      </c>
      <c r="J79" s="765">
        <f t="shared" si="11"/>
        <v>683.24</v>
      </c>
    </row>
    <row r="80" spans="1:10" ht="15.75" customHeight="1" x14ac:dyDescent="0.25">
      <c r="A80" s="690" t="str">
        <f t="shared" si="9"/>
        <v>SANITÁRIO</v>
      </c>
      <c r="B80" s="796" t="s">
        <v>433</v>
      </c>
      <c r="C80" s="690" t="s">
        <v>4606</v>
      </c>
      <c r="D80" s="690" t="s">
        <v>4672</v>
      </c>
      <c r="E80" s="797">
        <v>4</v>
      </c>
      <c r="F80" s="692">
        <v>0</v>
      </c>
      <c r="G80" s="693">
        <f t="shared" si="10"/>
        <v>4</v>
      </c>
      <c r="H80" s="694"/>
      <c r="I80" s="695">
        <v>1.631</v>
      </c>
      <c r="J80" s="765">
        <f t="shared" si="11"/>
        <v>6.524</v>
      </c>
    </row>
    <row r="81" spans="1:10" ht="15.75" customHeight="1" x14ac:dyDescent="0.25">
      <c r="A81" s="690" t="str">
        <f t="shared" si="9"/>
        <v>SANITÁRIO</v>
      </c>
      <c r="B81" s="796" t="s">
        <v>433</v>
      </c>
      <c r="C81" s="690" t="s">
        <v>4606</v>
      </c>
      <c r="D81" s="690" t="s">
        <v>4673</v>
      </c>
      <c r="E81" s="797">
        <v>2</v>
      </c>
      <c r="F81" s="692">
        <v>0</v>
      </c>
      <c r="G81" s="693">
        <f t="shared" si="10"/>
        <v>2</v>
      </c>
      <c r="H81" s="694"/>
      <c r="I81" s="695">
        <v>4.88</v>
      </c>
      <c r="J81" s="765">
        <f t="shared" si="11"/>
        <v>9.76</v>
      </c>
    </row>
    <row r="82" spans="1:10" ht="15.75" customHeight="1" x14ac:dyDescent="0.25">
      <c r="A82" s="690" t="str">
        <f t="shared" si="9"/>
        <v>SANITÁRIO</v>
      </c>
      <c r="B82" s="796" t="s">
        <v>433</v>
      </c>
      <c r="C82" s="690" t="s">
        <v>4606</v>
      </c>
      <c r="D82" s="690" t="s">
        <v>4674</v>
      </c>
      <c r="E82" s="797">
        <v>16</v>
      </c>
      <c r="F82" s="692">
        <v>0</v>
      </c>
      <c r="G82" s="693">
        <f t="shared" si="10"/>
        <v>16</v>
      </c>
      <c r="H82" s="694"/>
      <c r="I82" s="695">
        <v>5.9980000000000002</v>
      </c>
      <c r="J82" s="765">
        <f t="shared" si="11"/>
        <v>95.968000000000004</v>
      </c>
    </row>
    <row r="83" spans="1:10" ht="15.75" customHeight="1" x14ac:dyDescent="0.25">
      <c r="A83" s="690" t="str">
        <f t="shared" si="9"/>
        <v>SANITÁRIO</v>
      </c>
      <c r="B83" s="796" t="s">
        <v>433</v>
      </c>
      <c r="C83" s="690" t="s">
        <v>4606</v>
      </c>
      <c r="D83" s="690" t="s">
        <v>4675</v>
      </c>
      <c r="E83" s="797">
        <v>297</v>
      </c>
      <c r="F83" s="692">
        <v>0</v>
      </c>
      <c r="G83" s="693">
        <f t="shared" si="10"/>
        <v>297</v>
      </c>
      <c r="H83" s="694"/>
      <c r="I83" s="695">
        <v>1.49</v>
      </c>
      <c r="J83" s="765">
        <f t="shared" si="11"/>
        <v>442.53</v>
      </c>
    </row>
    <row r="84" spans="1:10" ht="15.75" customHeight="1" x14ac:dyDescent="0.25">
      <c r="A84" s="690" t="str">
        <f t="shared" si="9"/>
        <v>SANITÁRIO</v>
      </c>
      <c r="B84" s="796" t="s">
        <v>433</v>
      </c>
      <c r="C84" s="690" t="s">
        <v>4606</v>
      </c>
      <c r="D84" s="690" t="s">
        <v>4676</v>
      </c>
      <c r="E84" s="797">
        <v>672</v>
      </c>
      <c r="F84" s="692">
        <v>0</v>
      </c>
      <c r="G84" s="693">
        <f t="shared" si="10"/>
        <v>672</v>
      </c>
      <c r="H84" s="694"/>
      <c r="I84" s="695">
        <v>2.3479999999999999</v>
      </c>
      <c r="J84" s="765">
        <f t="shared" si="11"/>
        <v>1577.856</v>
      </c>
    </row>
    <row r="85" spans="1:10" ht="15.75" customHeight="1" x14ac:dyDescent="0.25">
      <c r="A85" s="690" t="str">
        <f t="shared" si="9"/>
        <v>SANITÁRIO</v>
      </c>
      <c r="B85" s="796" t="s">
        <v>433</v>
      </c>
      <c r="C85" s="690" t="s">
        <v>4606</v>
      </c>
      <c r="D85" s="690" t="s">
        <v>4677</v>
      </c>
      <c r="E85" s="797">
        <v>22</v>
      </c>
      <c r="F85" s="692">
        <v>0</v>
      </c>
      <c r="G85" s="693">
        <f t="shared" si="10"/>
        <v>22</v>
      </c>
      <c r="H85" s="694"/>
      <c r="I85" s="695">
        <v>5.9610000000000003</v>
      </c>
      <c r="J85" s="765">
        <f t="shared" si="11"/>
        <v>131.142</v>
      </c>
    </row>
    <row r="86" spans="1:10" ht="15.75" customHeight="1" x14ac:dyDescent="0.25">
      <c r="A86" s="690" t="str">
        <f t="shared" si="9"/>
        <v>SANITÁRIO</v>
      </c>
      <c r="B86" s="796" t="s">
        <v>433</v>
      </c>
      <c r="C86" s="690" t="s">
        <v>4606</v>
      </c>
      <c r="D86" s="690" t="s">
        <v>4678</v>
      </c>
      <c r="E86" s="797">
        <v>649</v>
      </c>
      <c r="F86" s="692">
        <v>0</v>
      </c>
      <c r="G86" s="693">
        <f t="shared" si="10"/>
        <v>649</v>
      </c>
      <c r="H86" s="694"/>
      <c r="I86" s="695">
        <v>5.44</v>
      </c>
      <c r="J86" s="765">
        <f t="shared" si="11"/>
        <v>3530.5600000000004</v>
      </c>
    </row>
    <row r="87" spans="1:10" ht="15.75" customHeight="1" x14ac:dyDescent="0.25">
      <c r="A87" s="690" t="str">
        <f t="shared" si="9"/>
        <v>SANITÁRIO</v>
      </c>
      <c r="B87" s="796" t="s">
        <v>433</v>
      </c>
      <c r="C87" s="690" t="s">
        <v>4606</v>
      </c>
      <c r="D87" s="690" t="s">
        <v>4679</v>
      </c>
      <c r="E87" s="797">
        <v>382</v>
      </c>
      <c r="F87" s="692">
        <v>0</v>
      </c>
      <c r="G87" s="693">
        <f t="shared" si="10"/>
        <v>382</v>
      </c>
      <c r="H87" s="694"/>
      <c r="I87" s="695">
        <v>1.046</v>
      </c>
      <c r="J87" s="765">
        <f t="shared" si="11"/>
        <v>399.572</v>
      </c>
    </row>
    <row r="88" spans="1:10" ht="15.75" customHeight="1" x14ac:dyDescent="0.25">
      <c r="A88" s="690" t="str">
        <f t="shared" si="9"/>
        <v>SANITÁRIO</v>
      </c>
      <c r="B88" s="796" t="s">
        <v>433</v>
      </c>
      <c r="C88" s="690" t="s">
        <v>4606</v>
      </c>
      <c r="D88" s="690" t="s">
        <v>4680</v>
      </c>
      <c r="E88" s="797">
        <v>637</v>
      </c>
      <c r="F88" s="692">
        <v>0</v>
      </c>
      <c r="G88" s="693">
        <f t="shared" si="10"/>
        <v>637</v>
      </c>
      <c r="H88" s="694"/>
      <c r="I88" s="695">
        <v>2.02</v>
      </c>
      <c r="J88" s="765">
        <f t="shared" si="11"/>
        <v>1286.74</v>
      </c>
    </row>
    <row r="89" spans="1:10" ht="15.75" customHeight="1" x14ac:dyDescent="0.25">
      <c r="A89" s="690" t="str">
        <f t="shared" si="9"/>
        <v>SANITÁRIO</v>
      </c>
      <c r="B89" s="796" t="s">
        <v>433</v>
      </c>
      <c r="C89" s="690" t="s">
        <v>4606</v>
      </c>
      <c r="D89" s="690" t="s">
        <v>4681</v>
      </c>
      <c r="E89" s="797">
        <v>21</v>
      </c>
      <c r="F89" s="692">
        <v>0</v>
      </c>
      <c r="G89" s="693">
        <f t="shared" si="10"/>
        <v>21</v>
      </c>
      <c r="H89" s="694"/>
      <c r="I89" s="695">
        <v>4.492</v>
      </c>
      <c r="J89" s="765">
        <f t="shared" si="11"/>
        <v>94.331999999999994</v>
      </c>
    </row>
    <row r="90" spans="1:10" ht="15.75" customHeight="1" x14ac:dyDescent="0.25">
      <c r="A90" s="690" t="str">
        <f t="shared" si="9"/>
        <v>SANITÁRIO</v>
      </c>
      <c r="B90" s="796" t="s">
        <v>433</v>
      </c>
      <c r="C90" s="690" t="s">
        <v>4606</v>
      </c>
      <c r="D90" s="690" t="s">
        <v>4682</v>
      </c>
      <c r="E90" s="797">
        <v>336</v>
      </c>
      <c r="F90" s="692">
        <v>0</v>
      </c>
      <c r="G90" s="693">
        <f t="shared" si="10"/>
        <v>336</v>
      </c>
      <c r="H90" s="694"/>
      <c r="I90" s="695">
        <v>4.718</v>
      </c>
      <c r="J90" s="765">
        <f t="shared" si="11"/>
        <v>1585.248</v>
      </c>
    </row>
    <row r="91" spans="1:10" ht="15.75" customHeight="1" x14ac:dyDescent="0.25">
      <c r="A91" s="690" t="str">
        <f t="shared" si="9"/>
        <v>SANITÁRIO</v>
      </c>
      <c r="B91" s="796" t="s">
        <v>433</v>
      </c>
      <c r="C91" s="690" t="s">
        <v>4606</v>
      </c>
      <c r="D91" s="690" t="s">
        <v>4683</v>
      </c>
      <c r="E91" s="797">
        <v>5</v>
      </c>
      <c r="F91" s="692">
        <v>0</v>
      </c>
      <c r="G91" s="693">
        <f t="shared" si="10"/>
        <v>5</v>
      </c>
      <c r="H91" s="694"/>
      <c r="I91" s="695">
        <v>3.238</v>
      </c>
      <c r="J91" s="765">
        <f t="shared" si="11"/>
        <v>16.190000000000001</v>
      </c>
    </row>
    <row r="92" spans="1:10" ht="15.75" customHeight="1" x14ac:dyDescent="0.25">
      <c r="A92" s="690" t="str">
        <f t="shared" si="9"/>
        <v>SANITÁRIO</v>
      </c>
      <c r="B92" s="796" t="s">
        <v>433</v>
      </c>
      <c r="C92" s="690" t="s">
        <v>4606</v>
      </c>
      <c r="D92" s="690" t="s">
        <v>4684</v>
      </c>
      <c r="E92" s="797">
        <v>73</v>
      </c>
      <c r="F92" s="692">
        <v>0</v>
      </c>
      <c r="G92" s="693">
        <f t="shared" si="10"/>
        <v>73</v>
      </c>
      <c r="H92" s="694"/>
      <c r="I92" s="695">
        <v>7.8639999999999999</v>
      </c>
      <c r="J92" s="765">
        <f t="shared" si="11"/>
        <v>574.072</v>
      </c>
    </row>
    <row r="93" spans="1:10" ht="15.75" customHeight="1" x14ac:dyDescent="0.25">
      <c r="A93" s="690" t="str">
        <f t="shared" si="9"/>
        <v>SANITÁRIO</v>
      </c>
      <c r="B93" s="796" t="s">
        <v>433</v>
      </c>
      <c r="C93" s="690" t="s">
        <v>4606</v>
      </c>
      <c r="D93" s="690" t="s">
        <v>4685</v>
      </c>
      <c r="E93" s="797">
        <v>21</v>
      </c>
      <c r="F93" s="692">
        <v>0</v>
      </c>
      <c r="G93" s="693">
        <f t="shared" si="10"/>
        <v>21</v>
      </c>
      <c r="H93" s="694"/>
      <c r="I93" s="695">
        <v>18.93</v>
      </c>
      <c r="J93" s="765">
        <f t="shared" si="11"/>
        <v>397.53</v>
      </c>
    </row>
    <row r="94" spans="1:10" ht="15.75" customHeight="1" x14ac:dyDescent="0.25">
      <c r="A94" s="690" t="str">
        <f t="shared" si="9"/>
        <v>SANITÁRIO</v>
      </c>
      <c r="B94" s="796" t="s">
        <v>433</v>
      </c>
      <c r="C94" s="690" t="s">
        <v>4606</v>
      </c>
      <c r="D94" s="690" t="s">
        <v>4686</v>
      </c>
      <c r="E94" s="797">
        <v>1</v>
      </c>
      <c r="F94" s="692">
        <v>0</v>
      </c>
      <c r="G94" s="693">
        <f t="shared" si="10"/>
        <v>1</v>
      </c>
      <c r="H94" s="694"/>
      <c r="I94" s="695">
        <v>18.369</v>
      </c>
      <c r="J94" s="765">
        <f t="shared" si="11"/>
        <v>18.369</v>
      </c>
    </row>
    <row r="95" spans="1:10" ht="15.75" customHeight="1" x14ac:dyDescent="0.25">
      <c r="A95" s="690" t="str">
        <f t="shared" si="9"/>
        <v>SANITÁRIO</v>
      </c>
      <c r="B95" s="796" t="s">
        <v>433</v>
      </c>
      <c r="C95" s="690" t="s">
        <v>4606</v>
      </c>
      <c r="D95" s="690" t="s">
        <v>4687</v>
      </c>
      <c r="E95" s="797">
        <v>258</v>
      </c>
      <c r="F95" s="692">
        <v>0</v>
      </c>
      <c r="G95" s="693">
        <f t="shared" si="10"/>
        <v>258</v>
      </c>
      <c r="H95" s="694"/>
      <c r="I95" s="695">
        <v>15.795</v>
      </c>
      <c r="J95" s="765">
        <f t="shared" si="11"/>
        <v>4075.11</v>
      </c>
    </row>
    <row r="96" spans="1:10" ht="15.75" customHeight="1" x14ac:dyDescent="0.25">
      <c r="A96" s="690" t="str">
        <f t="shared" si="9"/>
        <v>SANITÁRIO</v>
      </c>
      <c r="B96" s="796" t="s">
        <v>433</v>
      </c>
      <c r="C96" s="690" t="s">
        <v>4606</v>
      </c>
      <c r="D96" s="690" t="s">
        <v>4688</v>
      </c>
      <c r="E96" s="797">
        <v>3</v>
      </c>
      <c r="F96" s="692">
        <v>0</v>
      </c>
      <c r="G96" s="693">
        <f t="shared" si="10"/>
        <v>3</v>
      </c>
      <c r="H96" s="694"/>
      <c r="I96" s="695">
        <v>40.529000000000003</v>
      </c>
      <c r="J96" s="765">
        <f t="shared" si="11"/>
        <v>121.58700000000002</v>
      </c>
    </row>
    <row r="97" spans="1:10" ht="15.75" customHeight="1" x14ac:dyDescent="0.25">
      <c r="A97" s="690" t="str">
        <f t="shared" si="9"/>
        <v>SANITÁRIO</v>
      </c>
      <c r="B97" s="796" t="s">
        <v>433</v>
      </c>
      <c r="C97" s="690" t="s">
        <v>4606</v>
      </c>
      <c r="D97" s="690" t="s">
        <v>4689</v>
      </c>
      <c r="E97" s="797">
        <v>114</v>
      </c>
      <c r="F97" s="692">
        <v>0</v>
      </c>
      <c r="G97" s="693">
        <f t="shared" si="10"/>
        <v>114</v>
      </c>
      <c r="H97" s="694"/>
      <c r="I97" s="695">
        <v>18.033000000000001</v>
      </c>
      <c r="J97" s="765">
        <f t="shared" si="11"/>
        <v>2055.7620000000002</v>
      </c>
    </row>
    <row r="98" spans="1:10" ht="15.75" customHeight="1" x14ac:dyDescent="0.25">
      <c r="A98" s="690" t="str">
        <f t="shared" si="9"/>
        <v>SANITÁRIO</v>
      </c>
      <c r="B98" s="796" t="s">
        <v>433</v>
      </c>
      <c r="C98" s="690" t="s">
        <v>4606</v>
      </c>
      <c r="D98" s="690" t="s">
        <v>4690</v>
      </c>
      <c r="E98" s="797">
        <v>7</v>
      </c>
      <c r="F98" s="692">
        <v>0</v>
      </c>
      <c r="G98" s="693">
        <f t="shared" si="10"/>
        <v>7</v>
      </c>
      <c r="H98" s="694"/>
      <c r="I98" s="695">
        <v>1.1339999999999999</v>
      </c>
      <c r="J98" s="765">
        <f t="shared" si="11"/>
        <v>7.9379999999999988</v>
      </c>
    </row>
    <row r="99" spans="1:10" ht="15.75" customHeight="1" x14ac:dyDescent="0.25">
      <c r="A99" s="690" t="str">
        <f t="shared" si="9"/>
        <v>SANITÁRIO</v>
      </c>
      <c r="B99" s="796" t="s">
        <v>433</v>
      </c>
      <c r="C99" s="690" t="s">
        <v>4606</v>
      </c>
      <c r="D99" s="690" t="s">
        <v>4691</v>
      </c>
      <c r="E99" s="797">
        <v>1344</v>
      </c>
      <c r="F99" s="692">
        <v>0</v>
      </c>
      <c r="G99" s="693">
        <f t="shared" si="10"/>
        <v>1344</v>
      </c>
      <c r="H99" s="694"/>
      <c r="I99" s="695">
        <v>2</v>
      </c>
      <c r="J99" s="765">
        <f t="shared" si="11"/>
        <v>2688</v>
      </c>
    </row>
    <row r="100" spans="1:10" ht="15.75" customHeight="1" x14ac:dyDescent="0.25">
      <c r="A100" s="690" t="str">
        <f t="shared" si="9"/>
        <v>SANITÁRIO</v>
      </c>
      <c r="B100" s="796" t="s">
        <v>433</v>
      </c>
      <c r="C100" s="690" t="s">
        <v>4606</v>
      </c>
      <c r="D100" s="690" t="s">
        <v>4692</v>
      </c>
      <c r="E100" s="797">
        <v>67</v>
      </c>
      <c r="F100" s="692">
        <v>0</v>
      </c>
      <c r="G100" s="693">
        <f t="shared" si="10"/>
        <v>67</v>
      </c>
      <c r="H100" s="694"/>
      <c r="I100" s="695">
        <v>4.101</v>
      </c>
      <c r="J100" s="765">
        <f t="shared" si="11"/>
        <v>274.767</v>
      </c>
    </row>
    <row r="101" spans="1:10" ht="15.75" customHeight="1" x14ac:dyDescent="0.25">
      <c r="A101" s="690" t="str">
        <f t="shared" si="9"/>
        <v>SANITÁRIO</v>
      </c>
      <c r="B101" s="796" t="s">
        <v>433</v>
      </c>
      <c r="C101" s="690" t="s">
        <v>4606</v>
      </c>
      <c r="D101" s="690" t="s">
        <v>4693</v>
      </c>
      <c r="E101" s="797">
        <v>1365</v>
      </c>
      <c r="F101" s="692">
        <v>0</v>
      </c>
      <c r="G101" s="693">
        <f t="shared" si="10"/>
        <v>1365</v>
      </c>
      <c r="H101" s="694"/>
      <c r="I101" s="695">
        <v>4.101</v>
      </c>
      <c r="J101" s="765">
        <f t="shared" si="11"/>
        <v>5597.8649999999998</v>
      </c>
    </row>
    <row r="102" spans="1:10" ht="15.75" customHeight="1" x14ac:dyDescent="0.25">
      <c r="A102" s="690" t="str">
        <f t="shared" si="9"/>
        <v>SANITÁRIO</v>
      </c>
      <c r="B102" s="796" t="s">
        <v>433</v>
      </c>
      <c r="C102" s="690" t="s">
        <v>4606</v>
      </c>
      <c r="D102" s="690" t="s">
        <v>4694</v>
      </c>
      <c r="E102" s="797">
        <v>3</v>
      </c>
      <c r="F102" s="692">
        <v>0</v>
      </c>
      <c r="G102" s="693">
        <f t="shared" si="10"/>
        <v>3</v>
      </c>
      <c r="H102" s="694"/>
      <c r="I102" s="695">
        <v>20.32</v>
      </c>
      <c r="J102" s="765">
        <f t="shared" si="11"/>
        <v>60.96</v>
      </c>
    </row>
    <row r="103" spans="1:10" ht="15.75" customHeight="1" x14ac:dyDescent="0.25">
      <c r="A103" s="690" t="str">
        <f t="shared" si="9"/>
        <v>SANITÁRIO</v>
      </c>
      <c r="B103" s="796" t="s">
        <v>433</v>
      </c>
      <c r="C103" s="690" t="s">
        <v>4606</v>
      </c>
      <c r="D103" s="690" t="s">
        <v>4695</v>
      </c>
      <c r="E103" s="797">
        <v>2</v>
      </c>
      <c r="F103" s="692">
        <v>0</v>
      </c>
      <c r="G103" s="693">
        <f t="shared" si="10"/>
        <v>2</v>
      </c>
      <c r="H103" s="694"/>
      <c r="I103" s="695">
        <v>5.7549999999999999</v>
      </c>
      <c r="J103" s="765">
        <f t="shared" si="11"/>
        <v>11.51</v>
      </c>
    </row>
    <row r="104" spans="1:10" ht="15.75" customHeight="1" x14ac:dyDescent="0.25">
      <c r="A104" s="690" t="str">
        <f t="shared" si="9"/>
        <v>SANITÁRIO</v>
      </c>
      <c r="B104" s="796" t="s">
        <v>433</v>
      </c>
      <c r="C104" s="690" t="s">
        <v>4606</v>
      </c>
      <c r="D104" s="690" t="s">
        <v>4696</v>
      </c>
      <c r="E104" s="797">
        <v>6</v>
      </c>
      <c r="F104" s="692">
        <v>0</v>
      </c>
      <c r="G104" s="693">
        <f t="shared" si="10"/>
        <v>6</v>
      </c>
      <c r="H104" s="694"/>
      <c r="I104" s="695">
        <v>5.399</v>
      </c>
      <c r="J104" s="765">
        <f t="shared" si="11"/>
        <v>32.393999999999998</v>
      </c>
    </row>
    <row r="105" spans="1:10" ht="15.75" customHeight="1" x14ac:dyDescent="0.25">
      <c r="A105" s="690" t="str">
        <f t="shared" si="9"/>
        <v>SANITÁRIO</v>
      </c>
      <c r="B105" s="796" t="s">
        <v>433</v>
      </c>
      <c r="C105" s="690" t="s">
        <v>4606</v>
      </c>
      <c r="D105" s="690" t="s">
        <v>4697</v>
      </c>
      <c r="E105" s="797">
        <v>2</v>
      </c>
      <c r="F105" s="692">
        <v>0</v>
      </c>
      <c r="G105" s="693">
        <f t="shared" si="10"/>
        <v>2</v>
      </c>
      <c r="H105" s="694"/>
      <c r="I105" s="695">
        <v>8.7829999999999995</v>
      </c>
      <c r="J105" s="765">
        <f t="shared" si="11"/>
        <v>17.565999999999999</v>
      </c>
    </row>
    <row r="106" spans="1:10" ht="15.75" customHeight="1" x14ac:dyDescent="0.25">
      <c r="A106" s="690" t="str">
        <f t="shared" si="9"/>
        <v>SANITÁRIO</v>
      </c>
      <c r="B106" s="796" t="s">
        <v>433</v>
      </c>
      <c r="C106" s="690" t="s">
        <v>4606</v>
      </c>
      <c r="D106" s="690" t="s">
        <v>4698</v>
      </c>
      <c r="E106" s="797">
        <v>2</v>
      </c>
      <c r="F106" s="692">
        <v>0</v>
      </c>
      <c r="G106" s="693">
        <f t="shared" si="10"/>
        <v>2</v>
      </c>
      <c r="H106" s="694"/>
      <c r="I106" s="695">
        <v>1.984</v>
      </c>
      <c r="J106" s="765">
        <f t="shared" si="11"/>
        <v>3.968</v>
      </c>
    </row>
    <row r="107" spans="1:10" ht="15.75" customHeight="1" x14ac:dyDescent="0.25">
      <c r="A107" s="690" t="str">
        <f t="shared" si="9"/>
        <v>SANITÁRIO</v>
      </c>
      <c r="B107" s="796" t="s">
        <v>433</v>
      </c>
      <c r="C107" s="690" t="s">
        <v>4606</v>
      </c>
      <c r="D107" s="690" t="s">
        <v>4699</v>
      </c>
      <c r="E107" s="797">
        <v>184</v>
      </c>
      <c r="F107" s="692">
        <v>0</v>
      </c>
      <c r="G107" s="693">
        <f t="shared" si="10"/>
        <v>184</v>
      </c>
      <c r="H107" s="694"/>
      <c r="I107" s="695">
        <v>5.2990000000000004</v>
      </c>
      <c r="J107" s="765">
        <f t="shared" si="11"/>
        <v>975.01600000000008</v>
      </c>
    </row>
    <row r="108" spans="1:10" ht="15.75" customHeight="1" x14ac:dyDescent="0.25">
      <c r="A108" s="690" t="str">
        <f t="shared" si="9"/>
        <v>SANITÁRIO</v>
      </c>
      <c r="B108" s="796" t="s">
        <v>433</v>
      </c>
      <c r="C108" s="690" t="s">
        <v>4606</v>
      </c>
      <c r="D108" s="690" t="s">
        <v>4700</v>
      </c>
      <c r="E108" s="797">
        <v>1</v>
      </c>
      <c r="F108" s="692">
        <v>0</v>
      </c>
      <c r="G108" s="693">
        <f t="shared" si="10"/>
        <v>1</v>
      </c>
      <c r="H108" s="694"/>
      <c r="I108" s="695">
        <v>11.193</v>
      </c>
      <c r="J108" s="765">
        <f t="shared" si="11"/>
        <v>11.193</v>
      </c>
    </row>
    <row r="109" spans="1:10" ht="15.75" customHeight="1" x14ac:dyDescent="0.25">
      <c r="A109" s="690" t="str">
        <f t="shared" si="9"/>
        <v>SANITÁRIO</v>
      </c>
      <c r="B109" s="796" t="s">
        <v>433</v>
      </c>
      <c r="C109" s="690" t="s">
        <v>4606</v>
      </c>
      <c r="D109" s="690" t="s">
        <v>4701</v>
      </c>
      <c r="E109" s="797">
        <v>3</v>
      </c>
      <c r="F109" s="692">
        <v>0</v>
      </c>
      <c r="G109" s="693">
        <f t="shared" si="10"/>
        <v>3</v>
      </c>
      <c r="H109" s="694"/>
      <c r="I109" s="695">
        <v>12.327999999999999</v>
      </c>
      <c r="J109" s="765">
        <f t="shared" si="11"/>
        <v>36.983999999999995</v>
      </c>
    </row>
    <row r="110" spans="1:10" ht="15.75" customHeight="1" x14ac:dyDescent="0.25">
      <c r="A110" s="690" t="str">
        <f t="shared" si="9"/>
        <v>SANITÁRIO</v>
      </c>
      <c r="B110" s="796" t="s">
        <v>433</v>
      </c>
      <c r="C110" s="690" t="s">
        <v>4606</v>
      </c>
      <c r="D110" s="690" t="s">
        <v>4702</v>
      </c>
      <c r="E110" s="797">
        <v>49</v>
      </c>
      <c r="F110" s="692">
        <v>0</v>
      </c>
      <c r="G110" s="693">
        <f t="shared" si="10"/>
        <v>49</v>
      </c>
      <c r="H110" s="694"/>
      <c r="I110" s="695">
        <v>9.673</v>
      </c>
      <c r="J110" s="765">
        <f t="shared" si="11"/>
        <v>473.97699999999998</v>
      </c>
    </row>
    <row r="111" spans="1:10" ht="15.75" customHeight="1" x14ac:dyDescent="0.25">
      <c r="A111" s="690" t="str">
        <f t="shared" si="9"/>
        <v>SANITÁRIO</v>
      </c>
      <c r="B111" s="796" t="s">
        <v>433</v>
      </c>
      <c r="C111" s="690" t="s">
        <v>4606</v>
      </c>
      <c r="D111" s="690" t="s">
        <v>4703</v>
      </c>
      <c r="E111" s="797">
        <v>2</v>
      </c>
      <c r="F111" s="692">
        <v>0</v>
      </c>
      <c r="G111" s="693">
        <f t="shared" si="10"/>
        <v>2</v>
      </c>
      <c r="H111" s="694"/>
      <c r="I111" s="695">
        <v>25.896000000000001</v>
      </c>
      <c r="J111" s="765">
        <f t="shared" si="11"/>
        <v>51.792000000000002</v>
      </c>
    </row>
    <row r="112" spans="1:10" ht="15.75" customHeight="1" x14ac:dyDescent="0.25">
      <c r="A112" s="690" t="str">
        <f t="shared" si="9"/>
        <v>SANITÁRIO</v>
      </c>
      <c r="B112" s="796" t="s">
        <v>433</v>
      </c>
      <c r="C112" s="690" t="s">
        <v>4606</v>
      </c>
      <c r="D112" s="690" t="s">
        <v>4704</v>
      </c>
      <c r="E112" s="797">
        <v>52</v>
      </c>
      <c r="F112" s="692">
        <v>0</v>
      </c>
      <c r="G112" s="693">
        <f t="shared" si="10"/>
        <v>52</v>
      </c>
      <c r="H112" s="694"/>
      <c r="I112" s="695">
        <v>11.68</v>
      </c>
      <c r="J112" s="765">
        <f t="shared" si="11"/>
        <v>607.36</v>
      </c>
    </row>
    <row r="113" spans="1:10" ht="15.75" customHeight="1" x14ac:dyDescent="0.25">
      <c r="A113" s="682" t="s">
        <v>4597</v>
      </c>
      <c r="B113" s="802"/>
      <c r="C113" s="684"/>
      <c r="D113" s="684"/>
      <c r="E113" s="803"/>
      <c r="F113" s="685"/>
      <c r="G113" s="685"/>
      <c r="H113" s="685"/>
      <c r="I113" s="686"/>
      <c r="J113" s="773">
        <f>IF(SUM(E113:I113)=0,SUMIFS($J114:$J$155,$A114:$A$155,$A113),G113*I113)</f>
        <v>79476.644</v>
      </c>
    </row>
    <row r="114" spans="1:10" ht="15.75" customHeight="1" x14ac:dyDescent="0.25">
      <c r="A114" s="690" t="str">
        <f t="shared" ref="A114:A124" si="12">A113</f>
        <v xml:space="preserve">PEÇAS </v>
      </c>
      <c r="B114" s="796" t="s">
        <v>432</v>
      </c>
      <c r="C114" s="690" t="s">
        <v>4705</v>
      </c>
      <c r="D114" s="690" t="s">
        <v>4706</v>
      </c>
      <c r="E114" s="797">
        <v>3</v>
      </c>
      <c r="F114" s="692">
        <v>0</v>
      </c>
      <c r="G114" s="693">
        <f t="shared" ref="G114:G124" si="13">E114+(E114*F114)</f>
        <v>3</v>
      </c>
      <c r="H114" s="694"/>
      <c r="I114" s="695">
        <f>'HIDRO - PREÇO'!E19</f>
        <v>19106.21</v>
      </c>
      <c r="J114" s="765">
        <f t="shared" ref="J114:J124" si="14">G114*I114</f>
        <v>57318.63</v>
      </c>
    </row>
    <row r="115" spans="1:10" ht="15.75" customHeight="1" x14ac:dyDescent="0.25">
      <c r="A115" s="690" t="str">
        <f t="shared" si="12"/>
        <v xml:space="preserve">PEÇAS </v>
      </c>
      <c r="B115" s="796" t="s">
        <v>433</v>
      </c>
      <c r="C115" s="690" t="s">
        <v>4606</v>
      </c>
      <c r="D115" s="690" t="s">
        <v>4707</v>
      </c>
      <c r="E115" s="797">
        <v>56</v>
      </c>
      <c r="F115" s="692">
        <v>0</v>
      </c>
      <c r="G115" s="693">
        <f t="shared" si="13"/>
        <v>56</v>
      </c>
      <c r="H115" s="694"/>
      <c r="I115" s="695">
        <v>15.65</v>
      </c>
      <c r="J115" s="765">
        <f t="shared" si="14"/>
        <v>876.4</v>
      </c>
    </row>
    <row r="116" spans="1:10" ht="15.75" customHeight="1" x14ac:dyDescent="0.25">
      <c r="A116" s="690" t="str">
        <f t="shared" si="12"/>
        <v xml:space="preserve">PEÇAS </v>
      </c>
      <c r="B116" s="796" t="s">
        <v>433</v>
      </c>
      <c r="C116" s="690" t="s">
        <v>4606</v>
      </c>
      <c r="D116" s="690" t="s">
        <v>4708</v>
      </c>
      <c r="E116" s="797">
        <v>144</v>
      </c>
      <c r="F116" s="692">
        <v>0</v>
      </c>
      <c r="G116" s="693">
        <f t="shared" si="13"/>
        <v>144</v>
      </c>
      <c r="H116" s="694"/>
      <c r="I116" s="695">
        <v>24.556999999999999</v>
      </c>
      <c r="J116" s="765">
        <f t="shared" si="14"/>
        <v>3536.2079999999996</v>
      </c>
    </row>
    <row r="117" spans="1:10" ht="15.75" customHeight="1" x14ac:dyDescent="0.25">
      <c r="A117" s="690" t="str">
        <f t="shared" si="12"/>
        <v xml:space="preserve">PEÇAS </v>
      </c>
      <c r="B117" s="796" t="s">
        <v>433</v>
      </c>
      <c r="C117" s="690" t="s">
        <v>4606</v>
      </c>
      <c r="D117" s="690" t="s">
        <v>4709</v>
      </c>
      <c r="E117" s="797">
        <v>56</v>
      </c>
      <c r="F117" s="692">
        <v>0</v>
      </c>
      <c r="G117" s="693">
        <f t="shared" si="13"/>
        <v>56</v>
      </c>
      <c r="H117" s="694"/>
      <c r="I117" s="695">
        <v>11.731999999999999</v>
      </c>
      <c r="J117" s="765">
        <f t="shared" si="14"/>
        <v>656.99199999999996</v>
      </c>
    </row>
    <row r="118" spans="1:10" ht="15.75" customHeight="1" x14ac:dyDescent="0.25">
      <c r="A118" s="690" t="str">
        <f t="shared" si="12"/>
        <v xml:space="preserve">PEÇAS </v>
      </c>
      <c r="B118" s="796" t="s">
        <v>433</v>
      </c>
      <c r="C118" s="690" t="s">
        <v>4606</v>
      </c>
      <c r="D118" s="690" t="s">
        <v>4710</v>
      </c>
      <c r="E118" s="797">
        <v>13</v>
      </c>
      <c r="F118" s="692">
        <v>0</v>
      </c>
      <c r="G118" s="693">
        <f t="shared" si="13"/>
        <v>13</v>
      </c>
      <c r="H118" s="694"/>
      <c r="I118" s="695">
        <v>38.241</v>
      </c>
      <c r="J118" s="765">
        <f t="shared" si="14"/>
        <v>497.13299999999998</v>
      </c>
    </row>
    <row r="119" spans="1:10" ht="15.75" customHeight="1" x14ac:dyDescent="0.25">
      <c r="A119" s="690" t="str">
        <f t="shared" si="12"/>
        <v xml:space="preserve">PEÇAS </v>
      </c>
      <c r="B119" s="796" t="s">
        <v>433</v>
      </c>
      <c r="C119" s="690" t="s">
        <v>4606</v>
      </c>
      <c r="D119" s="690" t="s">
        <v>4711</v>
      </c>
      <c r="E119" s="797">
        <v>8</v>
      </c>
      <c r="F119" s="692">
        <v>0</v>
      </c>
      <c r="G119" s="693">
        <f t="shared" si="13"/>
        <v>8</v>
      </c>
      <c r="H119" s="694"/>
      <c r="I119" s="695">
        <v>56.2</v>
      </c>
      <c r="J119" s="765">
        <f t="shared" si="14"/>
        <v>449.6</v>
      </c>
    </row>
    <row r="120" spans="1:10" ht="15.75" customHeight="1" x14ac:dyDescent="0.25">
      <c r="A120" s="690" t="str">
        <f t="shared" si="12"/>
        <v xml:space="preserve">PEÇAS </v>
      </c>
      <c r="B120" s="796" t="s">
        <v>433</v>
      </c>
      <c r="C120" s="690" t="s">
        <v>4606</v>
      </c>
      <c r="D120" s="690" t="s">
        <v>4712</v>
      </c>
      <c r="E120" s="797">
        <v>141</v>
      </c>
      <c r="F120" s="692">
        <v>0</v>
      </c>
      <c r="G120" s="693">
        <f t="shared" si="13"/>
        <v>141</v>
      </c>
      <c r="H120" s="694"/>
      <c r="I120" s="695">
        <v>25.872</v>
      </c>
      <c r="J120" s="765">
        <f t="shared" si="14"/>
        <v>3647.9519999999998</v>
      </c>
    </row>
    <row r="121" spans="1:10" ht="15.75" customHeight="1" x14ac:dyDescent="0.25">
      <c r="A121" s="690" t="str">
        <f t="shared" si="12"/>
        <v xml:space="preserve">PEÇAS </v>
      </c>
      <c r="B121" s="796" t="s">
        <v>433</v>
      </c>
      <c r="C121" s="690" t="s">
        <v>4606</v>
      </c>
      <c r="D121" s="690" t="s">
        <v>4713</v>
      </c>
      <c r="E121" s="797">
        <v>68</v>
      </c>
      <c r="F121" s="692">
        <v>0</v>
      </c>
      <c r="G121" s="693">
        <f t="shared" si="13"/>
        <v>68</v>
      </c>
      <c r="H121" s="694"/>
      <c r="I121" s="695">
        <v>12.58</v>
      </c>
      <c r="J121" s="765">
        <f t="shared" si="14"/>
        <v>855.44</v>
      </c>
    </row>
    <row r="122" spans="1:10" ht="15.75" customHeight="1" x14ac:dyDescent="0.25">
      <c r="A122" s="690" t="str">
        <f t="shared" si="12"/>
        <v xml:space="preserve">PEÇAS </v>
      </c>
      <c r="B122" s="796" t="s">
        <v>433</v>
      </c>
      <c r="C122" s="690" t="s">
        <v>4606</v>
      </c>
      <c r="D122" s="690" t="s">
        <v>4714</v>
      </c>
      <c r="E122" s="797">
        <v>45</v>
      </c>
      <c r="F122" s="692">
        <v>0</v>
      </c>
      <c r="G122" s="693">
        <f t="shared" si="13"/>
        <v>45</v>
      </c>
      <c r="H122" s="694"/>
      <c r="I122" s="695">
        <v>95.064999999999998</v>
      </c>
      <c r="J122" s="765">
        <f t="shared" si="14"/>
        <v>4277.9250000000002</v>
      </c>
    </row>
    <row r="123" spans="1:10" ht="15.75" customHeight="1" x14ac:dyDescent="0.25">
      <c r="A123" s="690" t="str">
        <f t="shared" si="12"/>
        <v xml:space="preserve">PEÇAS </v>
      </c>
      <c r="B123" s="796" t="s">
        <v>433</v>
      </c>
      <c r="C123" s="690" t="s">
        <v>4606</v>
      </c>
      <c r="D123" s="690" t="s">
        <v>4715</v>
      </c>
      <c r="E123" s="797">
        <v>55</v>
      </c>
      <c r="F123" s="692">
        <v>0</v>
      </c>
      <c r="G123" s="693">
        <f t="shared" si="13"/>
        <v>55</v>
      </c>
      <c r="H123" s="694"/>
      <c r="I123" s="695">
        <v>133.09100000000001</v>
      </c>
      <c r="J123" s="765">
        <f t="shared" si="14"/>
        <v>7320.0050000000001</v>
      </c>
    </row>
    <row r="124" spans="1:10" ht="15.75" customHeight="1" x14ac:dyDescent="0.25">
      <c r="A124" s="690" t="str">
        <f t="shared" si="12"/>
        <v xml:space="preserve">PEÇAS </v>
      </c>
      <c r="B124" s="796" t="s">
        <v>431</v>
      </c>
      <c r="C124" s="690" t="s">
        <v>4606</v>
      </c>
      <c r="D124" s="690" t="s">
        <v>4716</v>
      </c>
      <c r="E124" s="797">
        <v>1</v>
      </c>
      <c r="F124" s="692">
        <v>0</v>
      </c>
      <c r="G124" s="693">
        <f t="shared" si="13"/>
        <v>1</v>
      </c>
      <c r="H124" s="694"/>
      <c r="I124" s="695">
        <v>40.359000000000002</v>
      </c>
      <c r="J124" s="765">
        <f t="shared" si="14"/>
        <v>40.359000000000002</v>
      </c>
    </row>
    <row r="125" spans="1:10" ht="15.75" customHeight="1" x14ac:dyDescent="0.25">
      <c r="A125" s="682" t="s">
        <v>4598</v>
      </c>
      <c r="B125" s="802"/>
      <c r="C125" s="684"/>
      <c r="D125" s="684"/>
      <c r="E125" s="803"/>
      <c r="F125" s="685"/>
      <c r="G125" s="685"/>
      <c r="H125" s="685"/>
      <c r="I125" s="686"/>
      <c r="J125" s="773">
        <f>IF(SUM(E125:I125)=0,SUMIFS($J126:$J$155,$A126:$A$155,$A125),G125*I125)</f>
        <v>62211.924999999996</v>
      </c>
    </row>
    <row r="126" spans="1:10" ht="15.75" customHeight="1" x14ac:dyDescent="0.25">
      <c r="A126" s="690" t="str">
        <f t="shared" ref="A126:A146" si="15">A125</f>
        <v>REGISTROS E VÁLVULAS</v>
      </c>
      <c r="B126" s="796" t="s">
        <v>431</v>
      </c>
      <c r="C126" s="690" t="s">
        <v>4717</v>
      </c>
      <c r="D126" s="690" t="s">
        <v>4718</v>
      </c>
      <c r="E126" s="797">
        <v>387</v>
      </c>
      <c r="F126" s="692">
        <v>0</v>
      </c>
      <c r="G126" s="693">
        <f t="shared" ref="G126:G155" si="16">E126+(E126*F126)</f>
        <v>387</v>
      </c>
      <c r="H126" s="694"/>
      <c r="I126" s="695">
        <v>34.762999999999998</v>
      </c>
      <c r="J126" s="765">
        <f t="shared" ref="J126:J155" si="17">G126*I126</f>
        <v>13453.280999999999</v>
      </c>
    </row>
    <row r="127" spans="1:10" ht="15.75" customHeight="1" x14ac:dyDescent="0.25">
      <c r="A127" s="690" t="str">
        <f t="shared" si="15"/>
        <v>REGISTROS E VÁLVULAS</v>
      </c>
      <c r="B127" s="796" t="s">
        <v>431</v>
      </c>
      <c r="C127" s="690" t="s">
        <v>4717</v>
      </c>
      <c r="D127" s="690" t="s">
        <v>4719</v>
      </c>
      <c r="E127" s="797">
        <v>138</v>
      </c>
      <c r="F127" s="692">
        <v>0</v>
      </c>
      <c r="G127" s="693">
        <f t="shared" si="16"/>
        <v>138</v>
      </c>
      <c r="H127" s="694"/>
      <c r="I127" s="695">
        <v>30.184000000000001</v>
      </c>
      <c r="J127" s="765">
        <f t="shared" si="17"/>
        <v>4165.3919999999998</v>
      </c>
    </row>
    <row r="128" spans="1:10" ht="15.75" customHeight="1" x14ac:dyDescent="0.25">
      <c r="A128" s="690" t="str">
        <f t="shared" si="15"/>
        <v>REGISTROS E VÁLVULAS</v>
      </c>
      <c r="B128" s="796" t="s">
        <v>431</v>
      </c>
      <c r="C128" s="690" t="s">
        <v>4717</v>
      </c>
      <c r="D128" s="690" t="s">
        <v>4720</v>
      </c>
      <c r="E128" s="797">
        <v>1</v>
      </c>
      <c r="F128" s="692">
        <v>0</v>
      </c>
      <c r="G128" s="693">
        <f t="shared" si="16"/>
        <v>1</v>
      </c>
      <c r="H128" s="694"/>
      <c r="I128" s="695">
        <v>36.93</v>
      </c>
      <c r="J128" s="765">
        <f t="shared" si="17"/>
        <v>36.93</v>
      </c>
    </row>
    <row r="129" spans="1:10" ht="15.75" customHeight="1" x14ac:dyDescent="0.25">
      <c r="A129" s="690" t="str">
        <f t="shared" si="15"/>
        <v>REGISTROS E VÁLVULAS</v>
      </c>
      <c r="B129" s="796" t="s">
        <v>431</v>
      </c>
      <c r="C129" s="690" t="s">
        <v>4717</v>
      </c>
      <c r="D129" s="690" t="s">
        <v>4721</v>
      </c>
      <c r="E129" s="797">
        <v>3</v>
      </c>
      <c r="F129" s="692">
        <v>0</v>
      </c>
      <c r="G129" s="693">
        <f t="shared" si="16"/>
        <v>3</v>
      </c>
      <c r="H129" s="694"/>
      <c r="I129" s="695">
        <v>4.569</v>
      </c>
      <c r="J129" s="765">
        <f t="shared" si="17"/>
        <v>13.707000000000001</v>
      </c>
    </row>
    <row r="130" spans="1:10" ht="15.75" customHeight="1" x14ac:dyDescent="0.25">
      <c r="A130" s="690" t="str">
        <f t="shared" si="15"/>
        <v>REGISTROS E VÁLVULAS</v>
      </c>
      <c r="B130" s="796" t="s">
        <v>431</v>
      </c>
      <c r="C130" s="690" t="s">
        <v>4717</v>
      </c>
      <c r="D130" s="690" t="s">
        <v>4722</v>
      </c>
      <c r="E130" s="797">
        <v>3</v>
      </c>
      <c r="F130" s="692">
        <v>0</v>
      </c>
      <c r="G130" s="693">
        <f t="shared" si="16"/>
        <v>3</v>
      </c>
      <c r="H130" s="694"/>
      <c r="I130" s="695">
        <v>9.7789999999999999</v>
      </c>
      <c r="J130" s="765">
        <f t="shared" si="17"/>
        <v>29.337</v>
      </c>
    </row>
    <row r="131" spans="1:10" ht="15.75" customHeight="1" x14ac:dyDescent="0.25">
      <c r="A131" s="690" t="str">
        <f t="shared" si="15"/>
        <v>REGISTROS E VÁLVULAS</v>
      </c>
      <c r="B131" s="796" t="s">
        <v>431</v>
      </c>
      <c r="C131" s="690" t="s">
        <v>4717</v>
      </c>
      <c r="D131" s="690" t="s">
        <v>4723</v>
      </c>
      <c r="E131" s="797">
        <v>1</v>
      </c>
      <c r="F131" s="692">
        <v>0</v>
      </c>
      <c r="G131" s="693">
        <f t="shared" si="16"/>
        <v>1</v>
      </c>
      <c r="H131" s="694"/>
      <c r="I131" s="695">
        <v>18.567</v>
      </c>
      <c r="J131" s="765">
        <f t="shared" si="17"/>
        <v>18.567</v>
      </c>
    </row>
    <row r="132" spans="1:10" ht="15.75" customHeight="1" x14ac:dyDescent="0.25">
      <c r="A132" s="690" t="str">
        <f t="shared" si="15"/>
        <v>REGISTROS E VÁLVULAS</v>
      </c>
      <c r="B132" s="796" t="s">
        <v>431</v>
      </c>
      <c r="C132" s="690" t="s">
        <v>4717</v>
      </c>
      <c r="D132" s="690" t="s">
        <v>4724</v>
      </c>
      <c r="E132" s="797">
        <v>2</v>
      </c>
      <c r="F132" s="692">
        <v>0</v>
      </c>
      <c r="G132" s="693">
        <f t="shared" si="16"/>
        <v>2</v>
      </c>
      <c r="H132" s="694"/>
      <c r="I132" s="695">
        <v>35.790999999999997</v>
      </c>
      <c r="J132" s="765">
        <f t="shared" si="17"/>
        <v>71.581999999999994</v>
      </c>
    </row>
    <row r="133" spans="1:10" ht="15.75" customHeight="1" x14ac:dyDescent="0.25">
      <c r="A133" s="690" t="str">
        <f t="shared" si="15"/>
        <v>REGISTROS E VÁLVULAS</v>
      </c>
      <c r="B133" s="796" t="s">
        <v>431</v>
      </c>
      <c r="C133" s="690" t="s">
        <v>4717</v>
      </c>
      <c r="D133" s="690" t="s">
        <v>4725</v>
      </c>
      <c r="E133" s="797">
        <v>1</v>
      </c>
      <c r="F133" s="692">
        <v>0</v>
      </c>
      <c r="G133" s="693">
        <f t="shared" si="16"/>
        <v>1</v>
      </c>
      <c r="H133" s="694"/>
      <c r="I133" s="695">
        <v>63.628</v>
      </c>
      <c r="J133" s="765">
        <f t="shared" si="17"/>
        <v>63.628</v>
      </c>
    </row>
    <row r="134" spans="1:10" ht="15.75" customHeight="1" x14ac:dyDescent="0.25">
      <c r="A134" s="690" t="str">
        <f t="shared" si="15"/>
        <v>REGISTROS E VÁLVULAS</v>
      </c>
      <c r="B134" s="796" t="s">
        <v>431</v>
      </c>
      <c r="C134" s="690" t="s">
        <v>4717</v>
      </c>
      <c r="D134" s="690" t="s">
        <v>4726</v>
      </c>
      <c r="E134" s="797">
        <v>1</v>
      </c>
      <c r="F134" s="692">
        <v>0</v>
      </c>
      <c r="G134" s="693">
        <f t="shared" si="16"/>
        <v>1</v>
      </c>
      <c r="H134" s="694"/>
      <c r="I134" s="695">
        <v>37.206000000000003</v>
      </c>
      <c r="J134" s="765">
        <f t="shared" si="17"/>
        <v>37.206000000000003</v>
      </c>
    </row>
    <row r="135" spans="1:10" ht="15.75" customHeight="1" x14ac:dyDescent="0.25">
      <c r="A135" s="690" t="str">
        <f t="shared" si="15"/>
        <v>REGISTROS E VÁLVULAS</v>
      </c>
      <c r="B135" s="796" t="s">
        <v>431</v>
      </c>
      <c r="C135" s="690" t="s">
        <v>4717</v>
      </c>
      <c r="D135" s="690" t="s">
        <v>4727</v>
      </c>
      <c r="E135" s="797">
        <v>74</v>
      </c>
      <c r="F135" s="692">
        <v>0</v>
      </c>
      <c r="G135" s="693">
        <f t="shared" si="16"/>
        <v>74</v>
      </c>
      <c r="H135" s="694"/>
      <c r="I135" s="695">
        <v>83.74</v>
      </c>
      <c r="J135" s="765">
        <f t="shared" si="17"/>
        <v>6196.7599999999993</v>
      </c>
    </row>
    <row r="136" spans="1:10" ht="15.75" customHeight="1" x14ac:dyDescent="0.25">
      <c r="A136" s="690" t="str">
        <f t="shared" si="15"/>
        <v>REGISTROS E VÁLVULAS</v>
      </c>
      <c r="B136" s="796" t="s">
        <v>431</v>
      </c>
      <c r="C136" s="690" t="s">
        <v>4717</v>
      </c>
      <c r="D136" s="690" t="s">
        <v>4728</v>
      </c>
      <c r="E136" s="797">
        <v>74</v>
      </c>
      <c r="F136" s="692">
        <v>0</v>
      </c>
      <c r="G136" s="693">
        <f t="shared" si="16"/>
        <v>74</v>
      </c>
      <c r="H136" s="694"/>
      <c r="I136" s="695">
        <v>115.96</v>
      </c>
      <c r="J136" s="765">
        <f t="shared" si="17"/>
        <v>8581.0399999999991</v>
      </c>
    </row>
    <row r="137" spans="1:10" ht="15.75" customHeight="1" x14ac:dyDescent="0.25">
      <c r="A137" s="690" t="str">
        <f t="shared" si="15"/>
        <v>REGISTROS E VÁLVULAS</v>
      </c>
      <c r="B137" s="796" t="s">
        <v>431</v>
      </c>
      <c r="C137" s="690" t="s">
        <v>4717</v>
      </c>
      <c r="D137" s="690" t="s">
        <v>4729</v>
      </c>
      <c r="E137" s="797">
        <v>3</v>
      </c>
      <c r="F137" s="692">
        <v>0</v>
      </c>
      <c r="G137" s="693">
        <f t="shared" si="16"/>
        <v>3</v>
      </c>
      <c r="H137" s="694"/>
      <c r="I137" s="695">
        <v>30.968</v>
      </c>
      <c r="J137" s="765">
        <f t="shared" si="17"/>
        <v>92.903999999999996</v>
      </c>
    </row>
    <row r="138" spans="1:10" ht="15.75" customHeight="1" x14ac:dyDescent="0.25">
      <c r="A138" s="690" t="str">
        <f t="shared" si="15"/>
        <v>REGISTROS E VÁLVULAS</v>
      </c>
      <c r="B138" s="796" t="s">
        <v>431</v>
      </c>
      <c r="C138" s="690" t="s">
        <v>4717</v>
      </c>
      <c r="D138" s="690" t="s">
        <v>4730</v>
      </c>
      <c r="E138" s="797">
        <v>10</v>
      </c>
      <c r="F138" s="692">
        <v>0</v>
      </c>
      <c r="G138" s="693">
        <f t="shared" si="16"/>
        <v>10</v>
      </c>
      <c r="H138" s="694"/>
      <c r="I138" s="695">
        <v>119.15</v>
      </c>
      <c r="J138" s="765">
        <f t="shared" si="17"/>
        <v>1191.5</v>
      </c>
    </row>
    <row r="139" spans="1:10" ht="15.75" customHeight="1" x14ac:dyDescent="0.25">
      <c r="A139" s="690" t="str">
        <f t="shared" si="15"/>
        <v>REGISTROS E VÁLVULAS</v>
      </c>
      <c r="B139" s="796" t="s">
        <v>431</v>
      </c>
      <c r="C139" s="690" t="s">
        <v>4717</v>
      </c>
      <c r="D139" s="690" t="s">
        <v>4731</v>
      </c>
      <c r="E139" s="797">
        <v>4</v>
      </c>
      <c r="F139" s="692">
        <v>0</v>
      </c>
      <c r="G139" s="693">
        <f t="shared" si="16"/>
        <v>4</v>
      </c>
      <c r="H139" s="694"/>
      <c r="I139" s="695">
        <v>869.37</v>
      </c>
      <c r="J139" s="765">
        <f t="shared" si="17"/>
        <v>3477.48</v>
      </c>
    </row>
    <row r="140" spans="1:10" ht="15.75" customHeight="1" x14ac:dyDescent="0.25">
      <c r="A140" s="690" t="str">
        <f t="shared" si="15"/>
        <v>REGISTROS E VÁLVULAS</v>
      </c>
      <c r="B140" s="796" t="s">
        <v>431</v>
      </c>
      <c r="C140" s="690" t="s">
        <v>4717</v>
      </c>
      <c r="D140" s="690" t="s">
        <v>4726</v>
      </c>
      <c r="E140" s="797">
        <v>4</v>
      </c>
      <c r="F140" s="692">
        <v>0</v>
      </c>
      <c r="G140" s="693">
        <f t="shared" si="16"/>
        <v>4</v>
      </c>
      <c r="H140" s="694"/>
      <c r="I140" s="695">
        <v>37.206000000000003</v>
      </c>
      <c r="J140" s="765">
        <f t="shared" si="17"/>
        <v>148.82400000000001</v>
      </c>
    </row>
    <row r="141" spans="1:10" ht="15.75" customHeight="1" x14ac:dyDescent="0.25">
      <c r="A141" s="690" t="str">
        <f t="shared" si="15"/>
        <v>REGISTROS E VÁLVULAS</v>
      </c>
      <c r="B141" s="796" t="s">
        <v>431</v>
      </c>
      <c r="C141" s="690" t="s">
        <v>4717</v>
      </c>
      <c r="D141" s="690" t="s">
        <v>4732</v>
      </c>
      <c r="E141" s="797">
        <v>2</v>
      </c>
      <c r="F141" s="692">
        <v>0</v>
      </c>
      <c r="G141" s="693">
        <f t="shared" si="16"/>
        <v>2</v>
      </c>
      <c r="H141" s="694"/>
      <c r="I141" s="695">
        <f>VLOOKUP(D141,'HIDRO - PREÇO'!$C$7:$E$151,3,FALSE)</f>
        <v>80.599999999999994</v>
      </c>
      <c r="J141" s="765">
        <f t="shared" si="17"/>
        <v>161.19999999999999</v>
      </c>
    </row>
    <row r="142" spans="1:10" ht="15.75" customHeight="1" x14ac:dyDescent="0.25">
      <c r="A142" s="690" t="str">
        <f t="shared" si="15"/>
        <v>REGISTROS E VÁLVULAS</v>
      </c>
      <c r="B142" s="796" t="s">
        <v>431</v>
      </c>
      <c r="C142" s="690" t="s">
        <v>4717</v>
      </c>
      <c r="D142" s="690" t="s">
        <v>4733</v>
      </c>
      <c r="E142" s="797">
        <v>2</v>
      </c>
      <c r="F142" s="692">
        <v>0</v>
      </c>
      <c r="G142" s="693">
        <f t="shared" si="16"/>
        <v>2</v>
      </c>
      <c r="H142" s="694"/>
      <c r="I142" s="695">
        <f>VLOOKUP(D142,'HIDRO - PREÇO'!$C$7:$E$151,3,FALSE)</f>
        <v>34.762999999999998</v>
      </c>
      <c r="J142" s="804">
        <f t="shared" si="17"/>
        <v>69.525999999999996</v>
      </c>
    </row>
    <row r="143" spans="1:10" ht="15.75" customHeight="1" x14ac:dyDescent="0.25">
      <c r="A143" s="690" t="str">
        <f t="shared" si="15"/>
        <v>REGISTROS E VÁLVULAS</v>
      </c>
      <c r="B143" s="796" t="s">
        <v>431</v>
      </c>
      <c r="C143" s="690" t="s">
        <v>4717</v>
      </c>
      <c r="D143" s="690" t="s">
        <v>4734</v>
      </c>
      <c r="E143" s="797">
        <v>6</v>
      </c>
      <c r="F143" s="692">
        <v>0</v>
      </c>
      <c r="G143" s="693">
        <f t="shared" si="16"/>
        <v>6</v>
      </c>
      <c r="H143" s="694"/>
      <c r="I143" s="695">
        <f>VLOOKUP(D143,'HIDRO - PREÇO'!$C$7:$E$151,3,FALSE)</f>
        <v>30.184000000000001</v>
      </c>
      <c r="J143" s="804">
        <f t="shared" si="17"/>
        <v>181.10400000000001</v>
      </c>
    </row>
    <row r="144" spans="1:10" ht="15.75" customHeight="1" x14ac:dyDescent="0.25">
      <c r="A144" s="690" t="str">
        <f t="shared" si="15"/>
        <v>REGISTROS E VÁLVULAS</v>
      </c>
      <c r="B144" s="796" t="s">
        <v>431</v>
      </c>
      <c r="C144" s="690" t="s">
        <v>4717</v>
      </c>
      <c r="D144" s="690" t="s">
        <v>4735</v>
      </c>
      <c r="E144" s="797">
        <v>1</v>
      </c>
      <c r="F144" s="692">
        <v>0</v>
      </c>
      <c r="G144" s="693">
        <f t="shared" si="16"/>
        <v>1</v>
      </c>
      <c r="H144" s="694"/>
      <c r="I144" s="695">
        <f>VLOOKUP(D144,'HIDRO - PREÇO'!$C$7:$E$151,3,FALSE)</f>
        <v>36.93</v>
      </c>
      <c r="J144" s="804">
        <f t="shared" si="17"/>
        <v>36.93</v>
      </c>
    </row>
    <row r="145" spans="1:11" ht="15.75" customHeight="1" x14ac:dyDescent="0.25">
      <c r="A145" s="690" t="str">
        <f t="shared" si="15"/>
        <v>REGISTROS E VÁLVULAS</v>
      </c>
      <c r="B145" s="796" t="s">
        <v>431</v>
      </c>
      <c r="C145" s="690" t="s">
        <v>4717</v>
      </c>
      <c r="D145" s="690" t="s">
        <v>4736</v>
      </c>
      <c r="E145" s="797">
        <v>2</v>
      </c>
      <c r="F145" s="692">
        <v>0</v>
      </c>
      <c r="G145" s="693">
        <f t="shared" si="16"/>
        <v>2</v>
      </c>
      <c r="H145" s="694"/>
      <c r="I145" s="695">
        <f>VLOOKUP(D145,'HIDRO - PREÇO'!$C$7:$E$151,3,FALSE)</f>
        <v>4.569</v>
      </c>
      <c r="J145" s="804">
        <f t="shared" si="17"/>
        <v>9.1379999999999999</v>
      </c>
    </row>
    <row r="146" spans="1:11" ht="15.75" customHeight="1" x14ac:dyDescent="0.25">
      <c r="A146" s="690" t="str">
        <f t="shared" si="15"/>
        <v>REGISTROS E VÁLVULAS</v>
      </c>
      <c r="B146" s="796" t="s">
        <v>431</v>
      </c>
      <c r="C146" s="690" t="s">
        <v>4717</v>
      </c>
      <c r="D146" s="690" t="s">
        <v>4737</v>
      </c>
      <c r="E146" s="797">
        <v>1</v>
      </c>
      <c r="F146" s="692">
        <v>0</v>
      </c>
      <c r="G146" s="693">
        <f t="shared" si="16"/>
        <v>1</v>
      </c>
      <c r="H146" s="694"/>
      <c r="I146" s="695">
        <f>VLOOKUP(D146,'HIDRO - PREÇO'!$C$7:$E$151,3,FALSE)</f>
        <v>9.7789999999999999</v>
      </c>
      <c r="J146" s="804">
        <f t="shared" si="17"/>
        <v>9.7789999999999999</v>
      </c>
    </row>
    <row r="147" spans="1:11" ht="15.75" customHeight="1" x14ac:dyDescent="0.25">
      <c r="A147" s="690" t="str">
        <f t="shared" ref="A147:A148" si="18">A145</f>
        <v>REGISTROS E VÁLVULAS</v>
      </c>
      <c r="B147" s="805" t="s">
        <v>4603</v>
      </c>
      <c r="C147" s="806" t="s">
        <v>4738</v>
      </c>
      <c r="D147" s="806" t="s">
        <v>4739</v>
      </c>
      <c r="E147" s="807">
        <v>1</v>
      </c>
      <c r="F147" s="808">
        <v>0</v>
      </c>
      <c r="G147" s="809">
        <f t="shared" si="16"/>
        <v>1</v>
      </c>
      <c r="H147" s="810"/>
      <c r="I147" s="811">
        <v>1950.91</v>
      </c>
      <c r="J147" s="812">
        <f t="shared" si="17"/>
        <v>1950.91</v>
      </c>
      <c r="K147" s="211" t="s">
        <v>4740</v>
      </c>
    </row>
    <row r="148" spans="1:11" ht="15.75" customHeight="1" x14ac:dyDescent="0.25">
      <c r="A148" s="690" t="str">
        <f t="shared" si="18"/>
        <v>REGISTROS E VÁLVULAS</v>
      </c>
      <c r="B148" s="796" t="s">
        <v>4603</v>
      </c>
      <c r="C148" s="690" t="s">
        <v>4738</v>
      </c>
      <c r="D148" s="690" t="s">
        <v>4741</v>
      </c>
      <c r="E148" s="797">
        <v>4</v>
      </c>
      <c r="F148" s="692">
        <v>0</v>
      </c>
      <c r="G148" s="693">
        <f t="shared" si="16"/>
        <v>4</v>
      </c>
      <c r="H148" s="694"/>
      <c r="I148" s="695">
        <f>VLOOKUP(D148,'HIDRO - PREÇO'!$C$7:$E$151,3,FALSE)</f>
        <v>1658.84</v>
      </c>
      <c r="J148" s="765">
        <f t="shared" si="17"/>
        <v>6635.36</v>
      </c>
    </row>
    <row r="149" spans="1:11" ht="15.75" customHeight="1" x14ac:dyDescent="0.25">
      <c r="A149" s="690" t="str">
        <f t="shared" ref="A149:A155" si="19">A148</f>
        <v>REGISTROS E VÁLVULAS</v>
      </c>
      <c r="B149" s="796" t="s">
        <v>4603</v>
      </c>
      <c r="C149" s="690" t="s">
        <v>4738</v>
      </c>
      <c r="D149" s="690" t="s">
        <v>4742</v>
      </c>
      <c r="E149" s="797">
        <v>2</v>
      </c>
      <c r="F149" s="692">
        <v>0</v>
      </c>
      <c r="G149" s="693">
        <f t="shared" si="16"/>
        <v>2</v>
      </c>
      <c r="H149" s="694"/>
      <c r="I149" s="695">
        <v>3529</v>
      </c>
      <c r="J149" s="804">
        <f t="shared" si="17"/>
        <v>7058</v>
      </c>
    </row>
    <row r="150" spans="1:11" ht="15.75" customHeight="1" x14ac:dyDescent="0.25">
      <c r="A150" s="690" t="str">
        <f t="shared" si="19"/>
        <v>REGISTROS E VÁLVULAS</v>
      </c>
      <c r="B150" s="690" t="s">
        <v>4603</v>
      </c>
      <c r="C150" s="690" t="s">
        <v>4738</v>
      </c>
      <c r="D150" s="690" t="s">
        <v>4743</v>
      </c>
      <c r="E150" s="797">
        <v>1</v>
      </c>
      <c r="F150" s="692">
        <v>0</v>
      </c>
      <c r="G150" s="693">
        <f t="shared" si="16"/>
        <v>1</v>
      </c>
      <c r="H150" s="694"/>
      <c r="I150" s="695">
        <v>818.23</v>
      </c>
      <c r="J150" s="765">
        <f t="shared" si="17"/>
        <v>818.23</v>
      </c>
    </row>
    <row r="151" spans="1:11" ht="15.75" customHeight="1" x14ac:dyDescent="0.25">
      <c r="A151" s="690" t="str">
        <f t="shared" si="19"/>
        <v>REGISTROS E VÁLVULAS</v>
      </c>
      <c r="B151" s="690" t="s">
        <v>4603</v>
      </c>
      <c r="C151" s="690" t="s">
        <v>4738</v>
      </c>
      <c r="D151" s="690" t="s">
        <v>4744</v>
      </c>
      <c r="E151" s="797">
        <v>1</v>
      </c>
      <c r="F151" s="692">
        <v>0</v>
      </c>
      <c r="G151" s="693">
        <f t="shared" si="16"/>
        <v>1</v>
      </c>
      <c r="H151" s="694"/>
      <c r="I151" s="695">
        <v>629.87</v>
      </c>
      <c r="J151" s="804">
        <f t="shared" si="17"/>
        <v>629.87</v>
      </c>
    </row>
    <row r="152" spans="1:11" ht="15.75" customHeight="1" x14ac:dyDescent="0.25">
      <c r="A152" s="690" t="str">
        <f t="shared" si="19"/>
        <v>REGISTROS E VÁLVULAS</v>
      </c>
      <c r="B152" s="690" t="s">
        <v>4603</v>
      </c>
      <c r="C152" s="690" t="s">
        <v>4738</v>
      </c>
      <c r="D152" s="690" t="s">
        <v>4745</v>
      </c>
      <c r="E152" s="797">
        <v>1</v>
      </c>
      <c r="F152" s="692">
        <v>0</v>
      </c>
      <c r="G152" s="693">
        <f t="shared" si="16"/>
        <v>1</v>
      </c>
      <c r="H152" s="694"/>
      <c r="I152" s="695">
        <f>VLOOKUP(D152,'HIDRO - PREÇO'!$C$7:$E$151,3,FALSE)</f>
        <v>570</v>
      </c>
      <c r="J152" s="765">
        <f t="shared" si="17"/>
        <v>570</v>
      </c>
    </row>
    <row r="153" spans="1:11" ht="15.75" customHeight="1" x14ac:dyDescent="0.25">
      <c r="A153" s="690" t="str">
        <f t="shared" si="19"/>
        <v>REGISTROS E VÁLVULAS</v>
      </c>
      <c r="B153" s="690" t="s">
        <v>4603</v>
      </c>
      <c r="C153" s="690" t="s">
        <v>4738</v>
      </c>
      <c r="D153" s="690" t="s">
        <v>4746</v>
      </c>
      <c r="E153" s="797">
        <v>1</v>
      </c>
      <c r="F153" s="692">
        <v>0</v>
      </c>
      <c r="G153" s="693">
        <f t="shared" si="16"/>
        <v>1</v>
      </c>
      <c r="H153" s="694"/>
      <c r="I153" s="695">
        <v>2054.7399999999998</v>
      </c>
      <c r="J153" s="804">
        <f t="shared" si="17"/>
        <v>2054.7399999999998</v>
      </c>
    </row>
    <row r="154" spans="1:11" ht="15.75" customHeight="1" x14ac:dyDescent="0.25">
      <c r="A154" s="690" t="str">
        <f t="shared" si="19"/>
        <v>REGISTROS E VÁLVULAS</v>
      </c>
      <c r="B154" s="796" t="s">
        <v>431</v>
      </c>
      <c r="C154" s="690" t="s">
        <v>4606</v>
      </c>
      <c r="D154" s="690" t="s">
        <v>4747</v>
      </c>
      <c r="E154" s="797">
        <v>1</v>
      </c>
      <c r="F154" s="692">
        <v>0</v>
      </c>
      <c r="G154" s="693">
        <f t="shared" si="16"/>
        <v>1</v>
      </c>
      <c r="H154" s="694"/>
      <c r="I154" s="695">
        <f>VLOOKUP(D154,'HIDRO - PREÇO'!$C$7:$E$151,3,FALSE)</f>
        <v>1850</v>
      </c>
      <c r="J154" s="765">
        <f t="shared" si="17"/>
        <v>1850</v>
      </c>
    </row>
    <row r="155" spans="1:11" ht="15.75" customHeight="1" x14ac:dyDescent="0.25">
      <c r="A155" s="690" t="str">
        <f t="shared" si="19"/>
        <v>REGISTROS E VÁLVULAS</v>
      </c>
      <c r="B155" s="796" t="s">
        <v>431</v>
      </c>
      <c r="C155" s="690" t="s">
        <v>4606</v>
      </c>
      <c r="D155" s="690" t="s">
        <v>4748</v>
      </c>
      <c r="E155" s="797">
        <v>1</v>
      </c>
      <c r="F155" s="692">
        <v>0</v>
      </c>
      <c r="G155" s="693">
        <f t="shared" si="16"/>
        <v>1</v>
      </c>
      <c r="H155" s="694"/>
      <c r="I155" s="695">
        <v>2599</v>
      </c>
      <c r="J155" s="804">
        <f t="shared" si="17"/>
        <v>2599</v>
      </c>
    </row>
    <row r="156" spans="1:11" ht="15.75" customHeight="1" x14ac:dyDescent="0.25">
      <c r="A156" s="699"/>
      <c r="B156" s="699"/>
      <c r="C156" s="699"/>
      <c r="D156" s="699"/>
      <c r="E156" s="814"/>
      <c r="F156" s="815"/>
      <c r="G156" s="815"/>
      <c r="H156" s="815"/>
      <c r="I156" s="701" t="s">
        <v>4437</v>
      </c>
      <c r="J156" s="816">
        <f>SUMPRODUCT(G6:G155,I6:I155)</f>
        <v>430963.63010330487</v>
      </c>
    </row>
  </sheetData>
  <autoFilter ref="A6:J73" xr:uid="{00000000-0009-0000-0000-000017000000}"/>
  <mergeCells count="1">
    <mergeCell ref="A5:S5"/>
  </mergeCells>
  <pageMargins left="0.511811024" right="0.511811024" top="0.78740157499999996" bottom="0.78740157499999996" header="0" footer="0"/>
  <pageSetup paperSize="9" scale="20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</sheetPr>
  <dimension ref="A1:G151"/>
  <sheetViews>
    <sheetView showGridLines="0" workbookViewId="0">
      <pane ySplit="6" topLeftCell="A7" activePane="bottomLeft" state="frozen"/>
      <selection pane="bottomLeft" activeCell="B8" sqref="B8"/>
    </sheetView>
  </sheetViews>
  <sheetFormatPr defaultColWidth="12.5703125" defaultRowHeight="15" customHeight="1" x14ac:dyDescent="0.2"/>
  <cols>
    <col min="1" max="1" width="30" customWidth="1"/>
    <col min="2" max="2" width="11.140625" customWidth="1"/>
    <col min="3" max="3" width="102.28515625" customWidth="1"/>
    <col min="4" max="4" width="8" customWidth="1"/>
    <col min="5" max="5" width="30.28515625" customWidth="1"/>
    <col min="6" max="6" width="30" customWidth="1"/>
    <col min="7" max="7" width="11.140625" customWidth="1"/>
    <col min="8" max="26" width="9.140625" customWidth="1"/>
  </cols>
  <sheetData>
    <row r="1" spans="1:7" ht="15" customHeight="1" x14ac:dyDescent="0.2">
      <c r="A1" s="3"/>
      <c r="B1" s="1" t="s">
        <v>0</v>
      </c>
      <c r="C1" s="2" t="str">
        <f>'Obra '!D1</f>
        <v>Mosaico</v>
      </c>
      <c r="D1" s="2"/>
      <c r="E1" s="2"/>
      <c r="F1" s="2"/>
      <c r="G1" s="817"/>
    </row>
    <row r="2" spans="1:7" ht="15" customHeight="1" x14ac:dyDescent="0.2">
      <c r="A2" s="6"/>
      <c r="B2" s="1" t="s">
        <v>2</v>
      </c>
      <c r="C2" s="2" t="str">
        <f>'Obra '!D2</f>
        <v>Grupo DUO</v>
      </c>
      <c r="D2" s="5"/>
      <c r="E2" s="5"/>
      <c r="F2" s="5"/>
      <c r="G2" s="784"/>
    </row>
    <row r="3" spans="1:7" ht="15" customHeight="1" x14ac:dyDescent="0.2">
      <c r="A3" s="6"/>
      <c r="B3" s="1" t="s">
        <v>959</v>
      </c>
      <c r="C3" s="818"/>
      <c r="D3" s="818"/>
      <c r="E3" s="818"/>
      <c r="F3" s="818"/>
      <c r="G3" s="784"/>
    </row>
    <row r="4" spans="1:7" ht="15" customHeight="1" x14ac:dyDescent="0.2">
      <c r="A4" s="391"/>
      <c r="B4" s="1" t="s">
        <v>4</v>
      </c>
      <c r="C4" s="2"/>
      <c r="D4" s="2"/>
      <c r="E4" s="2"/>
      <c r="F4" s="2"/>
      <c r="G4" s="788"/>
    </row>
    <row r="5" spans="1:7" ht="15.75" x14ac:dyDescent="0.2">
      <c r="A5" s="1157" t="s">
        <v>4749</v>
      </c>
      <c r="B5" s="1149"/>
      <c r="C5" s="1149"/>
      <c r="D5" s="1149"/>
      <c r="E5" s="1149"/>
      <c r="F5" s="1149"/>
      <c r="G5" s="1108"/>
    </row>
    <row r="6" spans="1:7" ht="19.5" x14ac:dyDescent="0.25">
      <c r="A6" s="51"/>
      <c r="B6" s="51"/>
      <c r="C6" s="819" t="s">
        <v>7</v>
      </c>
      <c r="D6" s="789" t="s">
        <v>8</v>
      </c>
      <c r="E6" s="820" t="s">
        <v>128</v>
      </c>
      <c r="F6" s="51"/>
      <c r="G6" s="51"/>
    </row>
    <row r="7" spans="1:7" ht="27" customHeight="1" x14ac:dyDescent="0.25">
      <c r="A7" s="51"/>
      <c r="B7" s="51"/>
      <c r="C7" s="707" t="s">
        <v>4607</v>
      </c>
      <c r="D7" s="705" t="s">
        <v>4375</v>
      </c>
      <c r="E7" s="706">
        <v>0.63100000000000001</v>
      </c>
      <c r="F7" s="51"/>
      <c r="G7" s="51"/>
    </row>
    <row r="8" spans="1:7" ht="18" customHeight="1" x14ac:dyDescent="0.25">
      <c r="A8" s="51"/>
      <c r="B8" s="51"/>
      <c r="C8" s="704" t="s">
        <v>4608</v>
      </c>
      <c r="D8" s="694" t="s">
        <v>4375</v>
      </c>
      <c r="E8" s="706">
        <v>1.347</v>
      </c>
      <c r="F8" s="51"/>
      <c r="G8" s="51"/>
    </row>
    <row r="9" spans="1:7" ht="18" customHeight="1" x14ac:dyDescent="0.25">
      <c r="A9" s="51"/>
      <c r="B9" s="51"/>
      <c r="C9" s="704" t="s">
        <v>4609</v>
      </c>
      <c r="D9" s="694" t="s">
        <v>4375</v>
      </c>
      <c r="E9" s="706">
        <v>4.1500000000000004</v>
      </c>
      <c r="F9" s="51"/>
      <c r="G9" s="51"/>
    </row>
    <row r="10" spans="1:7" ht="18" customHeight="1" x14ac:dyDescent="0.25">
      <c r="A10" s="51"/>
      <c r="B10" s="51"/>
      <c r="C10" s="707" t="s">
        <v>4610</v>
      </c>
      <c r="D10" s="694" t="s">
        <v>4375</v>
      </c>
      <c r="E10" s="706">
        <v>3.3210000000000002</v>
      </c>
      <c r="F10" s="51"/>
      <c r="G10" s="51"/>
    </row>
    <row r="11" spans="1:7" ht="18" customHeight="1" x14ac:dyDescent="0.25">
      <c r="A11" s="51"/>
      <c r="B11" s="51"/>
      <c r="C11" s="707" t="s">
        <v>4671</v>
      </c>
      <c r="D11" s="694"/>
      <c r="E11" s="706">
        <v>5.89</v>
      </c>
      <c r="F11" s="51"/>
      <c r="G11" s="51"/>
    </row>
    <row r="12" spans="1:7" ht="18" customHeight="1" x14ac:dyDescent="0.25">
      <c r="A12" s="51"/>
      <c r="B12" s="51"/>
      <c r="C12" s="707" t="s">
        <v>4669</v>
      </c>
      <c r="D12" s="694"/>
      <c r="E12" s="706">
        <v>0.82299999999999995</v>
      </c>
      <c r="F12" s="51"/>
      <c r="G12" s="51"/>
    </row>
    <row r="13" spans="1:7" ht="18" customHeight="1" x14ac:dyDescent="0.25">
      <c r="A13" s="51"/>
      <c r="B13" s="51"/>
      <c r="C13" s="707" t="s">
        <v>4670</v>
      </c>
      <c r="D13" s="694"/>
      <c r="E13" s="706">
        <v>2.65</v>
      </c>
      <c r="F13" s="51"/>
      <c r="G13" s="51"/>
    </row>
    <row r="14" spans="1:7" ht="18" customHeight="1" x14ac:dyDescent="0.25">
      <c r="A14" s="51"/>
      <c r="B14" s="51"/>
      <c r="C14" s="707" t="s">
        <v>4666</v>
      </c>
      <c r="D14" s="694"/>
      <c r="E14" s="706">
        <v>0.53</v>
      </c>
      <c r="F14" s="51"/>
      <c r="G14" s="51"/>
    </row>
    <row r="15" spans="1:7" ht="18" customHeight="1" x14ac:dyDescent="0.25">
      <c r="A15" s="51"/>
      <c r="B15" s="51"/>
      <c r="C15" s="707" t="s">
        <v>4667</v>
      </c>
      <c r="D15" s="694"/>
      <c r="E15" s="706">
        <v>0.51200000000000001</v>
      </c>
      <c r="F15" s="51"/>
      <c r="G15" s="51"/>
    </row>
    <row r="16" spans="1:7" ht="18" customHeight="1" x14ac:dyDescent="0.25">
      <c r="A16" s="51"/>
      <c r="B16" s="51"/>
      <c r="C16" s="704" t="s">
        <v>4668</v>
      </c>
      <c r="D16" s="694"/>
      <c r="E16" s="706">
        <v>0.65800000000000003</v>
      </c>
      <c r="F16" s="51"/>
      <c r="G16" s="51"/>
    </row>
    <row r="17" spans="1:7" ht="18" customHeight="1" x14ac:dyDescent="0.25">
      <c r="A17" s="51"/>
      <c r="B17" s="51"/>
      <c r="C17" s="707" t="s">
        <v>4707</v>
      </c>
      <c r="D17" s="694"/>
      <c r="E17" s="706">
        <v>15.65</v>
      </c>
      <c r="F17" s="51"/>
      <c r="G17" s="51"/>
    </row>
    <row r="18" spans="1:7" x14ac:dyDescent="0.25">
      <c r="A18" s="51"/>
      <c r="B18" s="51"/>
      <c r="C18" s="707" t="s">
        <v>4732</v>
      </c>
      <c r="D18" s="694"/>
      <c r="E18" s="706">
        <v>80.599999999999994</v>
      </c>
      <c r="F18" s="51"/>
      <c r="G18" s="51"/>
    </row>
    <row r="19" spans="1:7" x14ac:dyDescent="0.25">
      <c r="A19" s="51"/>
      <c r="B19" s="51"/>
      <c r="C19" s="704" t="s">
        <v>4706</v>
      </c>
      <c r="D19" s="694"/>
      <c r="E19" s="706">
        <v>19106.21</v>
      </c>
      <c r="F19" s="51"/>
      <c r="G19" s="51"/>
    </row>
    <row r="20" spans="1:7" x14ac:dyDescent="0.25">
      <c r="A20" s="51"/>
      <c r="B20" s="51"/>
      <c r="C20" s="707" t="s">
        <v>4640</v>
      </c>
      <c r="D20" s="694"/>
      <c r="E20" s="706">
        <v>3.0019999999999998</v>
      </c>
      <c r="F20" s="51"/>
      <c r="G20" s="51"/>
    </row>
    <row r="21" spans="1:7" ht="18" customHeight="1" x14ac:dyDescent="0.25">
      <c r="A21" s="51"/>
      <c r="B21" s="51"/>
      <c r="C21" s="707" t="s">
        <v>4641</v>
      </c>
      <c r="D21" s="694"/>
      <c r="E21" s="706">
        <v>6.4584000000000001</v>
      </c>
      <c r="F21" s="51"/>
      <c r="G21" s="51"/>
    </row>
    <row r="22" spans="1:7" ht="18" customHeight="1" x14ac:dyDescent="0.25">
      <c r="A22" s="51"/>
      <c r="B22" s="51"/>
      <c r="C22" s="707" t="s">
        <v>4642</v>
      </c>
      <c r="D22" s="694"/>
      <c r="E22" s="706">
        <v>7.1281999999999996</v>
      </c>
      <c r="F22" s="51"/>
      <c r="G22" s="51"/>
    </row>
    <row r="23" spans="1:7" ht="18" customHeight="1" x14ac:dyDescent="0.25">
      <c r="A23" s="51"/>
      <c r="B23" s="51"/>
      <c r="C23" s="704" t="s">
        <v>4672</v>
      </c>
      <c r="D23" s="694"/>
      <c r="E23" s="706">
        <v>1.631</v>
      </c>
      <c r="F23" s="51"/>
      <c r="G23" s="51"/>
    </row>
    <row r="24" spans="1:7" ht="18" customHeight="1" x14ac:dyDescent="0.25">
      <c r="A24" s="51"/>
      <c r="B24" s="51"/>
      <c r="C24" s="707" t="s">
        <v>4611</v>
      </c>
      <c r="D24" s="694"/>
      <c r="E24" s="706">
        <v>0.67300000000000004</v>
      </c>
      <c r="F24" s="51"/>
      <c r="G24" s="51"/>
    </row>
    <row r="25" spans="1:7" ht="18" customHeight="1" x14ac:dyDescent="0.25">
      <c r="A25" s="51"/>
      <c r="B25" s="51"/>
      <c r="C25" s="707" t="s">
        <v>4612</v>
      </c>
      <c r="D25" s="694"/>
      <c r="E25" s="706">
        <v>4.4809999999999999</v>
      </c>
      <c r="F25" s="51"/>
      <c r="G25" s="51"/>
    </row>
    <row r="26" spans="1:7" ht="18" customHeight="1" x14ac:dyDescent="0.25">
      <c r="A26" s="51"/>
      <c r="B26" s="51"/>
      <c r="C26" s="707" t="s">
        <v>4613</v>
      </c>
      <c r="D26" s="694"/>
      <c r="E26" s="706">
        <v>2.39</v>
      </c>
      <c r="F26" s="51"/>
      <c r="G26" s="51"/>
    </row>
    <row r="27" spans="1:7" ht="18" customHeight="1" x14ac:dyDescent="0.25">
      <c r="A27" s="51"/>
      <c r="B27" s="51"/>
      <c r="C27" s="707" t="s">
        <v>4614</v>
      </c>
      <c r="D27" s="694"/>
      <c r="E27" s="706">
        <v>13.377000000000001</v>
      </c>
      <c r="F27" s="51"/>
      <c r="G27" s="51"/>
    </row>
    <row r="28" spans="1:7" ht="18" customHeight="1" x14ac:dyDescent="0.25">
      <c r="A28" s="51"/>
      <c r="B28" s="51"/>
      <c r="C28" s="704" t="s">
        <v>4615</v>
      </c>
      <c r="D28" s="694"/>
      <c r="E28" s="706">
        <v>7.7721999999999998</v>
      </c>
      <c r="F28" s="51"/>
      <c r="G28" s="51"/>
    </row>
    <row r="29" spans="1:7" ht="18" customHeight="1" x14ac:dyDescent="0.25">
      <c r="A29" s="51"/>
      <c r="B29" s="51"/>
      <c r="C29" s="707" t="s">
        <v>4709</v>
      </c>
      <c r="D29" s="694"/>
      <c r="E29" s="706">
        <v>11.731999999999999</v>
      </c>
      <c r="F29" s="51"/>
      <c r="G29" s="51"/>
    </row>
    <row r="30" spans="1:7" ht="18" customHeight="1" x14ac:dyDescent="0.25">
      <c r="A30" s="51"/>
      <c r="B30" s="51"/>
      <c r="C30" s="704" t="s">
        <v>4710</v>
      </c>
      <c r="D30" s="694"/>
      <c r="E30" s="706">
        <v>38.241</v>
      </c>
      <c r="F30" s="51"/>
      <c r="G30" s="51"/>
    </row>
    <row r="31" spans="1:7" ht="18" customHeight="1" x14ac:dyDescent="0.25">
      <c r="A31" s="51"/>
      <c r="B31" s="51"/>
      <c r="C31" s="707" t="s">
        <v>4708</v>
      </c>
      <c r="D31" s="694"/>
      <c r="E31" s="706">
        <v>24.556999999999999</v>
      </c>
      <c r="F31" s="51"/>
      <c r="G31" s="51"/>
    </row>
    <row r="32" spans="1:7" ht="18" customHeight="1" x14ac:dyDescent="0.25">
      <c r="A32" s="51"/>
      <c r="B32" s="51"/>
      <c r="C32" s="707" t="s">
        <v>4674</v>
      </c>
      <c r="D32" s="694"/>
      <c r="E32" s="706">
        <v>5.9980000000000002</v>
      </c>
      <c r="F32" s="51"/>
      <c r="G32" s="51"/>
    </row>
    <row r="33" spans="1:7" ht="18" customHeight="1" x14ac:dyDescent="0.25">
      <c r="A33" s="51"/>
      <c r="B33" s="51"/>
      <c r="C33" s="707" t="s">
        <v>4673</v>
      </c>
      <c r="D33" s="694"/>
      <c r="E33" s="706">
        <v>4.88</v>
      </c>
      <c r="F33" s="51"/>
      <c r="G33" s="51"/>
    </row>
    <row r="34" spans="1:7" ht="18" customHeight="1" x14ac:dyDescent="0.25">
      <c r="A34" s="51"/>
      <c r="B34" s="51"/>
      <c r="C34" s="707" t="s">
        <v>4747</v>
      </c>
      <c r="D34" s="694"/>
      <c r="E34" s="706">
        <v>1850</v>
      </c>
      <c r="F34" s="51"/>
      <c r="G34" s="51"/>
    </row>
    <row r="35" spans="1:7" ht="18" customHeight="1" x14ac:dyDescent="0.25">
      <c r="A35" s="51"/>
      <c r="B35" s="51"/>
      <c r="C35" s="707" t="s">
        <v>4643</v>
      </c>
      <c r="D35" s="694"/>
      <c r="E35" s="706">
        <v>13.2278</v>
      </c>
      <c r="F35" s="51"/>
      <c r="G35" s="51"/>
    </row>
    <row r="36" spans="1:7" ht="18" customHeight="1" x14ac:dyDescent="0.25">
      <c r="A36" s="51"/>
      <c r="B36" s="51"/>
      <c r="C36" s="707" t="s">
        <v>4644</v>
      </c>
      <c r="D36" s="694"/>
      <c r="E36" s="706">
        <v>16.2178</v>
      </c>
      <c r="F36" s="51"/>
      <c r="G36" s="51"/>
    </row>
    <row r="37" spans="1:7" ht="18" customHeight="1" x14ac:dyDescent="0.25">
      <c r="A37" s="51"/>
      <c r="B37" s="51"/>
      <c r="C37" s="707" t="s">
        <v>4645</v>
      </c>
      <c r="D37" s="694"/>
      <c r="E37" s="706">
        <v>26.2044</v>
      </c>
      <c r="F37" s="51"/>
      <c r="G37" s="51"/>
    </row>
    <row r="38" spans="1:7" ht="18" customHeight="1" x14ac:dyDescent="0.25">
      <c r="A38" s="51"/>
      <c r="B38" s="51"/>
      <c r="C38" s="707" t="s">
        <v>4646</v>
      </c>
      <c r="D38" s="694"/>
      <c r="E38" s="706">
        <v>21.384499999999999</v>
      </c>
      <c r="F38" s="51"/>
      <c r="G38" s="51"/>
    </row>
    <row r="39" spans="1:7" ht="18" customHeight="1" x14ac:dyDescent="0.25">
      <c r="A39" s="51"/>
      <c r="B39" s="51"/>
      <c r="C39" s="707" t="s">
        <v>4647</v>
      </c>
      <c r="D39" s="694"/>
      <c r="E39" s="706">
        <v>83.851500000000001</v>
      </c>
      <c r="F39" s="51"/>
      <c r="G39" s="51"/>
    </row>
    <row r="40" spans="1:7" ht="18" customHeight="1" x14ac:dyDescent="0.25">
      <c r="A40" s="51"/>
      <c r="B40" s="51"/>
      <c r="C40" s="707" t="s">
        <v>4616</v>
      </c>
      <c r="D40" s="694"/>
      <c r="E40" s="706">
        <v>2.3279999999999998</v>
      </c>
      <c r="F40" s="51"/>
      <c r="G40" s="51"/>
    </row>
    <row r="41" spans="1:7" ht="18" customHeight="1" x14ac:dyDescent="0.25">
      <c r="A41" s="51"/>
      <c r="B41" s="51"/>
      <c r="C41" s="707" t="s">
        <v>4648</v>
      </c>
      <c r="D41" s="694"/>
      <c r="E41" s="706">
        <v>10.178000000000001</v>
      </c>
      <c r="F41" s="51"/>
      <c r="G41" s="51"/>
    </row>
    <row r="42" spans="1:7" ht="18" customHeight="1" x14ac:dyDescent="0.25">
      <c r="A42" s="51"/>
      <c r="B42" s="51"/>
      <c r="C42" s="707" t="s">
        <v>4748</v>
      </c>
      <c r="D42" s="694"/>
      <c r="E42" s="821">
        <f>E109</f>
        <v>1.984</v>
      </c>
      <c r="F42" s="51"/>
      <c r="G42" s="51"/>
    </row>
    <row r="43" spans="1:7" ht="18" customHeight="1" x14ac:dyDescent="0.25">
      <c r="A43" s="51"/>
      <c r="B43" s="51"/>
      <c r="C43" s="707" t="s">
        <v>4733</v>
      </c>
      <c r="D43" s="694"/>
      <c r="E43" s="821">
        <f t="shared" ref="E43:E47" si="0">E99</f>
        <v>34.762999999999998</v>
      </c>
      <c r="F43" s="51"/>
      <c r="G43" s="51"/>
    </row>
    <row r="44" spans="1:7" ht="18" customHeight="1" x14ac:dyDescent="0.25">
      <c r="A44" s="51"/>
      <c r="B44" s="51"/>
      <c r="C44" s="707" t="s">
        <v>4734</v>
      </c>
      <c r="D44" s="694"/>
      <c r="E44" s="821">
        <f t="shared" si="0"/>
        <v>30.184000000000001</v>
      </c>
      <c r="F44" s="51"/>
      <c r="G44" s="51"/>
    </row>
    <row r="45" spans="1:7" ht="18" customHeight="1" x14ac:dyDescent="0.25">
      <c r="A45" s="51"/>
      <c r="B45" s="51"/>
      <c r="C45" s="707" t="s">
        <v>4735</v>
      </c>
      <c r="D45" s="694"/>
      <c r="E45" s="821">
        <f t="shared" si="0"/>
        <v>36.93</v>
      </c>
      <c r="F45" s="51"/>
      <c r="G45" s="51"/>
    </row>
    <row r="46" spans="1:7" ht="18" customHeight="1" x14ac:dyDescent="0.25">
      <c r="A46" s="51"/>
      <c r="B46" s="51"/>
      <c r="C46" s="704" t="s">
        <v>4736</v>
      </c>
      <c r="D46" s="694"/>
      <c r="E46" s="821">
        <f t="shared" si="0"/>
        <v>4.569</v>
      </c>
      <c r="F46" s="51"/>
      <c r="G46" s="51"/>
    </row>
    <row r="47" spans="1:7" ht="18" customHeight="1" x14ac:dyDescent="0.25">
      <c r="A47" s="51"/>
      <c r="B47" s="51"/>
      <c r="C47" s="707" t="s">
        <v>4737</v>
      </c>
      <c r="D47" s="694"/>
      <c r="E47" s="821">
        <f t="shared" si="0"/>
        <v>9.7789999999999999</v>
      </c>
      <c r="F47" s="51"/>
      <c r="G47" s="51"/>
    </row>
    <row r="48" spans="1:7" ht="18" customHeight="1" x14ac:dyDescent="0.25">
      <c r="A48" s="51"/>
      <c r="B48" s="51"/>
      <c r="C48" s="704" t="s">
        <v>4750</v>
      </c>
      <c r="D48" s="694"/>
      <c r="E48" s="706">
        <v>15.221</v>
      </c>
      <c r="F48" s="51"/>
      <c r="G48" s="51"/>
    </row>
    <row r="49" spans="1:7" ht="18" customHeight="1" x14ac:dyDescent="0.25">
      <c r="A49" s="51"/>
      <c r="B49" s="51"/>
      <c r="C49" s="707" t="s">
        <v>4727</v>
      </c>
      <c r="D49" s="694"/>
      <c r="E49" s="706">
        <v>83.74</v>
      </c>
      <c r="F49" s="51"/>
      <c r="G49" s="51"/>
    </row>
    <row r="50" spans="1:7" ht="18" customHeight="1" x14ac:dyDescent="0.25">
      <c r="A50" s="51"/>
      <c r="B50" s="51"/>
      <c r="C50" s="704" t="s">
        <v>4728</v>
      </c>
      <c r="D50" s="694"/>
      <c r="E50" s="706">
        <v>115.96</v>
      </c>
      <c r="F50" s="51"/>
      <c r="G50" s="51"/>
    </row>
    <row r="51" spans="1:7" ht="18" customHeight="1" x14ac:dyDescent="0.25">
      <c r="A51" s="334"/>
      <c r="B51" s="334"/>
      <c r="C51" s="707" t="s">
        <v>4678</v>
      </c>
      <c r="D51" s="694"/>
      <c r="E51" s="706">
        <v>5.44</v>
      </c>
      <c r="F51" s="334"/>
      <c r="G51" s="334"/>
    </row>
    <row r="52" spans="1:7" ht="18" customHeight="1" x14ac:dyDescent="0.25">
      <c r="A52" s="334"/>
      <c r="B52" s="334"/>
      <c r="C52" s="707" t="s">
        <v>4649</v>
      </c>
      <c r="D52" s="694"/>
      <c r="E52" s="706">
        <v>2.0499999999999998</v>
      </c>
      <c r="F52" s="334"/>
      <c r="G52" s="334"/>
    </row>
    <row r="53" spans="1:7" ht="18" customHeight="1" x14ac:dyDescent="0.25">
      <c r="A53" s="334"/>
      <c r="B53" s="334"/>
      <c r="C53" s="704" t="s">
        <v>4675</v>
      </c>
      <c r="D53" s="694"/>
      <c r="E53" s="706">
        <v>1.49</v>
      </c>
      <c r="F53" s="334"/>
      <c r="G53" s="334"/>
    </row>
    <row r="54" spans="1:7" ht="18" customHeight="1" x14ac:dyDescent="0.25">
      <c r="A54" s="334"/>
      <c r="B54" s="334"/>
      <c r="C54" s="704" t="s">
        <v>4676</v>
      </c>
      <c r="D54" s="694"/>
      <c r="E54" s="706">
        <v>2.3479999999999999</v>
      </c>
      <c r="F54" s="334"/>
      <c r="G54" s="334"/>
    </row>
    <row r="55" spans="1:7" ht="18" customHeight="1" x14ac:dyDescent="0.25">
      <c r="A55" s="51"/>
      <c r="B55" s="51"/>
      <c r="C55" s="707" t="s">
        <v>4677</v>
      </c>
      <c r="D55" s="694"/>
      <c r="E55" s="706">
        <v>5.9610000000000003</v>
      </c>
      <c r="F55" s="51"/>
      <c r="G55" s="51"/>
    </row>
    <row r="56" spans="1:7" ht="18" customHeight="1" x14ac:dyDescent="0.25">
      <c r="A56" s="51"/>
      <c r="B56" s="51"/>
      <c r="C56" s="707" t="s">
        <v>4617</v>
      </c>
      <c r="D56" s="694"/>
      <c r="E56" s="706">
        <v>1.258</v>
      </c>
      <c r="F56" s="51"/>
      <c r="G56" s="51"/>
    </row>
    <row r="57" spans="1:7" ht="18" customHeight="1" x14ac:dyDescent="0.25">
      <c r="A57" s="51"/>
      <c r="B57" s="51"/>
      <c r="C57" s="707" t="s">
        <v>4618</v>
      </c>
      <c r="D57" s="694"/>
      <c r="E57" s="706">
        <v>34.415999999999997</v>
      </c>
      <c r="F57" s="51"/>
      <c r="G57" s="51"/>
    </row>
    <row r="58" spans="1:7" ht="18" customHeight="1" x14ac:dyDescent="0.25">
      <c r="A58" s="51"/>
      <c r="B58" s="51"/>
      <c r="C58" s="707" t="s">
        <v>4682</v>
      </c>
      <c r="D58" s="694"/>
      <c r="E58" s="706">
        <v>4.718</v>
      </c>
      <c r="F58" s="51"/>
      <c r="G58" s="51"/>
    </row>
    <row r="59" spans="1:7" ht="18" customHeight="1" x14ac:dyDescent="0.25">
      <c r="A59" s="51"/>
      <c r="B59" s="51"/>
      <c r="C59" s="707" t="s">
        <v>4650</v>
      </c>
      <c r="D59" s="694"/>
      <c r="E59" s="706">
        <v>1.3874</v>
      </c>
      <c r="F59" s="51"/>
      <c r="G59" s="51"/>
    </row>
    <row r="60" spans="1:7" ht="18" customHeight="1" x14ac:dyDescent="0.25">
      <c r="A60" s="51"/>
      <c r="B60" s="51"/>
      <c r="C60" s="707" t="s">
        <v>4651</v>
      </c>
      <c r="D60" s="694"/>
      <c r="E60" s="706">
        <v>2.1648000000000001</v>
      </c>
      <c r="F60" s="51"/>
      <c r="G60" s="51"/>
    </row>
    <row r="61" spans="1:7" ht="18" customHeight="1" x14ac:dyDescent="0.25">
      <c r="A61" s="51"/>
      <c r="B61" s="51"/>
      <c r="C61" s="704" t="s">
        <v>4679</v>
      </c>
      <c r="D61" s="694"/>
      <c r="E61" s="706">
        <v>1.046</v>
      </c>
      <c r="F61" s="51"/>
      <c r="G61" s="51"/>
    </row>
    <row r="62" spans="1:7" ht="18" customHeight="1" x14ac:dyDescent="0.25">
      <c r="A62" s="51"/>
      <c r="B62" s="51"/>
      <c r="C62" s="707" t="s">
        <v>4680</v>
      </c>
      <c r="D62" s="694"/>
      <c r="E62" s="706">
        <v>2.02</v>
      </c>
      <c r="F62" s="51"/>
      <c r="G62" s="51"/>
    </row>
    <row r="63" spans="1:7" ht="18" customHeight="1" x14ac:dyDescent="0.25">
      <c r="A63" s="51"/>
      <c r="B63" s="51"/>
      <c r="C63" s="704" t="s">
        <v>4681</v>
      </c>
      <c r="D63" s="694"/>
      <c r="E63" s="706">
        <v>4.492</v>
      </c>
      <c r="F63" s="51"/>
      <c r="G63" s="51"/>
    </row>
    <row r="64" spans="1:7" ht="18" customHeight="1" x14ac:dyDescent="0.25">
      <c r="A64" s="51"/>
      <c r="B64" s="51"/>
      <c r="C64" s="707" t="s">
        <v>4652</v>
      </c>
      <c r="D64" s="694"/>
      <c r="E64" s="706">
        <v>12.2112</v>
      </c>
      <c r="F64" s="51"/>
      <c r="G64" s="51"/>
    </row>
    <row r="65" spans="1:7" ht="18" customHeight="1" x14ac:dyDescent="0.25">
      <c r="A65" s="51"/>
      <c r="B65" s="51"/>
      <c r="C65" s="707" t="s">
        <v>4619</v>
      </c>
      <c r="D65" s="694"/>
      <c r="E65" s="706">
        <v>0.56399999999999995</v>
      </c>
      <c r="F65" s="51"/>
      <c r="G65" s="51"/>
    </row>
    <row r="66" spans="1:7" ht="18" customHeight="1" x14ac:dyDescent="0.25">
      <c r="A66" s="51"/>
      <c r="B66" s="51"/>
      <c r="C66" s="707" t="s">
        <v>4620</v>
      </c>
      <c r="D66" s="694"/>
      <c r="E66" s="706">
        <v>1.7609999999999999</v>
      </c>
      <c r="F66" s="51"/>
      <c r="G66" s="51"/>
    </row>
    <row r="67" spans="1:7" ht="18" customHeight="1" x14ac:dyDescent="0.25">
      <c r="A67" s="51"/>
      <c r="B67" s="51"/>
      <c r="C67" s="707" t="s">
        <v>4621</v>
      </c>
      <c r="D67" s="694"/>
      <c r="E67" s="706">
        <v>3.919</v>
      </c>
      <c r="F67" s="51"/>
      <c r="G67" s="51"/>
    </row>
    <row r="68" spans="1:7" ht="18" customHeight="1" x14ac:dyDescent="0.25">
      <c r="A68" s="51"/>
      <c r="B68" s="51"/>
      <c r="C68" s="707" t="s">
        <v>4622</v>
      </c>
      <c r="D68" s="694"/>
      <c r="E68" s="706">
        <v>3.4969999999999999</v>
      </c>
      <c r="F68" s="51"/>
      <c r="G68" s="51"/>
    </row>
    <row r="69" spans="1:7" ht="18" customHeight="1" x14ac:dyDescent="0.25">
      <c r="A69" s="51"/>
      <c r="B69" s="51"/>
      <c r="C69" s="704" t="s">
        <v>4623</v>
      </c>
      <c r="D69" s="694"/>
      <c r="E69" s="706">
        <v>17.382999999999999</v>
      </c>
      <c r="F69" s="51"/>
      <c r="G69" s="51"/>
    </row>
    <row r="70" spans="1:7" ht="18" customHeight="1" x14ac:dyDescent="0.25">
      <c r="A70" s="51"/>
      <c r="B70" s="51"/>
      <c r="C70" s="704" t="s">
        <v>4624</v>
      </c>
      <c r="D70" s="694"/>
      <c r="E70" s="706">
        <v>6.5170000000000003</v>
      </c>
      <c r="F70" s="51"/>
      <c r="G70" s="51"/>
    </row>
    <row r="71" spans="1:7" ht="18" customHeight="1" x14ac:dyDescent="0.25">
      <c r="A71" s="51"/>
      <c r="B71" s="51"/>
      <c r="C71" s="707" t="s">
        <v>4689</v>
      </c>
      <c r="D71" s="694"/>
      <c r="E71" s="706">
        <v>18.033000000000001</v>
      </c>
      <c r="F71" s="51"/>
      <c r="G71" s="51"/>
    </row>
    <row r="72" spans="1:7" ht="18" customHeight="1" x14ac:dyDescent="0.25">
      <c r="A72" s="51"/>
      <c r="B72" s="51"/>
      <c r="C72" s="704" t="s">
        <v>4687</v>
      </c>
      <c r="D72" s="694"/>
      <c r="E72" s="706">
        <v>15.795</v>
      </c>
      <c r="F72" s="51"/>
      <c r="G72" s="51"/>
    </row>
    <row r="73" spans="1:7" ht="18" customHeight="1" x14ac:dyDescent="0.25">
      <c r="A73" s="51"/>
      <c r="B73" s="51"/>
      <c r="C73" s="707" t="s">
        <v>4688</v>
      </c>
      <c r="D73" s="694"/>
      <c r="E73" s="706">
        <v>40.529000000000003</v>
      </c>
      <c r="F73" s="51"/>
      <c r="G73" s="51"/>
    </row>
    <row r="74" spans="1:7" ht="18" customHeight="1" x14ac:dyDescent="0.25">
      <c r="A74" s="51"/>
      <c r="B74" s="51"/>
      <c r="C74" s="707" t="s">
        <v>4683</v>
      </c>
      <c r="D74" s="694"/>
      <c r="E74" s="706">
        <v>3.238</v>
      </c>
      <c r="F74" s="51"/>
      <c r="G74" s="51"/>
    </row>
    <row r="75" spans="1:7" ht="18" customHeight="1" x14ac:dyDescent="0.25">
      <c r="A75" s="51"/>
      <c r="B75" s="51"/>
      <c r="C75" s="704" t="s">
        <v>4684</v>
      </c>
      <c r="D75" s="694"/>
      <c r="E75" s="706">
        <v>7.8639999999999999</v>
      </c>
      <c r="F75" s="51"/>
      <c r="G75" s="51"/>
    </row>
    <row r="76" spans="1:7" ht="18" customHeight="1" x14ac:dyDescent="0.25">
      <c r="A76" s="51"/>
      <c r="B76" s="51"/>
      <c r="C76" s="704" t="s">
        <v>4685</v>
      </c>
      <c r="D76" s="694"/>
      <c r="E76" s="706">
        <v>18.93</v>
      </c>
      <c r="F76" s="51"/>
      <c r="G76" s="51"/>
    </row>
    <row r="77" spans="1:7" ht="18" customHeight="1" x14ac:dyDescent="0.25">
      <c r="A77" s="51"/>
      <c r="B77" s="51"/>
      <c r="C77" s="707" t="s">
        <v>4686</v>
      </c>
      <c r="D77" s="694"/>
      <c r="E77" s="706">
        <v>18.369</v>
      </c>
      <c r="F77" s="51"/>
      <c r="G77" s="51"/>
    </row>
    <row r="78" spans="1:7" ht="18" customHeight="1" x14ac:dyDescent="0.25">
      <c r="A78" s="51"/>
      <c r="B78" s="51"/>
      <c r="C78" s="707" t="s">
        <v>4693</v>
      </c>
      <c r="D78" s="694"/>
      <c r="E78" s="706">
        <v>4.101</v>
      </c>
      <c r="F78" s="51"/>
      <c r="G78" s="51"/>
    </row>
    <row r="79" spans="1:7" ht="18" customHeight="1" x14ac:dyDescent="0.25">
      <c r="A79" s="51"/>
      <c r="B79" s="51"/>
      <c r="C79" s="704" t="s">
        <v>4690</v>
      </c>
      <c r="D79" s="694"/>
      <c r="E79" s="706">
        <v>1.1339999999999999</v>
      </c>
      <c r="F79" s="51"/>
      <c r="G79" s="51"/>
    </row>
    <row r="80" spans="1:7" ht="18" customHeight="1" x14ac:dyDescent="0.25">
      <c r="A80" s="51"/>
      <c r="B80" s="51"/>
      <c r="C80" s="707" t="s">
        <v>4691</v>
      </c>
      <c r="D80" s="694"/>
      <c r="E80" s="706">
        <v>2</v>
      </c>
      <c r="F80" s="51"/>
      <c r="G80" s="51"/>
    </row>
    <row r="81" spans="1:7" ht="18" customHeight="1" x14ac:dyDescent="0.25">
      <c r="A81" s="51"/>
      <c r="B81" s="51"/>
      <c r="C81" s="707" t="s">
        <v>4692</v>
      </c>
      <c r="D81" s="694"/>
      <c r="E81" s="706">
        <v>4.101</v>
      </c>
      <c r="F81" s="51"/>
      <c r="G81" s="51"/>
    </row>
    <row r="82" spans="1:7" ht="18" customHeight="1" x14ac:dyDescent="0.25">
      <c r="A82" s="51"/>
      <c r="B82" s="51"/>
      <c r="C82" s="707" t="s">
        <v>4626</v>
      </c>
      <c r="D82" s="694"/>
      <c r="E82" s="706">
        <v>5.4390000000000001</v>
      </c>
      <c r="F82" s="51"/>
      <c r="G82" s="51"/>
    </row>
    <row r="83" spans="1:7" ht="18" customHeight="1" x14ac:dyDescent="0.25">
      <c r="A83" s="51"/>
      <c r="B83" s="51"/>
      <c r="C83" s="704" t="s">
        <v>4627</v>
      </c>
      <c r="D83" s="694"/>
      <c r="E83" s="706">
        <v>15</v>
      </c>
      <c r="F83" s="51"/>
      <c r="G83" s="51"/>
    </row>
    <row r="84" spans="1:7" ht="18" customHeight="1" x14ac:dyDescent="0.25">
      <c r="A84" s="51"/>
      <c r="B84" s="51"/>
      <c r="C84" s="707" t="s">
        <v>4625</v>
      </c>
      <c r="D84" s="694"/>
      <c r="E84" s="706">
        <v>0.56699999999999995</v>
      </c>
      <c r="F84" s="51"/>
      <c r="G84" s="51"/>
    </row>
    <row r="85" spans="1:7" ht="18" customHeight="1" x14ac:dyDescent="0.25">
      <c r="A85" s="51"/>
      <c r="B85" s="51"/>
      <c r="C85" s="707" t="s">
        <v>4751</v>
      </c>
      <c r="D85" s="694"/>
      <c r="E85" s="706">
        <v>535.99099999999999</v>
      </c>
      <c r="F85" s="51"/>
      <c r="G85" s="51"/>
    </row>
    <row r="86" spans="1:7" ht="18" customHeight="1" x14ac:dyDescent="0.25">
      <c r="A86" s="51"/>
      <c r="B86" s="51"/>
      <c r="C86" s="707" t="s">
        <v>4752</v>
      </c>
      <c r="D86" s="694"/>
      <c r="E86" s="706">
        <v>495.05500000000001</v>
      </c>
      <c r="F86" s="51"/>
      <c r="G86" s="51"/>
    </row>
    <row r="87" spans="1:7" ht="18" customHeight="1" x14ac:dyDescent="0.25">
      <c r="A87" s="51"/>
      <c r="B87" s="51"/>
      <c r="C87" s="707" t="s">
        <v>4746</v>
      </c>
      <c r="D87" s="694"/>
      <c r="E87" s="821">
        <f>E107</f>
        <v>9.673</v>
      </c>
      <c r="F87" s="51"/>
      <c r="G87" s="51"/>
    </row>
    <row r="88" spans="1:7" ht="18" customHeight="1" x14ac:dyDescent="0.25">
      <c r="A88" s="51"/>
      <c r="B88" s="51"/>
      <c r="C88" s="707" t="s">
        <v>4745</v>
      </c>
      <c r="D88" s="694"/>
      <c r="E88" s="706">
        <v>570</v>
      </c>
      <c r="F88" s="51"/>
      <c r="G88" s="51"/>
    </row>
    <row r="89" spans="1:7" ht="18" customHeight="1" x14ac:dyDescent="0.25">
      <c r="A89" s="51"/>
      <c r="B89" s="51"/>
      <c r="C89" s="707" t="s">
        <v>4742</v>
      </c>
      <c r="D89" s="694"/>
      <c r="E89" s="821">
        <f t="shared" ref="E89:E90" si="1">E105</f>
        <v>35.790999999999997</v>
      </c>
      <c r="F89" s="51"/>
      <c r="G89" s="51"/>
    </row>
    <row r="90" spans="1:7" ht="18" customHeight="1" x14ac:dyDescent="0.25">
      <c r="A90" s="51"/>
      <c r="B90" s="51"/>
      <c r="C90" s="707" t="s">
        <v>4744</v>
      </c>
      <c r="D90" s="694"/>
      <c r="E90" s="821">
        <f t="shared" si="1"/>
        <v>11.68</v>
      </c>
      <c r="F90" s="51"/>
      <c r="G90" s="51"/>
    </row>
    <row r="91" spans="1:7" ht="18" customHeight="1" x14ac:dyDescent="0.25">
      <c r="A91" s="51"/>
      <c r="B91" s="51"/>
      <c r="C91" s="707" t="s">
        <v>4711</v>
      </c>
      <c r="D91" s="694"/>
      <c r="E91" s="706">
        <v>56.2</v>
      </c>
      <c r="F91" s="51"/>
      <c r="G91" s="51"/>
    </row>
    <row r="92" spans="1:7" ht="18" customHeight="1" x14ac:dyDescent="0.25">
      <c r="A92" s="51"/>
      <c r="B92" s="51"/>
      <c r="C92" s="707" t="s">
        <v>4713</v>
      </c>
      <c r="D92" s="694"/>
      <c r="E92" s="706">
        <v>12.58</v>
      </c>
      <c r="F92" s="51"/>
      <c r="G92" s="51"/>
    </row>
    <row r="93" spans="1:7" ht="18" customHeight="1" x14ac:dyDescent="0.25">
      <c r="A93" s="51"/>
      <c r="B93" s="51"/>
      <c r="C93" s="707" t="s">
        <v>4712</v>
      </c>
      <c r="D93" s="694"/>
      <c r="E93" s="706">
        <v>25.872</v>
      </c>
      <c r="F93" s="51"/>
      <c r="G93" s="51"/>
    </row>
    <row r="94" spans="1:7" ht="18" customHeight="1" x14ac:dyDescent="0.25">
      <c r="A94" s="51"/>
      <c r="B94" s="51"/>
      <c r="C94" s="707" t="s">
        <v>4714</v>
      </c>
      <c r="D94" s="694"/>
      <c r="E94" s="706">
        <v>95.064999999999998</v>
      </c>
      <c r="F94" s="51"/>
      <c r="G94" s="51"/>
    </row>
    <row r="95" spans="1:7" ht="18" customHeight="1" x14ac:dyDescent="0.25">
      <c r="A95" s="51"/>
      <c r="B95" s="51"/>
      <c r="C95" s="707" t="s">
        <v>4715</v>
      </c>
      <c r="D95" s="694"/>
      <c r="E95" s="706">
        <f>E94/5*7</f>
        <v>133.09099999999998</v>
      </c>
      <c r="F95" s="51"/>
      <c r="G95" s="51"/>
    </row>
    <row r="96" spans="1:7" ht="18" customHeight="1" x14ac:dyDescent="0.25">
      <c r="A96" s="51"/>
      <c r="B96" s="51"/>
      <c r="C96" s="704" t="s">
        <v>4696</v>
      </c>
      <c r="D96" s="694"/>
      <c r="E96" s="706">
        <v>5.399</v>
      </c>
      <c r="F96" s="51"/>
      <c r="G96" s="51"/>
    </row>
    <row r="97" spans="1:7" ht="18" customHeight="1" x14ac:dyDescent="0.25">
      <c r="A97" s="51"/>
      <c r="B97" s="51"/>
      <c r="C97" s="704" t="s">
        <v>4697</v>
      </c>
      <c r="D97" s="694"/>
      <c r="E97" s="706">
        <v>8.7829999999999995</v>
      </c>
      <c r="F97" s="51"/>
      <c r="G97" s="51"/>
    </row>
    <row r="98" spans="1:7" ht="18" customHeight="1" x14ac:dyDescent="0.25">
      <c r="A98" s="51"/>
      <c r="B98" s="51"/>
      <c r="C98" s="707" t="s">
        <v>4695</v>
      </c>
      <c r="D98" s="694"/>
      <c r="E98" s="706">
        <v>5.7549999999999999</v>
      </c>
      <c r="F98" s="51"/>
      <c r="G98" s="51"/>
    </row>
    <row r="99" spans="1:7" ht="18" customHeight="1" x14ac:dyDescent="0.25">
      <c r="A99" s="51"/>
      <c r="B99" s="51"/>
      <c r="C99" s="707" t="s">
        <v>4718</v>
      </c>
      <c r="D99" s="694"/>
      <c r="E99" s="706">
        <v>34.762999999999998</v>
      </c>
      <c r="F99" s="51"/>
      <c r="G99" s="51"/>
    </row>
    <row r="100" spans="1:7" ht="18" customHeight="1" x14ac:dyDescent="0.25">
      <c r="A100" s="51"/>
      <c r="B100" s="51"/>
      <c r="C100" s="707" t="s">
        <v>4719</v>
      </c>
      <c r="D100" s="694"/>
      <c r="E100" s="706">
        <v>30.184000000000001</v>
      </c>
      <c r="F100" s="51"/>
      <c r="G100" s="51"/>
    </row>
    <row r="101" spans="1:7" ht="18" customHeight="1" x14ac:dyDescent="0.25">
      <c r="A101" s="51"/>
      <c r="B101" s="51"/>
      <c r="C101" s="707" t="s">
        <v>4720</v>
      </c>
      <c r="D101" s="694"/>
      <c r="E101" s="706">
        <v>36.93</v>
      </c>
      <c r="F101" s="51"/>
      <c r="G101" s="51"/>
    </row>
    <row r="102" spans="1:7" ht="18" customHeight="1" x14ac:dyDescent="0.25">
      <c r="A102" s="51"/>
      <c r="B102" s="51"/>
      <c r="C102" s="707" t="s">
        <v>4721</v>
      </c>
      <c r="D102" s="694"/>
      <c r="E102" s="706">
        <v>4.569</v>
      </c>
      <c r="F102" s="51"/>
      <c r="G102" s="51"/>
    </row>
    <row r="103" spans="1:7" ht="18" customHeight="1" x14ac:dyDescent="0.25">
      <c r="A103" s="51"/>
      <c r="B103" s="51"/>
      <c r="C103" s="707" t="s">
        <v>4722</v>
      </c>
      <c r="D103" s="694"/>
      <c r="E103" s="706">
        <v>9.7789999999999999</v>
      </c>
      <c r="F103" s="51"/>
      <c r="G103" s="51"/>
    </row>
    <row r="104" spans="1:7" ht="18" customHeight="1" x14ac:dyDescent="0.25">
      <c r="A104" s="51"/>
      <c r="B104" s="51"/>
      <c r="C104" s="707" t="s">
        <v>4723</v>
      </c>
      <c r="D104" s="694"/>
      <c r="E104" s="706">
        <v>18.567</v>
      </c>
      <c r="F104" s="51"/>
      <c r="G104" s="51"/>
    </row>
    <row r="105" spans="1:7" ht="18" customHeight="1" x14ac:dyDescent="0.25">
      <c r="A105" s="51"/>
      <c r="B105" s="51"/>
      <c r="C105" s="707" t="s">
        <v>4724</v>
      </c>
      <c r="D105" s="694"/>
      <c r="E105" s="706">
        <v>35.790999999999997</v>
      </c>
      <c r="F105" s="51"/>
      <c r="G105" s="51"/>
    </row>
    <row r="106" spans="1:7" ht="18" customHeight="1" x14ac:dyDescent="0.25">
      <c r="A106" s="51"/>
      <c r="B106" s="51"/>
      <c r="C106" s="707" t="s">
        <v>4704</v>
      </c>
      <c r="D106" s="694"/>
      <c r="E106" s="706">
        <v>11.68</v>
      </c>
      <c r="F106" s="51"/>
      <c r="G106" s="51"/>
    </row>
    <row r="107" spans="1:7" ht="18" customHeight="1" x14ac:dyDescent="0.25">
      <c r="A107" s="51"/>
      <c r="B107" s="51"/>
      <c r="C107" s="704" t="s">
        <v>4702</v>
      </c>
      <c r="D107" s="694"/>
      <c r="E107" s="706">
        <v>9.673</v>
      </c>
      <c r="F107" s="51"/>
      <c r="G107" s="51"/>
    </row>
    <row r="108" spans="1:7" ht="18" customHeight="1" x14ac:dyDescent="0.25">
      <c r="A108" s="51"/>
      <c r="B108" s="51"/>
      <c r="C108" s="707" t="s">
        <v>4703</v>
      </c>
      <c r="D108" s="694"/>
      <c r="E108" s="706">
        <v>25.896000000000001</v>
      </c>
      <c r="F108" s="51"/>
      <c r="G108" s="51"/>
    </row>
    <row r="109" spans="1:7" ht="18" customHeight="1" x14ac:dyDescent="0.25">
      <c r="A109" s="51"/>
      <c r="B109" s="51"/>
      <c r="C109" s="707" t="s">
        <v>4698</v>
      </c>
      <c r="D109" s="694"/>
      <c r="E109" s="706">
        <v>1.984</v>
      </c>
      <c r="F109" s="51"/>
      <c r="G109" s="51"/>
    </row>
    <row r="110" spans="1:7" ht="18" customHeight="1" x14ac:dyDescent="0.25">
      <c r="A110" s="51"/>
      <c r="B110" s="51"/>
      <c r="C110" s="707" t="s">
        <v>4699</v>
      </c>
      <c r="D110" s="694"/>
      <c r="E110" s="706">
        <v>5.2990000000000004</v>
      </c>
      <c r="F110" s="51"/>
      <c r="G110" s="51"/>
    </row>
    <row r="111" spans="1:7" ht="18" customHeight="1" x14ac:dyDescent="0.25">
      <c r="A111" s="51"/>
      <c r="B111" s="51"/>
      <c r="C111" s="707" t="s">
        <v>4700</v>
      </c>
      <c r="D111" s="694"/>
      <c r="E111" s="706">
        <v>11.193</v>
      </c>
      <c r="F111" s="51"/>
      <c r="G111" s="51"/>
    </row>
    <row r="112" spans="1:7" ht="18" customHeight="1" x14ac:dyDescent="0.25">
      <c r="A112" s="51"/>
      <c r="B112" s="51"/>
      <c r="C112" s="707" t="s">
        <v>4701</v>
      </c>
      <c r="D112" s="694"/>
      <c r="E112" s="706">
        <v>12.327999999999999</v>
      </c>
      <c r="F112" s="51"/>
      <c r="G112" s="51"/>
    </row>
    <row r="113" spans="1:7" ht="18" customHeight="1" x14ac:dyDescent="0.25">
      <c r="A113" s="51"/>
      <c r="B113" s="51"/>
      <c r="C113" s="707" t="s">
        <v>4653</v>
      </c>
      <c r="D113" s="694"/>
      <c r="E113" s="706">
        <v>5.6212</v>
      </c>
      <c r="F113" s="51"/>
      <c r="G113" s="51"/>
    </row>
    <row r="114" spans="1:7" ht="18" customHeight="1" x14ac:dyDescent="0.25">
      <c r="A114" s="51"/>
      <c r="B114" s="51"/>
      <c r="C114" s="707" t="s">
        <v>4656</v>
      </c>
      <c r="D114" s="694"/>
      <c r="E114" s="706">
        <v>10.7281</v>
      </c>
      <c r="F114" s="51"/>
      <c r="G114" s="51"/>
    </row>
    <row r="115" spans="1:7" ht="18" customHeight="1" x14ac:dyDescent="0.25">
      <c r="A115" s="51"/>
      <c r="B115" s="51"/>
      <c r="C115" s="707" t="s">
        <v>4654</v>
      </c>
      <c r="D115" s="694"/>
      <c r="E115" s="706">
        <v>9.6859999999999999</v>
      </c>
      <c r="F115" s="51"/>
      <c r="G115" s="51"/>
    </row>
    <row r="116" spans="1:7" ht="18" customHeight="1" x14ac:dyDescent="0.25">
      <c r="A116" s="51"/>
      <c r="B116" s="51"/>
      <c r="C116" s="707" t="s">
        <v>4655</v>
      </c>
      <c r="D116" s="694"/>
      <c r="E116" s="706">
        <v>12.354699999999999</v>
      </c>
      <c r="F116" s="51"/>
      <c r="G116" s="51"/>
    </row>
    <row r="117" spans="1:7" ht="18" customHeight="1" x14ac:dyDescent="0.25">
      <c r="A117" s="51"/>
      <c r="B117" s="51"/>
      <c r="C117" s="707" t="s">
        <v>4628</v>
      </c>
      <c r="D117" s="694"/>
      <c r="E117" s="706">
        <v>6.11</v>
      </c>
      <c r="F117" s="51"/>
      <c r="G117" s="51"/>
    </row>
    <row r="118" spans="1:7" ht="18" customHeight="1" x14ac:dyDescent="0.25">
      <c r="A118" s="51"/>
      <c r="B118" s="51"/>
      <c r="C118" s="707" t="s">
        <v>4629</v>
      </c>
      <c r="D118" s="694"/>
      <c r="E118" s="706">
        <v>11.09</v>
      </c>
      <c r="F118" s="51"/>
      <c r="G118" s="51"/>
    </row>
    <row r="119" spans="1:7" ht="18" customHeight="1" x14ac:dyDescent="0.25">
      <c r="A119" s="51"/>
      <c r="B119" s="51"/>
      <c r="C119" s="707" t="s">
        <v>4630</v>
      </c>
      <c r="D119" s="694"/>
      <c r="E119" s="706">
        <v>12.67</v>
      </c>
      <c r="F119" s="51"/>
      <c r="G119" s="51"/>
    </row>
    <row r="120" spans="1:7" ht="18" customHeight="1" x14ac:dyDescent="0.25">
      <c r="A120" s="51"/>
      <c r="B120" s="51"/>
      <c r="C120" s="707" t="s">
        <v>4657</v>
      </c>
      <c r="D120" s="694"/>
      <c r="E120" s="706">
        <v>1.9854000000000001</v>
      </c>
      <c r="F120" s="51"/>
      <c r="G120" s="51"/>
    </row>
    <row r="121" spans="1:7" ht="18" customHeight="1" x14ac:dyDescent="0.25">
      <c r="A121" s="51"/>
      <c r="B121" s="51"/>
      <c r="C121" s="707" t="s">
        <v>4658</v>
      </c>
      <c r="D121" s="694"/>
      <c r="E121" s="706">
        <v>4.5327999999999999</v>
      </c>
      <c r="F121" s="51"/>
      <c r="G121" s="51"/>
    </row>
    <row r="122" spans="1:7" ht="18" customHeight="1" x14ac:dyDescent="0.25">
      <c r="A122" s="51"/>
      <c r="B122" s="51"/>
      <c r="C122" s="707" t="s">
        <v>4659</v>
      </c>
      <c r="D122" s="694"/>
      <c r="E122" s="706">
        <v>7.7500999999999998</v>
      </c>
      <c r="F122" s="51"/>
      <c r="G122" s="51"/>
    </row>
    <row r="123" spans="1:7" ht="18" customHeight="1" x14ac:dyDescent="0.25">
      <c r="A123" s="51"/>
      <c r="B123" s="51"/>
      <c r="C123" s="707" t="s">
        <v>4631</v>
      </c>
      <c r="D123" s="694"/>
      <c r="E123" s="706">
        <v>0.95099999999999996</v>
      </c>
      <c r="F123" s="51"/>
      <c r="G123" s="51"/>
    </row>
    <row r="124" spans="1:7" ht="18" customHeight="1" x14ac:dyDescent="0.25">
      <c r="A124" s="51"/>
      <c r="B124" s="51"/>
      <c r="C124" s="707" t="s">
        <v>4632</v>
      </c>
      <c r="D124" s="694"/>
      <c r="E124" s="706">
        <v>3.3580000000000001</v>
      </c>
      <c r="F124" s="51"/>
      <c r="G124" s="51"/>
    </row>
    <row r="125" spans="1:7" ht="18" customHeight="1" x14ac:dyDescent="0.25">
      <c r="A125" s="51"/>
      <c r="B125" s="51"/>
      <c r="C125" s="707" t="s">
        <v>4633</v>
      </c>
      <c r="D125" s="694"/>
      <c r="E125" s="706">
        <v>7.7229999999999999</v>
      </c>
      <c r="F125" s="51"/>
      <c r="G125" s="51"/>
    </row>
    <row r="126" spans="1:7" ht="18" customHeight="1" x14ac:dyDescent="0.25">
      <c r="A126" s="51"/>
      <c r="B126" s="51"/>
      <c r="C126" s="707" t="s">
        <v>4634</v>
      </c>
      <c r="D126" s="694"/>
      <c r="E126" s="706">
        <v>6.8869999999999996</v>
      </c>
      <c r="F126" s="51"/>
      <c r="G126" s="51"/>
    </row>
    <row r="127" spans="1:7" ht="18" customHeight="1" x14ac:dyDescent="0.25">
      <c r="A127" s="51"/>
      <c r="B127" s="51"/>
      <c r="C127" s="707" t="s">
        <v>4635</v>
      </c>
      <c r="D127" s="694"/>
      <c r="E127" s="706">
        <v>19.623999999999999</v>
      </c>
      <c r="F127" s="51"/>
      <c r="G127" s="51"/>
    </row>
    <row r="128" spans="1:7" ht="18" customHeight="1" x14ac:dyDescent="0.25">
      <c r="A128" s="51"/>
      <c r="B128" s="51"/>
      <c r="C128" s="707" t="s">
        <v>4636</v>
      </c>
      <c r="D128" s="694"/>
      <c r="E128" s="706">
        <v>5.1619999999999999</v>
      </c>
      <c r="F128" s="51"/>
      <c r="G128" s="51"/>
    </row>
    <row r="129" spans="1:7" ht="18" customHeight="1" x14ac:dyDescent="0.25">
      <c r="A129" s="51"/>
      <c r="B129" s="51"/>
      <c r="C129" s="707" t="s">
        <v>4694</v>
      </c>
      <c r="D129" s="694"/>
      <c r="E129" s="706">
        <v>20.32</v>
      </c>
      <c r="F129" s="51"/>
      <c r="G129" s="51"/>
    </row>
    <row r="130" spans="1:7" ht="18" customHeight="1" x14ac:dyDescent="0.25">
      <c r="A130" s="51"/>
      <c r="B130" s="51"/>
      <c r="C130" s="707" t="s">
        <v>4716</v>
      </c>
      <c r="D130" s="694"/>
      <c r="E130" s="706">
        <v>40.359000000000002</v>
      </c>
      <c r="F130" s="51"/>
      <c r="G130" s="51"/>
    </row>
    <row r="131" spans="1:7" ht="18" customHeight="1" x14ac:dyDescent="0.25">
      <c r="A131" s="51"/>
      <c r="B131" s="51"/>
      <c r="C131" s="707" t="s">
        <v>4753</v>
      </c>
      <c r="D131" s="694"/>
      <c r="E131" s="706">
        <v>2.0579999999999998</v>
      </c>
      <c r="F131" s="51"/>
      <c r="G131" s="51"/>
    </row>
    <row r="132" spans="1:7" ht="18" customHeight="1" x14ac:dyDescent="0.25">
      <c r="A132" s="51"/>
      <c r="B132" s="51"/>
      <c r="C132" s="707" t="s">
        <v>4637</v>
      </c>
      <c r="D132" s="694"/>
      <c r="E132" s="706">
        <v>22.233599999999999</v>
      </c>
      <c r="F132" s="51"/>
      <c r="G132" s="51"/>
    </row>
    <row r="133" spans="1:7" ht="18" customHeight="1" x14ac:dyDescent="0.25">
      <c r="A133" s="51"/>
      <c r="B133" s="51"/>
      <c r="C133" s="704" t="s">
        <v>4638</v>
      </c>
      <c r="D133" s="694"/>
      <c r="E133" s="706">
        <v>39.025399999999998</v>
      </c>
      <c r="F133" s="51"/>
      <c r="G133" s="51"/>
    </row>
    <row r="134" spans="1:7" ht="18" customHeight="1" x14ac:dyDescent="0.25">
      <c r="A134" s="51"/>
      <c r="B134" s="51"/>
      <c r="C134" s="707" t="s">
        <v>4639</v>
      </c>
      <c r="D134" s="694"/>
      <c r="E134" s="706">
        <v>46.715699999999998</v>
      </c>
      <c r="F134" s="51"/>
      <c r="G134" s="51"/>
    </row>
    <row r="135" spans="1:7" ht="18" customHeight="1" x14ac:dyDescent="0.25">
      <c r="A135" s="51"/>
      <c r="B135" s="51"/>
      <c r="C135" s="704" t="s">
        <v>4663</v>
      </c>
      <c r="D135" s="694"/>
      <c r="E135" s="706">
        <f>64.2012/6</f>
        <v>10.700200000000001</v>
      </c>
      <c r="F135" s="51"/>
      <c r="G135" s="51"/>
    </row>
    <row r="136" spans="1:7" ht="18" customHeight="1" x14ac:dyDescent="0.25">
      <c r="A136" s="51"/>
      <c r="B136" s="51"/>
      <c r="C136" s="704" t="s">
        <v>4664</v>
      </c>
      <c r="D136" s="694"/>
      <c r="E136" s="706">
        <f>140.3146/6</f>
        <v>23.385766666666669</v>
      </c>
      <c r="F136" s="51"/>
      <c r="G136" s="51"/>
    </row>
    <row r="137" spans="1:7" ht="18" customHeight="1" x14ac:dyDescent="0.25">
      <c r="A137" s="51"/>
      <c r="B137" s="51"/>
      <c r="C137" s="707" t="s">
        <v>4665</v>
      </c>
      <c r="D137" s="694"/>
      <c r="E137" s="706">
        <f>399.187/6</f>
        <v>66.531166666666664</v>
      </c>
      <c r="F137" s="51"/>
      <c r="G137" s="51"/>
    </row>
    <row r="138" spans="1:7" ht="18" customHeight="1" x14ac:dyDescent="0.25">
      <c r="A138" s="51"/>
      <c r="B138" s="51"/>
      <c r="C138" s="707" t="s">
        <v>4660</v>
      </c>
      <c r="D138" s="694"/>
      <c r="E138" s="706">
        <f>31.331/6</f>
        <v>5.2218333333333335</v>
      </c>
      <c r="F138" s="51"/>
      <c r="G138" s="51"/>
    </row>
    <row r="139" spans="1:7" ht="18" customHeight="1" x14ac:dyDescent="0.25">
      <c r="A139" s="51"/>
      <c r="B139" s="51"/>
      <c r="C139" s="707" t="s">
        <v>4661</v>
      </c>
      <c r="D139" s="694"/>
      <c r="E139" s="706">
        <f>45.302/6</f>
        <v>7.5503333333333336</v>
      </c>
      <c r="F139" s="51"/>
      <c r="G139" s="51"/>
    </row>
    <row r="140" spans="1:7" ht="18" customHeight="1" x14ac:dyDescent="0.25">
      <c r="A140" s="51"/>
      <c r="B140" s="51"/>
      <c r="C140" s="704" t="s">
        <v>4662</v>
      </c>
      <c r="D140" s="694"/>
      <c r="E140" s="706">
        <f>70.003/6</f>
        <v>11.667166666666667</v>
      </c>
      <c r="F140" s="51"/>
      <c r="G140" s="51"/>
    </row>
    <row r="141" spans="1:7" ht="18" customHeight="1" x14ac:dyDescent="0.25">
      <c r="A141" s="51"/>
      <c r="B141" s="51"/>
      <c r="C141" s="707" t="s">
        <v>4600</v>
      </c>
      <c r="D141" s="694"/>
      <c r="E141" s="706">
        <v>17.866</v>
      </c>
      <c r="F141" s="51"/>
      <c r="G141" s="51"/>
    </row>
    <row r="142" spans="1:7" ht="18" customHeight="1" x14ac:dyDescent="0.25">
      <c r="A142" s="51"/>
      <c r="B142" s="51"/>
      <c r="C142" s="707" t="s">
        <v>4601</v>
      </c>
      <c r="D142" s="694"/>
      <c r="E142" s="706">
        <v>44.305</v>
      </c>
      <c r="F142" s="51"/>
      <c r="G142" s="51"/>
    </row>
    <row r="143" spans="1:7" ht="18" customHeight="1" x14ac:dyDescent="0.25">
      <c r="A143" s="51"/>
      <c r="B143" s="51"/>
      <c r="C143" s="704" t="s">
        <v>4602</v>
      </c>
      <c r="D143" s="694"/>
      <c r="E143" s="706">
        <v>64.828999999999994</v>
      </c>
      <c r="F143" s="51"/>
      <c r="G143" s="51"/>
    </row>
    <row r="144" spans="1:7" ht="18" customHeight="1" x14ac:dyDescent="0.25">
      <c r="A144" s="51"/>
      <c r="B144" s="51"/>
      <c r="C144" s="707" t="s">
        <v>4604</v>
      </c>
      <c r="D144" s="694"/>
      <c r="E144" s="706">
        <v>65.564999999999998</v>
      </c>
      <c r="F144" s="51"/>
      <c r="G144" s="51"/>
    </row>
    <row r="145" spans="1:7" ht="18" customHeight="1" x14ac:dyDescent="0.25">
      <c r="A145" s="51"/>
      <c r="B145" s="51"/>
      <c r="C145" s="704" t="s">
        <v>4605</v>
      </c>
      <c r="D145" s="694"/>
      <c r="E145" s="706">
        <v>129.255</v>
      </c>
      <c r="F145" s="51"/>
      <c r="G145" s="51"/>
    </row>
    <row r="146" spans="1:7" ht="18" customHeight="1" x14ac:dyDescent="0.25">
      <c r="A146" s="51"/>
      <c r="B146" s="51"/>
      <c r="C146" s="707" t="s">
        <v>4725</v>
      </c>
      <c r="D146" s="694"/>
      <c r="E146" s="706">
        <v>63.628</v>
      </c>
      <c r="F146" s="51"/>
      <c r="G146" s="51"/>
    </row>
    <row r="147" spans="1:7" ht="18" customHeight="1" x14ac:dyDescent="0.25">
      <c r="A147" s="51"/>
      <c r="B147" s="51"/>
      <c r="C147" s="707" t="s">
        <v>4730</v>
      </c>
      <c r="D147" s="694"/>
      <c r="E147" s="706">
        <v>119.15</v>
      </c>
      <c r="F147" s="51"/>
      <c r="G147" s="51"/>
    </row>
    <row r="148" spans="1:7" ht="18" customHeight="1" x14ac:dyDescent="0.25">
      <c r="A148" s="51"/>
      <c r="B148" s="51"/>
      <c r="C148" s="704" t="s">
        <v>4729</v>
      </c>
      <c r="D148" s="694"/>
      <c r="E148" s="706">
        <v>30.968</v>
      </c>
      <c r="F148" s="51"/>
      <c r="G148" s="51"/>
    </row>
    <row r="149" spans="1:7" ht="18" customHeight="1" x14ac:dyDescent="0.25">
      <c r="A149" s="51"/>
      <c r="B149" s="51"/>
      <c r="C149" s="707" t="s">
        <v>4731</v>
      </c>
      <c r="D149" s="694"/>
      <c r="E149" s="706">
        <v>869.37</v>
      </c>
      <c r="F149" s="51"/>
      <c r="G149" s="51"/>
    </row>
    <row r="150" spans="1:7" ht="18" customHeight="1" x14ac:dyDescent="0.25">
      <c r="A150" s="51"/>
      <c r="B150" s="51"/>
      <c r="C150" s="707" t="s">
        <v>4726</v>
      </c>
      <c r="D150" s="694"/>
      <c r="E150" s="706">
        <v>37.206000000000003</v>
      </c>
      <c r="F150" s="51"/>
      <c r="G150" s="51"/>
    </row>
    <row r="151" spans="1:7" ht="18" customHeight="1" x14ac:dyDescent="0.25">
      <c r="A151" s="51"/>
      <c r="B151" s="51"/>
      <c r="C151" s="822" t="s">
        <v>4741</v>
      </c>
      <c r="D151" s="823"/>
      <c r="E151" s="824">
        <v>1658.84</v>
      </c>
      <c r="F151" s="51"/>
      <c r="G151" s="51"/>
    </row>
  </sheetData>
  <autoFilter ref="B6:E222" xr:uid="{00000000-0009-0000-0000-000018000000}"/>
  <mergeCells count="1">
    <mergeCell ref="A5:G5"/>
  </mergeCells>
  <pageMargins left="0.511811024" right="0.511811024" top="0.78740157499999996" bottom="0.78740157499999996" header="0" footer="0"/>
  <pageSetup paperSize="9" scale="21" orientation="portrait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1851D6"/>
    <outlinePr summaryBelow="0" summaryRight="0"/>
  </sheetPr>
  <dimension ref="A1:P157"/>
  <sheetViews>
    <sheetView showGridLines="0" workbookViewId="0"/>
  </sheetViews>
  <sheetFormatPr defaultColWidth="12.5703125" defaultRowHeight="15" customHeight="1" x14ac:dyDescent="0.2"/>
  <cols>
    <col min="1" max="1" width="35.28515625" customWidth="1"/>
    <col min="2" max="2" width="36.140625" customWidth="1"/>
    <col min="3" max="3" width="31.28515625" customWidth="1"/>
    <col min="4" max="4" width="95.28515625" customWidth="1"/>
    <col min="5" max="5" width="16.28515625" customWidth="1"/>
    <col min="6" max="6" width="12.7109375" customWidth="1"/>
    <col min="7" max="7" width="15" customWidth="1"/>
    <col min="8" max="8" width="18.7109375" customWidth="1"/>
    <col min="9" max="9" width="18" customWidth="1"/>
    <col min="10" max="10" width="20" customWidth="1"/>
    <col min="11" max="11" width="12.7109375" customWidth="1"/>
    <col min="12" max="12" width="41.28515625" customWidth="1"/>
    <col min="13" max="13" width="19.42578125" customWidth="1"/>
    <col min="14" max="14" width="19.28515625" customWidth="1"/>
    <col min="15" max="26" width="12.7109375" customWidth="1"/>
  </cols>
  <sheetData>
    <row r="1" spans="1:16" ht="15" customHeight="1" x14ac:dyDescent="0.2">
      <c r="A1" s="581"/>
      <c r="B1" s="543" t="s">
        <v>0</v>
      </c>
      <c r="C1" s="544" t="s">
        <v>1</v>
      </c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84"/>
      <c r="O1" s="781"/>
      <c r="P1" s="782"/>
    </row>
    <row r="2" spans="1:16" ht="15" customHeight="1" x14ac:dyDescent="0.2">
      <c r="A2" s="334"/>
      <c r="B2" s="543" t="s">
        <v>2</v>
      </c>
      <c r="C2" s="544" t="s">
        <v>3</v>
      </c>
      <c r="D2" s="672"/>
      <c r="E2" s="339"/>
      <c r="F2" s="339"/>
      <c r="G2" s="339"/>
      <c r="H2" s="339"/>
      <c r="I2" s="339"/>
      <c r="J2" s="339"/>
      <c r="K2" s="339"/>
      <c r="L2" s="339"/>
      <c r="M2" s="339"/>
      <c r="N2" s="2"/>
      <c r="O2" s="783"/>
      <c r="P2" s="784"/>
    </row>
    <row r="3" spans="1:16" ht="15" customHeight="1" x14ac:dyDescent="0.2">
      <c r="A3" s="334"/>
      <c r="B3" s="543" t="s">
        <v>959</v>
      </c>
      <c r="C3" s="757"/>
      <c r="D3" s="675"/>
      <c r="E3" s="339"/>
      <c r="F3" s="339"/>
      <c r="G3" s="339"/>
      <c r="H3" s="339"/>
      <c r="I3" s="339"/>
      <c r="J3" s="339"/>
      <c r="K3" s="339"/>
      <c r="L3" s="339"/>
      <c r="M3" s="339"/>
      <c r="N3" s="2"/>
      <c r="O3" s="783"/>
      <c r="P3" s="784"/>
    </row>
    <row r="4" spans="1:16" ht="15" customHeight="1" x14ac:dyDescent="0.2">
      <c r="A4" s="676"/>
      <c r="B4" s="543" t="s">
        <v>4</v>
      </c>
      <c r="C4" s="544"/>
      <c r="D4" s="339"/>
      <c r="E4" s="339"/>
      <c r="F4" s="339"/>
      <c r="G4" s="339"/>
      <c r="H4" s="339"/>
      <c r="I4" s="339"/>
      <c r="J4" s="339"/>
      <c r="K4" s="339"/>
      <c r="L4" s="339"/>
      <c r="M4" s="339"/>
      <c r="N4" s="2"/>
      <c r="O4" s="787"/>
      <c r="P4" s="788"/>
    </row>
    <row r="5" spans="1:16" ht="12.75" x14ac:dyDescent="0.2">
      <c r="A5" s="1158"/>
      <c r="B5" s="1088"/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9"/>
    </row>
    <row r="6" spans="1:16" ht="15" customHeight="1" x14ac:dyDescent="0.55000000000000004">
      <c r="A6" s="680" t="s">
        <v>4365</v>
      </c>
      <c r="B6" s="680" t="s">
        <v>4366</v>
      </c>
      <c r="C6" s="680" t="s">
        <v>4367</v>
      </c>
      <c r="D6" s="680" t="s">
        <v>7</v>
      </c>
      <c r="E6" s="680" t="s">
        <v>9</v>
      </c>
      <c r="F6" s="680" t="s">
        <v>4368</v>
      </c>
      <c r="G6" s="680" t="s">
        <v>4369</v>
      </c>
      <c r="H6" s="680" t="s">
        <v>8</v>
      </c>
      <c r="I6" s="680" t="s">
        <v>128</v>
      </c>
      <c r="J6" s="680" t="s">
        <v>4370</v>
      </c>
      <c r="K6" s="759"/>
      <c r="L6" s="825" t="s">
        <v>4366</v>
      </c>
      <c r="M6" s="681" t="str">
        <f ca="1">IFERROR(__xludf.DUMMYFUNCTION("ARRAY_CONSTRAIN(ARRAYFORMULA(TRANSPOSE(UNIQUE(FILTER(A7:A1048576,A7:A1048576&lt;&gt;"""")))), 1, 1)"),"GERAL")</f>
        <v>GERAL</v>
      </c>
      <c r="N6" s="826" t="s">
        <v>59</v>
      </c>
      <c r="O6" s="334"/>
    </row>
    <row r="7" spans="1:16" ht="15" customHeight="1" x14ac:dyDescent="0.25">
      <c r="A7" s="682" t="s">
        <v>4480</v>
      </c>
      <c r="B7" s="683"/>
      <c r="C7" s="684"/>
      <c r="D7" s="684"/>
      <c r="E7" s="685"/>
      <c r="F7" s="685"/>
      <c r="G7" s="685"/>
      <c r="H7" s="685"/>
      <c r="I7" s="686"/>
      <c r="J7" s="687">
        <f t="shared" ref="J7:J156" si="0">IF(SUM(E7:I7)=0,SUMIFS($J8:$J$156,$A8:$A$156,$A7),G7*I7)</f>
        <v>730512.69886667037</v>
      </c>
      <c r="K7" s="759"/>
      <c r="L7" s="827" t="s">
        <v>4754</v>
      </c>
      <c r="M7" s="689">
        <f t="shared" ref="M7:M12" ca="1" si="1">SUMIFS($J$7:$J$156,$B$7:$B$156,$L7,$A$7:$A$156,M$6)</f>
        <v>204357.44266666999</v>
      </c>
      <c r="N7" s="828">
        <f t="shared" ref="N7:N12" ca="1" si="2">SUM(L7:M7)</f>
        <v>204357.44266666999</v>
      </c>
      <c r="O7" s="334"/>
    </row>
    <row r="8" spans="1:16" ht="15" customHeight="1" x14ac:dyDescent="0.25">
      <c r="A8" s="690" t="str">
        <f t="shared" ref="A8:A156" si="3">A7</f>
        <v>GERAL</v>
      </c>
      <c r="B8" s="767" t="s">
        <v>4754</v>
      </c>
      <c r="C8" s="767" t="s">
        <v>4373</v>
      </c>
      <c r="D8" s="690" t="s">
        <v>4374</v>
      </c>
      <c r="E8" s="692">
        <v>3259</v>
      </c>
      <c r="F8" s="692">
        <v>0</v>
      </c>
      <c r="G8" s="693">
        <f t="shared" ref="G8:G156" si="4">E8+(E8*F8)</f>
        <v>3259</v>
      </c>
      <c r="H8" s="797" t="str">
        <f>VLOOKUP(D8,'ELETRICA - PREÇO'!$C$7:$E$155,2)</f>
        <v>pç</v>
      </c>
      <c r="I8" s="695">
        <f>'ELETRICA - PREÇO'!E60</f>
        <v>1.54</v>
      </c>
      <c r="J8" s="765">
        <f t="shared" si="0"/>
        <v>5018.8599999999997</v>
      </c>
      <c r="K8" s="759"/>
      <c r="L8" s="767" t="s">
        <v>441</v>
      </c>
      <c r="M8" s="689">
        <f t="shared" ca="1" si="1"/>
        <v>388969.81979999971</v>
      </c>
      <c r="N8" s="828">
        <f t="shared" ca="1" si="2"/>
        <v>388969.81979999971</v>
      </c>
      <c r="O8" s="334"/>
    </row>
    <row r="9" spans="1:16" ht="15" customHeight="1" x14ac:dyDescent="0.25">
      <c r="A9" s="690" t="str">
        <f t="shared" si="3"/>
        <v>GERAL</v>
      </c>
      <c r="B9" s="767" t="s">
        <v>4754</v>
      </c>
      <c r="C9" s="767" t="s">
        <v>4373</v>
      </c>
      <c r="D9" s="690" t="s">
        <v>4755</v>
      </c>
      <c r="E9" s="692">
        <v>2</v>
      </c>
      <c r="F9" s="692">
        <v>0</v>
      </c>
      <c r="G9" s="693">
        <f t="shared" si="4"/>
        <v>2</v>
      </c>
      <c r="H9" s="797" t="str">
        <f>VLOOKUP(D9,'ELETRICA - PREÇO'!$C$7:$E$155,2)</f>
        <v>pç</v>
      </c>
      <c r="I9" s="695">
        <f>'ELETRICA - PREÇO'!E61</f>
        <v>2.4900000000000002</v>
      </c>
      <c r="J9" s="765">
        <f t="shared" si="0"/>
        <v>4.9800000000000004</v>
      </c>
      <c r="K9" s="759"/>
      <c r="L9" s="767" t="s">
        <v>439</v>
      </c>
      <c r="M9" s="689">
        <f t="shared" ca="1" si="1"/>
        <v>79922.4764</v>
      </c>
      <c r="N9" s="828">
        <f t="shared" ca="1" si="2"/>
        <v>79922.4764</v>
      </c>
      <c r="O9" s="334"/>
    </row>
    <row r="10" spans="1:16" ht="15" customHeight="1" x14ac:dyDescent="0.25">
      <c r="A10" s="690" t="str">
        <f t="shared" si="3"/>
        <v>GERAL</v>
      </c>
      <c r="B10" s="767" t="s">
        <v>4754</v>
      </c>
      <c r="C10" s="767" t="s">
        <v>4373</v>
      </c>
      <c r="D10" s="690" t="s">
        <v>4376</v>
      </c>
      <c r="E10" s="692">
        <v>71</v>
      </c>
      <c r="F10" s="692">
        <v>0</v>
      </c>
      <c r="G10" s="693">
        <f t="shared" si="4"/>
        <v>71</v>
      </c>
      <c r="H10" s="797" t="str">
        <f>VLOOKUP(D10,'ELETRICA - PREÇO'!$C$7:$E$155,2)</f>
        <v>pç</v>
      </c>
      <c r="I10" s="695">
        <f>'ELETRICA - PREÇO'!E60</f>
        <v>1.54</v>
      </c>
      <c r="J10" s="765">
        <f t="shared" si="0"/>
        <v>109.34</v>
      </c>
      <c r="K10" s="759"/>
      <c r="L10" s="767" t="s">
        <v>4756</v>
      </c>
      <c r="M10" s="689">
        <f t="shared" ca="1" si="1"/>
        <v>52393.279999999992</v>
      </c>
      <c r="N10" s="828">
        <f t="shared" ca="1" si="2"/>
        <v>52393.279999999992</v>
      </c>
      <c r="O10" s="334"/>
    </row>
    <row r="11" spans="1:16" ht="15" customHeight="1" x14ac:dyDescent="0.25">
      <c r="A11" s="690" t="str">
        <f t="shared" si="3"/>
        <v>GERAL</v>
      </c>
      <c r="B11" s="767" t="s">
        <v>4754</v>
      </c>
      <c r="C11" s="767" t="s">
        <v>4373</v>
      </c>
      <c r="D11" s="690" t="s">
        <v>4377</v>
      </c>
      <c r="E11" s="692">
        <v>127</v>
      </c>
      <c r="F11" s="692">
        <v>0</v>
      </c>
      <c r="G11" s="693">
        <f t="shared" si="4"/>
        <v>127</v>
      </c>
      <c r="H11" s="797" t="str">
        <f>VLOOKUP(D11,'ELETRICA - PREÇO'!$C$7:$E$155,2)</f>
        <v>pç</v>
      </c>
      <c r="I11" s="695">
        <f>'ELETRICA - PREÇO'!E61</f>
        <v>2.4900000000000002</v>
      </c>
      <c r="J11" s="765">
        <f t="shared" si="0"/>
        <v>316.23</v>
      </c>
      <c r="K11" s="759"/>
      <c r="L11" s="767" t="s">
        <v>4333</v>
      </c>
      <c r="M11" s="829">
        <f t="shared" ca="1" si="1"/>
        <v>4869.68</v>
      </c>
      <c r="N11" s="828">
        <f t="shared" ca="1" si="2"/>
        <v>4869.68</v>
      </c>
      <c r="O11" s="334"/>
    </row>
    <row r="12" spans="1:16" ht="15" customHeight="1" x14ac:dyDescent="0.25">
      <c r="A12" s="690" t="str">
        <f t="shared" si="3"/>
        <v>GERAL</v>
      </c>
      <c r="B12" s="767" t="s">
        <v>4754</v>
      </c>
      <c r="C12" s="767" t="s">
        <v>4373</v>
      </c>
      <c r="D12" s="690" t="s">
        <v>4757</v>
      </c>
      <c r="E12" s="692">
        <v>1020</v>
      </c>
      <c r="F12" s="692">
        <v>0</v>
      </c>
      <c r="G12" s="693">
        <f t="shared" si="4"/>
        <v>1020</v>
      </c>
      <c r="H12" s="797" t="str">
        <f>VLOOKUP(D12,'ELETRICA - PREÇO'!$C$7:$E$155,2)</f>
        <v>pç</v>
      </c>
      <c r="I12" s="695">
        <f>'ELETRICA - PREÇO'!E68</f>
        <v>4.7119999999999997</v>
      </c>
      <c r="J12" s="765">
        <f t="shared" si="0"/>
        <v>4806.24</v>
      </c>
      <c r="K12" s="334"/>
      <c r="L12" s="769" t="s">
        <v>444</v>
      </c>
      <c r="M12" s="800">
        <f t="shared" ca="1" si="1"/>
        <v>0</v>
      </c>
      <c r="N12" s="830">
        <f t="shared" ca="1" si="2"/>
        <v>0</v>
      </c>
      <c r="O12" s="334"/>
    </row>
    <row r="13" spans="1:16" ht="15" customHeight="1" x14ac:dyDescent="0.25">
      <c r="A13" s="690" t="str">
        <f t="shared" si="3"/>
        <v>GERAL</v>
      </c>
      <c r="B13" s="767" t="s">
        <v>439</v>
      </c>
      <c r="C13" s="767" t="s">
        <v>4373</v>
      </c>
      <c r="D13" s="690" t="s">
        <v>4758</v>
      </c>
      <c r="E13" s="692">
        <v>8</v>
      </c>
      <c r="F13" s="692">
        <v>0</v>
      </c>
      <c r="G13" s="693">
        <f t="shared" si="4"/>
        <v>8</v>
      </c>
      <c r="H13" s="797" t="str">
        <f>VLOOKUP(D13,'ELETRICA - PREÇO'!$C$7:$E$155,2)</f>
        <v>pç</v>
      </c>
      <c r="I13" s="695">
        <f>AVERAGE(I14/40,I15/20)*80</f>
        <v>385.7299999999999</v>
      </c>
      <c r="J13" s="765">
        <f t="shared" si="0"/>
        <v>3085.8399999999992</v>
      </c>
      <c r="K13" s="334"/>
      <c r="L13" s="334"/>
      <c r="M13" s="697" t="s">
        <v>59</v>
      </c>
      <c r="N13" s="698">
        <f ca="1">SUM(N7:N12)</f>
        <v>730512.69886666979</v>
      </c>
      <c r="O13" s="831" t="str">
        <f ca="1">IF(J157=N13,"Ok!","Rever!")</f>
        <v>Ok!</v>
      </c>
    </row>
    <row r="14" spans="1:16" ht="15" customHeight="1" x14ac:dyDescent="0.25">
      <c r="A14" s="690" t="str">
        <f t="shared" si="3"/>
        <v>GERAL</v>
      </c>
      <c r="B14" s="767" t="s">
        <v>439</v>
      </c>
      <c r="C14" s="767" t="s">
        <v>4373</v>
      </c>
      <c r="D14" s="690" t="s">
        <v>4759</v>
      </c>
      <c r="E14" s="692">
        <v>2</v>
      </c>
      <c r="F14" s="692">
        <v>0</v>
      </c>
      <c r="G14" s="693">
        <f t="shared" si="4"/>
        <v>2</v>
      </c>
      <c r="H14" s="797" t="str">
        <f>VLOOKUP(D14,'ELETRICA - PREÇO'!$C$7:$E$155,2)</f>
        <v>pç</v>
      </c>
      <c r="I14" s="695">
        <f>'ELETRICA - PREÇO'!E63</f>
        <v>260.77</v>
      </c>
      <c r="J14" s="765">
        <f t="shared" si="0"/>
        <v>521.54</v>
      </c>
      <c r="K14" s="334"/>
      <c r="L14" s="334"/>
      <c r="M14" s="334"/>
      <c r="N14" s="832"/>
      <c r="O14" s="334"/>
    </row>
    <row r="15" spans="1:16" ht="15" customHeight="1" x14ac:dyDescent="0.25">
      <c r="A15" s="690" t="str">
        <f t="shared" si="3"/>
        <v>GERAL</v>
      </c>
      <c r="B15" s="767" t="s">
        <v>439</v>
      </c>
      <c r="C15" s="767" t="s">
        <v>4373</v>
      </c>
      <c r="D15" s="690" t="s">
        <v>4760</v>
      </c>
      <c r="E15" s="692">
        <v>1</v>
      </c>
      <c r="F15" s="692">
        <v>0</v>
      </c>
      <c r="G15" s="693">
        <f t="shared" si="4"/>
        <v>1</v>
      </c>
      <c r="H15" s="797" t="str">
        <f>VLOOKUP(D15,'ELETRICA - PREÇO'!$C$7:$E$155,2)</f>
        <v>pç</v>
      </c>
      <c r="I15" s="695">
        <f>'ELETRICA - PREÇO'!E62</f>
        <v>62.48</v>
      </c>
      <c r="J15" s="765">
        <f t="shared" si="0"/>
        <v>62.48</v>
      </c>
      <c r="K15" s="334"/>
      <c r="L15" s="334"/>
      <c r="M15" s="334"/>
      <c r="N15" s="334"/>
      <c r="O15" s="334"/>
    </row>
    <row r="16" spans="1:16" ht="15" customHeight="1" x14ac:dyDescent="0.25">
      <c r="A16" s="690" t="str">
        <f t="shared" si="3"/>
        <v>GERAL</v>
      </c>
      <c r="B16" s="767" t="s">
        <v>4756</v>
      </c>
      <c r="C16" s="767" t="s">
        <v>4761</v>
      </c>
      <c r="D16" s="690" t="s">
        <v>4762</v>
      </c>
      <c r="E16" s="692">
        <v>71</v>
      </c>
      <c r="F16" s="692">
        <v>0</v>
      </c>
      <c r="G16" s="693">
        <f t="shared" si="4"/>
        <v>71</v>
      </c>
      <c r="H16" s="797" t="str">
        <f>VLOOKUP(D16,'ELETRICA - PREÇO'!$C$7:$E$155,2)</f>
        <v>pç</v>
      </c>
      <c r="I16" s="695">
        <v>34.4</v>
      </c>
      <c r="J16" s="765">
        <f t="shared" si="0"/>
        <v>2442.4</v>
      </c>
      <c r="K16" s="334"/>
      <c r="L16" s="334"/>
      <c r="M16" s="334"/>
      <c r="N16" s="334"/>
      <c r="O16" s="334"/>
    </row>
    <row r="17" spans="1:10" ht="15" customHeight="1" x14ac:dyDescent="0.25">
      <c r="A17" s="690" t="str">
        <f t="shared" si="3"/>
        <v>GERAL</v>
      </c>
      <c r="B17" s="767" t="s">
        <v>4756</v>
      </c>
      <c r="C17" s="767" t="s">
        <v>4761</v>
      </c>
      <c r="D17" s="690" t="s">
        <v>4763</v>
      </c>
      <c r="E17" s="692">
        <v>71</v>
      </c>
      <c r="F17" s="692">
        <v>0</v>
      </c>
      <c r="G17" s="693">
        <f t="shared" si="4"/>
        <v>71</v>
      </c>
      <c r="H17" s="797" t="str">
        <f>VLOOKUP(D17,'ELETRICA - PREÇO'!$C$7:$E$155,2)</f>
        <v>pç</v>
      </c>
      <c r="I17" s="695">
        <v>8.84</v>
      </c>
      <c r="J17" s="765">
        <f t="shared" si="0"/>
        <v>627.64</v>
      </c>
    </row>
    <row r="18" spans="1:10" x14ac:dyDescent="0.25">
      <c r="A18" s="690" t="str">
        <f t="shared" si="3"/>
        <v>GERAL</v>
      </c>
      <c r="B18" s="767" t="s">
        <v>4756</v>
      </c>
      <c r="C18" s="767" t="s">
        <v>4378</v>
      </c>
      <c r="D18" s="690" t="s">
        <v>4379</v>
      </c>
      <c r="E18" s="692">
        <v>228</v>
      </c>
      <c r="F18" s="692">
        <v>0</v>
      </c>
      <c r="G18" s="693">
        <f t="shared" si="4"/>
        <v>228</v>
      </c>
      <c r="H18" s="797" t="str">
        <f>VLOOKUP(D18,'ELETRICA - PREÇO'!$C$7:$E$155,2)</f>
        <v>pç</v>
      </c>
      <c r="I18" s="695">
        <v>7.9989999999999997</v>
      </c>
      <c r="J18" s="765">
        <f t="shared" si="0"/>
        <v>1823.7719999999999</v>
      </c>
    </row>
    <row r="19" spans="1:10" x14ac:dyDescent="0.25">
      <c r="A19" s="690" t="str">
        <f t="shared" si="3"/>
        <v>GERAL</v>
      </c>
      <c r="B19" s="767" t="s">
        <v>4756</v>
      </c>
      <c r="C19" s="767" t="s">
        <v>4378</v>
      </c>
      <c r="D19" s="690" t="s">
        <v>4380</v>
      </c>
      <c r="E19" s="692">
        <v>41</v>
      </c>
      <c r="F19" s="692">
        <v>0</v>
      </c>
      <c r="G19" s="693">
        <f t="shared" si="4"/>
        <v>41</v>
      </c>
      <c r="H19" s="797" t="str">
        <f>VLOOKUP(D19,'ELETRICA - PREÇO'!$C$7:$E$155,2)</f>
        <v>pç</v>
      </c>
      <c r="I19" s="695">
        <f>'ELETRICA - PREÇO'!E152</f>
        <v>8.8000000000000007</v>
      </c>
      <c r="J19" s="765">
        <f t="shared" si="0"/>
        <v>360.8</v>
      </c>
    </row>
    <row r="20" spans="1:10" x14ac:dyDescent="0.25">
      <c r="A20" s="690" t="str">
        <f t="shared" si="3"/>
        <v>GERAL</v>
      </c>
      <c r="B20" s="767" t="s">
        <v>4756</v>
      </c>
      <c r="C20" s="767" t="s">
        <v>4378</v>
      </c>
      <c r="D20" s="690" t="s">
        <v>4764</v>
      </c>
      <c r="E20" s="692">
        <v>187</v>
      </c>
      <c r="F20" s="692">
        <v>0</v>
      </c>
      <c r="G20" s="693">
        <f t="shared" si="4"/>
        <v>187</v>
      </c>
      <c r="H20" s="797" t="str">
        <f>VLOOKUP(D20,'ELETRICA - PREÇO'!$C$7:$E$155,2)</f>
        <v>pç</v>
      </c>
      <c r="I20" s="695">
        <f>'ELETRICA - PREÇO'!E152</f>
        <v>8.8000000000000007</v>
      </c>
      <c r="J20" s="765">
        <f t="shared" si="0"/>
        <v>1645.6000000000001</v>
      </c>
    </row>
    <row r="21" spans="1:10" x14ac:dyDescent="0.25">
      <c r="A21" s="690" t="str">
        <f t="shared" si="3"/>
        <v>GERAL</v>
      </c>
      <c r="B21" s="767" t="s">
        <v>4754</v>
      </c>
      <c r="C21" s="767" t="s">
        <v>4385</v>
      </c>
      <c r="D21" s="690" t="s">
        <v>4765</v>
      </c>
      <c r="E21" s="692">
        <v>3</v>
      </c>
      <c r="F21" s="692">
        <v>0</v>
      </c>
      <c r="G21" s="693">
        <f t="shared" si="4"/>
        <v>3</v>
      </c>
      <c r="H21" s="797" t="str">
        <f>VLOOKUP(D21,'ELETRICA - PREÇO'!$C$7:$E$155,2)</f>
        <v>pç</v>
      </c>
      <c r="I21" s="695">
        <v>14.8</v>
      </c>
      <c r="J21" s="765">
        <f t="shared" si="0"/>
        <v>44.400000000000006</v>
      </c>
    </row>
    <row r="22" spans="1:10" x14ac:dyDescent="0.25">
      <c r="A22" s="690" t="str">
        <f t="shared" si="3"/>
        <v>GERAL</v>
      </c>
      <c r="B22" s="767" t="s">
        <v>4754</v>
      </c>
      <c r="C22" s="767" t="s">
        <v>4385</v>
      </c>
      <c r="D22" s="690" t="s">
        <v>4766</v>
      </c>
      <c r="E22" s="692">
        <v>1</v>
      </c>
      <c r="F22" s="692">
        <v>0</v>
      </c>
      <c r="G22" s="693">
        <f t="shared" si="4"/>
        <v>1</v>
      </c>
      <c r="H22" s="797" t="str">
        <f>VLOOKUP(D22,'ELETRICA - PREÇO'!$C$7:$E$155,2)</f>
        <v>pç</v>
      </c>
      <c r="I22" s="695">
        <v>11.47</v>
      </c>
      <c r="J22" s="765">
        <f t="shared" si="0"/>
        <v>11.47</v>
      </c>
    </row>
    <row r="23" spans="1:10" x14ac:dyDescent="0.25">
      <c r="A23" s="690" t="str">
        <f t="shared" si="3"/>
        <v>GERAL</v>
      </c>
      <c r="B23" s="767" t="s">
        <v>4754</v>
      </c>
      <c r="C23" s="767" t="s">
        <v>4385</v>
      </c>
      <c r="D23" s="690" t="s">
        <v>4767</v>
      </c>
      <c r="E23" s="692">
        <v>1</v>
      </c>
      <c r="F23" s="692">
        <v>0</v>
      </c>
      <c r="G23" s="693">
        <f t="shared" si="4"/>
        <v>1</v>
      </c>
      <c r="H23" s="797" t="str">
        <f>VLOOKUP(D23,'ELETRICA - PREÇO'!$C$7:$E$155,2)</f>
        <v>pç</v>
      </c>
      <c r="I23" s="695">
        <v>9.3800000000000008</v>
      </c>
      <c r="J23" s="765">
        <f t="shared" si="0"/>
        <v>9.3800000000000008</v>
      </c>
    </row>
    <row r="24" spans="1:10" ht="30" x14ac:dyDescent="0.25">
      <c r="A24" s="690" t="str">
        <f t="shared" si="3"/>
        <v>GERAL</v>
      </c>
      <c r="B24" s="767" t="s">
        <v>4754</v>
      </c>
      <c r="C24" s="767" t="s">
        <v>4389</v>
      </c>
      <c r="D24" s="691" t="s">
        <v>4768</v>
      </c>
      <c r="E24" s="692">
        <v>2</v>
      </c>
      <c r="F24" s="692">
        <v>0</v>
      </c>
      <c r="G24" s="693">
        <f t="shared" si="4"/>
        <v>2</v>
      </c>
      <c r="H24" s="797" t="str">
        <f>VLOOKUP(D24,'ELETRICA - PREÇO'!$C$7:$E$155,2)</f>
        <v>pç</v>
      </c>
      <c r="I24" s="695">
        <f>'ELETRICA - PREÇO'!E71</f>
        <v>11.99</v>
      </c>
      <c r="J24" s="765">
        <f t="shared" si="0"/>
        <v>23.98</v>
      </c>
    </row>
    <row r="25" spans="1:10" x14ac:dyDescent="0.25">
      <c r="A25" s="690" t="str">
        <f t="shared" si="3"/>
        <v>GERAL</v>
      </c>
      <c r="B25" s="767" t="s">
        <v>4754</v>
      </c>
      <c r="C25" s="767" t="s">
        <v>4389</v>
      </c>
      <c r="D25" s="690" t="s">
        <v>4391</v>
      </c>
      <c r="E25" s="692">
        <v>4</v>
      </c>
      <c r="F25" s="692">
        <v>0</v>
      </c>
      <c r="G25" s="693">
        <f t="shared" si="4"/>
        <v>4</v>
      </c>
      <c r="H25" s="797" t="str">
        <f>VLOOKUP(D25,'ELETRICA - PREÇO'!$C$7:$E$155,2)</f>
        <v>pç</v>
      </c>
      <c r="I25" s="695">
        <v>1.41</v>
      </c>
      <c r="J25" s="765">
        <f t="shared" si="0"/>
        <v>5.64</v>
      </c>
    </row>
    <row r="26" spans="1:10" x14ac:dyDescent="0.25">
      <c r="A26" s="690" t="str">
        <f t="shared" si="3"/>
        <v>GERAL</v>
      </c>
      <c r="B26" s="767" t="s">
        <v>4754</v>
      </c>
      <c r="C26" s="767" t="s">
        <v>4397</v>
      </c>
      <c r="D26" s="691" t="s">
        <v>4398</v>
      </c>
      <c r="E26" s="692">
        <v>32</v>
      </c>
      <c r="F26" s="692">
        <v>0</v>
      </c>
      <c r="G26" s="693">
        <f t="shared" si="4"/>
        <v>32</v>
      </c>
      <c r="H26" s="797" t="str">
        <f>VLOOKUP(D26,'ELETRICA - PREÇO'!$C$7:$E$155,2)</f>
        <v>pç</v>
      </c>
      <c r="I26" s="695">
        <v>306</v>
      </c>
      <c r="J26" s="765">
        <f t="shared" si="0"/>
        <v>9792</v>
      </c>
    </row>
    <row r="27" spans="1:10" x14ac:dyDescent="0.25">
      <c r="A27" s="690" t="str">
        <f t="shared" si="3"/>
        <v>GERAL</v>
      </c>
      <c r="B27" s="767" t="s">
        <v>4754</v>
      </c>
      <c r="C27" s="767" t="s">
        <v>4397</v>
      </c>
      <c r="D27" s="690" t="s">
        <v>4399</v>
      </c>
      <c r="E27" s="692">
        <v>16</v>
      </c>
      <c r="F27" s="692">
        <v>0</v>
      </c>
      <c r="G27" s="693">
        <f t="shared" si="4"/>
        <v>16</v>
      </c>
      <c r="H27" s="797" t="str">
        <f>VLOOKUP(D27,'ELETRICA - PREÇO'!$C$7:$E$155,2)</f>
        <v>pç</v>
      </c>
      <c r="I27" s="695">
        <v>5</v>
      </c>
      <c r="J27" s="765">
        <f t="shared" si="0"/>
        <v>80</v>
      </c>
    </row>
    <row r="28" spans="1:10" x14ac:dyDescent="0.25">
      <c r="A28" s="690" t="str">
        <f t="shared" si="3"/>
        <v>GERAL</v>
      </c>
      <c r="B28" s="767" t="s">
        <v>4754</v>
      </c>
      <c r="C28" s="767" t="s">
        <v>4397</v>
      </c>
      <c r="D28" s="690" t="s">
        <v>4769</v>
      </c>
      <c r="E28" s="692">
        <v>1</v>
      </c>
      <c r="F28" s="692">
        <v>0</v>
      </c>
      <c r="G28" s="693">
        <f t="shared" si="4"/>
        <v>1</v>
      </c>
      <c r="H28" s="797" t="str">
        <f>VLOOKUP(D28,'ELETRICA - PREÇO'!$C$7:$E$155,2)</f>
        <v>pç</v>
      </c>
      <c r="I28" s="695">
        <v>84.134166669999999</v>
      </c>
      <c r="J28" s="765">
        <f t="shared" si="0"/>
        <v>84.134166669999999</v>
      </c>
    </row>
    <row r="29" spans="1:10" x14ac:dyDescent="0.25">
      <c r="A29" s="690" t="str">
        <f t="shared" si="3"/>
        <v>GERAL</v>
      </c>
      <c r="B29" s="767" t="s">
        <v>4754</v>
      </c>
      <c r="C29" s="767" t="s">
        <v>4397</v>
      </c>
      <c r="D29" s="690" t="s">
        <v>4770</v>
      </c>
      <c r="E29" s="692">
        <v>7</v>
      </c>
      <c r="F29" s="692">
        <v>0</v>
      </c>
      <c r="G29" s="693">
        <f t="shared" si="4"/>
        <v>7</v>
      </c>
      <c r="H29" s="797" t="str">
        <f>VLOOKUP(D29,'ELETRICA - PREÇO'!$C$7:$E$155,2)</f>
        <v>pç</v>
      </c>
      <c r="I29" s="695">
        <v>108.1725</v>
      </c>
      <c r="J29" s="765">
        <f t="shared" si="0"/>
        <v>757.20749999999998</v>
      </c>
    </row>
    <row r="30" spans="1:10" x14ac:dyDescent="0.25">
      <c r="A30" s="690" t="str">
        <f t="shared" si="3"/>
        <v>GERAL</v>
      </c>
      <c r="B30" s="767" t="s">
        <v>4754</v>
      </c>
      <c r="C30" s="767" t="s">
        <v>4397</v>
      </c>
      <c r="D30" s="690" t="s">
        <v>4402</v>
      </c>
      <c r="E30" s="692">
        <v>64</v>
      </c>
      <c r="F30" s="692">
        <v>0</v>
      </c>
      <c r="G30" s="693">
        <f t="shared" si="4"/>
        <v>64</v>
      </c>
      <c r="H30" s="797" t="str">
        <f>VLOOKUP(D30,'ELETRICA - PREÇO'!$C$7:$E$155,2)</f>
        <v>pç</v>
      </c>
      <c r="I30" s="695">
        <v>0.39</v>
      </c>
      <c r="J30" s="765">
        <f t="shared" si="0"/>
        <v>24.96</v>
      </c>
    </row>
    <row r="31" spans="1:10" x14ac:dyDescent="0.25">
      <c r="A31" s="690" t="str">
        <f t="shared" si="3"/>
        <v>GERAL</v>
      </c>
      <c r="B31" s="767" t="s">
        <v>4754</v>
      </c>
      <c r="C31" s="767" t="s">
        <v>4397</v>
      </c>
      <c r="D31" s="690" t="s">
        <v>4771</v>
      </c>
      <c r="E31" s="692">
        <v>14</v>
      </c>
      <c r="F31" s="692">
        <v>0</v>
      </c>
      <c r="G31" s="693">
        <f t="shared" si="4"/>
        <v>14</v>
      </c>
      <c r="H31" s="797" t="str">
        <f>VLOOKUP(D31,'ELETRICA - PREÇO'!$C$7:$E$155,2)</f>
        <v>pç</v>
      </c>
      <c r="I31" s="695">
        <v>34.697000000000003</v>
      </c>
      <c r="J31" s="765">
        <f t="shared" si="0"/>
        <v>485.75800000000004</v>
      </c>
    </row>
    <row r="32" spans="1:10" x14ac:dyDescent="0.25">
      <c r="A32" s="690" t="str">
        <f t="shared" si="3"/>
        <v>GERAL</v>
      </c>
      <c r="B32" s="767" t="s">
        <v>4754</v>
      </c>
      <c r="C32" s="767" t="s">
        <v>4397</v>
      </c>
      <c r="D32" s="690" t="s">
        <v>4772</v>
      </c>
      <c r="E32" s="692">
        <v>2</v>
      </c>
      <c r="F32" s="692">
        <v>0</v>
      </c>
      <c r="G32" s="693">
        <f t="shared" si="4"/>
        <v>2</v>
      </c>
      <c r="H32" s="797" t="str">
        <f>VLOOKUP(D32,'ELETRICA - PREÇO'!$C$7:$E$155,2)</f>
        <v>pç</v>
      </c>
      <c r="I32" s="695">
        <v>36.031500000000001</v>
      </c>
      <c r="J32" s="765">
        <f t="shared" si="0"/>
        <v>72.063000000000002</v>
      </c>
    </row>
    <row r="33" spans="1:10" x14ac:dyDescent="0.25">
      <c r="A33" s="690" t="str">
        <f t="shared" si="3"/>
        <v>GERAL</v>
      </c>
      <c r="B33" s="767" t="s">
        <v>4756</v>
      </c>
      <c r="C33" s="690" t="s">
        <v>4773</v>
      </c>
      <c r="D33" s="690" t="s">
        <v>4774</v>
      </c>
      <c r="E33" s="692">
        <v>1</v>
      </c>
      <c r="F33" s="692">
        <v>0</v>
      </c>
      <c r="G33" s="693">
        <f t="shared" si="4"/>
        <v>1</v>
      </c>
      <c r="H33" s="797" t="str">
        <f>VLOOKUP(D33,'ELETRICA - PREÇO'!$C$7:$E$155,2)</f>
        <v>pç</v>
      </c>
      <c r="I33" s="695">
        <v>26.56</v>
      </c>
      <c r="J33" s="765">
        <f t="shared" si="0"/>
        <v>26.56</v>
      </c>
    </row>
    <row r="34" spans="1:10" x14ac:dyDescent="0.25">
      <c r="A34" s="690" t="str">
        <f t="shared" si="3"/>
        <v>GERAL</v>
      </c>
      <c r="B34" s="767" t="s">
        <v>4756</v>
      </c>
      <c r="C34" s="690" t="s">
        <v>4773</v>
      </c>
      <c r="D34" s="690" t="s">
        <v>4775</v>
      </c>
      <c r="E34" s="692">
        <v>153</v>
      </c>
      <c r="F34" s="692">
        <v>0</v>
      </c>
      <c r="G34" s="693">
        <f t="shared" si="4"/>
        <v>153</v>
      </c>
      <c r="H34" s="797" t="str">
        <f>VLOOKUP(D34,'ELETRICA - PREÇO'!$C$7:$E$155,2)</f>
        <v>pç</v>
      </c>
      <c r="I34" s="695">
        <v>13.1</v>
      </c>
      <c r="J34" s="765">
        <f t="shared" si="0"/>
        <v>2004.3</v>
      </c>
    </row>
    <row r="35" spans="1:10" x14ac:dyDescent="0.25">
      <c r="A35" s="690" t="str">
        <f t="shared" si="3"/>
        <v>GERAL</v>
      </c>
      <c r="B35" s="767" t="s">
        <v>4756</v>
      </c>
      <c r="C35" s="690" t="s">
        <v>4773</v>
      </c>
      <c r="D35" s="690" t="s">
        <v>4776</v>
      </c>
      <c r="E35" s="692">
        <v>178</v>
      </c>
      <c r="F35" s="692">
        <v>0</v>
      </c>
      <c r="G35" s="693">
        <f t="shared" si="4"/>
        <v>178</v>
      </c>
      <c r="H35" s="797" t="str">
        <f>VLOOKUP(D35,'ELETRICA - PREÇO'!$C$7:$E$155,2)</f>
        <v>pç</v>
      </c>
      <c r="I35" s="695">
        <v>6.9</v>
      </c>
      <c r="J35" s="765">
        <f t="shared" si="0"/>
        <v>1228.2</v>
      </c>
    </row>
    <row r="36" spans="1:10" x14ac:dyDescent="0.25">
      <c r="A36" s="690" t="str">
        <f t="shared" si="3"/>
        <v>GERAL</v>
      </c>
      <c r="B36" s="767" t="s">
        <v>4756</v>
      </c>
      <c r="C36" s="690" t="s">
        <v>4773</v>
      </c>
      <c r="D36" s="690" t="s">
        <v>4777</v>
      </c>
      <c r="E36" s="692">
        <v>2</v>
      </c>
      <c r="F36" s="692">
        <v>0</v>
      </c>
      <c r="G36" s="693">
        <f t="shared" si="4"/>
        <v>2</v>
      </c>
      <c r="H36" s="797" t="str">
        <f>VLOOKUP(D36,'ELETRICA - PREÇO'!$C$7:$E$155,2)</f>
        <v>pç</v>
      </c>
      <c r="I36" s="695">
        <v>31.92</v>
      </c>
      <c r="J36" s="765">
        <f t="shared" si="0"/>
        <v>63.84</v>
      </c>
    </row>
    <row r="37" spans="1:10" x14ac:dyDescent="0.25">
      <c r="A37" s="690" t="str">
        <f t="shared" si="3"/>
        <v>GERAL</v>
      </c>
      <c r="B37" s="767" t="s">
        <v>4756</v>
      </c>
      <c r="C37" s="690" t="s">
        <v>4773</v>
      </c>
      <c r="D37" s="690" t="s">
        <v>4778</v>
      </c>
      <c r="E37" s="692">
        <v>39</v>
      </c>
      <c r="F37" s="692">
        <v>0</v>
      </c>
      <c r="G37" s="693">
        <f t="shared" si="4"/>
        <v>39</v>
      </c>
      <c r="H37" s="797" t="str">
        <f>VLOOKUP(D37,'ELETRICA - PREÇO'!$C$7:$E$155,2)</f>
        <v>pç</v>
      </c>
      <c r="I37" s="695">
        <v>15.81</v>
      </c>
      <c r="J37" s="765">
        <f t="shared" si="0"/>
        <v>616.59</v>
      </c>
    </row>
    <row r="38" spans="1:10" x14ac:dyDescent="0.25">
      <c r="A38" s="690" t="str">
        <f t="shared" si="3"/>
        <v>GERAL</v>
      </c>
      <c r="B38" s="767" t="s">
        <v>4756</v>
      </c>
      <c r="C38" s="690" t="s">
        <v>4773</v>
      </c>
      <c r="D38" s="690" t="s">
        <v>4779</v>
      </c>
      <c r="E38" s="692">
        <v>3</v>
      </c>
      <c r="F38" s="692">
        <v>0</v>
      </c>
      <c r="G38" s="693">
        <f t="shared" si="4"/>
        <v>3</v>
      </c>
      <c r="H38" s="797" t="str">
        <f>VLOOKUP(D38,'ELETRICA - PREÇO'!$C$7:$E$155,2)</f>
        <v>pç</v>
      </c>
      <c r="I38" s="695">
        <v>22.78</v>
      </c>
      <c r="J38" s="765">
        <f t="shared" si="0"/>
        <v>68.34</v>
      </c>
    </row>
    <row r="39" spans="1:10" x14ac:dyDescent="0.25">
      <c r="A39" s="690" t="str">
        <f t="shared" si="3"/>
        <v>GERAL</v>
      </c>
      <c r="B39" s="767" t="s">
        <v>4756</v>
      </c>
      <c r="C39" s="690" t="s">
        <v>4773</v>
      </c>
      <c r="D39" s="690" t="s">
        <v>4780</v>
      </c>
      <c r="E39" s="692">
        <v>72</v>
      </c>
      <c r="F39" s="692">
        <v>0</v>
      </c>
      <c r="G39" s="693">
        <f t="shared" si="4"/>
        <v>72</v>
      </c>
      <c r="H39" s="797" t="str">
        <f>VLOOKUP(D39,'ELETRICA - PREÇO'!$C$7:$E$155,2)</f>
        <v>pç</v>
      </c>
      <c r="I39" s="695">
        <v>17.98</v>
      </c>
      <c r="J39" s="765">
        <f t="shared" si="0"/>
        <v>1294.56</v>
      </c>
    </row>
    <row r="40" spans="1:10" x14ac:dyDescent="0.25">
      <c r="A40" s="690" t="str">
        <f t="shared" si="3"/>
        <v>GERAL</v>
      </c>
      <c r="B40" s="767" t="s">
        <v>4756</v>
      </c>
      <c r="C40" s="690" t="s">
        <v>4773</v>
      </c>
      <c r="D40" s="690" t="s">
        <v>4781</v>
      </c>
      <c r="E40" s="692">
        <v>30</v>
      </c>
      <c r="F40" s="692">
        <v>0</v>
      </c>
      <c r="G40" s="693">
        <f t="shared" si="4"/>
        <v>30</v>
      </c>
      <c r="H40" s="797" t="str">
        <f>VLOOKUP(D40,'ELETRICA - PREÇO'!$C$7:$E$155,2)</f>
        <v>pç</v>
      </c>
      <c r="I40" s="695">
        <v>20.61</v>
      </c>
      <c r="J40" s="765">
        <f t="shared" si="0"/>
        <v>618.29999999999995</v>
      </c>
    </row>
    <row r="41" spans="1:10" x14ac:dyDescent="0.25">
      <c r="A41" s="690" t="str">
        <f t="shared" si="3"/>
        <v>GERAL</v>
      </c>
      <c r="B41" s="767" t="s">
        <v>4756</v>
      </c>
      <c r="C41" s="690" t="s">
        <v>4773</v>
      </c>
      <c r="D41" s="690" t="s">
        <v>4782</v>
      </c>
      <c r="E41" s="692">
        <v>7</v>
      </c>
      <c r="F41" s="692">
        <v>0</v>
      </c>
      <c r="G41" s="693">
        <f t="shared" si="4"/>
        <v>7</v>
      </c>
      <c r="H41" s="797" t="str">
        <f>VLOOKUP(D41,'ELETRICA - PREÇO'!$C$7:$E$155,2)</f>
        <v>pç</v>
      </c>
      <c r="I41" s="695">
        <v>38.783999999999999</v>
      </c>
      <c r="J41" s="765">
        <f t="shared" si="0"/>
        <v>271.488</v>
      </c>
    </row>
    <row r="42" spans="1:10" x14ac:dyDescent="0.25">
      <c r="A42" s="690" t="str">
        <f t="shared" si="3"/>
        <v>GERAL</v>
      </c>
      <c r="B42" s="767" t="s">
        <v>4756</v>
      </c>
      <c r="C42" s="690" t="s">
        <v>4773</v>
      </c>
      <c r="D42" s="690" t="s">
        <v>4783</v>
      </c>
      <c r="E42" s="692">
        <v>28</v>
      </c>
      <c r="F42" s="692">
        <v>0</v>
      </c>
      <c r="G42" s="693">
        <f t="shared" si="4"/>
        <v>28</v>
      </c>
      <c r="H42" s="797" t="str">
        <f>VLOOKUP(D42,'ELETRICA - PREÇO'!$C$7:$E$155,2)</f>
        <v>pç</v>
      </c>
      <c r="I42" s="695">
        <v>24.95</v>
      </c>
      <c r="J42" s="765">
        <f t="shared" si="0"/>
        <v>698.6</v>
      </c>
    </row>
    <row r="43" spans="1:10" x14ac:dyDescent="0.25">
      <c r="A43" s="690" t="str">
        <f t="shared" si="3"/>
        <v>GERAL</v>
      </c>
      <c r="B43" s="767" t="s">
        <v>4756</v>
      </c>
      <c r="C43" s="690" t="s">
        <v>4773</v>
      </c>
      <c r="D43" s="690" t="s">
        <v>4784</v>
      </c>
      <c r="E43" s="692">
        <v>13</v>
      </c>
      <c r="F43" s="692">
        <v>0</v>
      </c>
      <c r="G43" s="693">
        <f t="shared" si="4"/>
        <v>13</v>
      </c>
      <c r="H43" s="797" t="str">
        <f>VLOOKUP(D43,'ELETRICA - PREÇO'!$C$7:$E$155,2)</f>
        <v>pç</v>
      </c>
      <c r="I43" s="695">
        <v>18.440000000000001</v>
      </c>
      <c r="J43" s="765">
        <f t="shared" si="0"/>
        <v>239.72000000000003</v>
      </c>
    </row>
    <row r="44" spans="1:10" x14ac:dyDescent="0.25">
      <c r="A44" s="690" t="str">
        <f t="shared" si="3"/>
        <v>GERAL</v>
      </c>
      <c r="B44" s="767" t="s">
        <v>4756</v>
      </c>
      <c r="C44" s="690" t="s">
        <v>4785</v>
      </c>
      <c r="D44" s="690" t="s">
        <v>4786</v>
      </c>
      <c r="E44" s="692">
        <v>50</v>
      </c>
      <c r="F44" s="692">
        <v>0</v>
      </c>
      <c r="G44" s="693">
        <f t="shared" si="4"/>
        <v>50</v>
      </c>
      <c r="H44" s="797" t="str">
        <f>VLOOKUP(D44,'ELETRICA - PREÇO'!$C$7:$E$155,2)</f>
        <v>pç</v>
      </c>
      <c r="I44" s="695">
        <v>16.62</v>
      </c>
      <c r="J44" s="765">
        <f t="shared" si="0"/>
        <v>831</v>
      </c>
    </row>
    <row r="45" spans="1:10" x14ac:dyDescent="0.25">
      <c r="A45" s="690" t="str">
        <f t="shared" si="3"/>
        <v>GERAL</v>
      </c>
      <c r="B45" s="767" t="s">
        <v>4756</v>
      </c>
      <c r="C45" s="690" t="s">
        <v>4785</v>
      </c>
      <c r="D45" s="690" t="s">
        <v>4787</v>
      </c>
      <c r="E45" s="692">
        <v>89</v>
      </c>
      <c r="F45" s="692">
        <v>0</v>
      </c>
      <c r="G45" s="693">
        <f t="shared" si="4"/>
        <v>89</v>
      </c>
      <c r="H45" s="797" t="str">
        <f>VLOOKUP(D45,'ELETRICA - PREÇO'!$C$7:$E$155,2)</f>
        <v>pç</v>
      </c>
      <c r="I45" s="695">
        <v>14.45</v>
      </c>
      <c r="J45" s="765">
        <f t="shared" si="0"/>
        <v>1286.05</v>
      </c>
    </row>
    <row r="46" spans="1:10" x14ac:dyDescent="0.25">
      <c r="A46" s="690" t="str">
        <f t="shared" si="3"/>
        <v>GERAL</v>
      </c>
      <c r="B46" s="767" t="s">
        <v>4756</v>
      </c>
      <c r="C46" s="690" t="s">
        <v>4785</v>
      </c>
      <c r="D46" s="690" t="s">
        <v>4788</v>
      </c>
      <c r="E46" s="692">
        <v>21</v>
      </c>
      <c r="F46" s="692">
        <v>0</v>
      </c>
      <c r="G46" s="693">
        <f t="shared" si="4"/>
        <v>21</v>
      </c>
      <c r="H46" s="797" t="str">
        <f>VLOOKUP(D46,'ELETRICA - PREÇO'!$C$7:$E$155,2)</f>
        <v>pç</v>
      </c>
      <c r="I46" s="695">
        <v>23.59</v>
      </c>
      <c r="J46" s="765">
        <f t="shared" si="0"/>
        <v>495.39</v>
      </c>
    </row>
    <row r="47" spans="1:10" x14ac:dyDescent="0.25">
      <c r="A47" s="690" t="str">
        <f t="shared" si="3"/>
        <v>GERAL</v>
      </c>
      <c r="B47" s="767" t="s">
        <v>4756</v>
      </c>
      <c r="C47" s="690" t="s">
        <v>4785</v>
      </c>
      <c r="D47" s="690" t="s">
        <v>4789</v>
      </c>
      <c r="E47" s="692">
        <v>17</v>
      </c>
      <c r="F47" s="692">
        <v>0</v>
      </c>
      <c r="G47" s="693">
        <f t="shared" si="4"/>
        <v>17</v>
      </c>
      <c r="H47" s="797" t="str">
        <f>VLOOKUP(D47,'ELETRICA - PREÇO'!$C$7:$E$155,2)</f>
        <v>pç</v>
      </c>
      <c r="I47" s="695">
        <v>19.25</v>
      </c>
      <c r="J47" s="765">
        <f t="shared" si="0"/>
        <v>327.25</v>
      </c>
    </row>
    <row r="48" spans="1:10" x14ac:dyDescent="0.25">
      <c r="A48" s="690" t="str">
        <f t="shared" si="3"/>
        <v>GERAL</v>
      </c>
      <c r="B48" s="767" t="s">
        <v>4756</v>
      </c>
      <c r="C48" s="690" t="s">
        <v>4790</v>
      </c>
      <c r="D48" s="690" t="s">
        <v>4791</v>
      </c>
      <c r="E48" s="692">
        <v>246</v>
      </c>
      <c r="F48" s="692">
        <v>0</v>
      </c>
      <c r="G48" s="693">
        <f t="shared" si="4"/>
        <v>246</v>
      </c>
      <c r="H48" s="797" t="str">
        <f>VLOOKUP(D48,'ELETRICA - PREÇO'!$C$7:$E$155,2)</f>
        <v>pç</v>
      </c>
      <c r="I48" s="695">
        <v>6.5</v>
      </c>
      <c r="J48" s="765">
        <f t="shared" si="0"/>
        <v>1599</v>
      </c>
    </row>
    <row r="49" spans="1:10" x14ac:dyDescent="0.25">
      <c r="A49" s="690" t="str">
        <f t="shared" si="3"/>
        <v>GERAL</v>
      </c>
      <c r="B49" s="690" t="s">
        <v>439</v>
      </c>
      <c r="C49" s="690" t="s">
        <v>4792</v>
      </c>
      <c r="D49" s="690" t="s">
        <v>4793</v>
      </c>
      <c r="E49" s="692">
        <v>16</v>
      </c>
      <c r="F49" s="692">
        <v>0</v>
      </c>
      <c r="G49" s="693">
        <f t="shared" si="4"/>
        <v>16</v>
      </c>
      <c r="H49" s="797" t="str">
        <f>VLOOKUP(D49,'ELETRICA - PREÇO'!$C$7:$E$155,2)</f>
        <v>pç</v>
      </c>
      <c r="I49" s="695">
        <v>67</v>
      </c>
      <c r="J49" s="765">
        <f t="shared" si="0"/>
        <v>1072</v>
      </c>
    </row>
    <row r="50" spans="1:10" x14ac:dyDescent="0.25">
      <c r="A50" s="690" t="str">
        <f t="shared" si="3"/>
        <v>GERAL</v>
      </c>
      <c r="B50" s="690" t="s">
        <v>439</v>
      </c>
      <c r="C50" s="690" t="s">
        <v>4792</v>
      </c>
      <c r="D50" s="690" t="s">
        <v>4794</v>
      </c>
      <c r="E50" s="692">
        <v>75</v>
      </c>
      <c r="F50" s="692">
        <v>0</v>
      </c>
      <c r="G50" s="693">
        <f t="shared" si="4"/>
        <v>75</v>
      </c>
      <c r="H50" s="797" t="str">
        <f>VLOOKUP(D50,'ELETRICA - PREÇO'!$C$7:$E$155,2)</f>
        <v>pç</v>
      </c>
      <c r="I50" s="695">
        <v>84.59</v>
      </c>
      <c r="J50" s="765">
        <f t="shared" si="0"/>
        <v>6344.25</v>
      </c>
    </row>
    <row r="51" spans="1:10" x14ac:dyDescent="0.25">
      <c r="A51" s="690" t="str">
        <f t="shared" si="3"/>
        <v>GERAL</v>
      </c>
      <c r="B51" s="690" t="s">
        <v>439</v>
      </c>
      <c r="C51" s="690" t="s">
        <v>4792</v>
      </c>
      <c r="D51" s="690" t="s">
        <v>4795</v>
      </c>
      <c r="E51" s="692">
        <v>5</v>
      </c>
      <c r="F51" s="692">
        <v>0</v>
      </c>
      <c r="G51" s="693">
        <f t="shared" si="4"/>
        <v>5</v>
      </c>
      <c r="H51" s="797" t="str">
        <f>VLOOKUP(D51,'ELETRICA - PREÇO'!$C$7:$E$155,2)</f>
        <v>pç</v>
      </c>
      <c r="I51" s="695">
        <v>145.9</v>
      </c>
      <c r="J51" s="765">
        <f t="shared" si="0"/>
        <v>729.5</v>
      </c>
    </row>
    <row r="52" spans="1:10" x14ac:dyDescent="0.25">
      <c r="A52" s="690" t="str">
        <f t="shared" si="3"/>
        <v>GERAL</v>
      </c>
      <c r="B52" s="690" t="s">
        <v>439</v>
      </c>
      <c r="C52" s="690" t="s">
        <v>4792</v>
      </c>
      <c r="D52" s="690" t="s">
        <v>4796</v>
      </c>
      <c r="E52" s="692">
        <v>1</v>
      </c>
      <c r="F52" s="692">
        <v>0</v>
      </c>
      <c r="G52" s="693">
        <f t="shared" si="4"/>
        <v>1</v>
      </c>
      <c r="H52" s="797" t="str">
        <f>VLOOKUP(D52,'ELETRICA - PREÇO'!$C$7:$E$155,2)</f>
        <v>pç</v>
      </c>
      <c r="I52" s="695">
        <f>'ELETRICA - PREÇO'!E146</f>
        <v>984.78</v>
      </c>
      <c r="J52" s="765">
        <f t="shared" si="0"/>
        <v>984.78</v>
      </c>
    </row>
    <row r="53" spans="1:10" x14ac:dyDescent="0.25">
      <c r="A53" s="690" t="str">
        <f t="shared" si="3"/>
        <v>GERAL</v>
      </c>
      <c r="B53" s="690" t="s">
        <v>439</v>
      </c>
      <c r="C53" s="690" t="s">
        <v>4792</v>
      </c>
      <c r="D53" s="690" t="s">
        <v>4797</v>
      </c>
      <c r="E53" s="692">
        <v>1</v>
      </c>
      <c r="F53" s="692">
        <v>0</v>
      </c>
      <c r="G53" s="693">
        <f t="shared" si="4"/>
        <v>1</v>
      </c>
      <c r="H53" s="797" t="str">
        <f>VLOOKUP(D53,'ELETRICA - PREÇO'!$C$7:$E$155,2)</f>
        <v>pç</v>
      </c>
      <c r="I53" s="695">
        <f>'ELETRICA - PREÇO'!E147</f>
        <v>588.73</v>
      </c>
      <c r="J53" s="765">
        <f t="shared" si="0"/>
        <v>588.73</v>
      </c>
    </row>
    <row r="54" spans="1:10" x14ac:dyDescent="0.25">
      <c r="A54" s="690" t="str">
        <f t="shared" si="3"/>
        <v>GERAL</v>
      </c>
      <c r="B54" s="690" t="s">
        <v>439</v>
      </c>
      <c r="C54" s="690" t="s">
        <v>4792</v>
      </c>
      <c r="D54" s="690" t="s">
        <v>4798</v>
      </c>
      <c r="E54" s="692">
        <v>1</v>
      </c>
      <c r="F54" s="692">
        <v>0</v>
      </c>
      <c r="G54" s="693">
        <f t="shared" si="4"/>
        <v>1</v>
      </c>
      <c r="H54" s="797" t="str">
        <f>VLOOKUP(D54,'ELETRICA - PREÇO'!$C$7:$E$155,2)</f>
        <v>pç</v>
      </c>
      <c r="I54" s="695">
        <v>4448.96</v>
      </c>
      <c r="J54" s="765">
        <f t="shared" si="0"/>
        <v>4448.96</v>
      </c>
    </row>
    <row r="55" spans="1:10" x14ac:dyDescent="0.25">
      <c r="A55" s="690" t="str">
        <f t="shared" si="3"/>
        <v>GERAL</v>
      </c>
      <c r="B55" s="690" t="s">
        <v>439</v>
      </c>
      <c r="C55" s="690" t="s">
        <v>4792</v>
      </c>
      <c r="D55" s="690" t="s">
        <v>4799</v>
      </c>
      <c r="E55" s="692">
        <v>2</v>
      </c>
      <c r="F55" s="692">
        <v>0</v>
      </c>
      <c r="G55" s="693">
        <f t="shared" si="4"/>
        <v>2</v>
      </c>
      <c r="H55" s="797" t="str">
        <f>VLOOKUP(D55,'ELETRICA - PREÇO'!$C$7:$E$155,2)</f>
        <v>pç</v>
      </c>
      <c r="I55" s="695">
        <v>11033.82</v>
      </c>
      <c r="J55" s="765">
        <f t="shared" si="0"/>
        <v>22067.64</v>
      </c>
    </row>
    <row r="56" spans="1:10" x14ac:dyDescent="0.25">
      <c r="A56" s="690" t="str">
        <f t="shared" si="3"/>
        <v>GERAL</v>
      </c>
      <c r="B56" s="690" t="s">
        <v>439</v>
      </c>
      <c r="C56" s="690" t="s">
        <v>4792</v>
      </c>
      <c r="D56" s="690" t="s">
        <v>4800</v>
      </c>
      <c r="E56" s="692">
        <v>1</v>
      </c>
      <c r="F56" s="692">
        <v>0</v>
      </c>
      <c r="G56" s="693">
        <f t="shared" si="4"/>
        <v>1</v>
      </c>
      <c r="H56" s="797" t="str">
        <f>VLOOKUP(D56,'ELETRICA - PREÇO'!$C$7:$E$155,2)</f>
        <v>pç</v>
      </c>
      <c r="I56" s="695">
        <f>'ELETRICA - PREÇO'!E150</f>
        <v>1203.47</v>
      </c>
      <c r="J56" s="765">
        <f t="shared" si="0"/>
        <v>1203.47</v>
      </c>
    </row>
    <row r="57" spans="1:10" x14ac:dyDescent="0.25">
      <c r="A57" s="690" t="str">
        <f t="shared" si="3"/>
        <v>GERAL</v>
      </c>
      <c r="B57" s="690" t="s">
        <v>4756</v>
      </c>
      <c r="C57" s="690" t="s">
        <v>4801</v>
      </c>
      <c r="D57" s="690" t="s">
        <v>4802</v>
      </c>
      <c r="E57" s="692">
        <v>126</v>
      </c>
      <c r="F57" s="692">
        <v>0</v>
      </c>
      <c r="G57" s="693">
        <f t="shared" si="4"/>
        <v>126</v>
      </c>
      <c r="H57" s="797" t="str">
        <f>VLOOKUP(D57,'ELETRICA - PREÇO'!$C$7:$E$155,2)</f>
        <v>pç</v>
      </c>
      <c r="I57" s="695">
        <v>29.63</v>
      </c>
      <c r="J57" s="765">
        <f t="shared" si="0"/>
        <v>3733.3799999999997</v>
      </c>
    </row>
    <row r="58" spans="1:10" x14ac:dyDescent="0.25">
      <c r="A58" s="690" t="str">
        <f t="shared" si="3"/>
        <v>GERAL</v>
      </c>
      <c r="B58" s="690" t="s">
        <v>4756</v>
      </c>
      <c r="C58" s="690" t="s">
        <v>4801</v>
      </c>
      <c r="D58" s="690" t="s">
        <v>4803</v>
      </c>
      <c r="E58" s="692">
        <v>6</v>
      </c>
      <c r="F58" s="692">
        <v>0</v>
      </c>
      <c r="G58" s="693">
        <f t="shared" si="4"/>
        <v>6</v>
      </c>
      <c r="H58" s="797" t="str">
        <f>VLOOKUP(D58,'ELETRICA - PREÇO'!$C$7:$E$155,2)</f>
        <v>pç</v>
      </c>
      <c r="I58" s="695">
        <v>30.12</v>
      </c>
      <c r="J58" s="765">
        <f t="shared" si="0"/>
        <v>180.72</v>
      </c>
    </row>
    <row r="59" spans="1:10" x14ac:dyDescent="0.25">
      <c r="A59" s="690" t="str">
        <f t="shared" si="3"/>
        <v>GERAL</v>
      </c>
      <c r="B59" s="690" t="s">
        <v>439</v>
      </c>
      <c r="C59" s="690" t="s">
        <v>4804</v>
      </c>
      <c r="D59" s="690" t="s">
        <v>4805</v>
      </c>
      <c r="E59" s="692">
        <v>228</v>
      </c>
      <c r="F59" s="692">
        <v>0</v>
      </c>
      <c r="G59" s="693">
        <f t="shared" si="4"/>
        <v>228</v>
      </c>
      <c r="H59" s="797" t="str">
        <f>VLOOKUP(D59,'ELETRICA - PREÇO'!$C$7:$E$155,2)</f>
        <v>pç</v>
      </c>
      <c r="I59" s="695">
        <v>9.32</v>
      </c>
      <c r="J59" s="765">
        <f t="shared" si="0"/>
        <v>2124.96</v>
      </c>
    </row>
    <row r="60" spans="1:10" x14ac:dyDescent="0.25">
      <c r="A60" s="690" t="str">
        <f t="shared" si="3"/>
        <v>GERAL</v>
      </c>
      <c r="B60" s="690" t="s">
        <v>439</v>
      </c>
      <c r="C60" s="690" t="s">
        <v>4804</v>
      </c>
      <c r="D60" s="690" t="s">
        <v>4806</v>
      </c>
      <c r="E60" s="692">
        <v>151</v>
      </c>
      <c r="F60" s="692">
        <v>0</v>
      </c>
      <c r="G60" s="693">
        <f t="shared" si="4"/>
        <v>151</v>
      </c>
      <c r="H60" s="797" t="str">
        <f>VLOOKUP(D60,'ELETRICA - PREÇO'!$C$7:$E$155,2)</f>
        <v>pç</v>
      </c>
      <c r="I60" s="695">
        <v>9.48</v>
      </c>
      <c r="J60" s="765">
        <f t="shared" si="0"/>
        <v>1431.48</v>
      </c>
    </row>
    <row r="61" spans="1:10" x14ac:dyDescent="0.25">
      <c r="A61" s="690" t="str">
        <f t="shared" si="3"/>
        <v>GERAL</v>
      </c>
      <c r="B61" s="690" t="s">
        <v>439</v>
      </c>
      <c r="C61" s="690" t="s">
        <v>4804</v>
      </c>
      <c r="D61" s="690" t="s">
        <v>4807</v>
      </c>
      <c r="E61" s="692">
        <v>151</v>
      </c>
      <c r="F61" s="692">
        <v>0</v>
      </c>
      <c r="G61" s="693">
        <f t="shared" si="4"/>
        <v>151</v>
      </c>
      <c r="H61" s="797" t="str">
        <f>VLOOKUP(D61,'ELETRICA - PREÇO'!$C$7:$E$155,2)</f>
        <v>pç</v>
      </c>
      <c r="I61" s="695">
        <v>9.48</v>
      </c>
      <c r="J61" s="765">
        <f t="shared" si="0"/>
        <v>1431.48</v>
      </c>
    </row>
    <row r="62" spans="1:10" x14ac:dyDescent="0.25">
      <c r="A62" s="690" t="str">
        <f t="shared" si="3"/>
        <v>GERAL</v>
      </c>
      <c r="B62" s="690" t="s">
        <v>439</v>
      </c>
      <c r="C62" s="690" t="s">
        <v>4804</v>
      </c>
      <c r="D62" s="690" t="s">
        <v>4808</v>
      </c>
      <c r="E62" s="692">
        <v>107</v>
      </c>
      <c r="F62" s="692">
        <v>0</v>
      </c>
      <c r="G62" s="693">
        <f t="shared" si="4"/>
        <v>107</v>
      </c>
      <c r="H62" s="797" t="str">
        <f>VLOOKUP(D62,'ELETRICA - PREÇO'!$C$7:$E$155,2)</f>
        <v>pç</v>
      </c>
      <c r="I62" s="695">
        <v>9.48</v>
      </c>
      <c r="J62" s="765">
        <f t="shared" si="0"/>
        <v>1014.36</v>
      </c>
    </row>
    <row r="63" spans="1:10" x14ac:dyDescent="0.25">
      <c r="A63" s="690" t="str">
        <f t="shared" si="3"/>
        <v>GERAL</v>
      </c>
      <c r="B63" s="690" t="s">
        <v>439</v>
      </c>
      <c r="C63" s="690" t="s">
        <v>4804</v>
      </c>
      <c r="D63" s="690" t="s">
        <v>4809</v>
      </c>
      <c r="E63" s="692">
        <v>109</v>
      </c>
      <c r="F63" s="692">
        <v>0</v>
      </c>
      <c r="G63" s="693">
        <f t="shared" si="4"/>
        <v>109</v>
      </c>
      <c r="H63" s="797" t="str">
        <f>VLOOKUP(D63,'ELETRICA - PREÇO'!$C$7:$E$155,2)</f>
        <v>pç</v>
      </c>
      <c r="I63" s="695">
        <v>11.18</v>
      </c>
      <c r="J63" s="765">
        <f t="shared" si="0"/>
        <v>1218.6199999999999</v>
      </c>
    </row>
    <row r="64" spans="1:10" x14ac:dyDescent="0.25">
      <c r="A64" s="690" t="str">
        <f t="shared" si="3"/>
        <v>GERAL</v>
      </c>
      <c r="B64" s="690" t="s">
        <v>439</v>
      </c>
      <c r="C64" s="690" t="s">
        <v>4804</v>
      </c>
      <c r="D64" s="690" t="s">
        <v>4810</v>
      </c>
      <c r="E64" s="692">
        <v>5</v>
      </c>
      <c r="F64" s="692">
        <v>0</v>
      </c>
      <c r="G64" s="693">
        <f t="shared" si="4"/>
        <v>5</v>
      </c>
      <c r="H64" s="797" t="str">
        <f>VLOOKUP(D64,'ELETRICA - PREÇO'!$C$7:$E$155,2)</f>
        <v>pç</v>
      </c>
      <c r="I64" s="695">
        <v>12.34</v>
      </c>
      <c r="J64" s="765">
        <f t="shared" si="0"/>
        <v>61.7</v>
      </c>
    </row>
    <row r="65" spans="1:10" x14ac:dyDescent="0.25">
      <c r="A65" s="690" t="str">
        <f t="shared" si="3"/>
        <v>GERAL</v>
      </c>
      <c r="B65" s="690" t="s">
        <v>439</v>
      </c>
      <c r="C65" s="690" t="s">
        <v>4804</v>
      </c>
      <c r="D65" s="690" t="s">
        <v>4811</v>
      </c>
      <c r="E65" s="692">
        <v>2</v>
      </c>
      <c r="F65" s="692">
        <v>0</v>
      </c>
      <c r="G65" s="693">
        <f t="shared" si="4"/>
        <v>2</v>
      </c>
      <c r="H65" s="797" t="str">
        <f>VLOOKUP(D65,'ELETRICA - PREÇO'!$C$7:$E$155,2)</f>
        <v>pç</v>
      </c>
      <c r="I65" s="695">
        <v>43.49</v>
      </c>
      <c r="J65" s="765">
        <f t="shared" si="0"/>
        <v>86.98</v>
      </c>
    </row>
    <row r="66" spans="1:10" x14ac:dyDescent="0.25">
      <c r="A66" s="690" t="str">
        <f t="shared" si="3"/>
        <v>GERAL</v>
      </c>
      <c r="B66" s="690" t="s">
        <v>439</v>
      </c>
      <c r="C66" s="690" t="s">
        <v>4804</v>
      </c>
      <c r="D66" s="690" t="s">
        <v>4812</v>
      </c>
      <c r="E66" s="692">
        <v>48</v>
      </c>
      <c r="F66" s="692">
        <v>0</v>
      </c>
      <c r="G66" s="693">
        <f t="shared" si="4"/>
        <v>48</v>
      </c>
      <c r="H66" s="797" t="str">
        <f>VLOOKUP(D66,'ELETRICA - PREÇO'!$C$7:$E$155,2)</f>
        <v>pç</v>
      </c>
      <c r="I66" s="695">
        <v>48.06</v>
      </c>
      <c r="J66" s="765">
        <f t="shared" si="0"/>
        <v>2306.88</v>
      </c>
    </row>
    <row r="67" spans="1:10" x14ac:dyDescent="0.25">
      <c r="A67" s="690" t="str">
        <f t="shared" si="3"/>
        <v>GERAL</v>
      </c>
      <c r="B67" s="690" t="s">
        <v>439</v>
      </c>
      <c r="C67" s="690" t="s">
        <v>4804</v>
      </c>
      <c r="D67" s="690" t="s">
        <v>4813</v>
      </c>
      <c r="E67" s="692">
        <v>1</v>
      </c>
      <c r="F67" s="692">
        <v>0</v>
      </c>
      <c r="G67" s="693">
        <f t="shared" si="4"/>
        <v>1</v>
      </c>
      <c r="H67" s="797" t="str">
        <f>VLOOKUP(D67,'ELETRICA - PREÇO'!$C$7:$E$155,2)</f>
        <v>pç</v>
      </c>
      <c r="I67" s="695">
        <v>43.24</v>
      </c>
      <c r="J67" s="765">
        <f t="shared" si="0"/>
        <v>43.24</v>
      </c>
    </row>
    <row r="68" spans="1:10" x14ac:dyDescent="0.25">
      <c r="A68" s="690" t="str">
        <f t="shared" si="3"/>
        <v>GERAL</v>
      </c>
      <c r="B68" s="690" t="s">
        <v>439</v>
      </c>
      <c r="C68" s="690" t="s">
        <v>4804</v>
      </c>
      <c r="D68" s="690" t="s">
        <v>4814</v>
      </c>
      <c r="E68" s="692">
        <v>2</v>
      </c>
      <c r="F68" s="692">
        <v>0</v>
      </c>
      <c r="G68" s="693">
        <f t="shared" si="4"/>
        <v>2</v>
      </c>
      <c r="H68" s="797" t="str">
        <f>VLOOKUP(D68,'ELETRICA - PREÇO'!$C$7:$E$155,2)</f>
        <v>pç</v>
      </c>
      <c r="I68" s="695">
        <v>48.2</v>
      </c>
      <c r="J68" s="765">
        <f t="shared" si="0"/>
        <v>96.4</v>
      </c>
    </row>
    <row r="69" spans="1:10" x14ac:dyDescent="0.25">
      <c r="A69" s="690" t="str">
        <f t="shared" si="3"/>
        <v>GERAL</v>
      </c>
      <c r="B69" s="690" t="s">
        <v>439</v>
      </c>
      <c r="C69" s="690" t="s">
        <v>4804</v>
      </c>
      <c r="D69" s="690" t="s">
        <v>4815</v>
      </c>
      <c r="E69" s="692">
        <v>6</v>
      </c>
      <c r="F69" s="692">
        <v>0</v>
      </c>
      <c r="G69" s="693">
        <f t="shared" si="4"/>
        <v>6</v>
      </c>
      <c r="H69" s="797" t="str">
        <f>VLOOKUP(D69,'ELETRICA - PREÇO'!$C$7:$E$155,2)</f>
        <v>pç</v>
      </c>
      <c r="I69" s="695">
        <v>45.3</v>
      </c>
      <c r="J69" s="765">
        <f t="shared" si="0"/>
        <v>271.79999999999995</v>
      </c>
    </row>
    <row r="70" spans="1:10" x14ac:dyDescent="0.25">
      <c r="A70" s="690" t="str">
        <f t="shared" si="3"/>
        <v>GERAL</v>
      </c>
      <c r="B70" s="690" t="s">
        <v>439</v>
      </c>
      <c r="C70" s="690" t="s">
        <v>4804</v>
      </c>
      <c r="D70" s="690" t="s">
        <v>4816</v>
      </c>
      <c r="E70" s="692">
        <v>4</v>
      </c>
      <c r="F70" s="692">
        <v>0</v>
      </c>
      <c r="G70" s="693">
        <f t="shared" si="4"/>
        <v>4</v>
      </c>
      <c r="H70" s="797" t="str">
        <f>VLOOKUP(D70,'ELETRICA - PREÇO'!$C$7:$E$155,2)</f>
        <v>pç</v>
      </c>
      <c r="I70" s="695">
        <v>45.3</v>
      </c>
      <c r="J70" s="765">
        <f t="shared" si="0"/>
        <v>181.2</v>
      </c>
    </row>
    <row r="71" spans="1:10" x14ac:dyDescent="0.25">
      <c r="A71" s="690" t="str">
        <f t="shared" si="3"/>
        <v>GERAL</v>
      </c>
      <c r="B71" s="690" t="s">
        <v>439</v>
      </c>
      <c r="C71" s="690" t="s">
        <v>4804</v>
      </c>
      <c r="D71" s="690" t="s">
        <v>4817</v>
      </c>
      <c r="E71" s="692">
        <v>4</v>
      </c>
      <c r="F71" s="692">
        <v>0</v>
      </c>
      <c r="G71" s="693">
        <f t="shared" si="4"/>
        <v>4</v>
      </c>
      <c r="H71" s="797" t="str">
        <f>VLOOKUP(D71,'ELETRICA - PREÇO'!$C$7:$E$155,2)</f>
        <v>pç</v>
      </c>
      <c r="I71" s="695">
        <v>36.6691</v>
      </c>
      <c r="J71" s="765">
        <f t="shared" si="0"/>
        <v>146.6764</v>
      </c>
    </row>
    <row r="72" spans="1:10" x14ac:dyDescent="0.25">
      <c r="A72" s="690" t="str">
        <f t="shared" si="3"/>
        <v>GERAL</v>
      </c>
      <c r="B72" s="690" t="s">
        <v>439</v>
      </c>
      <c r="C72" s="690" t="s">
        <v>4804</v>
      </c>
      <c r="D72" s="690" t="s">
        <v>4818</v>
      </c>
      <c r="E72" s="692">
        <v>25</v>
      </c>
      <c r="F72" s="692">
        <v>0</v>
      </c>
      <c r="G72" s="693">
        <f t="shared" si="4"/>
        <v>25</v>
      </c>
      <c r="H72" s="797" t="str">
        <f>VLOOKUP(D72,'ELETRICA - PREÇO'!$C$7:$E$155,2)</f>
        <v>pç</v>
      </c>
      <c r="I72" s="695">
        <f>'ELETRICA - PREÇO'!E137</f>
        <v>49.27</v>
      </c>
      <c r="J72" s="765">
        <f t="shared" si="0"/>
        <v>1231.75</v>
      </c>
    </row>
    <row r="73" spans="1:10" x14ac:dyDescent="0.25">
      <c r="A73" s="690" t="str">
        <f t="shared" si="3"/>
        <v>GERAL</v>
      </c>
      <c r="B73" s="690" t="s">
        <v>439</v>
      </c>
      <c r="C73" s="690" t="s">
        <v>4804</v>
      </c>
      <c r="D73" s="690" t="s">
        <v>4819</v>
      </c>
      <c r="E73" s="692">
        <v>7</v>
      </c>
      <c r="F73" s="692">
        <v>0</v>
      </c>
      <c r="G73" s="693">
        <f t="shared" si="4"/>
        <v>7</v>
      </c>
      <c r="H73" s="797" t="str">
        <f>VLOOKUP(D73,'ELETRICA - PREÇO'!$C$7:$E$155,2)</f>
        <v>pç</v>
      </c>
      <c r="I73" s="695">
        <f>'ELETRICA - PREÇO'!E138</f>
        <v>74.900000000000006</v>
      </c>
      <c r="J73" s="765">
        <f t="shared" si="0"/>
        <v>524.30000000000007</v>
      </c>
    </row>
    <row r="74" spans="1:10" x14ac:dyDescent="0.25">
      <c r="A74" s="690" t="str">
        <f t="shared" si="3"/>
        <v>GERAL</v>
      </c>
      <c r="B74" s="690" t="s">
        <v>439</v>
      </c>
      <c r="C74" s="690" t="s">
        <v>4804</v>
      </c>
      <c r="D74" s="690" t="s">
        <v>4820</v>
      </c>
      <c r="E74" s="692">
        <v>2</v>
      </c>
      <c r="F74" s="692">
        <v>0</v>
      </c>
      <c r="G74" s="693">
        <f t="shared" si="4"/>
        <v>2</v>
      </c>
      <c r="H74" s="797" t="str">
        <f>VLOOKUP(D74,'ELETRICA - PREÇO'!$C$7:$E$155,2)</f>
        <v>pç</v>
      </c>
      <c r="I74" s="695">
        <v>173.25</v>
      </c>
      <c r="J74" s="765">
        <f t="shared" si="0"/>
        <v>346.5</v>
      </c>
    </row>
    <row r="75" spans="1:10" x14ac:dyDescent="0.25">
      <c r="A75" s="690" t="str">
        <f t="shared" si="3"/>
        <v>GERAL</v>
      </c>
      <c r="B75" s="690" t="s">
        <v>439</v>
      </c>
      <c r="C75" s="690" t="s">
        <v>4804</v>
      </c>
      <c r="D75" s="690" t="s">
        <v>4821</v>
      </c>
      <c r="E75" s="692">
        <v>2</v>
      </c>
      <c r="F75" s="692">
        <v>0</v>
      </c>
      <c r="G75" s="693">
        <f t="shared" si="4"/>
        <v>2</v>
      </c>
      <c r="H75" s="797" t="str">
        <f>VLOOKUP(D75,'ELETRICA - PREÇO'!$C$7:$E$155,2)</f>
        <v>pç</v>
      </c>
      <c r="I75" s="695">
        <v>374.4</v>
      </c>
      <c r="J75" s="765">
        <f t="shared" si="0"/>
        <v>748.8</v>
      </c>
    </row>
    <row r="76" spans="1:10" x14ac:dyDescent="0.25">
      <c r="A76" s="690" t="str">
        <f t="shared" si="3"/>
        <v>GERAL</v>
      </c>
      <c r="B76" s="690" t="s">
        <v>439</v>
      </c>
      <c r="C76" s="690" t="s">
        <v>4804</v>
      </c>
      <c r="D76" s="690" t="s">
        <v>4822</v>
      </c>
      <c r="E76" s="692">
        <v>1</v>
      </c>
      <c r="F76" s="692">
        <v>0</v>
      </c>
      <c r="G76" s="693">
        <f t="shared" si="4"/>
        <v>1</v>
      </c>
      <c r="H76" s="797" t="str">
        <f>VLOOKUP(D76,'ELETRICA - PREÇO'!$C$7:$E$155,2)</f>
        <v>pç</v>
      </c>
      <c r="I76" s="695">
        <v>410.76</v>
      </c>
      <c r="J76" s="765">
        <f t="shared" si="0"/>
        <v>410.76</v>
      </c>
    </row>
    <row r="77" spans="1:10" x14ac:dyDescent="0.25">
      <c r="A77" s="690" t="str">
        <f t="shared" si="3"/>
        <v>GERAL</v>
      </c>
      <c r="B77" s="690" t="s">
        <v>439</v>
      </c>
      <c r="C77" s="690" t="s">
        <v>4804</v>
      </c>
      <c r="D77" s="690" t="s">
        <v>4823</v>
      </c>
      <c r="E77" s="692">
        <v>2</v>
      </c>
      <c r="F77" s="692">
        <v>0</v>
      </c>
      <c r="G77" s="693">
        <f t="shared" si="4"/>
        <v>2</v>
      </c>
      <c r="H77" s="797" t="str">
        <f>VLOOKUP(D77,'ELETRICA - PREÇO'!$C$7:$E$155,2)</f>
        <v>pç</v>
      </c>
      <c r="I77" s="695">
        <v>415.34</v>
      </c>
      <c r="J77" s="765">
        <f t="shared" si="0"/>
        <v>830.68</v>
      </c>
    </row>
    <row r="78" spans="1:10" x14ac:dyDescent="0.25">
      <c r="A78" s="690" t="str">
        <f t="shared" si="3"/>
        <v>GERAL</v>
      </c>
      <c r="B78" s="690" t="s">
        <v>439</v>
      </c>
      <c r="C78" s="690" t="s">
        <v>4804</v>
      </c>
      <c r="D78" s="690" t="s">
        <v>4824</v>
      </c>
      <c r="E78" s="692">
        <v>2</v>
      </c>
      <c r="F78" s="692">
        <v>0</v>
      </c>
      <c r="G78" s="693">
        <f t="shared" si="4"/>
        <v>2</v>
      </c>
      <c r="H78" s="797" t="str">
        <f>VLOOKUP(D78,'ELETRICA - PREÇO'!$C$7:$E$155,2)</f>
        <v>pç</v>
      </c>
      <c r="I78" s="695">
        <v>400.04</v>
      </c>
      <c r="J78" s="765">
        <f t="shared" si="0"/>
        <v>800.08</v>
      </c>
    </row>
    <row r="79" spans="1:10" x14ac:dyDescent="0.25">
      <c r="A79" s="690" t="str">
        <f t="shared" si="3"/>
        <v>GERAL</v>
      </c>
      <c r="B79" s="690" t="s">
        <v>439</v>
      </c>
      <c r="C79" s="690" t="s">
        <v>4804</v>
      </c>
      <c r="D79" s="690" t="s">
        <v>4825</v>
      </c>
      <c r="E79" s="692">
        <v>1</v>
      </c>
      <c r="F79" s="692">
        <v>0</v>
      </c>
      <c r="G79" s="693">
        <f t="shared" si="4"/>
        <v>1</v>
      </c>
      <c r="H79" s="797" t="str">
        <f>VLOOKUP(D79,'ELETRICA - PREÇO'!$C$7:$E$155,2)</f>
        <v>pç</v>
      </c>
      <c r="I79" s="695">
        <v>2429.92</v>
      </c>
      <c r="J79" s="765">
        <f t="shared" si="0"/>
        <v>2429.92</v>
      </c>
    </row>
    <row r="80" spans="1:10" x14ac:dyDescent="0.25">
      <c r="A80" s="690" t="str">
        <f t="shared" si="3"/>
        <v>GERAL</v>
      </c>
      <c r="B80" s="690" t="s">
        <v>439</v>
      </c>
      <c r="C80" s="690" t="s">
        <v>4804</v>
      </c>
      <c r="D80" s="690" t="s">
        <v>4826</v>
      </c>
      <c r="E80" s="692">
        <v>2</v>
      </c>
      <c r="F80" s="692">
        <v>0</v>
      </c>
      <c r="G80" s="693">
        <f t="shared" si="4"/>
        <v>2</v>
      </c>
      <c r="H80" s="797" t="str">
        <f>VLOOKUP(D80,'ELETRICA - PREÇO'!$C$7:$E$155,2)</f>
        <v>pç</v>
      </c>
      <c r="I80" s="695">
        <v>144.99</v>
      </c>
      <c r="J80" s="765">
        <f t="shared" si="0"/>
        <v>289.98</v>
      </c>
    </row>
    <row r="81" spans="1:10" x14ac:dyDescent="0.25">
      <c r="A81" s="690" t="str">
        <f t="shared" si="3"/>
        <v>GERAL</v>
      </c>
      <c r="B81" s="690" t="s">
        <v>439</v>
      </c>
      <c r="C81" s="690" t="s">
        <v>4804</v>
      </c>
      <c r="D81" s="690" t="s">
        <v>4827</v>
      </c>
      <c r="E81" s="692">
        <v>73</v>
      </c>
      <c r="F81" s="692">
        <v>0</v>
      </c>
      <c r="G81" s="693">
        <f t="shared" si="4"/>
        <v>73</v>
      </c>
      <c r="H81" s="797" t="str">
        <f>VLOOKUP(D81,'ELETRICA - PREÇO'!$C$7:$E$155,2)</f>
        <v>pç</v>
      </c>
      <c r="I81" s="695">
        <v>187.42</v>
      </c>
      <c r="J81" s="765">
        <f t="shared" si="0"/>
        <v>13681.66</v>
      </c>
    </row>
    <row r="82" spans="1:10" x14ac:dyDescent="0.25">
      <c r="A82" s="690" t="str">
        <f t="shared" si="3"/>
        <v>GERAL</v>
      </c>
      <c r="B82" s="690" t="s">
        <v>439</v>
      </c>
      <c r="C82" s="690" t="s">
        <v>4804</v>
      </c>
      <c r="D82" s="690" t="s">
        <v>4828</v>
      </c>
      <c r="E82" s="692">
        <v>1</v>
      </c>
      <c r="F82" s="692">
        <v>0</v>
      </c>
      <c r="G82" s="693">
        <f t="shared" si="4"/>
        <v>1</v>
      </c>
      <c r="H82" s="797" t="str">
        <f>VLOOKUP(D82,'ELETRICA - PREÇO'!$C$7:$E$155,2)</f>
        <v>pç</v>
      </c>
      <c r="I82" s="695">
        <v>187.42</v>
      </c>
      <c r="J82" s="765">
        <f t="shared" si="0"/>
        <v>187.42</v>
      </c>
    </row>
    <row r="83" spans="1:10" x14ac:dyDescent="0.25">
      <c r="A83" s="690" t="str">
        <f t="shared" si="3"/>
        <v>GERAL</v>
      </c>
      <c r="B83" s="690" t="s">
        <v>439</v>
      </c>
      <c r="C83" s="690" t="s">
        <v>4804</v>
      </c>
      <c r="D83" s="690" t="s">
        <v>4829</v>
      </c>
      <c r="E83" s="692">
        <v>20</v>
      </c>
      <c r="F83" s="692">
        <v>0</v>
      </c>
      <c r="G83" s="693">
        <f t="shared" si="4"/>
        <v>20</v>
      </c>
      <c r="H83" s="797" t="str">
        <f>VLOOKUP(D83,'ELETRICA - PREÇO'!$C$7:$E$155,2)</f>
        <v>pç</v>
      </c>
      <c r="I83" s="695">
        <f>'ELETRICA - PREÇO'!E111</f>
        <v>62.57</v>
      </c>
      <c r="J83" s="765">
        <f t="shared" si="0"/>
        <v>1251.4000000000001</v>
      </c>
    </row>
    <row r="84" spans="1:10" x14ac:dyDescent="0.25">
      <c r="A84" s="690" t="str">
        <f t="shared" si="3"/>
        <v>GERAL</v>
      </c>
      <c r="B84" s="690" t="s">
        <v>439</v>
      </c>
      <c r="C84" s="690" t="s">
        <v>4804</v>
      </c>
      <c r="D84" s="690" t="s">
        <v>4830</v>
      </c>
      <c r="E84" s="692">
        <v>6</v>
      </c>
      <c r="F84" s="692">
        <v>0</v>
      </c>
      <c r="G84" s="693">
        <f t="shared" si="4"/>
        <v>6</v>
      </c>
      <c r="H84" s="797" t="str">
        <f>VLOOKUP(D84,'ELETRICA - PREÇO'!$C$7:$E$155,2)</f>
        <v>pç</v>
      </c>
      <c r="I84" s="695">
        <v>19.79</v>
      </c>
      <c r="J84" s="765">
        <f t="shared" si="0"/>
        <v>118.74</v>
      </c>
    </row>
    <row r="85" spans="1:10" x14ac:dyDescent="0.25">
      <c r="A85" s="690" t="str">
        <f t="shared" si="3"/>
        <v>GERAL</v>
      </c>
      <c r="B85" s="690" t="s">
        <v>439</v>
      </c>
      <c r="C85" s="690" t="s">
        <v>4831</v>
      </c>
      <c r="D85" s="690" t="s">
        <v>4832</v>
      </c>
      <c r="E85" s="692">
        <v>1</v>
      </c>
      <c r="F85" s="692">
        <v>0</v>
      </c>
      <c r="G85" s="693">
        <f t="shared" si="4"/>
        <v>1</v>
      </c>
      <c r="H85" s="797" t="str">
        <f>VLOOKUP(D85,'ELETRICA - PREÇO'!$C$7:$E$155,2)</f>
        <v>pç</v>
      </c>
      <c r="I85" s="695">
        <v>180.12</v>
      </c>
      <c r="J85" s="765">
        <f t="shared" si="0"/>
        <v>180.12</v>
      </c>
    </row>
    <row r="86" spans="1:10" x14ac:dyDescent="0.25">
      <c r="A86" s="690" t="str">
        <f t="shared" si="3"/>
        <v>GERAL</v>
      </c>
      <c r="B86" s="690" t="s">
        <v>439</v>
      </c>
      <c r="C86" s="690" t="s">
        <v>4831</v>
      </c>
      <c r="D86" s="690" t="s">
        <v>4833</v>
      </c>
      <c r="E86" s="692">
        <v>5</v>
      </c>
      <c r="F86" s="692">
        <v>0</v>
      </c>
      <c r="G86" s="693">
        <f t="shared" si="4"/>
        <v>5</v>
      </c>
      <c r="H86" s="797" t="str">
        <f>VLOOKUP(D86,'ELETRICA - PREÇO'!$C$7:$E$155,2)</f>
        <v>pç</v>
      </c>
      <c r="I86" s="695">
        <v>32.880000000000003</v>
      </c>
      <c r="J86" s="765">
        <f t="shared" si="0"/>
        <v>164.4</v>
      </c>
    </row>
    <row r="87" spans="1:10" x14ac:dyDescent="0.25">
      <c r="A87" s="690" t="str">
        <f t="shared" si="3"/>
        <v>GERAL</v>
      </c>
      <c r="B87" s="690" t="s">
        <v>439</v>
      </c>
      <c r="C87" s="690" t="s">
        <v>4831</v>
      </c>
      <c r="D87" s="690" t="s">
        <v>4588</v>
      </c>
      <c r="E87" s="692">
        <v>10</v>
      </c>
      <c r="F87" s="692">
        <v>0</v>
      </c>
      <c r="G87" s="693">
        <f t="shared" si="4"/>
        <v>10</v>
      </c>
      <c r="H87" s="797" t="str">
        <f>VLOOKUP(D87,'ELETRICA - PREÇO'!$C$7:$E$155,2)</f>
        <v>pç</v>
      </c>
      <c r="I87" s="695">
        <f>'ELETRICA - PREÇO'!E151</f>
        <v>520.1</v>
      </c>
      <c r="J87" s="765">
        <f t="shared" si="0"/>
        <v>5201</v>
      </c>
    </row>
    <row r="88" spans="1:10" x14ac:dyDescent="0.25">
      <c r="A88" s="690" t="str">
        <f t="shared" si="3"/>
        <v>GERAL</v>
      </c>
      <c r="B88" s="690" t="s">
        <v>4756</v>
      </c>
      <c r="C88" s="690" t="s">
        <v>4834</v>
      </c>
      <c r="D88" s="690" t="s">
        <v>4835</v>
      </c>
      <c r="E88" s="692">
        <v>204</v>
      </c>
      <c r="F88" s="692">
        <v>0</v>
      </c>
      <c r="G88" s="693">
        <f t="shared" si="4"/>
        <v>204</v>
      </c>
      <c r="H88" s="797" t="str">
        <f>VLOOKUP(D88,'ELETRICA - PREÇO'!$C$7:$E$155,2)</f>
        <v>pç</v>
      </c>
      <c r="I88" s="695">
        <v>16.07</v>
      </c>
      <c r="J88" s="765">
        <f t="shared" si="0"/>
        <v>3278.28</v>
      </c>
    </row>
    <row r="89" spans="1:10" x14ac:dyDescent="0.25">
      <c r="A89" s="690" t="str">
        <f t="shared" si="3"/>
        <v>GERAL</v>
      </c>
      <c r="B89" s="690" t="s">
        <v>4756</v>
      </c>
      <c r="C89" s="690" t="s">
        <v>4834</v>
      </c>
      <c r="D89" s="690" t="s">
        <v>4836</v>
      </c>
      <c r="E89" s="692">
        <v>1200</v>
      </c>
      <c r="F89" s="692">
        <v>0</v>
      </c>
      <c r="G89" s="693">
        <f t="shared" si="4"/>
        <v>1200</v>
      </c>
      <c r="H89" s="797" t="str">
        <f>VLOOKUP(D89,'ELETRICA - PREÇO'!$C$7:$E$155,2)</f>
        <v>pç</v>
      </c>
      <c r="I89" s="695">
        <v>9.34</v>
      </c>
      <c r="J89" s="765">
        <f t="shared" si="0"/>
        <v>11208</v>
      </c>
    </row>
    <row r="90" spans="1:10" x14ac:dyDescent="0.25">
      <c r="A90" s="690" t="str">
        <f t="shared" si="3"/>
        <v>GERAL</v>
      </c>
      <c r="B90" s="690" t="s">
        <v>4756</v>
      </c>
      <c r="C90" s="690" t="s">
        <v>4834</v>
      </c>
      <c r="D90" s="690" t="s">
        <v>4837</v>
      </c>
      <c r="E90" s="692">
        <v>69</v>
      </c>
      <c r="F90" s="692">
        <v>0</v>
      </c>
      <c r="G90" s="693">
        <f t="shared" si="4"/>
        <v>69</v>
      </c>
      <c r="H90" s="797" t="str">
        <f>VLOOKUP(D90,'ELETRICA - PREÇO'!$C$7:$E$155,2)</f>
        <v>pç</v>
      </c>
      <c r="I90" s="695">
        <v>10.16</v>
      </c>
      <c r="J90" s="765">
        <f t="shared" si="0"/>
        <v>701.04</v>
      </c>
    </row>
    <row r="91" spans="1:10" x14ac:dyDescent="0.25">
      <c r="A91" s="690" t="str">
        <f t="shared" si="3"/>
        <v>GERAL</v>
      </c>
      <c r="B91" s="690" t="s">
        <v>4756</v>
      </c>
      <c r="C91" s="690" t="s">
        <v>4834</v>
      </c>
      <c r="D91" s="690" t="s">
        <v>4838</v>
      </c>
      <c r="E91" s="692">
        <v>10</v>
      </c>
      <c r="F91" s="692">
        <v>0</v>
      </c>
      <c r="G91" s="693">
        <f t="shared" si="4"/>
        <v>10</v>
      </c>
      <c r="H91" s="797" t="str">
        <f>VLOOKUP(D91,'ELETRICA - PREÇO'!$C$7:$E$155,2)</f>
        <v>pç</v>
      </c>
      <c r="I91" s="695">
        <v>33.159999999999997</v>
      </c>
      <c r="J91" s="765">
        <f t="shared" si="0"/>
        <v>331.59999999999997</v>
      </c>
    </row>
    <row r="92" spans="1:10" x14ac:dyDescent="0.25">
      <c r="A92" s="690" t="str">
        <f t="shared" si="3"/>
        <v>GERAL</v>
      </c>
      <c r="B92" s="690" t="s">
        <v>4756</v>
      </c>
      <c r="C92" s="690" t="s">
        <v>4834</v>
      </c>
      <c r="D92" s="690" t="s">
        <v>4839</v>
      </c>
      <c r="E92" s="692">
        <v>71</v>
      </c>
      <c r="F92" s="692">
        <v>0</v>
      </c>
      <c r="G92" s="693">
        <f t="shared" si="4"/>
        <v>71</v>
      </c>
      <c r="H92" s="797" t="str">
        <f>VLOOKUP(D92,'ELETRICA - PREÇO'!$C$7:$E$155,2)</f>
        <v>pç</v>
      </c>
      <c r="I92" s="695">
        <v>26.74</v>
      </c>
      <c r="J92" s="765">
        <f t="shared" si="0"/>
        <v>1898.54</v>
      </c>
    </row>
    <row r="93" spans="1:10" x14ac:dyDescent="0.25">
      <c r="A93" s="690" t="str">
        <f t="shared" si="3"/>
        <v>GERAL</v>
      </c>
      <c r="B93" s="690" t="s">
        <v>4756</v>
      </c>
      <c r="C93" s="690" t="s">
        <v>4834</v>
      </c>
      <c r="D93" s="690" t="s">
        <v>4840</v>
      </c>
      <c r="E93" s="692">
        <v>486</v>
      </c>
      <c r="F93" s="692">
        <v>0</v>
      </c>
      <c r="G93" s="693">
        <f t="shared" si="4"/>
        <v>486</v>
      </c>
      <c r="H93" s="797" t="str">
        <f>VLOOKUP(D93,'ELETRICA - PREÇO'!$C$7:$E$155,2)</f>
        <v>pç</v>
      </c>
      <c r="I93" s="695">
        <v>15.24</v>
      </c>
      <c r="J93" s="765">
        <f t="shared" si="0"/>
        <v>7406.64</v>
      </c>
    </row>
    <row r="94" spans="1:10" x14ac:dyDescent="0.25">
      <c r="A94" s="690" t="str">
        <f t="shared" si="3"/>
        <v>GERAL</v>
      </c>
      <c r="B94" s="690" t="s">
        <v>4756</v>
      </c>
      <c r="C94" s="690" t="s">
        <v>4834</v>
      </c>
      <c r="D94" s="690" t="s">
        <v>4841</v>
      </c>
      <c r="E94" s="692">
        <v>117</v>
      </c>
      <c r="F94" s="692">
        <v>0</v>
      </c>
      <c r="G94" s="693">
        <f t="shared" si="4"/>
        <v>117</v>
      </c>
      <c r="H94" s="797" t="str">
        <f>VLOOKUP(D94,'ELETRICA - PREÇO'!$C$7:$E$155,2)</f>
        <v>pç</v>
      </c>
      <c r="I94" s="695">
        <v>32.35</v>
      </c>
      <c r="J94" s="765">
        <f t="shared" si="0"/>
        <v>3784.9500000000003</v>
      </c>
    </row>
    <row r="95" spans="1:10" x14ac:dyDescent="0.25">
      <c r="A95" s="690" t="str">
        <f t="shared" si="3"/>
        <v>GERAL</v>
      </c>
      <c r="B95" s="690" t="s">
        <v>4756</v>
      </c>
      <c r="C95" s="690" t="s">
        <v>4834</v>
      </c>
      <c r="D95" s="690" t="s">
        <v>4842</v>
      </c>
      <c r="E95" s="692">
        <v>1</v>
      </c>
      <c r="F95" s="692">
        <v>0</v>
      </c>
      <c r="G95" s="693">
        <f t="shared" si="4"/>
        <v>1</v>
      </c>
      <c r="H95" s="797" t="str">
        <f>VLOOKUP(D95,'ELETRICA - PREÇO'!$C$7:$E$155,2)</f>
        <v>pç</v>
      </c>
      <c r="I95" s="695">
        <v>20.84</v>
      </c>
      <c r="J95" s="765">
        <f t="shared" si="0"/>
        <v>20.84</v>
      </c>
    </row>
    <row r="96" spans="1:10" x14ac:dyDescent="0.25">
      <c r="A96" s="690" t="str">
        <f t="shared" si="3"/>
        <v>GERAL</v>
      </c>
      <c r="B96" s="690" t="s">
        <v>4756</v>
      </c>
      <c r="C96" s="690" t="s">
        <v>4424</v>
      </c>
      <c r="D96" s="690" t="s">
        <v>4843</v>
      </c>
      <c r="E96" s="692">
        <v>227</v>
      </c>
      <c r="F96" s="692">
        <v>0</v>
      </c>
      <c r="G96" s="693">
        <f t="shared" si="4"/>
        <v>227</v>
      </c>
      <c r="H96" s="797" t="str">
        <f>VLOOKUP(D96,'ELETRICA - PREÇO'!$C$7:$E$155,2)</f>
        <v>pç</v>
      </c>
      <c r="I96" s="695">
        <v>5.61</v>
      </c>
      <c r="J96" s="765">
        <f t="shared" si="0"/>
        <v>1273.47</v>
      </c>
    </row>
    <row r="97" spans="1:10" x14ac:dyDescent="0.25">
      <c r="A97" s="690" t="str">
        <f t="shared" si="3"/>
        <v>GERAL</v>
      </c>
      <c r="B97" s="690" t="s">
        <v>4756</v>
      </c>
      <c r="C97" s="690" t="s">
        <v>4424</v>
      </c>
      <c r="D97" s="690" t="s">
        <v>4844</v>
      </c>
      <c r="E97" s="692">
        <v>1</v>
      </c>
      <c r="F97" s="692">
        <v>0</v>
      </c>
      <c r="G97" s="693">
        <f t="shared" si="4"/>
        <v>1</v>
      </c>
      <c r="H97" s="797" t="str">
        <f>VLOOKUP(D97,'ELETRICA - PREÇO'!$C$7:$E$155,2)</f>
        <v>pç</v>
      </c>
      <c r="I97" s="695">
        <v>6.42</v>
      </c>
      <c r="J97" s="765">
        <f t="shared" si="0"/>
        <v>6.42</v>
      </c>
    </row>
    <row r="98" spans="1:10" x14ac:dyDescent="0.25">
      <c r="A98" s="690" t="str">
        <f t="shared" si="3"/>
        <v>GERAL</v>
      </c>
      <c r="B98" s="767" t="s">
        <v>4754</v>
      </c>
      <c r="C98" s="690" t="s">
        <v>4845</v>
      </c>
      <c r="D98" s="690" t="s">
        <v>4846</v>
      </c>
      <c r="E98" s="692">
        <v>70</v>
      </c>
      <c r="F98" s="692">
        <v>0</v>
      </c>
      <c r="G98" s="693">
        <f t="shared" si="4"/>
        <v>70</v>
      </c>
      <c r="H98" s="797" t="str">
        <f>VLOOKUP(D98,'ELETRICA - PREÇO'!$C$7:$E$155,2)</f>
        <v>m</v>
      </c>
      <c r="I98" s="695">
        <v>27.24</v>
      </c>
      <c r="J98" s="765">
        <f t="shared" si="0"/>
        <v>1906.8</v>
      </c>
    </row>
    <row r="99" spans="1:10" x14ac:dyDescent="0.25">
      <c r="A99" s="690" t="str">
        <f t="shared" si="3"/>
        <v>GERAL</v>
      </c>
      <c r="B99" s="767" t="s">
        <v>4754</v>
      </c>
      <c r="C99" s="690" t="s">
        <v>4845</v>
      </c>
      <c r="D99" s="690" t="s">
        <v>4847</v>
      </c>
      <c r="E99" s="692">
        <v>35</v>
      </c>
      <c r="F99" s="692">
        <v>0</v>
      </c>
      <c r="G99" s="693">
        <f t="shared" si="4"/>
        <v>35</v>
      </c>
      <c r="H99" s="797" t="str">
        <f>VLOOKUP(D99,'ELETRICA - PREÇO'!$C$7:$E$155,2)</f>
        <v>m</v>
      </c>
      <c r="I99" s="695">
        <v>16.22</v>
      </c>
      <c r="J99" s="765">
        <f t="shared" si="0"/>
        <v>567.69999999999993</v>
      </c>
    </row>
    <row r="100" spans="1:10" x14ac:dyDescent="0.25">
      <c r="A100" s="690" t="str">
        <f t="shared" si="3"/>
        <v>GERAL</v>
      </c>
      <c r="B100" s="767" t="s">
        <v>4754</v>
      </c>
      <c r="C100" s="690" t="s">
        <v>4845</v>
      </c>
      <c r="D100" s="690" t="s">
        <v>4848</v>
      </c>
      <c r="E100" s="692">
        <v>40</v>
      </c>
      <c r="F100" s="692">
        <v>0</v>
      </c>
      <c r="G100" s="693">
        <f t="shared" si="4"/>
        <v>40</v>
      </c>
      <c r="H100" s="797" t="str">
        <f>VLOOKUP(D100,'ELETRICA - PREÇO'!$C$7:$E$155,2)</f>
        <v>m</v>
      </c>
      <c r="I100" s="695">
        <v>5.04</v>
      </c>
      <c r="J100" s="765">
        <f t="shared" si="0"/>
        <v>201.6</v>
      </c>
    </row>
    <row r="101" spans="1:10" x14ac:dyDescent="0.25">
      <c r="A101" s="690" t="str">
        <f t="shared" si="3"/>
        <v>GERAL</v>
      </c>
      <c r="B101" s="767" t="s">
        <v>4754</v>
      </c>
      <c r="C101" s="690" t="s">
        <v>4845</v>
      </c>
      <c r="D101" s="690" t="s">
        <v>4849</v>
      </c>
      <c r="E101" s="692">
        <v>25</v>
      </c>
      <c r="F101" s="692">
        <v>0</v>
      </c>
      <c r="G101" s="693">
        <f t="shared" si="4"/>
        <v>25</v>
      </c>
      <c r="H101" s="797" t="str">
        <f>VLOOKUP(D101,'ELETRICA - PREÇO'!$C$7:$E$155,2)</f>
        <v>m</v>
      </c>
      <c r="I101" s="695">
        <v>5.31</v>
      </c>
      <c r="J101" s="765">
        <f t="shared" si="0"/>
        <v>132.75</v>
      </c>
    </row>
    <row r="102" spans="1:10" x14ac:dyDescent="0.25">
      <c r="A102" s="690" t="str">
        <f t="shared" si="3"/>
        <v>GERAL</v>
      </c>
      <c r="B102" s="767" t="s">
        <v>4754</v>
      </c>
      <c r="C102" s="690" t="s">
        <v>4845</v>
      </c>
      <c r="D102" s="690" t="s">
        <v>4850</v>
      </c>
      <c r="E102" s="692">
        <v>10</v>
      </c>
      <c r="F102" s="692">
        <v>0</v>
      </c>
      <c r="G102" s="693">
        <f t="shared" si="4"/>
        <v>10</v>
      </c>
      <c r="H102" s="797" t="str">
        <f>VLOOKUP(D102,'ELETRICA - PREÇO'!$C$7:$E$155,2)</f>
        <v>m</v>
      </c>
      <c r="I102" s="695">
        <v>3.09</v>
      </c>
      <c r="J102" s="765">
        <f t="shared" si="0"/>
        <v>30.9</v>
      </c>
    </row>
    <row r="103" spans="1:10" x14ac:dyDescent="0.25">
      <c r="A103" s="690" t="str">
        <f t="shared" si="3"/>
        <v>GERAL</v>
      </c>
      <c r="B103" s="767" t="s">
        <v>4754</v>
      </c>
      <c r="C103" s="690" t="s">
        <v>4845</v>
      </c>
      <c r="D103" s="690" t="s">
        <v>4851</v>
      </c>
      <c r="E103" s="692">
        <v>125</v>
      </c>
      <c r="F103" s="692">
        <v>0</v>
      </c>
      <c r="G103" s="693">
        <f t="shared" si="4"/>
        <v>125</v>
      </c>
      <c r="H103" s="797" t="str">
        <f>VLOOKUP(D103,'ELETRICA - PREÇO'!$C$7:$E$155,2)</f>
        <v>m</v>
      </c>
      <c r="I103" s="695">
        <v>3.28</v>
      </c>
      <c r="J103" s="765">
        <f t="shared" si="0"/>
        <v>410</v>
      </c>
    </row>
    <row r="104" spans="1:10" x14ac:dyDescent="0.25">
      <c r="A104" s="690" t="str">
        <f t="shared" si="3"/>
        <v>GERAL</v>
      </c>
      <c r="B104" s="767" t="s">
        <v>4754</v>
      </c>
      <c r="C104" s="690" t="s">
        <v>4845</v>
      </c>
      <c r="D104" s="690" t="s">
        <v>4852</v>
      </c>
      <c r="E104" s="692">
        <v>2300</v>
      </c>
      <c r="F104" s="692">
        <v>0</v>
      </c>
      <c r="G104" s="693">
        <f t="shared" si="4"/>
        <v>2300</v>
      </c>
      <c r="H104" s="797" t="str">
        <f>VLOOKUP(D104,'ELETRICA - PREÇO'!$C$7:$E$155,2)</f>
        <v>m</v>
      </c>
      <c r="I104" s="695">
        <v>2.2799999999999998</v>
      </c>
      <c r="J104" s="765">
        <f t="shared" si="0"/>
        <v>5244</v>
      </c>
    </row>
    <row r="105" spans="1:10" x14ac:dyDescent="0.25">
      <c r="A105" s="690" t="str">
        <f t="shared" si="3"/>
        <v>GERAL</v>
      </c>
      <c r="B105" s="767" t="s">
        <v>4754</v>
      </c>
      <c r="C105" s="690" t="s">
        <v>4845</v>
      </c>
      <c r="D105" s="690" t="s">
        <v>4853</v>
      </c>
      <c r="E105" s="692">
        <v>17800</v>
      </c>
      <c r="F105" s="692">
        <v>0</v>
      </c>
      <c r="G105" s="693">
        <f t="shared" si="4"/>
        <v>17800</v>
      </c>
      <c r="H105" s="797" t="str">
        <f>VLOOKUP(D105,'ELETRICA - PREÇO'!$C$7:$E$155,2)</f>
        <v>m</v>
      </c>
      <c r="I105" s="695">
        <v>9.3699999999999992</v>
      </c>
      <c r="J105" s="765">
        <f t="shared" si="0"/>
        <v>166786</v>
      </c>
    </row>
    <row r="106" spans="1:10" x14ac:dyDescent="0.25">
      <c r="A106" s="690" t="str">
        <f t="shared" si="3"/>
        <v>GERAL</v>
      </c>
      <c r="B106" s="767" t="s">
        <v>4754</v>
      </c>
      <c r="C106" s="690" t="s">
        <v>4854</v>
      </c>
      <c r="D106" s="690" t="s">
        <v>4855</v>
      </c>
      <c r="E106" s="692">
        <v>55</v>
      </c>
      <c r="F106" s="692">
        <v>0</v>
      </c>
      <c r="G106" s="693">
        <f t="shared" si="4"/>
        <v>55</v>
      </c>
      <c r="H106" s="797" t="str">
        <f>VLOOKUP(D106,'ELETRICA - PREÇO'!$C$7:$E$155,2)</f>
        <v>m</v>
      </c>
      <c r="I106" s="695">
        <f>'ELETRICA - PREÇO'!E141</f>
        <v>135.10999999999999</v>
      </c>
      <c r="J106" s="765">
        <f t="shared" si="0"/>
        <v>7431.0499999999993</v>
      </c>
    </row>
    <row r="107" spans="1:10" x14ac:dyDescent="0.25">
      <c r="A107" s="690" t="str">
        <f t="shared" si="3"/>
        <v>GERAL</v>
      </c>
      <c r="B107" s="690" t="s">
        <v>441</v>
      </c>
      <c r="C107" s="690" t="s">
        <v>4856</v>
      </c>
      <c r="D107" s="690" t="s">
        <v>4857</v>
      </c>
      <c r="E107" s="692">
        <v>17600</v>
      </c>
      <c r="F107" s="692">
        <v>0</v>
      </c>
      <c r="G107" s="693">
        <f t="shared" si="4"/>
        <v>17600</v>
      </c>
      <c r="H107" s="797" t="str">
        <f>VLOOKUP(D107,'ELETRICA - PREÇO'!$C$7:$E$155,2)</f>
        <v>m</v>
      </c>
      <c r="I107" s="695">
        <v>1.6798</v>
      </c>
      <c r="J107" s="765">
        <f t="shared" si="0"/>
        <v>29564.48</v>
      </c>
    </row>
    <row r="108" spans="1:10" x14ac:dyDescent="0.25">
      <c r="A108" s="690" t="str">
        <f t="shared" si="3"/>
        <v>GERAL</v>
      </c>
      <c r="B108" s="690" t="s">
        <v>441</v>
      </c>
      <c r="C108" s="690" t="s">
        <v>4856</v>
      </c>
      <c r="D108" s="690" t="s">
        <v>4858</v>
      </c>
      <c r="E108" s="692">
        <v>70</v>
      </c>
      <c r="F108" s="692">
        <v>0</v>
      </c>
      <c r="G108" s="693">
        <f t="shared" si="4"/>
        <v>70</v>
      </c>
      <c r="H108" s="797" t="str">
        <f>VLOOKUP(D108,'ELETRICA - PREÇO'!$C$7:$E$155,2)</f>
        <v>m</v>
      </c>
      <c r="I108" s="695">
        <v>1.6798</v>
      </c>
      <c r="J108" s="765">
        <f t="shared" si="0"/>
        <v>117.586</v>
      </c>
    </row>
    <row r="109" spans="1:10" x14ac:dyDescent="0.25">
      <c r="A109" s="690" t="str">
        <f t="shared" si="3"/>
        <v>GERAL</v>
      </c>
      <c r="B109" s="690" t="s">
        <v>441</v>
      </c>
      <c r="C109" s="690" t="s">
        <v>4856</v>
      </c>
      <c r="D109" s="690" t="s">
        <v>4859</v>
      </c>
      <c r="E109" s="692">
        <v>70</v>
      </c>
      <c r="F109" s="692">
        <v>0</v>
      </c>
      <c r="G109" s="693">
        <f t="shared" si="4"/>
        <v>70</v>
      </c>
      <c r="H109" s="797" t="str">
        <f>VLOOKUP(D109,'ELETRICA - PREÇO'!$C$7:$E$155,2)</f>
        <v>m</v>
      </c>
      <c r="I109" s="695">
        <v>1.6798</v>
      </c>
      <c r="J109" s="765">
        <f t="shared" si="0"/>
        <v>117.586</v>
      </c>
    </row>
    <row r="110" spans="1:10" x14ac:dyDescent="0.25">
      <c r="A110" s="690" t="str">
        <f t="shared" si="3"/>
        <v>GERAL</v>
      </c>
      <c r="B110" s="690" t="s">
        <v>441</v>
      </c>
      <c r="C110" s="690" t="s">
        <v>4856</v>
      </c>
      <c r="D110" s="690" t="s">
        <v>4860</v>
      </c>
      <c r="E110" s="692">
        <v>17200</v>
      </c>
      <c r="F110" s="692">
        <v>0</v>
      </c>
      <c r="G110" s="693">
        <f t="shared" si="4"/>
        <v>17200</v>
      </c>
      <c r="H110" s="797" t="str">
        <f>VLOOKUP(D110,'ELETRICA - PREÇO'!$C$7:$E$155,2)</f>
        <v>m</v>
      </c>
      <c r="I110" s="695">
        <v>1.6798</v>
      </c>
      <c r="J110" s="765">
        <f t="shared" si="0"/>
        <v>28892.559999999998</v>
      </c>
    </row>
    <row r="111" spans="1:10" x14ac:dyDescent="0.25">
      <c r="A111" s="690" t="str">
        <f t="shared" si="3"/>
        <v>GERAL</v>
      </c>
      <c r="B111" s="690" t="s">
        <v>441</v>
      </c>
      <c r="C111" s="690" t="s">
        <v>4856</v>
      </c>
      <c r="D111" s="690" t="s">
        <v>4861</v>
      </c>
      <c r="E111" s="692">
        <v>11800</v>
      </c>
      <c r="F111" s="692">
        <v>0</v>
      </c>
      <c r="G111" s="693">
        <f t="shared" si="4"/>
        <v>11800</v>
      </c>
      <c r="H111" s="797" t="str">
        <f>VLOOKUP(D111,'ELETRICA - PREÇO'!$C$7:$E$155,2)</f>
        <v>m</v>
      </c>
      <c r="I111" s="695">
        <v>1.6798</v>
      </c>
      <c r="J111" s="765">
        <f t="shared" si="0"/>
        <v>19821.64</v>
      </c>
    </row>
    <row r="112" spans="1:10" x14ac:dyDescent="0.25">
      <c r="A112" s="690" t="str">
        <f t="shared" si="3"/>
        <v>GERAL</v>
      </c>
      <c r="B112" s="690" t="s">
        <v>441</v>
      </c>
      <c r="C112" s="690" t="s">
        <v>4856</v>
      </c>
      <c r="D112" s="690" t="s">
        <v>4862</v>
      </c>
      <c r="E112" s="692">
        <v>13200</v>
      </c>
      <c r="F112" s="692">
        <v>0</v>
      </c>
      <c r="G112" s="693">
        <f t="shared" si="4"/>
        <v>13200</v>
      </c>
      <c r="H112" s="797" t="str">
        <f>VLOOKUP(D112,'ELETRICA - PREÇO'!$C$7:$E$155,2)</f>
        <v>m</v>
      </c>
      <c r="I112" s="695">
        <v>1.6798</v>
      </c>
      <c r="J112" s="765">
        <f t="shared" si="0"/>
        <v>22173.360000000001</v>
      </c>
    </row>
    <row r="113" spans="1:10" x14ac:dyDescent="0.25">
      <c r="A113" s="690" t="str">
        <f t="shared" si="3"/>
        <v>GERAL</v>
      </c>
      <c r="B113" s="690" t="s">
        <v>441</v>
      </c>
      <c r="C113" s="690" t="s">
        <v>4856</v>
      </c>
      <c r="D113" s="690" t="s">
        <v>4863</v>
      </c>
      <c r="E113" s="692">
        <v>1900</v>
      </c>
      <c r="F113" s="692">
        <v>0</v>
      </c>
      <c r="G113" s="693">
        <f t="shared" si="4"/>
        <v>1900</v>
      </c>
      <c r="H113" s="797" t="str">
        <f>VLOOKUP(D113,'ELETRICA - PREÇO'!$C$7:$E$155,2)</f>
        <v>m</v>
      </c>
      <c r="I113" s="695">
        <v>2.8243</v>
      </c>
      <c r="J113" s="765">
        <f t="shared" si="0"/>
        <v>5366.17</v>
      </c>
    </row>
    <row r="114" spans="1:10" x14ac:dyDescent="0.25">
      <c r="A114" s="690" t="str">
        <f t="shared" si="3"/>
        <v>GERAL</v>
      </c>
      <c r="B114" s="690" t="s">
        <v>441</v>
      </c>
      <c r="C114" s="690" t="s">
        <v>4856</v>
      </c>
      <c r="D114" s="690" t="s">
        <v>4864</v>
      </c>
      <c r="E114" s="692">
        <v>40</v>
      </c>
      <c r="F114" s="692">
        <v>0</v>
      </c>
      <c r="G114" s="693">
        <f t="shared" si="4"/>
        <v>40</v>
      </c>
      <c r="H114" s="797" t="str">
        <f>VLOOKUP(D114,'ELETRICA - PREÇO'!$C$7:$E$155,2)</f>
        <v>m</v>
      </c>
      <c r="I114" s="695">
        <v>2.8243</v>
      </c>
      <c r="J114" s="765">
        <f t="shared" si="0"/>
        <v>112.97200000000001</v>
      </c>
    </row>
    <row r="115" spans="1:10" x14ac:dyDescent="0.25">
      <c r="A115" s="690" t="str">
        <f t="shared" si="3"/>
        <v>GERAL</v>
      </c>
      <c r="B115" s="690" t="s">
        <v>441</v>
      </c>
      <c r="C115" s="690" t="s">
        <v>4856</v>
      </c>
      <c r="D115" s="690" t="s">
        <v>4865</v>
      </c>
      <c r="E115" s="692">
        <v>40</v>
      </c>
      <c r="F115" s="692">
        <v>0</v>
      </c>
      <c r="G115" s="693">
        <f t="shared" si="4"/>
        <v>40</v>
      </c>
      <c r="H115" s="797" t="str">
        <f>VLOOKUP(D115,'ELETRICA - PREÇO'!$C$7:$E$155,2)</f>
        <v>m</v>
      </c>
      <c r="I115" s="695">
        <v>2.8243</v>
      </c>
      <c r="J115" s="765">
        <f t="shared" si="0"/>
        <v>112.97200000000001</v>
      </c>
    </row>
    <row r="116" spans="1:10" x14ac:dyDescent="0.25">
      <c r="A116" s="690" t="str">
        <f t="shared" si="3"/>
        <v>GERAL</v>
      </c>
      <c r="B116" s="690" t="s">
        <v>441</v>
      </c>
      <c r="C116" s="690" t="s">
        <v>4856</v>
      </c>
      <c r="D116" s="690" t="s">
        <v>4866</v>
      </c>
      <c r="E116" s="692">
        <v>1900</v>
      </c>
      <c r="F116" s="692">
        <v>0</v>
      </c>
      <c r="G116" s="693">
        <f t="shared" si="4"/>
        <v>1900</v>
      </c>
      <c r="H116" s="797" t="str">
        <f>VLOOKUP(D116,'ELETRICA - PREÇO'!$C$7:$E$155,2)</f>
        <v>m</v>
      </c>
      <c r="I116" s="695">
        <v>2.8243</v>
      </c>
      <c r="J116" s="765">
        <f t="shared" si="0"/>
        <v>5366.17</v>
      </c>
    </row>
    <row r="117" spans="1:10" x14ac:dyDescent="0.25">
      <c r="A117" s="690" t="str">
        <f t="shared" si="3"/>
        <v>GERAL</v>
      </c>
      <c r="B117" s="690" t="s">
        <v>441</v>
      </c>
      <c r="C117" s="690" t="s">
        <v>4856</v>
      </c>
      <c r="D117" s="690" t="s">
        <v>4867</v>
      </c>
      <c r="E117" s="692">
        <v>1900</v>
      </c>
      <c r="F117" s="692">
        <v>0</v>
      </c>
      <c r="G117" s="693">
        <f t="shared" si="4"/>
        <v>1900</v>
      </c>
      <c r="H117" s="797" t="str">
        <f>VLOOKUP(D117,'ELETRICA - PREÇO'!$C$7:$E$155,2)</f>
        <v>m</v>
      </c>
      <c r="I117" s="695">
        <v>2.8243</v>
      </c>
      <c r="J117" s="765">
        <f t="shared" si="0"/>
        <v>5366.17</v>
      </c>
    </row>
    <row r="118" spans="1:10" x14ac:dyDescent="0.25">
      <c r="A118" s="690" t="str">
        <f t="shared" si="3"/>
        <v>GERAL</v>
      </c>
      <c r="B118" s="690" t="s">
        <v>441</v>
      </c>
      <c r="C118" s="690" t="s">
        <v>4856</v>
      </c>
      <c r="D118" s="690" t="s">
        <v>4868</v>
      </c>
      <c r="E118" s="692">
        <v>700</v>
      </c>
      <c r="F118" s="692">
        <v>0</v>
      </c>
      <c r="G118" s="693">
        <f t="shared" si="4"/>
        <v>700</v>
      </c>
      <c r="H118" s="797" t="str">
        <f>VLOOKUP(D118,'ELETRICA - PREÇO'!$C$7:$E$155,2)</f>
        <v>m</v>
      </c>
      <c r="I118" s="695">
        <v>4.1898999999999997</v>
      </c>
      <c r="J118" s="765">
        <f t="shared" si="0"/>
        <v>2932.93</v>
      </c>
    </row>
    <row r="119" spans="1:10" x14ac:dyDescent="0.25">
      <c r="A119" s="690" t="str">
        <f t="shared" si="3"/>
        <v>GERAL</v>
      </c>
      <c r="B119" s="690" t="s">
        <v>441</v>
      </c>
      <c r="C119" s="690" t="s">
        <v>4856</v>
      </c>
      <c r="D119" s="690" t="s">
        <v>4869</v>
      </c>
      <c r="E119" s="692">
        <v>5</v>
      </c>
      <c r="F119" s="692">
        <v>0</v>
      </c>
      <c r="G119" s="693">
        <f t="shared" si="4"/>
        <v>5</v>
      </c>
      <c r="H119" s="797" t="str">
        <f>VLOOKUP(D119,'ELETRICA - PREÇO'!$C$7:$E$155,2)</f>
        <v>m</v>
      </c>
      <c r="I119" s="695">
        <v>4.1898999999999997</v>
      </c>
      <c r="J119" s="765">
        <f t="shared" si="0"/>
        <v>20.9495</v>
      </c>
    </row>
    <row r="120" spans="1:10" x14ac:dyDescent="0.25">
      <c r="A120" s="690" t="str">
        <f t="shared" si="3"/>
        <v>GERAL</v>
      </c>
      <c r="B120" s="690" t="s">
        <v>441</v>
      </c>
      <c r="C120" s="690" t="s">
        <v>4856</v>
      </c>
      <c r="D120" s="690" t="s">
        <v>4870</v>
      </c>
      <c r="E120" s="692">
        <v>700</v>
      </c>
      <c r="F120" s="692">
        <v>0</v>
      </c>
      <c r="G120" s="693">
        <f t="shared" si="4"/>
        <v>700</v>
      </c>
      <c r="H120" s="797" t="str">
        <f>VLOOKUP(D120,'ELETRICA - PREÇO'!$C$7:$E$155,2)</f>
        <v>m</v>
      </c>
      <c r="I120" s="695">
        <v>4.1898999999999997</v>
      </c>
      <c r="J120" s="765">
        <f t="shared" si="0"/>
        <v>2932.93</v>
      </c>
    </row>
    <row r="121" spans="1:10" x14ac:dyDescent="0.25">
      <c r="A121" s="690" t="str">
        <f t="shared" si="3"/>
        <v>GERAL</v>
      </c>
      <c r="B121" s="690" t="s">
        <v>441</v>
      </c>
      <c r="C121" s="690" t="s">
        <v>4856</v>
      </c>
      <c r="D121" s="690" t="s">
        <v>4871</v>
      </c>
      <c r="E121" s="692">
        <v>700</v>
      </c>
      <c r="F121" s="692">
        <v>0</v>
      </c>
      <c r="G121" s="693">
        <f t="shared" si="4"/>
        <v>700</v>
      </c>
      <c r="H121" s="797" t="str">
        <f>VLOOKUP(D121,'ELETRICA - PREÇO'!$C$7:$E$155,2)</f>
        <v>m</v>
      </c>
      <c r="I121" s="695">
        <v>4.1898999999999997</v>
      </c>
      <c r="J121" s="765">
        <f t="shared" si="0"/>
        <v>2932.93</v>
      </c>
    </row>
    <row r="122" spans="1:10" x14ac:dyDescent="0.25">
      <c r="A122" s="690" t="str">
        <f t="shared" si="3"/>
        <v>GERAL</v>
      </c>
      <c r="B122" s="690" t="s">
        <v>441</v>
      </c>
      <c r="C122" s="690" t="s">
        <v>4856</v>
      </c>
      <c r="D122" s="690" t="s">
        <v>4872</v>
      </c>
      <c r="E122" s="692">
        <v>3200</v>
      </c>
      <c r="F122" s="692">
        <v>0</v>
      </c>
      <c r="G122" s="693">
        <f t="shared" si="4"/>
        <v>3200</v>
      </c>
      <c r="H122" s="797" t="str">
        <f>VLOOKUP(D122,'ELETRICA - PREÇO'!$C$7:$E$155,2)</f>
        <v>m</v>
      </c>
      <c r="I122" s="695">
        <v>8.5500000000000007</v>
      </c>
      <c r="J122" s="765">
        <f t="shared" si="0"/>
        <v>27360.000000000004</v>
      </c>
    </row>
    <row r="123" spans="1:10" x14ac:dyDescent="0.25">
      <c r="A123" s="690" t="str">
        <f t="shared" si="3"/>
        <v>GERAL</v>
      </c>
      <c r="B123" s="690" t="s">
        <v>441</v>
      </c>
      <c r="C123" s="690" t="s">
        <v>4856</v>
      </c>
      <c r="D123" s="690" t="s">
        <v>4873</v>
      </c>
      <c r="E123" s="692">
        <v>3500</v>
      </c>
      <c r="F123" s="692">
        <v>0</v>
      </c>
      <c r="G123" s="693">
        <f t="shared" si="4"/>
        <v>3500</v>
      </c>
      <c r="H123" s="797" t="str">
        <f>VLOOKUP(D123,'ELETRICA - PREÇO'!$C$7:$E$155,2)</f>
        <v>m</v>
      </c>
      <c r="I123" s="695">
        <v>8.5500000000000007</v>
      </c>
      <c r="J123" s="765">
        <f t="shared" si="0"/>
        <v>29925.000000000004</v>
      </c>
    </row>
    <row r="124" spans="1:10" x14ac:dyDescent="0.25">
      <c r="A124" s="690" t="str">
        <f t="shared" si="3"/>
        <v>GERAL</v>
      </c>
      <c r="B124" s="690" t="s">
        <v>441</v>
      </c>
      <c r="C124" s="690" t="s">
        <v>4856</v>
      </c>
      <c r="D124" s="690" t="s">
        <v>4874</v>
      </c>
      <c r="E124" s="692">
        <v>3000</v>
      </c>
      <c r="F124" s="692">
        <v>0</v>
      </c>
      <c r="G124" s="693">
        <f t="shared" si="4"/>
        <v>3000</v>
      </c>
      <c r="H124" s="797" t="str">
        <f>VLOOKUP(D124,'ELETRICA - PREÇO'!$C$7:$E$155,2)</f>
        <v>m</v>
      </c>
      <c r="I124" s="695">
        <v>8.5500000000000007</v>
      </c>
      <c r="J124" s="765">
        <f t="shared" si="0"/>
        <v>25650.000000000004</v>
      </c>
    </row>
    <row r="125" spans="1:10" x14ac:dyDescent="0.25">
      <c r="A125" s="690" t="str">
        <f t="shared" si="3"/>
        <v>GERAL</v>
      </c>
      <c r="B125" s="690" t="s">
        <v>441</v>
      </c>
      <c r="C125" s="690" t="s">
        <v>4856</v>
      </c>
      <c r="D125" s="690" t="s">
        <v>4875</v>
      </c>
      <c r="E125" s="692">
        <v>4300</v>
      </c>
      <c r="F125" s="692">
        <v>0</v>
      </c>
      <c r="G125" s="693">
        <f t="shared" si="4"/>
        <v>4300</v>
      </c>
      <c r="H125" s="797" t="str">
        <f>VLOOKUP(D125,'ELETRICA - PREÇO'!$C$7:$E$155,2)</f>
        <v>m</v>
      </c>
      <c r="I125" s="695">
        <v>8.5500000000000007</v>
      </c>
      <c r="J125" s="765">
        <f t="shared" si="0"/>
        <v>36765</v>
      </c>
    </row>
    <row r="126" spans="1:10" x14ac:dyDescent="0.25">
      <c r="A126" s="690" t="str">
        <f t="shared" si="3"/>
        <v>GERAL</v>
      </c>
      <c r="B126" s="690" t="s">
        <v>441</v>
      </c>
      <c r="C126" s="690" t="s">
        <v>4856</v>
      </c>
      <c r="D126" s="690" t="s">
        <v>4876</v>
      </c>
      <c r="E126" s="692">
        <v>4300</v>
      </c>
      <c r="F126" s="692">
        <v>0</v>
      </c>
      <c r="G126" s="693">
        <f t="shared" si="4"/>
        <v>4300</v>
      </c>
      <c r="H126" s="797" t="str">
        <f>VLOOKUP(D126,'ELETRICA - PREÇO'!$C$7:$E$155,2)</f>
        <v>m</v>
      </c>
      <c r="I126" s="695">
        <v>8.5500000000000007</v>
      </c>
      <c r="J126" s="765">
        <f t="shared" si="0"/>
        <v>36765</v>
      </c>
    </row>
    <row r="127" spans="1:10" x14ac:dyDescent="0.25">
      <c r="A127" s="690" t="str">
        <f t="shared" si="3"/>
        <v>GERAL</v>
      </c>
      <c r="B127" s="690" t="s">
        <v>441</v>
      </c>
      <c r="C127" s="690" t="s">
        <v>4856</v>
      </c>
      <c r="D127" s="690" t="s">
        <v>4877</v>
      </c>
      <c r="E127" s="692">
        <v>140</v>
      </c>
      <c r="F127" s="692">
        <v>0</v>
      </c>
      <c r="G127" s="693">
        <f t="shared" si="4"/>
        <v>140</v>
      </c>
      <c r="H127" s="797" t="str">
        <f>VLOOKUP(D127,'ELETRICA - PREÇO'!$C$7:$E$155,2)</f>
        <v>m</v>
      </c>
      <c r="I127" s="695">
        <v>12.7113</v>
      </c>
      <c r="J127" s="765">
        <f t="shared" si="0"/>
        <v>1779.5819999999999</v>
      </c>
    </row>
    <row r="128" spans="1:10" x14ac:dyDescent="0.25">
      <c r="A128" s="690" t="str">
        <f t="shared" si="3"/>
        <v>GERAL</v>
      </c>
      <c r="B128" s="690" t="s">
        <v>441</v>
      </c>
      <c r="C128" s="690" t="s">
        <v>4856</v>
      </c>
      <c r="D128" s="690" t="s">
        <v>4878</v>
      </c>
      <c r="E128" s="692">
        <v>180</v>
      </c>
      <c r="F128" s="692">
        <v>0</v>
      </c>
      <c r="G128" s="693">
        <f t="shared" si="4"/>
        <v>180</v>
      </c>
      <c r="H128" s="797" t="str">
        <f>VLOOKUP(D128,'ELETRICA - PREÇO'!$C$7:$E$155,2)</f>
        <v>m</v>
      </c>
      <c r="I128" s="695">
        <v>12.7113</v>
      </c>
      <c r="J128" s="765">
        <f t="shared" si="0"/>
        <v>2288.0340000000001</v>
      </c>
    </row>
    <row r="129" spans="1:10" x14ac:dyDescent="0.25">
      <c r="A129" s="690" t="str">
        <f t="shared" si="3"/>
        <v>GERAL</v>
      </c>
      <c r="B129" s="690" t="s">
        <v>441</v>
      </c>
      <c r="C129" s="690" t="s">
        <v>4856</v>
      </c>
      <c r="D129" s="690" t="s">
        <v>4879</v>
      </c>
      <c r="E129" s="692">
        <v>130</v>
      </c>
      <c r="F129" s="692">
        <v>0</v>
      </c>
      <c r="G129" s="693">
        <f t="shared" si="4"/>
        <v>130</v>
      </c>
      <c r="H129" s="797" t="str">
        <f>VLOOKUP(D129,'ELETRICA - PREÇO'!$C$7:$E$155,2)</f>
        <v>m</v>
      </c>
      <c r="I129" s="695">
        <v>12.7113</v>
      </c>
      <c r="J129" s="765">
        <f t="shared" si="0"/>
        <v>1652.4690000000001</v>
      </c>
    </row>
    <row r="130" spans="1:10" x14ac:dyDescent="0.25">
      <c r="A130" s="690" t="str">
        <f t="shared" si="3"/>
        <v>GERAL</v>
      </c>
      <c r="B130" s="690" t="s">
        <v>441</v>
      </c>
      <c r="C130" s="690" t="s">
        <v>4856</v>
      </c>
      <c r="D130" s="690" t="s">
        <v>4880</v>
      </c>
      <c r="E130" s="692">
        <v>180</v>
      </c>
      <c r="F130" s="692">
        <v>0</v>
      </c>
      <c r="G130" s="693">
        <f t="shared" si="4"/>
        <v>180</v>
      </c>
      <c r="H130" s="797" t="str">
        <f>VLOOKUP(D130,'ELETRICA - PREÇO'!$C$7:$E$155,2)</f>
        <v>m</v>
      </c>
      <c r="I130" s="695">
        <v>12.7113</v>
      </c>
      <c r="J130" s="765">
        <f t="shared" si="0"/>
        <v>2288.0340000000001</v>
      </c>
    </row>
    <row r="131" spans="1:10" x14ac:dyDescent="0.25">
      <c r="A131" s="690" t="str">
        <f t="shared" si="3"/>
        <v>GERAL</v>
      </c>
      <c r="B131" s="690" t="s">
        <v>441</v>
      </c>
      <c r="C131" s="690" t="s">
        <v>4856</v>
      </c>
      <c r="D131" s="690" t="s">
        <v>4881</v>
      </c>
      <c r="E131" s="692">
        <v>220</v>
      </c>
      <c r="F131" s="692">
        <v>0</v>
      </c>
      <c r="G131" s="693">
        <f t="shared" si="4"/>
        <v>220</v>
      </c>
      <c r="H131" s="797" t="str">
        <f>VLOOKUP(D131,'ELETRICA - PREÇO'!$C$7:$E$155,2)</f>
        <v>m</v>
      </c>
      <c r="I131" s="695">
        <v>12.7113</v>
      </c>
      <c r="J131" s="765">
        <f t="shared" si="0"/>
        <v>2796.4859999999999</v>
      </c>
    </row>
    <row r="132" spans="1:10" x14ac:dyDescent="0.25">
      <c r="A132" s="690" t="str">
        <f t="shared" si="3"/>
        <v>GERAL</v>
      </c>
      <c r="B132" s="690" t="s">
        <v>441</v>
      </c>
      <c r="C132" s="690" t="s">
        <v>4856</v>
      </c>
      <c r="D132" s="690" t="s">
        <v>4882</v>
      </c>
      <c r="E132" s="692">
        <v>12</v>
      </c>
      <c r="F132" s="692">
        <v>0</v>
      </c>
      <c r="G132" s="693">
        <f t="shared" si="4"/>
        <v>12</v>
      </c>
      <c r="H132" s="797" t="str">
        <f>VLOOKUP(D132,'ELETRICA - PREÇO'!$C$7:$E$155,2)</f>
        <v>m</v>
      </c>
      <c r="I132" s="695">
        <v>20.3474</v>
      </c>
      <c r="J132" s="765">
        <f t="shared" si="0"/>
        <v>244.1688</v>
      </c>
    </row>
    <row r="133" spans="1:10" x14ac:dyDescent="0.25">
      <c r="A133" s="690" t="str">
        <f t="shared" si="3"/>
        <v>GERAL</v>
      </c>
      <c r="B133" s="690" t="s">
        <v>441</v>
      </c>
      <c r="C133" s="690" t="s">
        <v>4856</v>
      </c>
      <c r="D133" s="690" t="s">
        <v>4883</v>
      </c>
      <c r="E133" s="692">
        <v>12</v>
      </c>
      <c r="F133" s="692">
        <v>0</v>
      </c>
      <c r="G133" s="693">
        <f t="shared" si="4"/>
        <v>12</v>
      </c>
      <c r="H133" s="797" t="str">
        <f>VLOOKUP(D133,'ELETRICA - PREÇO'!$C$7:$E$155,2)</f>
        <v>m</v>
      </c>
      <c r="I133" s="695">
        <v>20.3474</v>
      </c>
      <c r="J133" s="765">
        <f t="shared" si="0"/>
        <v>244.1688</v>
      </c>
    </row>
    <row r="134" spans="1:10" x14ac:dyDescent="0.25">
      <c r="A134" s="690" t="str">
        <f t="shared" si="3"/>
        <v>GERAL</v>
      </c>
      <c r="B134" s="690" t="s">
        <v>441</v>
      </c>
      <c r="C134" s="690" t="s">
        <v>4856</v>
      </c>
      <c r="D134" s="690" t="s">
        <v>4884</v>
      </c>
      <c r="E134" s="692">
        <v>12</v>
      </c>
      <c r="F134" s="692">
        <v>0</v>
      </c>
      <c r="G134" s="693">
        <f t="shared" si="4"/>
        <v>12</v>
      </c>
      <c r="H134" s="797" t="str">
        <f>VLOOKUP(D134,'ELETRICA - PREÇO'!$C$7:$E$155,2)</f>
        <v>m</v>
      </c>
      <c r="I134" s="695">
        <v>20.3474</v>
      </c>
      <c r="J134" s="765">
        <f t="shared" si="0"/>
        <v>244.1688</v>
      </c>
    </row>
    <row r="135" spans="1:10" x14ac:dyDescent="0.25">
      <c r="A135" s="690" t="str">
        <f t="shared" si="3"/>
        <v>GERAL</v>
      </c>
      <c r="B135" s="690" t="s">
        <v>441</v>
      </c>
      <c r="C135" s="690" t="s">
        <v>4856</v>
      </c>
      <c r="D135" s="690" t="s">
        <v>4885</v>
      </c>
      <c r="E135" s="692">
        <v>12</v>
      </c>
      <c r="F135" s="692">
        <v>0</v>
      </c>
      <c r="G135" s="693">
        <f t="shared" si="4"/>
        <v>12</v>
      </c>
      <c r="H135" s="797" t="str">
        <f>VLOOKUP(D135,'ELETRICA - PREÇO'!$C$7:$E$155,2)</f>
        <v>m</v>
      </c>
      <c r="I135" s="695">
        <v>20.3474</v>
      </c>
      <c r="J135" s="765">
        <f t="shared" si="0"/>
        <v>244.1688</v>
      </c>
    </row>
    <row r="136" spans="1:10" x14ac:dyDescent="0.25">
      <c r="A136" s="690" t="str">
        <f t="shared" si="3"/>
        <v>GERAL</v>
      </c>
      <c r="B136" s="690" t="s">
        <v>441</v>
      </c>
      <c r="C136" s="690" t="s">
        <v>4856</v>
      </c>
      <c r="D136" s="690" t="s">
        <v>4886</v>
      </c>
      <c r="E136" s="692">
        <v>19</v>
      </c>
      <c r="F136" s="692">
        <v>0</v>
      </c>
      <c r="G136" s="693">
        <f t="shared" si="4"/>
        <v>19</v>
      </c>
      <c r="H136" s="797" t="str">
        <f>VLOOKUP(D136,'ELETRICA - PREÇO'!$C$7:$E$155,2)</f>
        <v>m</v>
      </c>
      <c r="I136" s="695">
        <v>20.3474</v>
      </c>
      <c r="J136" s="765">
        <f t="shared" si="0"/>
        <v>386.60059999999999</v>
      </c>
    </row>
    <row r="137" spans="1:10" x14ac:dyDescent="0.25">
      <c r="A137" s="690" t="str">
        <f t="shared" si="3"/>
        <v>GERAL</v>
      </c>
      <c r="B137" s="690" t="s">
        <v>441</v>
      </c>
      <c r="C137" s="690" t="s">
        <v>4856</v>
      </c>
      <c r="D137" s="690" t="s">
        <v>4887</v>
      </c>
      <c r="E137" s="692">
        <v>8</v>
      </c>
      <c r="F137" s="692">
        <v>0</v>
      </c>
      <c r="G137" s="693">
        <f t="shared" si="4"/>
        <v>8</v>
      </c>
      <c r="H137" s="797" t="str">
        <f>VLOOKUP(D137,'ELETRICA - PREÇO'!$C$7:$E$155,2)</f>
        <v>m</v>
      </c>
      <c r="I137" s="695">
        <v>22.56</v>
      </c>
      <c r="J137" s="765">
        <f t="shared" si="0"/>
        <v>180.48</v>
      </c>
    </row>
    <row r="138" spans="1:10" x14ac:dyDescent="0.25">
      <c r="A138" s="690" t="str">
        <f t="shared" si="3"/>
        <v>GERAL</v>
      </c>
      <c r="B138" s="690" t="s">
        <v>441</v>
      </c>
      <c r="C138" s="690" t="s">
        <v>4856</v>
      </c>
      <c r="D138" s="690" t="s">
        <v>4888</v>
      </c>
      <c r="E138" s="692">
        <v>20</v>
      </c>
      <c r="F138" s="692">
        <v>0</v>
      </c>
      <c r="G138" s="693">
        <f t="shared" si="4"/>
        <v>20</v>
      </c>
      <c r="H138" s="797" t="str">
        <f>VLOOKUP(D138,'ELETRICA - PREÇO'!$C$7:$E$155,2)</f>
        <v>m</v>
      </c>
      <c r="I138" s="695">
        <v>31.64</v>
      </c>
      <c r="J138" s="765">
        <f t="shared" si="0"/>
        <v>632.79999999999995</v>
      </c>
    </row>
    <row r="139" spans="1:10" x14ac:dyDescent="0.25">
      <c r="A139" s="690" t="str">
        <f t="shared" si="3"/>
        <v>GERAL</v>
      </c>
      <c r="B139" s="690" t="s">
        <v>441</v>
      </c>
      <c r="C139" s="690" t="s">
        <v>4856</v>
      </c>
      <c r="D139" s="690" t="s">
        <v>4889</v>
      </c>
      <c r="E139" s="692">
        <v>20</v>
      </c>
      <c r="F139" s="692">
        <v>0</v>
      </c>
      <c r="G139" s="693">
        <f t="shared" si="4"/>
        <v>20</v>
      </c>
      <c r="H139" s="797" t="str">
        <f>VLOOKUP(D139,'ELETRICA - PREÇO'!$C$7:$E$155,2)</f>
        <v>m</v>
      </c>
      <c r="I139" s="695">
        <v>31.64</v>
      </c>
      <c r="J139" s="765">
        <f t="shared" si="0"/>
        <v>632.79999999999995</v>
      </c>
    </row>
    <row r="140" spans="1:10" x14ac:dyDescent="0.25">
      <c r="A140" s="690" t="str">
        <f t="shared" si="3"/>
        <v>GERAL</v>
      </c>
      <c r="B140" s="690" t="s">
        <v>441</v>
      </c>
      <c r="C140" s="690" t="s">
        <v>4856</v>
      </c>
      <c r="D140" s="690" t="s">
        <v>4890</v>
      </c>
      <c r="E140" s="692">
        <v>20</v>
      </c>
      <c r="F140" s="692">
        <v>0</v>
      </c>
      <c r="G140" s="693">
        <f t="shared" si="4"/>
        <v>20</v>
      </c>
      <c r="H140" s="797" t="str">
        <f>VLOOKUP(D140,'ELETRICA - PREÇO'!$C$7:$E$155,2)</f>
        <v>m</v>
      </c>
      <c r="I140" s="695">
        <v>31.64</v>
      </c>
      <c r="J140" s="765">
        <f t="shared" si="0"/>
        <v>632.79999999999995</v>
      </c>
    </row>
    <row r="141" spans="1:10" x14ac:dyDescent="0.25">
      <c r="A141" s="690" t="str">
        <f t="shared" si="3"/>
        <v>GERAL</v>
      </c>
      <c r="B141" s="690" t="s">
        <v>441</v>
      </c>
      <c r="C141" s="690" t="s">
        <v>4856</v>
      </c>
      <c r="D141" s="690" t="s">
        <v>4891</v>
      </c>
      <c r="E141" s="692">
        <v>20</v>
      </c>
      <c r="F141" s="692">
        <v>0</v>
      </c>
      <c r="G141" s="693">
        <f t="shared" si="4"/>
        <v>20</v>
      </c>
      <c r="H141" s="797" t="str">
        <f>VLOOKUP(D141,'ELETRICA - PREÇO'!$C$7:$E$155,2)</f>
        <v>m</v>
      </c>
      <c r="I141" s="695">
        <v>30.63</v>
      </c>
      <c r="J141" s="765">
        <f t="shared" si="0"/>
        <v>612.6</v>
      </c>
    </row>
    <row r="142" spans="1:10" x14ac:dyDescent="0.25">
      <c r="A142" s="690" t="str">
        <f t="shared" si="3"/>
        <v>GERAL</v>
      </c>
      <c r="B142" s="690" t="s">
        <v>441</v>
      </c>
      <c r="C142" s="690" t="s">
        <v>4856</v>
      </c>
      <c r="D142" s="690" t="s">
        <v>4892</v>
      </c>
      <c r="E142" s="692">
        <v>8</v>
      </c>
      <c r="F142" s="692">
        <v>0</v>
      </c>
      <c r="G142" s="693">
        <f t="shared" si="4"/>
        <v>8</v>
      </c>
      <c r="H142" s="797" t="str">
        <f>VLOOKUP(D142,'ELETRICA - PREÇO'!$C$7:$E$155,2)</f>
        <v>m</v>
      </c>
      <c r="I142" s="695">
        <v>28.403500000000001</v>
      </c>
      <c r="J142" s="765">
        <f t="shared" si="0"/>
        <v>227.22800000000001</v>
      </c>
    </row>
    <row r="143" spans="1:10" x14ac:dyDescent="0.25">
      <c r="A143" s="690" t="str">
        <f t="shared" si="3"/>
        <v>GERAL</v>
      </c>
      <c r="B143" s="690" t="s">
        <v>441</v>
      </c>
      <c r="C143" s="690" t="s">
        <v>4856</v>
      </c>
      <c r="D143" s="690" t="s">
        <v>4893</v>
      </c>
      <c r="E143" s="692">
        <v>8</v>
      </c>
      <c r="F143" s="692">
        <v>0</v>
      </c>
      <c r="G143" s="693">
        <f t="shared" si="4"/>
        <v>8</v>
      </c>
      <c r="H143" s="797" t="str">
        <f>VLOOKUP(D143,'ELETRICA - PREÇO'!$C$7:$E$155,2)</f>
        <v>m</v>
      </c>
      <c r="I143" s="695">
        <v>28.403500000000001</v>
      </c>
      <c r="J143" s="765">
        <f t="shared" si="0"/>
        <v>227.22800000000001</v>
      </c>
    </row>
    <row r="144" spans="1:10" x14ac:dyDescent="0.25">
      <c r="A144" s="690" t="str">
        <f t="shared" si="3"/>
        <v>GERAL</v>
      </c>
      <c r="B144" s="690" t="s">
        <v>441</v>
      </c>
      <c r="C144" s="690" t="s">
        <v>4856</v>
      </c>
      <c r="D144" s="690" t="s">
        <v>4894</v>
      </c>
      <c r="E144" s="692">
        <v>8</v>
      </c>
      <c r="F144" s="692">
        <v>0</v>
      </c>
      <c r="G144" s="693">
        <f t="shared" si="4"/>
        <v>8</v>
      </c>
      <c r="H144" s="797" t="str">
        <f>VLOOKUP(D144,'ELETRICA - PREÇO'!$C$7:$E$155,2)</f>
        <v>m</v>
      </c>
      <c r="I144" s="695">
        <v>28.403500000000001</v>
      </c>
      <c r="J144" s="765">
        <f t="shared" si="0"/>
        <v>227.22800000000001</v>
      </c>
    </row>
    <row r="145" spans="1:10" x14ac:dyDescent="0.25">
      <c r="A145" s="690" t="str">
        <f t="shared" si="3"/>
        <v>GERAL</v>
      </c>
      <c r="B145" s="690" t="s">
        <v>441</v>
      </c>
      <c r="C145" s="690" t="s">
        <v>4856</v>
      </c>
      <c r="D145" s="690" t="s">
        <v>4895</v>
      </c>
      <c r="E145" s="692">
        <v>8</v>
      </c>
      <c r="F145" s="692">
        <v>0</v>
      </c>
      <c r="G145" s="693">
        <f t="shared" si="4"/>
        <v>8</v>
      </c>
      <c r="H145" s="797" t="str">
        <f>VLOOKUP(D145,'ELETRICA - PREÇO'!$C$7:$E$155,2)</f>
        <v>m</v>
      </c>
      <c r="I145" s="695">
        <v>28.403500000000001</v>
      </c>
      <c r="J145" s="765">
        <f t="shared" si="0"/>
        <v>227.22800000000001</v>
      </c>
    </row>
    <row r="146" spans="1:10" x14ac:dyDescent="0.25">
      <c r="A146" s="690" t="str">
        <f t="shared" si="3"/>
        <v>GERAL</v>
      </c>
      <c r="B146" s="690" t="s">
        <v>441</v>
      </c>
      <c r="C146" s="690" t="s">
        <v>4856</v>
      </c>
      <c r="D146" s="690" t="s">
        <v>4896</v>
      </c>
      <c r="E146" s="692">
        <v>13</v>
      </c>
      <c r="F146" s="692">
        <v>0</v>
      </c>
      <c r="G146" s="693">
        <f t="shared" si="4"/>
        <v>13</v>
      </c>
      <c r="H146" s="797" t="str">
        <f>VLOOKUP(D146,'ELETRICA - PREÇO'!$C$7:$E$155,2)</f>
        <v>m</v>
      </c>
      <c r="I146" s="695">
        <v>40.164099999999998</v>
      </c>
      <c r="J146" s="765">
        <f t="shared" si="0"/>
        <v>522.13329999999996</v>
      </c>
    </row>
    <row r="147" spans="1:10" x14ac:dyDescent="0.25">
      <c r="A147" s="690" t="str">
        <f t="shared" si="3"/>
        <v>GERAL</v>
      </c>
      <c r="B147" s="690" t="s">
        <v>441</v>
      </c>
      <c r="C147" s="690" t="s">
        <v>4856</v>
      </c>
      <c r="D147" s="690" t="s">
        <v>4897</v>
      </c>
      <c r="E147" s="692">
        <v>52</v>
      </c>
      <c r="F147" s="692">
        <v>0</v>
      </c>
      <c r="G147" s="693">
        <f t="shared" si="4"/>
        <v>52</v>
      </c>
      <c r="H147" s="797" t="str">
        <f>VLOOKUP(D147,'ELETRICA - PREÇO'!$C$7:$E$155,2)</f>
        <v>m</v>
      </c>
      <c r="I147" s="695">
        <v>80.5809</v>
      </c>
      <c r="J147" s="765">
        <f t="shared" si="0"/>
        <v>4190.2067999999999</v>
      </c>
    </row>
    <row r="148" spans="1:10" x14ac:dyDescent="0.25">
      <c r="A148" s="690" t="str">
        <f t="shared" si="3"/>
        <v>GERAL</v>
      </c>
      <c r="B148" s="690" t="s">
        <v>441</v>
      </c>
      <c r="C148" s="690" t="s">
        <v>4856</v>
      </c>
      <c r="D148" s="690" t="s">
        <v>4898</v>
      </c>
      <c r="E148" s="692">
        <v>52</v>
      </c>
      <c r="F148" s="692">
        <v>0</v>
      </c>
      <c r="G148" s="693">
        <f t="shared" si="4"/>
        <v>52</v>
      </c>
      <c r="H148" s="797" t="str">
        <f>VLOOKUP(D148,'ELETRICA - PREÇO'!$C$7:$E$155,2)</f>
        <v>m</v>
      </c>
      <c r="I148" s="695">
        <v>80.5809</v>
      </c>
      <c r="J148" s="765">
        <f t="shared" si="0"/>
        <v>4190.2067999999999</v>
      </c>
    </row>
    <row r="149" spans="1:10" x14ac:dyDescent="0.25">
      <c r="A149" s="690" t="str">
        <f t="shared" si="3"/>
        <v>GERAL</v>
      </c>
      <c r="B149" s="690" t="s">
        <v>441</v>
      </c>
      <c r="C149" s="690" t="s">
        <v>4856</v>
      </c>
      <c r="D149" s="690" t="s">
        <v>4899</v>
      </c>
      <c r="E149" s="692">
        <v>52</v>
      </c>
      <c r="F149" s="692">
        <v>0</v>
      </c>
      <c r="G149" s="693">
        <f t="shared" si="4"/>
        <v>52</v>
      </c>
      <c r="H149" s="797" t="str">
        <f>VLOOKUP(D149,'ELETRICA - PREÇO'!$C$7:$E$155,2)</f>
        <v>m</v>
      </c>
      <c r="I149" s="695">
        <v>80.5809</v>
      </c>
      <c r="J149" s="765">
        <f t="shared" si="0"/>
        <v>4190.2067999999999</v>
      </c>
    </row>
    <row r="150" spans="1:10" x14ac:dyDescent="0.25">
      <c r="A150" s="690" t="str">
        <f t="shared" si="3"/>
        <v>GERAL</v>
      </c>
      <c r="B150" s="690" t="s">
        <v>441</v>
      </c>
      <c r="C150" s="690" t="s">
        <v>4856</v>
      </c>
      <c r="D150" s="690" t="s">
        <v>4900</v>
      </c>
      <c r="E150" s="692">
        <v>52</v>
      </c>
      <c r="F150" s="692">
        <v>0</v>
      </c>
      <c r="G150" s="693">
        <f t="shared" si="4"/>
        <v>52</v>
      </c>
      <c r="H150" s="797" t="str">
        <f>VLOOKUP(D150,'ELETRICA - PREÇO'!$C$7:$E$155,2)</f>
        <v>m</v>
      </c>
      <c r="I150" s="695">
        <v>80.5809</v>
      </c>
      <c r="J150" s="765">
        <f t="shared" si="0"/>
        <v>4190.2067999999999</v>
      </c>
    </row>
    <row r="151" spans="1:10" x14ac:dyDescent="0.25">
      <c r="A151" s="690" t="str">
        <f t="shared" si="3"/>
        <v>GERAL</v>
      </c>
      <c r="B151" s="690" t="s">
        <v>441</v>
      </c>
      <c r="C151" s="690" t="s">
        <v>4856</v>
      </c>
      <c r="D151" s="690" t="s">
        <v>4901</v>
      </c>
      <c r="E151" s="692">
        <v>18</v>
      </c>
      <c r="F151" s="692">
        <v>0</v>
      </c>
      <c r="G151" s="693">
        <f t="shared" si="4"/>
        <v>18</v>
      </c>
      <c r="H151" s="797" t="str">
        <f>VLOOKUP(D151,'ELETRICA - PREÇO'!$C$7:$E$155,2)</f>
        <v>m</v>
      </c>
      <c r="I151" s="695">
        <v>80.5809</v>
      </c>
      <c r="J151" s="765">
        <f t="shared" si="0"/>
        <v>1450.4562000000001</v>
      </c>
    </row>
    <row r="152" spans="1:10" x14ac:dyDescent="0.25">
      <c r="A152" s="690" t="str">
        <f t="shared" si="3"/>
        <v>GERAL</v>
      </c>
      <c r="B152" s="690" t="s">
        <v>441</v>
      </c>
      <c r="C152" s="690" t="s">
        <v>4856</v>
      </c>
      <c r="D152" s="690" t="s">
        <v>4902</v>
      </c>
      <c r="E152" s="692">
        <v>112</v>
      </c>
      <c r="F152" s="692">
        <v>0</v>
      </c>
      <c r="G152" s="693">
        <f t="shared" si="4"/>
        <v>112</v>
      </c>
      <c r="H152" s="797" t="str">
        <f>VLOOKUP(D152,'ELETRICA - PREÇO'!$C$7:$E$155,2)</f>
        <v>m</v>
      </c>
      <c r="I152" s="695">
        <v>161.0976</v>
      </c>
      <c r="J152" s="765">
        <f t="shared" si="0"/>
        <v>18042.931199999999</v>
      </c>
    </row>
    <row r="153" spans="1:10" x14ac:dyDescent="0.25">
      <c r="A153" s="690" t="str">
        <f t="shared" si="3"/>
        <v>GERAL</v>
      </c>
      <c r="B153" s="690" t="s">
        <v>441</v>
      </c>
      <c r="C153" s="690" t="s">
        <v>4856</v>
      </c>
      <c r="D153" s="690" t="s">
        <v>4903</v>
      </c>
      <c r="E153" s="692">
        <v>112</v>
      </c>
      <c r="F153" s="692">
        <v>0</v>
      </c>
      <c r="G153" s="693">
        <f t="shared" si="4"/>
        <v>112</v>
      </c>
      <c r="H153" s="797" t="str">
        <f>VLOOKUP(D153,'ELETRICA - PREÇO'!$C$7:$E$155,2)</f>
        <v>m</v>
      </c>
      <c r="I153" s="695">
        <v>161.0976</v>
      </c>
      <c r="J153" s="765">
        <f t="shared" si="0"/>
        <v>18042.931199999999</v>
      </c>
    </row>
    <row r="154" spans="1:10" x14ac:dyDescent="0.25">
      <c r="A154" s="690" t="str">
        <f t="shared" si="3"/>
        <v>GERAL</v>
      </c>
      <c r="B154" s="690" t="s">
        <v>441</v>
      </c>
      <c r="C154" s="690" t="s">
        <v>4856</v>
      </c>
      <c r="D154" s="690" t="s">
        <v>4904</v>
      </c>
      <c r="E154" s="692">
        <v>112</v>
      </c>
      <c r="F154" s="692">
        <v>0</v>
      </c>
      <c r="G154" s="693">
        <f t="shared" si="4"/>
        <v>112</v>
      </c>
      <c r="H154" s="797" t="str">
        <f>VLOOKUP(D154,'ELETRICA - PREÇO'!$C$7:$E$155,2)</f>
        <v>m</v>
      </c>
      <c r="I154" s="695">
        <v>161.0976</v>
      </c>
      <c r="J154" s="765">
        <f t="shared" si="0"/>
        <v>18042.931199999999</v>
      </c>
    </row>
    <row r="155" spans="1:10" x14ac:dyDescent="0.25">
      <c r="A155" s="690" t="str">
        <f t="shared" si="3"/>
        <v>GERAL</v>
      </c>
      <c r="B155" s="690" t="s">
        <v>441</v>
      </c>
      <c r="C155" s="690" t="s">
        <v>4856</v>
      </c>
      <c r="D155" s="690" t="s">
        <v>4905</v>
      </c>
      <c r="E155" s="692">
        <v>112</v>
      </c>
      <c r="F155" s="692">
        <v>0</v>
      </c>
      <c r="G155" s="693">
        <f t="shared" si="4"/>
        <v>112</v>
      </c>
      <c r="H155" s="797" t="str">
        <f>VLOOKUP(D155,'ELETRICA - PREÇO'!$C$7:$E$155,2)</f>
        <v>m</v>
      </c>
      <c r="I155" s="695">
        <v>161.0976</v>
      </c>
      <c r="J155" s="765">
        <f t="shared" si="0"/>
        <v>18042.931199999999</v>
      </c>
    </row>
    <row r="156" spans="1:10" x14ac:dyDescent="0.25">
      <c r="A156" s="690" t="str">
        <f t="shared" si="3"/>
        <v>GERAL</v>
      </c>
      <c r="B156" s="690" t="s">
        <v>438</v>
      </c>
      <c r="C156" s="690" t="s">
        <v>438</v>
      </c>
      <c r="D156" s="690" t="s">
        <v>4906</v>
      </c>
      <c r="E156" s="692">
        <v>8</v>
      </c>
      <c r="F156" s="692">
        <v>0</v>
      </c>
      <c r="G156" s="693">
        <f t="shared" si="4"/>
        <v>8</v>
      </c>
      <c r="H156" s="797" t="str">
        <f>VLOOKUP(D156,'ELETRICA - PREÇO'!$C$7:$E$155,2)</f>
        <v>pç</v>
      </c>
      <c r="I156" s="813">
        <v>608.71</v>
      </c>
      <c r="J156" s="765">
        <f t="shared" si="0"/>
        <v>4869.68</v>
      </c>
    </row>
    <row r="157" spans="1:10" x14ac:dyDescent="0.25">
      <c r="A157" s="699"/>
      <c r="B157" s="699"/>
      <c r="C157" s="699"/>
      <c r="D157" s="699"/>
      <c r="E157" s="699"/>
      <c r="F157" s="699"/>
      <c r="G157" s="699"/>
      <c r="H157" s="699"/>
      <c r="I157" s="700" t="s">
        <v>4437</v>
      </c>
      <c r="J157" s="701">
        <f>SUMPRODUCT(G6:G156,I6:I156)</f>
        <v>730512.69886667037</v>
      </c>
    </row>
  </sheetData>
  <mergeCells count="1">
    <mergeCell ref="A5:P5"/>
  </mergeCells>
  <dataValidations disablePrompts="1" count="1">
    <dataValidation type="list" allowBlank="1" showErrorMessage="1" sqref="B49:B97 B107:B155" xr:uid="{00000000-0002-0000-1900-000000000000}">
      <formula1>$L$7:$L$13</formula1>
    </dataValidation>
  </dataValidations>
  <pageMargins left="0.511811024" right="0.511811024" top="0.78740157499999996" bottom="0.78740157499999996" header="0" footer="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outlinePr summaryBelow="0" summaryRight="0"/>
  </sheetPr>
  <dimension ref="A1:G155"/>
  <sheetViews>
    <sheetView workbookViewId="0"/>
  </sheetViews>
  <sheetFormatPr defaultColWidth="12.5703125" defaultRowHeight="15" customHeight="1" x14ac:dyDescent="0.2"/>
  <cols>
    <col min="1" max="2" width="12.7109375" customWidth="1"/>
    <col min="3" max="3" width="139" customWidth="1"/>
    <col min="4" max="26" width="12.7109375" customWidth="1"/>
  </cols>
  <sheetData>
    <row r="1" spans="1:7" ht="15" customHeight="1" x14ac:dyDescent="0.2">
      <c r="A1" s="546"/>
      <c r="B1" s="543" t="s">
        <v>0</v>
      </c>
      <c r="C1" s="544" t="s">
        <v>1</v>
      </c>
      <c r="D1" s="339"/>
      <c r="E1" s="339"/>
      <c r="F1" s="339"/>
      <c r="G1" s="674"/>
    </row>
    <row r="2" spans="1:7" ht="15" customHeight="1" x14ac:dyDescent="0.2">
      <c r="A2" s="549"/>
      <c r="B2" s="543" t="s">
        <v>2</v>
      </c>
      <c r="C2" s="544" t="s">
        <v>3</v>
      </c>
      <c r="D2" s="581"/>
      <c r="E2" s="672"/>
      <c r="F2" s="672"/>
      <c r="G2" s="674"/>
    </row>
    <row r="3" spans="1:7" ht="15" customHeight="1" x14ac:dyDescent="0.2">
      <c r="A3" s="549"/>
      <c r="B3" s="543" t="s">
        <v>959</v>
      </c>
      <c r="C3" s="833" t="s">
        <v>4907</v>
      </c>
      <c r="D3" s="675"/>
      <c r="E3" s="675"/>
      <c r="F3" s="675"/>
      <c r="G3" s="674"/>
    </row>
    <row r="4" spans="1:7" ht="15" customHeight="1" x14ac:dyDescent="0.2">
      <c r="A4" s="583"/>
      <c r="B4" s="543" t="s">
        <v>4</v>
      </c>
      <c r="C4" s="544" t="s">
        <v>4908</v>
      </c>
      <c r="D4" s="339"/>
      <c r="E4" s="339"/>
      <c r="F4" s="339"/>
      <c r="G4" s="679"/>
    </row>
    <row r="5" spans="1:7" ht="15" customHeight="1" x14ac:dyDescent="0.25">
      <c r="A5" s="1152" t="s">
        <v>4909</v>
      </c>
      <c r="B5" s="1149"/>
      <c r="C5" s="1149"/>
      <c r="D5" s="1149"/>
      <c r="E5" s="1149"/>
      <c r="F5" s="1149"/>
      <c r="G5" s="1108"/>
    </row>
    <row r="6" spans="1:7" ht="15" customHeight="1" x14ac:dyDescent="0.55000000000000004">
      <c r="A6" s="334"/>
      <c r="B6" s="334"/>
      <c r="C6" s="702" t="s">
        <v>7</v>
      </c>
      <c r="D6" s="680" t="s">
        <v>8</v>
      </c>
      <c r="E6" s="703" t="s">
        <v>128</v>
      </c>
      <c r="F6" s="334"/>
      <c r="G6" s="334"/>
    </row>
    <row r="7" spans="1:7" ht="15" customHeight="1" x14ac:dyDescent="0.25">
      <c r="A7" s="334"/>
      <c r="B7" s="334"/>
      <c r="C7" s="704" t="s">
        <v>4843</v>
      </c>
      <c r="D7" s="834" t="s">
        <v>4375</v>
      </c>
      <c r="E7" s="797">
        <v>5.61</v>
      </c>
      <c r="F7" s="334"/>
      <c r="G7" s="334"/>
    </row>
    <row r="8" spans="1:7" ht="15" customHeight="1" x14ac:dyDescent="0.25">
      <c r="A8" s="334"/>
      <c r="B8" s="334"/>
      <c r="C8" s="704" t="s">
        <v>4844</v>
      </c>
      <c r="D8" s="834" t="s">
        <v>4375</v>
      </c>
      <c r="E8" s="797">
        <v>6.42</v>
      </c>
      <c r="F8" s="334"/>
      <c r="G8" s="334"/>
    </row>
    <row r="9" spans="1:7" ht="15" customHeight="1" x14ac:dyDescent="0.25">
      <c r="A9" s="334"/>
      <c r="B9" s="334"/>
      <c r="C9" s="704" t="s">
        <v>4398</v>
      </c>
      <c r="D9" s="834" t="s">
        <v>4375</v>
      </c>
      <c r="E9" s="797">
        <v>306</v>
      </c>
      <c r="F9" s="334"/>
      <c r="G9" s="334"/>
    </row>
    <row r="10" spans="1:7" ht="15" customHeight="1" x14ac:dyDescent="0.25">
      <c r="A10" s="334"/>
      <c r="B10" s="334"/>
      <c r="C10" s="704" t="s">
        <v>4905</v>
      </c>
      <c r="D10" s="794" t="s">
        <v>79</v>
      </c>
      <c r="E10" s="797">
        <v>161.0976</v>
      </c>
      <c r="F10" s="334"/>
      <c r="G10" s="334"/>
    </row>
    <row r="11" spans="1:7" ht="15" customHeight="1" x14ac:dyDescent="0.25">
      <c r="A11" s="334"/>
      <c r="B11" s="334"/>
      <c r="C11" s="704" t="s">
        <v>4904</v>
      </c>
      <c r="D11" s="794" t="s">
        <v>79</v>
      </c>
      <c r="E11" s="797">
        <v>161.0976</v>
      </c>
      <c r="F11" s="334"/>
      <c r="G11" s="334"/>
    </row>
    <row r="12" spans="1:7" ht="15" customHeight="1" x14ac:dyDescent="0.25">
      <c r="A12" s="334"/>
      <c r="B12" s="334"/>
      <c r="C12" s="704" t="s">
        <v>4902</v>
      </c>
      <c r="D12" s="794" t="s">
        <v>79</v>
      </c>
      <c r="E12" s="797">
        <v>161.0976</v>
      </c>
      <c r="F12" s="334"/>
      <c r="G12" s="334"/>
    </row>
    <row r="13" spans="1:7" ht="15" customHeight="1" x14ac:dyDescent="0.25">
      <c r="A13" s="334"/>
      <c r="B13" s="334"/>
      <c r="C13" s="704" t="s">
        <v>4903</v>
      </c>
      <c r="D13" s="794" t="s">
        <v>79</v>
      </c>
      <c r="E13" s="797">
        <v>161.0976</v>
      </c>
      <c r="F13" s="334"/>
      <c r="G13" s="334"/>
    </row>
    <row r="14" spans="1:7" ht="15" customHeight="1" x14ac:dyDescent="0.25">
      <c r="A14" s="334"/>
      <c r="B14" s="334"/>
      <c r="C14" s="704" t="s">
        <v>4887</v>
      </c>
      <c r="D14" s="794" t="s">
        <v>79</v>
      </c>
      <c r="E14" s="797">
        <v>22.56</v>
      </c>
      <c r="F14" s="334"/>
      <c r="G14" s="334"/>
    </row>
    <row r="15" spans="1:7" ht="15" customHeight="1" x14ac:dyDescent="0.25">
      <c r="A15" s="334"/>
      <c r="B15" s="334"/>
      <c r="C15" s="704" t="s">
        <v>4895</v>
      </c>
      <c r="D15" s="794" t="s">
        <v>79</v>
      </c>
      <c r="E15" s="797">
        <v>28.403500000000001</v>
      </c>
      <c r="F15" s="334"/>
      <c r="G15" s="334"/>
    </row>
    <row r="16" spans="1:7" ht="15" customHeight="1" x14ac:dyDescent="0.25">
      <c r="A16" s="334"/>
      <c r="B16" s="334"/>
      <c r="C16" s="704" t="s">
        <v>4894</v>
      </c>
      <c r="D16" s="794" t="s">
        <v>79</v>
      </c>
      <c r="E16" s="797">
        <v>28.403500000000001</v>
      </c>
      <c r="F16" s="334"/>
      <c r="G16" s="334"/>
    </row>
    <row r="17" spans="1:7" ht="15" customHeight="1" x14ac:dyDescent="0.25">
      <c r="A17" s="334"/>
      <c r="B17" s="334"/>
      <c r="C17" s="704" t="s">
        <v>4892</v>
      </c>
      <c r="D17" s="794" t="s">
        <v>79</v>
      </c>
      <c r="E17" s="797">
        <v>28.403500000000001</v>
      </c>
      <c r="F17" s="334"/>
      <c r="G17" s="334"/>
    </row>
    <row r="18" spans="1:7" x14ac:dyDescent="0.25">
      <c r="A18" s="334"/>
      <c r="B18" s="334"/>
      <c r="C18" s="704" t="s">
        <v>4893</v>
      </c>
      <c r="D18" s="794" t="s">
        <v>79</v>
      </c>
      <c r="E18" s="797">
        <v>28.403500000000001</v>
      </c>
      <c r="F18" s="334"/>
      <c r="G18" s="334"/>
    </row>
    <row r="19" spans="1:7" x14ac:dyDescent="0.25">
      <c r="A19" s="334"/>
      <c r="B19" s="334"/>
      <c r="C19" s="704" t="s">
        <v>4896</v>
      </c>
      <c r="D19" s="794" t="s">
        <v>79</v>
      </c>
      <c r="E19" s="797">
        <v>40.164099999999998</v>
      </c>
      <c r="F19" s="334"/>
      <c r="G19" s="334"/>
    </row>
    <row r="20" spans="1:7" x14ac:dyDescent="0.25">
      <c r="A20" s="334"/>
      <c r="B20" s="334"/>
      <c r="C20" s="704" t="s">
        <v>4900</v>
      </c>
      <c r="D20" s="794" t="s">
        <v>79</v>
      </c>
      <c r="E20" s="797">
        <v>80.5809</v>
      </c>
      <c r="F20" s="334"/>
      <c r="G20" s="334"/>
    </row>
    <row r="21" spans="1:7" x14ac:dyDescent="0.25">
      <c r="A21" s="334"/>
      <c r="B21" s="334"/>
      <c r="C21" s="704" t="s">
        <v>4899</v>
      </c>
      <c r="D21" s="794" t="s">
        <v>79</v>
      </c>
      <c r="E21" s="797">
        <v>80.5809</v>
      </c>
      <c r="F21" s="334"/>
      <c r="G21" s="334"/>
    </row>
    <row r="22" spans="1:7" x14ac:dyDescent="0.25">
      <c r="A22" s="334"/>
      <c r="B22" s="334"/>
      <c r="C22" s="704" t="s">
        <v>4897</v>
      </c>
      <c r="D22" s="794" t="s">
        <v>79</v>
      </c>
      <c r="E22" s="797">
        <v>80.5809</v>
      </c>
      <c r="F22" s="334"/>
      <c r="G22" s="334"/>
    </row>
    <row r="23" spans="1:7" x14ac:dyDescent="0.25">
      <c r="A23" s="334"/>
      <c r="B23" s="334"/>
      <c r="C23" s="704" t="s">
        <v>4901</v>
      </c>
      <c r="D23" s="794" t="s">
        <v>79</v>
      </c>
      <c r="E23" s="797">
        <v>80.5809</v>
      </c>
      <c r="F23" s="334"/>
      <c r="G23" s="334"/>
    </row>
    <row r="24" spans="1:7" x14ac:dyDescent="0.25">
      <c r="A24" s="334"/>
      <c r="B24" s="334"/>
      <c r="C24" s="704" t="s">
        <v>4898</v>
      </c>
      <c r="D24" s="794" t="s">
        <v>79</v>
      </c>
      <c r="E24" s="797">
        <v>80.5809</v>
      </c>
      <c r="F24" s="334"/>
      <c r="G24" s="334"/>
    </row>
    <row r="25" spans="1:7" x14ac:dyDescent="0.25">
      <c r="A25" s="334"/>
      <c r="B25" s="334"/>
      <c r="C25" s="704" t="s">
        <v>4875</v>
      </c>
      <c r="D25" s="794" t="s">
        <v>79</v>
      </c>
      <c r="E25" s="797">
        <v>8.5500000000000007</v>
      </c>
      <c r="F25" s="334"/>
      <c r="G25" s="334"/>
    </row>
    <row r="26" spans="1:7" x14ac:dyDescent="0.25">
      <c r="A26" s="334"/>
      <c r="B26" s="334"/>
      <c r="C26" s="704" t="s">
        <v>4874</v>
      </c>
      <c r="D26" s="794" t="s">
        <v>79</v>
      </c>
      <c r="E26" s="797">
        <v>8.5500000000000007</v>
      </c>
      <c r="F26" s="334"/>
      <c r="G26" s="334"/>
    </row>
    <row r="27" spans="1:7" x14ac:dyDescent="0.25">
      <c r="A27" s="334"/>
      <c r="B27" s="334"/>
      <c r="C27" s="704" t="s">
        <v>4872</v>
      </c>
      <c r="D27" s="794" t="s">
        <v>79</v>
      </c>
      <c r="E27" s="797">
        <v>8.5500000000000007</v>
      </c>
      <c r="F27" s="334"/>
      <c r="G27" s="334"/>
    </row>
    <row r="28" spans="1:7" x14ac:dyDescent="0.25">
      <c r="A28" s="334"/>
      <c r="B28" s="334"/>
      <c r="C28" s="704" t="s">
        <v>4876</v>
      </c>
      <c r="D28" s="794" t="s">
        <v>79</v>
      </c>
      <c r="E28" s="797">
        <v>8.5500000000000007</v>
      </c>
      <c r="F28" s="334"/>
      <c r="G28" s="334"/>
    </row>
    <row r="29" spans="1:7" x14ac:dyDescent="0.25">
      <c r="A29" s="334"/>
      <c r="B29" s="334"/>
      <c r="C29" s="704" t="s">
        <v>4873</v>
      </c>
      <c r="D29" s="794" t="s">
        <v>79</v>
      </c>
      <c r="E29" s="797">
        <v>8.5500000000000007</v>
      </c>
      <c r="F29" s="334"/>
      <c r="G29" s="334"/>
    </row>
    <row r="30" spans="1:7" x14ac:dyDescent="0.25">
      <c r="A30" s="334"/>
      <c r="B30" s="334"/>
      <c r="C30" s="704" t="s">
        <v>4880</v>
      </c>
      <c r="D30" s="794" t="s">
        <v>79</v>
      </c>
      <c r="E30" s="797">
        <v>12.7113</v>
      </c>
      <c r="F30" s="334"/>
      <c r="G30" s="334"/>
    </row>
    <row r="31" spans="1:7" x14ac:dyDescent="0.25">
      <c r="A31" s="334"/>
      <c r="B31" s="334"/>
      <c r="C31" s="704" t="s">
        <v>4879</v>
      </c>
      <c r="D31" s="794" t="s">
        <v>79</v>
      </c>
      <c r="E31" s="797">
        <v>12.7113</v>
      </c>
      <c r="F31" s="334"/>
      <c r="G31" s="334"/>
    </row>
    <row r="32" spans="1:7" x14ac:dyDescent="0.25">
      <c r="A32" s="334"/>
      <c r="B32" s="334"/>
      <c r="C32" s="704" t="s">
        <v>4877</v>
      </c>
      <c r="D32" s="794" t="s">
        <v>79</v>
      </c>
      <c r="E32" s="797">
        <v>12.7113</v>
      </c>
      <c r="F32" s="334"/>
      <c r="G32" s="334"/>
    </row>
    <row r="33" spans="1:7" x14ac:dyDescent="0.25">
      <c r="A33" s="334"/>
      <c r="B33" s="334"/>
      <c r="C33" s="704" t="s">
        <v>4881</v>
      </c>
      <c r="D33" s="794" t="s">
        <v>79</v>
      </c>
      <c r="E33" s="797">
        <v>12.7113</v>
      </c>
      <c r="F33" s="334"/>
      <c r="G33" s="334"/>
    </row>
    <row r="34" spans="1:7" x14ac:dyDescent="0.25">
      <c r="A34" s="334"/>
      <c r="B34" s="334"/>
      <c r="C34" s="704" t="s">
        <v>4878</v>
      </c>
      <c r="D34" s="794" t="s">
        <v>79</v>
      </c>
      <c r="E34" s="797">
        <v>12.7113</v>
      </c>
      <c r="F34" s="334"/>
      <c r="G34" s="334"/>
    </row>
    <row r="35" spans="1:7" x14ac:dyDescent="0.25">
      <c r="A35" s="334"/>
      <c r="B35" s="334"/>
      <c r="C35" s="704" t="s">
        <v>4885</v>
      </c>
      <c r="D35" s="794" t="s">
        <v>79</v>
      </c>
      <c r="E35" s="797">
        <v>20.3474</v>
      </c>
      <c r="F35" s="334"/>
      <c r="G35" s="334"/>
    </row>
    <row r="36" spans="1:7" x14ac:dyDescent="0.25">
      <c r="A36" s="334"/>
      <c r="B36" s="334"/>
      <c r="C36" s="704" t="s">
        <v>4884</v>
      </c>
      <c r="D36" s="794" t="s">
        <v>79</v>
      </c>
      <c r="E36" s="797">
        <v>20.3474</v>
      </c>
      <c r="F36" s="334"/>
      <c r="G36" s="334"/>
    </row>
    <row r="37" spans="1:7" x14ac:dyDescent="0.25">
      <c r="A37" s="334"/>
      <c r="B37" s="334"/>
      <c r="C37" s="704" t="s">
        <v>4882</v>
      </c>
      <c r="D37" s="794" t="s">
        <v>79</v>
      </c>
      <c r="E37" s="797">
        <v>20.3474</v>
      </c>
      <c r="F37" s="334"/>
      <c r="G37" s="334"/>
    </row>
    <row r="38" spans="1:7" x14ac:dyDescent="0.25">
      <c r="A38" s="334"/>
      <c r="B38" s="334"/>
      <c r="C38" s="704" t="s">
        <v>4886</v>
      </c>
      <c r="D38" s="794" t="s">
        <v>79</v>
      </c>
      <c r="E38" s="797">
        <v>20.3474</v>
      </c>
      <c r="F38" s="334"/>
      <c r="G38" s="334"/>
    </row>
    <row r="39" spans="1:7" x14ac:dyDescent="0.25">
      <c r="A39" s="334"/>
      <c r="B39" s="334"/>
      <c r="C39" s="704" t="s">
        <v>4883</v>
      </c>
      <c r="D39" s="794" t="s">
        <v>79</v>
      </c>
      <c r="E39" s="797">
        <v>20.3474</v>
      </c>
      <c r="F39" s="334"/>
      <c r="G39" s="334"/>
    </row>
    <row r="40" spans="1:7" x14ac:dyDescent="0.25">
      <c r="A40" s="334"/>
      <c r="B40" s="334"/>
      <c r="C40" s="704" t="s">
        <v>4891</v>
      </c>
      <c r="D40" s="794" t="s">
        <v>79</v>
      </c>
      <c r="E40" s="797">
        <v>30.63</v>
      </c>
      <c r="F40" s="334"/>
      <c r="G40" s="334"/>
    </row>
    <row r="41" spans="1:7" x14ac:dyDescent="0.25">
      <c r="A41" s="334"/>
      <c r="B41" s="334"/>
      <c r="C41" s="704" t="s">
        <v>4890</v>
      </c>
      <c r="D41" s="794" t="s">
        <v>79</v>
      </c>
      <c r="E41" s="797">
        <v>31.64</v>
      </c>
      <c r="F41" s="334"/>
      <c r="G41" s="334"/>
    </row>
    <row r="42" spans="1:7" x14ac:dyDescent="0.25">
      <c r="A42" s="334"/>
      <c r="B42" s="334"/>
      <c r="C42" s="704" t="s">
        <v>4888</v>
      </c>
      <c r="D42" s="794" t="s">
        <v>79</v>
      </c>
      <c r="E42" s="797">
        <v>31.64</v>
      </c>
      <c r="F42" s="334"/>
      <c r="G42" s="334"/>
    </row>
    <row r="43" spans="1:7" x14ac:dyDescent="0.25">
      <c r="A43" s="334"/>
      <c r="B43" s="334"/>
      <c r="C43" s="704" t="s">
        <v>4889</v>
      </c>
      <c r="D43" s="794" t="s">
        <v>79</v>
      </c>
      <c r="E43" s="797">
        <v>31.64</v>
      </c>
      <c r="F43" s="334"/>
      <c r="G43" s="334"/>
    </row>
    <row r="44" spans="1:7" x14ac:dyDescent="0.25">
      <c r="A44" s="334"/>
      <c r="B44" s="334"/>
      <c r="C44" s="704" t="s">
        <v>4861</v>
      </c>
      <c r="D44" s="794" t="s">
        <v>79</v>
      </c>
      <c r="E44" s="797">
        <v>1.6798</v>
      </c>
      <c r="F44" s="334"/>
      <c r="G44" s="334"/>
    </row>
    <row r="45" spans="1:7" x14ac:dyDescent="0.25">
      <c r="A45" s="334"/>
      <c r="B45" s="334"/>
      <c r="C45" s="704" t="s">
        <v>4860</v>
      </c>
      <c r="D45" s="794" t="s">
        <v>79</v>
      </c>
      <c r="E45" s="797">
        <v>1.6798</v>
      </c>
      <c r="F45" s="334"/>
      <c r="G45" s="334"/>
    </row>
    <row r="46" spans="1:7" x14ac:dyDescent="0.25">
      <c r="A46" s="334"/>
      <c r="B46" s="334"/>
      <c r="C46" s="704" t="s">
        <v>4859</v>
      </c>
      <c r="D46" s="794" t="s">
        <v>79</v>
      </c>
      <c r="E46" s="797">
        <v>1.6798</v>
      </c>
      <c r="F46" s="334"/>
      <c r="G46" s="334"/>
    </row>
    <row r="47" spans="1:7" x14ac:dyDescent="0.25">
      <c r="A47" s="334"/>
      <c r="B47" s="334"/>
      <c r="C47" s="704" t="s">
        <v>4857</v>
      </c>
      <c r="D47" s="794" t="s">
        <v>79</v>
      </c>
      <c r="E47" s="797">
        <v>1.6798</v>
      </c>
      <c r="F47" s="334"/>
      <c r="G47" s="334"/>
    </row>
    <row r="48" spans="1:7" x14ac:dyDescent="0.25">
      <c r="A48" s="334"/>
      <c r="B48" s="334"/>
      <c r="C48" s="704" t="s">
        <v>4862</v>
      </c>
      <c r="D48" s="794" t="s">
        <v>79</v>
      </c>
      <c r="E48" s="797">
        <v>1.6798</v>
      </c>
      <c r="F48" s="334"/>
      <c r="G48" s="334"/>
    </row>
    <row r="49" spans="1:7" x14ac:dyDescent="0.25">
      <c r="A49" s="334"/>
      <c r="B49" s="334"/>
      <c r="C49" s="704" t="s">
        <v>4858</v>
      </c>
      <c r="D49" s="794" t="s">
        <v>79</v>
      </c>
      <c r="E49" s="797">
        <v>1.6798</v>
      </c>
      <c r="F49" s="334"/>
      <c r="G49" s="334"/>
    </row>
    <row r="50" spans="1:7" x14ac:dyDescent="0.25">
      <c r="A50" s="334"/>
      <c r="B50" s="334"/>
      <c r="C50" s="704" t="s">
        <v>4866</v>
      </c>
      <c r="D50" s="794" t="s">
        <v>79</v>
      </c>
      <c r="E50" s="797">
        <v>2.8243</v>
      </c>
      <c r="F50" s="334"/>
      <c r="G50" s="334"/>
    </row>
    <row r="51" spans="1:7" x14ac:dyDescent="0.25">
      <c r="A51" s="334"/>
      <c r="B51" s="334"/>
      <c r="C51" s="704" t="s">
        <v>4865</v>
      </c>
      <c r="D51" s="794" t="s">
        <v>79</v>
      </c>
      <c r="E51" s="797">
        <v>2.8243</v>
      </c>
      <c r="F51" s="334"/>
      <c r="G51" s="334"/>
    </row>
    <row r="52" spans="1:7" x14ac:dyDescent="0.25">
      <c r="A52" s="334"/>
      <c r="B52" s="334"/>
      <c r="C52" s="704" t="s">
        <v>4863</v>
      </c>
      <c r="D52" s="794" t="s">
        <v>79</v>
      </c>
      <c r="E52" s="797">
        <v>2.8243</v>
      </c>
      <c r="F52" s="334"/>
      <c r="G52" s="334"/>
    </row>
    <row r="53" spans="1:7" x14ac:dyDescent="0.25">
      <c r="A53" s="334"/>
      <c r="B53" s="334"/>
      <c r="C53" s="704" t="s">
        <v>4867</v>
      </c>
      <c r="D53" s="794" t="s">
        <v>79</v>
      </c>
      <c r="E53" s="797">
        <v>2.8243</v>
      </c>
      <c r="F53" s="334"/>
      <c r="G53" s="334"/>
    </row>
    <row r="54" spans="1:7" x14ac:dyDescent="0.25">
      <c r="A54" s="334"/>
      <c r="B54" s="334"/>
      <c r="C54" s="704" t="s">
        <v>4864</v>
      </c>
      <c r="D54" s="794" t="s">
        <v>79</v>
      </c>
      <c r="E54" s="797">
        <v>2.8243</v>
      </c>
      <c r="F54" s="334"/>
      <c r="G54" s="334"/>
    </row>
    <row r="55" spans="1:7" x14ac:dyDescent="0.25">
      <c r="A55" s="334"/>
      <c r="B55" s="334"/>
      <c r="C55" s="704" t="s">
        <v>4870</v>
      </c>
      <c r="D55" s="794" t="s">
        <v>79</v>
      </c>
      <c r="E55" s="797">
        <v>4.1898999999999997</v>
      </c>
      <c r="F55" s="334"/>
      <c r="G55" s="334"/>
    </row>
    <row r="56" spans="1:7" x14ac:dyDescent="0.25">
      <c r="A56" s="334"/>
      <c r="B56" s="334"/>
      <c r="C56" s="704" t="s">
        <v>4868</v>
      </c>
      <c r="D56" s="794" t="s">
        <v>79</v>
      </c>
      <c r="E56" s="797">
        <v>4.1898999999999997</v>
      </c>
      <c r="F56" s="334"/>
      <c r="G56" s="334"/>
    </row>
    <row r="57" spans="1:7" x14ac:dyDescent="0.25">
      <c r="A57" s="334"/>
      <c r="B57" s="334"/>
      <c r="C57" s="704" t="s">
        <v>4871</v>
      </c>
      <c r="D57" s="794" t="s">
        <v>79</v>
      </c>
      <c r="E57" s="797">
        <v>4.1898999999999997</v>
      </c>
      <c r="F57" s="334"/>
      <c r="G57" s="334"/>
    </row>
    <row r="58" spans="1:7" x14ac:dyDescent="0.25">
      <c r="A58" s="334"/>
      <c r="B58" s="334"/>
      <c r="C58" s="704" t="s">
        <v>4869</v>
      </c>
      <c r="D58" s="794" t="s">
        <v>79</v>
      </c>
      <c r="E58" s="797">
        <v>4.1898999999999997</v>
      </c>
      <c r="F58" s="334"/>
      <c r="G58" s="334"/>
    </row>
    <row r="59" spans="1:7" x14ac:dyDescent="0.25">
      <c r="A59" s="334"/>
      <c r="B59" s="334"/>
      <c r="C59" s="704" t="s">
        <v>4832</v>
      </c>
      <c r="D59" s="794" t="s">
        <v>4375</v>
      </c>
      <c r="E59" s="797">
        <f>31.52+148.6</f>
        <v>180.12</v>
      </c>
      <c r="F59" s="334"/>
      <c r="G59" s="334"/>
    </row>
    <row r="60" spans="1:7" x14ac:dyDescent="0.25">
      <c r="A60" s="334"/>
      <c r="B60" s="334"/>
      <c r="C60" s="704" t="s">
        <v>4374</v>
      </c>
      <c r="D60" s="794" t="s">
        <v>4375</v>
      </c>
      <c r="E60" s="797">
        <v>1.54</v>
      </c>
      <c r="F60" s="334"/>
      <c r="G60" s="334"/>
    </row>
    <row r="61" spans="1:7" x14ac:dyDescent="0.25">
      <c r="A61" s="334"/>
      <c r="B61" s="334"/>
      <c r="C61" s="704" t="s">
        <v>4755</v>
      </c>
      <c r="D61" s="794" t="s">
        <v>4375</v>
      </c>
      <c r="E61" s="797">
        <v>2.4900000000000002</v>
      </c>
      <c r="F61" s="334"/>
      <c r="G61" s="334"/>
    </row>
    <row r="62" spans="1:7" x14ac:dyDescent="0.25">
      <c r="A62" s="334"/>
      <c r="B62" s="334"/>
      <c r="C62" s="704" t="s">
        <v>4760</v>
      </c>
      <c r="D62" s="794" t="s">
        <v>4375</v>
      </c>
      <c r="E62" s="797">
        <v>62.48</v>
      </c>
      <c r="F62" s="334"/>
      <c r="G62" s="334"/>
    </row>
    <row r="63" spans="1:7" x14ac:dyDescent="0.25">
      <c r="A63" s="334"/>
      <c r="B63" s="334"/>
      <c r="C63" s="704" t="s">
        <v>4759</v>
      </c>
      <c r="D63" s="794" t="s">
        <v>4375</v>
      </c>
      <c r="E63" s="797">
        <v>260.77</v>
      </c>
      <c r="F63" s="334"/>
      <c r="G63" s="334"/>
    </row>
    <row r="64" spans="1:7" x14ac:dyDescent="0.25">
      <c r="A64" s="334"/>
      <c r="B64" s="334"/>
      <c r="C64" s="704" t="s">
        <v>4758</v>
      </c>
      <c r="D64" s="794" t="s">
        <v>4375</v>
      </c>
      <c r="E64" s="835"/>
      <c r="F64" s="334"/>
      <c r="G64" s="334"/>
    </row>
    <row r="65" spans="1:7" x14ac:dyDescent="0.25">
      <c r="A65" s="334"/>
      <c r="B65" s="334"/>
      <c r="C65" s="704" t="s">
        <v>4906</v>
      </c>
      <c r="D65" s="794" t="s">
        <v>4375</v>
      </c>
      <c r="E65" s="797">
        <f>140.84+467.87</f>
        <v>608.71</v>
      </c>
      <c r="F65" s="334"/>
      <c r="G65" s="334"/>
    </row>
    <row r="66" spans="1:7" x14ac:dyDescent="0.25">
      <c r="A66" s="334"/>
      <c r="B66" s="334"/>
      <c r="C66" s="704" t="s">
        <v>4376</v>
      </c>
      <c r="D66" s="794" t="s">
        <v>4375</v>
      </c>
      <c r="E66" s="797">
        <v>20.041</v>
      </c>
      <c r="F66" s="334"/>
      <c r="G66" s="334"/>
    </row>
    <row r="67" spans="1:7" x14ac:dyDescent="0.25">
      <c r="A67" s="334"/>
      <c r="B67" s="334"/>
      <c r="C67" s="704" t="s">
        <v>4377</v>
      </c>
      <c r="D67" s="794" t="s">
        <v>4375</v>
      </c>
      <c r="E67" s="797">
        <v>27.283000000000001</v>
      </c>
      <c r="F67" s="334"/>
      <c r="G67" s="334"/>
    </row>
    <row r="68" spans="1:7" x14ac:dyDescent="0.25">
      <c r="A68" s="334"/>
      <c r="B68" s="334"/>
      <c r="C68" s="704" t="s">
        <v>4757</v>
      </c>
      <c r="D68" s="794" t="s">
        <v>4375</v>
      </c>
      <c r="E68" s="797">
        <v>4.7119999999999997</v>
      </c>
      <c r="F68" s="334"/>
      <c r="G68" s="334"/>
    </row>
    <row r="69" spans="1:7" x14ac:dyDescent="0.25">
      <c r="A69" s="334"/>
      <c r="B69" s="334"/>
      <c r="C69" s="704" t="s">
        <v>4399</v>
      </c>
      <c r="D69" s="794" t="s">
        <v>4375</v>
      </c>
      <c r="E69" s="797">
        <v>5</v>
      </c>
      <c r="F69" s="334"/>
      <c r="G69" s="334"/>
    </row>
    <row r="70" spans="1:7" x14ac:dyDescent="0.25">
      <c r="A70" s="334"/>
      <c r="B70" s="334"/>
      <c r="C70" s="704" t="s">
        <v>4379</v>
      </c>
      <c r="D70" s="794" t="s">
        <v>4375</v>
      </c>
      <c r="E70" s="797">
        <v>7.9989999999999997</v>
      </c>
      <c r="F70" s="334"/>
      <c r="G70" s="334"/>
    </row>
    <row r="71" spans="1:7" x14ac:dyDescent="0.25">
      <c r="A71" s="334"/>
      <c r="B71" s="334"/>
      <c r="C71" s="704" t="s">
        <v>4768</v>
      </c>
      <c r="D71" s="794" t="s">
        <v>4375</v>
      </c>
      <c r="E71" s="797">
        <v>11.99</v>
      </c>
      <c r="F71" s="334"/>
      <c r="G71" s="334"/>
    </row>
    <row r="72" spans="1:7" x14ac:dyDescent="0.25">
      <c r="A72" s="334"/>
      <c r="B72" s="334"/>
      <c r="C72" s="704" t="s">
        <v>4391</v>
      </c>
      <c r="D72" s="794" t="s">
        <v>4375</v>
      </c>
      <c r="E72" s="797">
        <v>1.41</v>
      </c>
      <c r="F72" s="334"/>
      <c r="G72" s="334"/>
    </row>
    <row r="73" spans="1:7" x14ac:dyDescent="0.25">
      <c r="A73" s="334"/>
      <c r="B73" s="334"/>
      <c r="C73" s="704" t="s">
        <v>4777</v>
      </c>
      <c r="D73" s="794" t="s">
        <v>4375</v>
      </c>
      <c r="E73" s="797">
        <f>6.97*4+4.04</f>
        <v>31.919999999999998</v>
      </c>
      <c r="F73" s="51" t="s">
        <v>4910</v>
      </c>
      <c r="G73" s="334"/>
    </row>
    <row r="74" spans="1:7" x14ac:dyDescent="0.25">
      <c r="A74" s="334"/>
      <c r="B74" s="334"/>
      <c r="C74" s="704" t="s">
        <v>4762</v>
      </c>
      <c r="D74" s="794" t="s">
        <v>4375</v>
      </c>
      <c r="E74" s="797">
        <v>34.4</v>
      </c>
      <c r="F74" s="334"/>
      <c r="G74" s="334"/>
    </row>
    <row r="75" spans="1:7" x14ac:dyDescent="0.25">
      <c r="A75" s="334"/>
      <c r="B75" s="334"/>
      <c r="C75" s="704" t="s">
        <v>4774</v>
      </c>
      <c r="D75" s="794" t="s">
        <v>4375</v>
      </c>
      <c r="E75" s="797">
        <v>26.560000000000002</v>
      </c>
      <c r="F75" s="51" t="s">
        <v>4911</v>
      </c>
      <c r="G75" s="334"/>
    </row>
    <row r="76" spans="1:7" x14ac:dyDescent="0.25">
      <c r="A76" s="334"/>
      <c r="B76" s="334"/>
      <c r="C76" s="704" t="s">
        <v>4775</v>
      </c>
      <c r="D76" s="794" t="s">
        <v>4375</v>
      </c>
      <c r="E76" s="797">
        <v>13.1</v>
      </c>
      <c r="F76" s="334"/>
      <c r="G76" s="334"/>
    </row>
    <row r="77" spans="1:7" x14ac:dyDescent="0.25">
      <c r="A77" s="334"/>
      <c r="B77" s="334"/>
      <c r="C77" s="704" t="s">
        <v>4776</v>
      </c>
      <c r="D77" s="794" t="s">
        <v>4375</v>
      </c>
      <c r="E77" s="797">
        <v>6.9</v>
      </c>
      <c r="F77" s="334"/>
      <c r="G77" s="334"/>
    </row>
    <row r="78" spans="1:7" x14ac:dyDescent="0.25">
      <c r="A78" s="334"/>
      <c r="B78" s="334"/>
      <c r="C78" s="704" t="s">
        <v>4763</v>
      </c>
      <c r="D78" s="794" t="s">
        <v>4375</v>
      </c>
      <c r="E78" s="797">
        <f>4.8+4.04</f>
        <v>8.84</v>
      </c>
      <c r="F78" s="51" t="s">
        <v>4912</v>
      </c>
      <c r="G78" s="334"/>
    </row>
    <row r="79" spans="1:7" x14ac:dyDescent="0.25">
      <c r="A79" s="334"/>
      <c r="B79" s="334"/>
      <c r="C79" s="704" t="s">
        <v>4802</v>
      </c>
      <c r="D79" s="794" t="s">
        <v>4375</v>
      </c>
      <c r="E79" s="797">
        <v>29.63</v>
      </c>
      <c r="F79" s="334"/>
      <c r="G79" s="334"/>
    </row>
    <row r="80" spans="1:7" x14ac:dyDescent="0.25">
      <c r="A80" s="334"/>
      <c r="B80" s="334"/>
      <c r="C80" s="704" t="s">
        <v>4803</v>
      </c>
      <c r="D80" s="794" t="s">
        <v>4375</v>
      </c>
      <c r="E80" s="797">
        <v>30.12</v>
      </c>
      <c r="F80" s="334"/>
      <c r="G80" s="334"/>
    </row>
    <row r="81" spans="1:7" x14ac:dyDescent="0.25">
      <c r="A81" s="334"/>
      <c r="B81" s="334"/>
      <c r="C81" s="704" t="s">
        <v>4786</v>
      </c>
      <c r="D81" s="794" t="s">
        <v>4375</v>
      </c>
      <c r="E81" s="797">
        <v>16.62</v>
      </c>
      <c r="F81" s="51" t="s">
        <v>4913</v>
      </c>
      <c r="G81" s="334"/>
    </row>
    <row r="82" spans="1:7" x14ac:dyDescent="0.25">
      <c r="A82" s="334"/>
      <c r="B82" s="334"/>
      <c r="C82" s="704" t="s">
        <v>4787</v>
      </c>
      <c r="D82" s="794" t="s">
        <v>4375</v>
      </c>
      <c r="E82" s="797">
        <v>14.45</v>
      </c>
      <c r="F82" s="51" t="s">
        <v>4914</v>
      </c>
      <c r="G82" s="334"/>
    </row>
    <row r="83" spans="1:7" x14ac:dyDescent="0.25">
      <c r="A83" s="334"/>
      <c r="B83" s="334"/>
      <c r="C83" s="704" t="s">
        <v>4791</v>
      </c>
      <c r="D83" s="794" t="s">
        <v>4375</v>
      </c>
      <c r="E83" s="797">
        <v>6.5</v>
      </c>
      <c r="F83" s="51" t="s">
        <v>4915</v>
      </c>
      <c r="G83" s="334"/>
    </row>
    <row r="84" spans="1:7" x14ac:dyDescent="0.25">
      <c r="A84" s="334"/>
      <c r="B84" s="334"/>
      <c r="C84" s="704" t="s">
        <v>4835</v>
      </c>
      <c r="D84" s="794" t="s">
        <v>4375</v>
      </c>
      <c r="E84" s="797">
        <v>16.07</v>
      </c>
      <c r="F84" s="51" t="s">
        <v>4916</v>
      </c>
      <c r="G84" s="334"/>
    </row>
    <row r="85" spans="1:7" x14ac:dyDescent="0.25">
      <c r="A85" s="334"/>
      <c r="B85" s="334"/>
      <c r="C85" s="704" t="s">
        <v>4836</v>
      </c>
      <c r="D85" s="794" t="s">
        <v>4375</v>
      </c>
      <c r="E85" s="797">
        <v>9.34</v>
      </c>
      <c r="F85" s="51" t="s">
        <v>4917</v>
      </c>
      <c r="G85" s="334"/>
    </row>
    <row r="86" spans="1:7" x14ac:dyDescent="0.25">
      <c r="A86" s="334"/>
      <c r="B86" s="334"/>
      <c r="C86" s="704" t="s">
        <v>4837</v>
      </c>
      <c r="D86" s="794" t="s">
        <v>4375</v>
      </c>
      <c r="E86" s="797">
        <v>10.16</v>
      </c>
      <c r="F86" s="51" t="s">
        <v>4918</v>
      </c>
      <c r="G86" s="334"/>
    </row>
    <row r="87" spans="1:7" x14ac:dyDescent="0.25">
      <c r="A87" s="334"/>
      <c r="B87" s="334"/>
      <c r="C87" s="704" t="s">
        <v>4838</v>
      </c>
      <c r="D87" s="794" t="s">
        <v>4375</v>
      </c>
      <c r="E87" s="797">
        <f>6.42+5.61+21.13</f>
        <v>33.159999999999997</v>
      </c>
      <c r="F87" s="51" t="s">
        <v>4919</v>
      </c>
      <c r="G87" s="334"/>
    </row>
    <row r="88" spans="1:7" x14ac:dyDescent="0.25">
      <c r="A88" s="334"/>
      <c r="B88" s="334"/>
      <c r="C88" s="704" t="s">
        <v>4839</v>
      </c>
      <c r="D88" s="794" t="s">
        <v>4375</v>
      </c>
      <c r="E88" s="797">
        <f>5.61+21.13</f>
        <v>26.74</v>
      </c>
      <c r="F88" s="51" t="s">
        <v>4920</v>
      </c>
      <c r="G88" s="334"/>
    </row>
    <row r="89" spans="1:7" x14ac:dyDescent="0.25">
      <c r="A89" s="334"/>
      <c r="B89" s="334"/>
      <c r="C89" s="704" t="s">
        <v>4788</v>
      </c>
      <c r="D89" s="794" t="s">
        <v>4375</v>
      </c>
      <c r="E89" s="797">
        <v>23.59</v>
      </c>
      <c r="F89" s="51" t="s">
        <v>4921</v>
      </c>
      <c r="G89" s="334"/>
    </row>
    <row r="90" spans="1:7" x14ac:dyDescent="0.25">
      <c r="A90" s="334"/>
      <c r="B90" s="334"/>
      <c r="C90" s="704" t="s">
        <v>4789</v>
      </c>
      <c r="D90" s="794" t="s">
        <v>4375</v>
      </c>
      <c r="E90" s="797">
        <v>19.25</v>
      </c>
      <c r="F90" s="51" t="s">
        <v>4922</v>
      </c>
      <c r="G90" s="334"/>
    </row>
    <row r="91" spans="1:7" x14ac:dyDescent="0.25">
      <c r="A91" s="334"/>
      <c r="B91" s="334"/>
      <c r="C91" s="704" t="s">
        <v>4840</v>
      </c>
      <c r="D91" s="794" t="s">
        <v>4375</v>
      </c>
      <c r="E91" s="797">
        <v>15.239999999999998</v>
      </c>
      <c r="F91" s="51" t="s">
        <v>4923</v>
      </c>
      <c r="G91" s="334"/>
    </row>
    <row r="92" spans="1:7" x14ac:dyDescent="0.25">
      <c r="A92" s="334"/>
      <c r="B92" s="334"/>
      <c r="C92" s="704" t="s">
        <v>4841</v>
      </c>
      <c r="D92" s="794" t="s">
        <v>4375</v>
      </c>
      <c r="E92" s="797">
        <f>5.61*2+21.13</f>
        <v>32.35</v>
      </c>
      <c r="F92" s="51" t="s">
        <v>4924</v>
      </c>
      <c r="G92" s="334"/>
    </row>
    <row r="93" spans="1:7" x14ac:dyDescent="0.25">
      <c r="A93" s="334"/>
      <c r="B93" s="334"/>
      <c r="C93" s="704" t="s">
        <v>4842</v>
      </c>
      <c r="D93" s="794" t="s">
        <v>4375</v>
      </c>
      <c r="E93" s="797">
        <v>20.839999999999996</v>
      </c>
      <c r="F93" s="51" t="s">
        <v>4925</v>
      </c>
      <c r="G93" s="334"/>
    </row>
    <row r="94" spans="1:7" x14ac:dyDescent="0.25">
      <c r="A94" s="334"/>
      <c r="B94" s="334"/>
      <c r="C94" s="704" t="s">
        <v>4778</v>
      </c>
      <c r="D94" s="794" t="s">
        <v>4375</v>
      </c>
      <c r="E94" s="797">
        <v>15.809999999999999</v>
      </c>
      <c r="F94" s="51" t="s">
        <v>4926</v>
      </c>
      <c r="G94" s="334"/>
    </row>
    <row r="95" spans="1:7" x14ac:dyDescent="0.25">
      <c r="A95" s="334"/>
      <c r="B95" s="334"/>
      <c r="C95" s="704" t="s">
        <v>4779</v>
      </c>
      <c r="D95" s="794" t="s">
        <v>4375</v>
      </c>
      <c r="E95" s="797">
        <v>22.779999999999998</v>
      </c>
      <c r="F95" s="51" t="s">
        <v>4927</v>
      </c>
      <c r="G95" s="334"/>
    </row>
    <row r="96" spans="1:7" x14ac:dyDescent="0.25">
      <c r="A96" s="334"/>
      <c r="B96" s="334"/>
      <c r="C96" s="704" t="s">
        <v>4780</v>
      </c>
      <c r="D96" s="794" t="s">
        <v>4375</v>
      </c>
      <c r="E96" s="797">
        <v>17.98</v>
      </c>
      <c r="F96" s="51" t="s">
        <v>4928</v>
      </c>
      <c r="G96" s="334"/>
    </row>
    <row r="97" spans="1:7" x14ac:dyDescent="0.25">
      <c r="A97" s="334"/>
      <c r="B97" s="334"/>
      <c r="C97" s="704" t="s">
        <v>4781</v>
      </c>
      <c r="D97" s="794" t="s">
        <v>4375</v>
      </c>
      <c r="E97" s="797">
        <v>20.61</v>
      </c>
      <c r="F97" s="51" t="s">
        <v>4929</v>
      </c>
      <c r="G97" s="334"/>
    </row>
    <row r="98" spans="1:7" x14ac:dyDescent="0.25">
      <c r="A98" s="334"/>
      <c r="B98" s="334"/>
      <c r="C98" s="704" t="s">
        <v>4782</v>
      </c>
      <c r="D98" s="794" t="s">
        <v>4375</v>
      </c>
      <c r="E98" s="797">
        <v>38.783999999999999</v>
      </c>
      <c r="F98" s="51" t="s">
        <v>4930</v>
      </c>
      <c r="G98" s="334"/>
    </row>
    <row r="99" spans="1:7" x14ac:dyDescent="0.25">
      <c r="A99" s="334"/>
      <c r="B99" s="334"/>
      <c r="C99" s="704" t="s">
        <v>4783</v>
      </c>
      <c r="D99" s="794" t="s">
        <v>4375</v>
      </c>
      <c r="E99" s="797">
        <v>24.95</v>
      </c>
      <c r="F99" s="51" t="s">
        <v>4931</v>
      </c>
      <c r="G99" s="334"/>
    </row>
    <row r="100" spans="1:7" x14ac:dyDescent="0.25">
      <c r="A100" s="334"/>
      <c r="B100" s="334"/>
      <c r="C100" s="704" t="s">
        <v>4784</v>
      </c>
      <c r="D100" s="794" t="s">
        <v>4375</v>
      </c>
      <c r="E100" s="797">
        <v>18.439999999999998</v>
      </c>
      <c r="F100" s="51" t="s">
        <v>4932</v>
      </c>
      <c r="G100" s="334"/>
    </row>
    <row r="101" spans="1:7" x14ac:dyDescent="0.25">
      <c r="A101" s="334"/>
      <c r="B101" s="334"/>
      <c r="C101" s="704" t="s">
        <v>4765</v>
      </c>
      <c r="D101" s="794" t="s">
        <v>4375</v>
      </c>
      <c r="E101" s="797">
        <v>14.8</v>
      </c>
      <c r="F101" s="334"/>
      <c r="G101" s="334"/>
    </row>
    <row r="102" spans="1:7" x14ac:dyDescent="0.25">
      <c r="A102" s="334"/>
      <c r="B102" s="334"/>
      <c r="C102" s="704" t="s">
        <v>4766</v>
      </c>
      <c r="D102" s="794" t="s">
        <v>4375</v>
      </c>
      <c r="E102" s="797">
        <v>11.47</v>
      </c>
      <c r="F102" s="334"/>
      <c r="G102" s="334"/>
    </row>
    <row r="103" spans="1:7" x14ac:dyDescent="0.25">
      <c r="A103" s="334"/>
      <c r="B103" s="334"/>
      <c r="C103" s="704" t="s">
        <v>4767</v>
      </c>
      <c r="D103" s="794" t="s">
        <v>4375</v>
      </c>
      <c r="E103" s="797">
        <v>9.3800000000000008</v>
      </c>
      <c r="F103" s="334"/>
      <c r="G103" s="334"/>
    </row>
    <row r="104" spans="1:7" x14ac:dyDescent="0.25">
      <c r="A104" s="334"/>
      <c r="B104" s="334"/>
      <c r="C104" s="704" t="s">
        <v>4821</v>
      </c>
      <c r="D104" s="794" t="s">
        <v>4375</v>
      </c>
      <c r="E104" s="797">
        <v>374.4</v>
      </c>
      <c r="F104" s="334"/>
      <c r="G104" s="334"/>
    </row>
    <row r="105" spans="1:7" x14ac:dyDescent="0.25">
      <c r="A105" s="334"/>
      <c r="B105" s="334"/>
      <c r="C105" s="704" t="s">
        <v>4822</v>
      </c>
      <c r="D105" s="794" t="s">
        <v>4375</v>
      </c>
      <c r="E105" s="797">
        <v>410.76</v>
      </c>
      <c r="F105" s="334"/>
      <c r="G105" s="334"/>
    </row>
    <row r="106" spans="1:7" x14ac:dyDescent="0.25">
      <c r="A106" s="334"/>
      <c r="B106" s="334"/>
      <c r="C106" s="704" t="s">
        <v>4823</v>
      </c>
      <c r="D106" s="794" t="s">
        <v>4375</v>
      </c>
      <c r="E106" s="797">
        <v>415.34</v>
      </c>
      <c r="F106" s="334"/>
      <c r="G106" s="334"/>
    </row>
    <row r="107" spans="1:7" x14ac:dyDescent="0.25">
      <c r="A107" s="334"/>
      <c r="B107" s="334"/>
      <c r="C107" s="704" t="s">
        <v>4824</v>
      </c>
      <c r="D107" s="794" t="s">
        <v>4375</v>
      </c>
      <c r="E107" s="797">
        <v>400.04</v>
      </c>
      <c r="F107" s="334"/>
      <c r="G107" s="334"/>
    </row>
    <row r="108" spans="1:7" x14ac:dyDescent="0.25">
      <c r="A108" s="334"/>
      <c r="B108" s="334"/>
      <c r="C108" s="704" t="s">
        <v>4825</v>
      </c>
      <c r="D108" s="794" t="s">
        <v>4375</v>
      </c>
      <c r="E108" s="797">
        <v>2429.92</v>
      </c>
      <c r="F108" s="334"/>
      <c r="G108" s="334"/>
    </row>
    <row r="109" spans="1:7" x14ac:dyDescent="0.25">
      <c r="A109" s="334"/>
      <c r="B109" s="334"/>
      <c r="C109" s="704" t="s">
        <v>4820</v>
      </c>
      <c r="D109" s="794" t="s">
        <v>4375</v>
      </c>
      <c r="E109" s="797">
        <v>173.25</v>
      </c>
      <c r="F109" s="334"/>
      <c r="G109" s="334"/>
    </row>
    <row r="110" spans="1:7" x14ac:dyDescent="0.25">
      <c r="A110" s="334"/>
      <c r="B110" s="334"/>
      <c r="C110" s="704" t="s">
        <v>4830</v>
      </c>
      <c r="D110" s="794" t="s">
        <v>4375</v>
      </c>
      <c r="E110" s="797">
        <v>19.79</v>
      </c>
      <c r="F110" s="334"/>
      <c r="G110" s="334"/>
    </row>
    <row r="111" spans="1:7" x14ac:dyDescent="0.25">
      <c r="A111" s="334"/>
      <c r="B111" s="334"/>
      <c r="C111" s="704" t="s">
        <v>4829</v>
      </c>
      <c r="D111" s="794" t="s">
        <v>4375</v>
      </c>
      <c r="E111" s="797">
        <v>62.57</v>
      </c>
      <c r="F111" s="334"/>
      <c r="G111" s="334"/>
    </row>
    <row r="112" spans="1:7" x14ac:dyDescent="0.25">
      <c r="A112" s="334"/>
      <c r="B112" s="334"/>
      <c r="C112" s="704" t="s">
        <v>4846</v>
      </c>
      <c r="D112" s="794" t="s">
        <v>79</v>
      </c>
      <c r="E112" s="797">
        <v>27.24</v>
      </c>
      <c r="F112" s="334"/>
      <c r="G112" s="334"/>
    </row>
    <row r="113" spans="1:7" x14ac:dyDescent="0.25">
      <c r="A113" s="334"/>
      <c r="B113" s="334"/>
      <c r="C113" s="704" t="s">
        <v>4847</v>
      </c>
      <c r="D113" s="794" t="s">
        <v>79</v>
      </c>
      <c r="E113" s="797">
        <v>16.22</v>
      </c>
      <c r="F113" s="334"/>
      <c r="G113" s="334"/>
    </row>
    <row r="114" spans="1:7" x14ac:dyDescent="0.25">
      <c r="A114" s="334"/>
      <c r="B114" s="334"/>
      <c r="C114" s="704" t="s">
        <v>4851</v>
      </c>
      <c r="D114" s="794" t="s">
        <v>79</v>
      </c>
      <c r="E114" s="797">
        <v>3.28</v>
      </c>
      <c r="F114" s="334"/>
      <c r="G114" s="334"/>
    </row>
    <row r="115" spans="1:7" x14ac:dyDescent="0.25">
      <c r="A115" s="334"/>
      <c r="B115" s="334"/>
      <c r="C115" s="704" t="s">
        <v>4850</v>
      </c>
      <c r="D115" s="794" t="s">
        <v>79</v>
      </c>
      <c r="E115" s="797">
        <v>3.09</v>
      </c>
      <c r="F115" s="334"/>
      <c r="G115" s="334"/>
    </row>
    <row r="116" spans="1:7" x14ac:dyDescent="0.25">
      <c r="A116" s="334"/>
      <c r="B116" s="334"/>
      <c r="C116" s="704" t="s">
        <v>4849</v>
      </c>
      <c r="D116" s="794" t="s">
        <v>79</v>
      </c>
      <c r="E116" s="797">
        <v>5.31</v>
      </c>
      <c r="F116" s="334"/>
      <c r="G116" s="334"/>
    </row>
    <row r="117" spans="1:7" x14ac:dyDescent="0.25">
      <c r="A117" s="334"/>
      <c r="B117" s="334"/>
      <c r="C117" s="704" t="s">
        <v>4848</v>
      </c>
      <c r="D117" s="794" t="s">
        <v>79</v>
      </c>
      <c r="E117" s="797">
        <v>5.04</v>
      </c>
      <c r="F117" s="334"/>
      <c r="G117" s="334"/>
    </row>
    <row r="118" spans="1:7" x14ac:dyDescent="0.25">
      <c r="A118" s="334"/>
      <c r="B118" s="334"/>
      <c r="C118" s="704" t="s">
        <v>4853</v>
      </c>
      <c r="D118" s="794" t="s">
        <v>79</v>
      </c>
      <c r="E118" s="797">
        <v>9.3699999999999992</v>
      </c>
      <c r="F118" s="334"/>
      <c r="G118" s="334"/>
    </row>
    <row r="119" spans="1:7" x14ac:dyDescent="0.25">
      <c r="A119" s="334"/>
      <c r="B119" s="334"/>
      <c r="C119" s="704" t="s">
        <v>4852</v>
      </c>
      <c r="D119" s="794" t="s">
        <v>79</v>
      </c>
      <c r="E119" s="797">
        <v>2.2799999999999998</v>
      </c>
      <c r="F119" s="334"/>
      <c r="G119" s="334"/>
    </row>
    <row r="120" spans="1:7" x14ac:dyDescent="0.25">
      <c r="A120" s="334"/>
      <c r="B120" s="334"/>
      <c r="C120" s="704" t="s">
        <v>4833</v>
      </c>
      <c r="D120" s="794" t="s">
        <v>4375</v>
      </c>
      <c r="E120" s="797">
        <v>32.880000000000003</v>
      </c>
      <c r="F120" s="334"/>
      <c r="G120" s="334"/>
    </row>
    <row r="121" spans="1:7" x14ac:dyDescent="0.25">
      <c r="A121" s="334"/>
      <c r="B121" s="334"/>
      <c r="C121" s="704" t="s">
        <v>4826</v>
      </c>
      <c r="D121" s="794" t="s">
        <v>4375</v>
      </c>
      <c r="E121" s="797">
        <v>144.99</v>
      </c>
      <c r="F121" s="334"/>
      <c r="G121" s="334"/>
    </row>
    <row r="122" spans="1:7" x14ac:dyDescent="0.25">
      <c r="A122" s="334"/>
      <c r="B122" s="334"/>
      <c r="C122" s="704" t="s">
        <v>4827</v>
      </c>
      <c r="D122" s="794" t="s">
        <v>4375</v>
      </c>
      <c r="E122" s="797">
        <v>187.42</v>
      </c>
      <c r="F122" s="334"/>
      <c r="G122" s="334"/>
    </row>
    <row r="123" spans="1:7" x14ac:dyDescent="0.25">
      <c r="A123" s="334"/>
      <c r="B123" s="334"/>
      <c r="C123" s="704" t="s">
        <v>4828</v>
      </c>
      <c r="D123" s="794" t="s">
        <v>4375</v>
      </c>
      <c r="E123" s="797">
        <v>187.42</v>
      </c>
      <c r="F123" s="334"/>
      <c r="G123" s="334"/>
    </row>
    <row r="124" spans="1:7" x14ac:dyDescent="0.25">
      <c r="A124" s="334"/>
      <c r="B124" s="334"/>
      <c r="C124" s="704" t="s">
        <v>4811</v>
      </c>
      <c r="D124" s="794" t="s">
        <v>4375</v>
      </c>
      <c r="E124" s="797">
        <v>43.49</v>
      </c>
      <c r="F124" s="334"/>
      <c r="G124" s="334"/>
    </row>
    <row r="125" spans="1:7" x14ac:dyDescent="0.25">
      <c r="A125" s="334"/>
      <c r="B125" s="334"/>
      <c r="C125" s="704" t="s">
        <v>4812</v>
      </c>
      <c r="D125" s="794" t="s">
        <v>4375</v>
      </c>
      <c r="E125" s="797">
        <v>48.06</v>
      </c>
      <c r="F125" s="334"/>
      <c r="G125" s="334"/>
    </row>
    <row r="126" spans="1:7" x14ac:dyDescent="0.25">
      <c r="A126" s="334"/>
      <c r="B126" s="334"/>
      <c r="C126" s="704" t="s">
        <v>4813</v>
      </c>
      <c r="D126" s="794" t="s">
        <v>4375</v>
      </c>
      <c r="E126" s="797">
        <v>43.24</v>
      </c>
      <c r="F126" s="334"/>
      <c r="G126" s="334"/>
    </row>
    <row r="127" spans="1:7" x14ac:dyDescent="0.25">
      <c r="A127" s="334"/>
      <c r="B127" s="334"/>
      <c r="C127" s="704" t="s">
        <v>4805</v>
      </c>
      <c r="D127" s="794" t="s">
        <v>4375</v>
      </c>
      <c r="E127" s="797">
        <v>9.32</v>
      </c>
      <c r="F127" s="334"/>
      <c r="G127" s="334"/>
    </row>
    <row r="128" spans="1:7" x14ac:dyDescent="0.25">
      <c r="A128" s="334"/>
      <c r="B128" s="334"/>
      <c r="C128" s="704" t="s">
        <v>4806</v>
      </c>
      <c r="D128" s="794" t="s">
        <v>4375</v>
      </c>
      <c r="E128" s="797">
        <v>9.48</v>
      </c>
      <c r="F128" s="334"/>
      <c r="G128" s="334"/>
    </row>
    <row r="129" spans="1:7" x14ac:dyDescent="0.25">
      <c r="A129" s="334"/>
      <c r="B129" s="334"/>
      <c r="C129" s="704" t="s">
        <v>4807</v>
      </c>
      <c r="D129" s="794" t="s">
        <v>4375</v>
      </c>
      <c r="E129" s="797">
        <v>9.48</v>
      </c>
      <c r="F129" s="334"/>
      <c r="G129" s="334"/>
    </row>
    <row r="130" spans="1:7" x14ac:dyDescent="0.25">
      <c r="A130" s="334"/>
      <c r="B130" s="334"/>
      <c r="C130" s="704" t="s">
        <v>4808</v>
      </c>
      <c r="D130" s="794" t="s">
        <v>4375</v>
      </c>
      <c r="E130" s="797">
        <v>9.48</v>
      </c>
      <c r="F130" s="334"/>
      <c r="G130" s="334"/>
    </row>
    <row r="131" spans="1:7" x14ac:dyDescent="0.25">
      <c r="A131" s="334"/>
      <c r="B131" s="334"/>
      <c r="C131" s="704" t="s">
        <v>4809</v>
      </c>
      <c r="D131" s="794" t="s">
        <v>4375</v>
      </c>
      <c r="E131" s="797">
        <v>11.18</v>
      </c>
      <c r="F131" s="334"/>
      <c r="G131" s="334"/>
    </row>
    <row r="132" spans="1:7" x14ac:dyDescent="0.25">
      <c r="A132" s="334"/>
      <c r="B132" s="334"/>
      <c r="C132" s="704" t="s">
        <v>4810</v>
      </c>
      <c r="D132" s="794" t="s">
        <v>4375</v>
      </c>
      <c r="E132" s="797">
        <v>12.34</v>
      </c>
      <c r="F132" s="334"/>
      <c r="G132" s="334"/>
    </row>
    <row r="133" spans="1:7" x14ac:dyDescent="0.25">
      <c r="A133" s="334"/>
      <c r="B133" s="334"/>
      <c r="C133" s="704" t="s">
        <v>4814</v>
      </c>
      <c r="D133" s="794" t="s">
        <v>4375</v>
      </c>
      <c r="E133" s="797">
        <v>48.2</v>
      </c>
      <c r="F133" s="334"/>
      <c r="G133" s="334"/>
    </row>
    <row r="134" spans="1:7" x14ac:dyDescent="0.25">
      <c r="A134" s="334"/>
      <c r="B134" s="334"/>
      <c r="C134" s="704" t="s">
        <v>4815</v>
      </c>
      <c r="D134" s="794" t="s">
        <v>4375</v>
      </c>
      <c r="E134" s="797">
        <v>45.3</v>
      </c>
      <c r="F134" s="334"/>
      <c r="G134" s="334"/>
    </row>
    <row r="135" spans="1:7" x14ac:dyDescent="0.25">
      <c r="A135" s="334"/>
      <c r="B135" s="334"/>
      <c r="C135" s="704" t="s">
        <v>4816</v>
      </c>
      <c r="D135" s="794" t="s">
        <v>4375</v>
      </c>
      <c r="E135" s="797">
        <v>45.3</v>
      </c>
      <c r="F135" s="334"/>
      <c r="G135" s="334"/>
    </row>
    <row r="136" spans="1:7" x14ac:dyDescent="0.25">
      <c r="A136" s="334"/>
      <c r="B136" s="334"/>
      <c r="C136" s="704" t="s">
        <v>4817</v>
      </c>
      <c r="D136" s="794" t="s">
        <v>4375</v>
      </c>
      <c r="E136" s="797">
        <v>36.6691</v>
      </c>
      <c r="F136" s="334"/>
      <c r="G136" s="334"/>
    </row>
    <row r="137" spans="1:7" x14ac:dyDescent="0.25">
      <c r="A137" s="334"/>
      <c r="B137" s="334"/>
      <c r="C137" s="704" t="s">
        <v>4818</v>
      </c>
      <c r="D137" s="794" t="s">
        <v>4375</v>
      </c>
      <c r="E137" s="797">
        <v>49.27</v>
      </c>
      <c r="F137" s="334"/>
      <c r="G137" s="334"/>
    </row>
    <row r="138" spans="1:7" x14ac:dyDescent="0.25">
      <c r="A138" s="334"/>
      <c r="B138" s="334"/>
      <c r="C138" s="704" t="s">
        <v>4819</v>
      </c>
      <c r="D138" s="794" t="s">
        <v>4375</v>
      </c>
      <c r="E138" s="797">
        <v>74.900000000000006</v>
      </c>
      <c r="F138" s="334"/>
      <c r="G138" s="334"/>
    </row>
    <row r="139" spans="1:7" x14ac:dyDescent="0.25">
      <c r="A139" s="334"/>
      <c r="B139" s="334"/>
      <c r="C139" s="704" t="s">
        <v>4769</v>
      </c>
      <c r="D139" s="794" t="s">
        <v>4375</v>
      </c>
      <c r="E139" s="797">
        <f>144.23/6*3.5</f>
        <v>84.134166666666658</v>
      </c>
      <c r="F139" s="334"/>
      <c r="G139" s="334"/>
    </row>
    <row r="140" spans="1:7" x14ac:dyDescent="0.25">
      <c r="A140" s="334"/>
      <c r="B140" s="334"/>
      <c r="C140" s="704" t="s">
        <v>4770</v>
      </c>
      <c r="D140" s="794" t="s">
        <v>4375</v>
      </c>
      <c r="E140" s="797">
        <f>144.23/6*4.5</f>
        <v>108.17249999999999</v>
      </c>
      <c r="F140" s="334"/>
      <c r="G140" s="334"/>
    </row>
    <row r="141" spans="1:7" x14ac:dyDescent="0.25">
      <c r="A141" s="334"/>
      <c r="B141" s="334"/>
      <c r="C141" s="704" t="s">
        <v>4855</v>
      </c>
      <c r="D141" s="794" t="s">
        <v>79</v>
      </c>
      <c r="E141" s="797">
        <f>405.33/3</f>
        <v>135.10999999999999</v>
      </c>
      <c r="F141" s="334"/>
      <c r="G141" s="334"/>
    </row>
    <row r="142" spans="1:7" x14ac:dyDescent="0.25">
      <c r="A142" s="334"/>
      <c r="B142" s="334"/>
      <c r="C142" s="704" t="s">
        <v>4402</v>
      </c>
      <c r="D142" s="794" t="s">
        <v>4375</v>
      </c>
      <c r="E142" s="797">
        <v>0.39</v>
      </c>
      <c r="F142" s="334"/>
      <c r="G142" s="334"/>
    </row>
    <row r="143" spans="1:7" x14ac:dyDescent="0.25">
      <c r="A143" s="334"/>
      <c r="B143" s="334"/>
      <c r="C143" s="704" t="s">
        <v>4793</v>
      </c>
      <c r="D143" s="794" t="s">
        <v>4375</v>
      </c>
      <c r="E143" s="797">
        <v>67</v>
      </c>
      <c r="F143" s="336"/>
      <c r="G143" s="334"/>
    </row>
    <row r="144" spans="1:7" x14ac:dyDescent="0.25">
      <c r="A144" s="334"/>
      <c r="B144" s="334"/>
      <c r="C144" s="704" t="s">
        <v>4794</v>
      </c>
      <c r="D144" s="794" t="s">
        <v>4375</v>
      </c>
      <c r="E144" s="797">
        <v>84.59</v>
      </c>
      <c r="F144" s="336"/>
      <c r="G144" s="334"/>
    </row>
    <row r="145" spans="1:7" x14ac:dyDescent="0.25">
      <c r="A145" s="334"/>
      <c r="B145" s="334"/>
      <c r="C145" s="704" t="s">
        <v>4795</v>
      </c>
      <c r="D145" s="794" t="s">
        <v>4375</v>
      </c>
      <c r="E145" s="797">
        <v>145.9</v>
      </c>
      <c r="F145" s="334"/>
      <c r="G145" s="334"/>
    </row>
    <row r="146" spans="1:7" x14ac:dyDescent="0.25">
      <c r="A146" s="334"/>
      <c r="B146" s="334"/>
      <c r="C146" s="704" t="s">
        <v>4796</v>
      </c>
      <c r="D146" s="794" t="s">
        <v>4375</v>
      </c>
      <c r="E146" s="797">
        <v>984.78</v>
      </c>
      <c r="F146" s="334"/>
      <c r="G146" s="334"/>
    </row>
    <row r="147" spans="1:7" x14ac:dyDescent="0.25">
      <c r="A147" s="334"/>
      <c r="B147" s="334"/>
      <c r="C147" s="704" t="s">
        <v>4797</v>
      </c>
      <c r="D147" s="794" t="s">
        <v>4375</v>
      </c>
      <c r="E147" s="797">
        <v>588.73</v>
      </c>
      <c r="F147" s="334"/>
      <c r="G147" s="334"/>
    </row>
    <row r="148" spans="1:7" x14ac:dyDescent="0.25">
      <c r="A148" s="334"/>
      <c r="B148" s="334"/>
      <c r="C148" s="704" t="s">
        <v>4798</v>
      </c>
      <c r="D148" s="794" t="s">
        <v>4375</v>
      </c>
      <c r="E148" s="797">
        <v>4448.96</v>
      </c>
      <c r="F148" s="334"/>
      <c r="G148" s="334"/>
    </row>
    <row r="149" spans="1:7" x14ac:dyDescent="0.25">
      <c r="A149" s="334"/>
      <c r="B149" s="334"/>
      <c r="C149" s="704" t="s">
        <v>4799</v>
      </c>
      <c r="D149" s="794" t="s">
        <v>4375</v>
      </c>
      <c r="E149" s="797">
        <v>11033.82</v>
      </c>
      <c r="F149" s="334"/>
      <c r="G149" s="334"/>
    </row>
    <row r="150" spans="1:7" x14ac:dyDescent="0.25">
      <c r="A150" s="334"/>
      <c r="B150" s="334"/>
      <c r="C150" s="704" t="s">
        <v>4800</v>
      </c>
      <c r="D150" s="794" t="s">
        <v>4375</v>
      </c>
      <c r="E150" s="797">
        <v>1203.47</v>
      </c>
      <c r="F150" s="334"/>
      <c r="G150" s="334"/>
    </row>
    <row r="151" spans="1:7" x14ac:dyDescent="0.25">
      <c r="A151" s="334"/>
      <c r="B151" s="334"/>
      <c r="C151" s="704" t="s">
        <v>4588</v>
      </c>
      <c r="D151" s="794" t="s">
        <v>4375</v>
      </c>
      <c r="E151" s="797">
        <v>520.1</v>
      </c>
      <c r="F151" s="334"/>
      <c r="G151" s="334"/>
    </row>
    <row r="152" spans="1:7" x14ac:dyDescent="0.25">
      <c r="A152" s="334"/>
      <c r="B152" s="334"/>
      <c r="C152" s="704" t="s">
        <v>4380</v>
      </c>
      <c r="D152" s="794" t="s">
        <v>4375</v>
      </c>
      <c r="E152" s="797">
        <v>8.8000000000000007</v>
      </c>
      <c r="F152" s="334"/>
      <c r="G152" s="334"/>
    </row>
    <row r="153" spans="1:7" x14ac:dyDescent="0.25">
      <c r="A153" s="334"/>
      <c r="B153" s="334"/>
      <c r="C153" s="704" t="s">
        <v>4764</v>
      </c>
      <c r="D153" s="794" t="s">
        <v>4375</v>
      </c>
      <c r="E153" s="797">
        <v>6.39</v>
      </c>
      <c r="F153" s="334"/>
      <c r="G153" s="334"/>
    </row>
    <row r="154" spans="1:7" x14ac:dyDescent="0.25">
      <c r="A154" s="334"/>
      <c r="B154" s="334"/>
      <c r="C154" s="704" t="s">
        <v>4771</v>
      </c>
      <c r="D154" s="794" t="s">
        <v>4375</v>
      </c>
      <c r="E154" s="797">
        <f>26.69*1.3</f>
        <v>34.697000000000003</v>
      </c>
      <c r="F154" s="334"/>
      <c r="G154" s="334"/>
    </row>
    <row r="155" spans="1:7" x14ac:dyDescent="0.25">
      <c r="A155" s="334"/>
      <c r="B155" s="334"/>
      <c r="C155" s="704" t="s">
        <v>4772</v>
      </c>
      <c r="D155" s="794" t="s">
        <v>4375</v>
      </c>
      <c r="E155" s="797">
        <f>26.69*1.35</f>
        <v>36.031500000000001</v>
      </c>
      <c r="F155" s="334"/>
      <c r="G155" s="334"/>
    </row>
  </sheetData>
  <mergeCells count="1">
    <mergeCell ref="A5:G5"/>
  </mergeCells>
  <pageMargins left="0.511811024" right="0.511811024" top="0.78740157499999996" bottom="0.78740157499999996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1851D6"/>
    <outlinePr summaryBelow="0" summaryRight="0"/>
  </sheetPr>
  <dimension ref="A1:Q21"/>
  <sheetViews>
    <sheetView showGridLines="0" workbookViewId="0">
      <selection activeCell="I18" sqref="I18"/>
    </sheetView>
  </sheetViews>
  <sheetFormatPr defaultColWidth="12.5703125" defaultRowHeight="15" customHeight="1" x14ac:dyDescent="0.2"/>
  <cols>
    <col min="1" max="1" width="34" customWidth="1"/>
    <col min="2" max="2" width="12.7109375" customWidth="1"/>
    <col min="3" max="3" width="18.28515625" customWidth="1"/>
    <col min="4" max="4" width="112.28515625" customWidth="1"/>
    <col min="5" max="8" width="12.7109375" customWidth="1"/>
    <col min="9" max="9" width="15.140625" customWidth="1"/>
    <col min="10" max="10" width="13.28515625" customWidth="1"/>
    <col min="11" max="12" width="12.7109375" customWidth="1"/>
    <col min="13" max="13" width="15.7109375" customWidth="1"/>
    <col min="14" max="14" width="16.42578125" customWidth="1"/>
    <col min="15" max="18" width="12.7109375" customWidth="1"/>
  </cols>
  <sheetData>
    <row r="1" spans="1:17" ht="15" customHeight="1" x14ac:dyDescent="0.2">
      <c r="A1" s="546"/>
      <c r="B1" s="581"/>
      <c r="C1" s="543" t="s">
        <v>0</v>
      </c>
      <c r="D1" s="970" t="str">
        <f>'Obra '!D1</f>
        <v>Mosaico</v>
      </c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670"/>
    </row>
    <row r="2" spans="1:17" ht="15" customHeight="1" x14ac:dyDescent="0.2">
      <c r="A2" s="549"/>
      <c r="B2" s="334"/>
      <c r="C2" s="543" t="s">
        <v>2</v>
      </c>
      <c r="D2" s="970" t="str">
        <f>'Obra '!D2</f>
        <v>Grupo DUO</v>
      </c>
      <c r="E2" s="672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674"/>
    </row>
    <row r="3" spans="1:17" ht="15" customHeight="1" x14ac:dyDescent="0.2">
      <c r="A3" s="549"/>
      <c r="B3" s="334"/>
      <c r="C3" s="543" t="s">
        <v>959</v>
      </c>
      <c r="D3" s="970"/>
      <c r="E3" s="675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674"/>
    </row>
    <row r="4" spans="1:17" ht="15" customHeight="1" x14ac:dyDescent="0.2">
      <c r="A4" s="583"/>
      <c r="B4" s="676"/>
      <c r="C4" s="543" t="s">
        <v>4</v>
      </c>
      <c r="D4" s="970" t="str">
        <f>'Obra '!D3</f>
        <v>R00</v>
      </c>
      <c r="E4" s="339"/>
      <c r="F4" s="339"/>
      <c r="G4" s="339"/>
      <c r="H4" s="339"/>
      <c r="I4" s="339"/>
      <c r="J4" s="339"/>
      <c r="K4" s="339"/>
      <c r="L4" s="339"/>
      <c r="M4" s="339"/>
      <c r="N4" s="339"/>
      <c r="O4" s="339"/>
      <c r="P4" s="339"/>
      <c r="Q4" s="679"/>
    </row>
    <row r="5" spans="1:17" ht="12.75" x14ac:dyDescent="0.2">
      <c r="A5" s="1151"/>
      <c r="B5" s="1088"/>
      <c r="C5" s="1088"/>
      <c r="D5" s="1088"/>
      <c r="E5" s="1088"/>
      <c r="F5" s="1088"/>
      <c r="G5" s="1088"/>
      <c r="H5" s="1088"/>
      <c r="I5" s="1088"/>
      <c r="J5" s="1088"/>
      <c r="K5" s="1088"/>
      <c r="L5" s="1088"/>
      <c r="M5" s="1088"/>
      <c r="N5" s="1088"/>
      <c r="O5" s="1088"/>
      <c r="P5" s="1088"/>
      <c r="Q5" s="1089"/>
    </row>
    <row r="6" spans="1:17" ht="15" customHeight="1" x14ac:dyDescent="0.55000000000000004">
      <c r="A6" s="680" t="s">
        <v>4933</v>
      </c>
      <c r="B6" s="680" t="s">
        <v>4366</v>
      </c>
      <c r="C6" s="680" t="s">
        <v>4367</v>
      </c>
      <c r="D6" s="680" t="s">
        <v>7</v>
      </c>
      <c r="E6" s="680" t="s">
        <v>9</v>
      </c>
      <c r="F6" s="680" t="s">
        <v>4368</v>
      </c>
      <c r="G6" s="680" t="s">
        <v>4369</v>
      </c>
      <c r="H6" s="680" t="s">
        <v>8</v>
      </c>
      <c r="I6" s="680" t="s">
        <v>128</v>
      </c>
      <c r="J6" s="680" t="s">
        <v>4370</v>
      </c>
      <c r="K6" s="334"/>
      <c r="L6" s="681" t="s">
        <v>4366</v>
      </c>
      <c r="M6" s="680" t="s">
        <v>4370</v>
      </c>
      <c r="N6" s="681" t="s">
        <v>59</v>
      </c>
      <c r="O6" s="334"/>
      <c r="P6" s="334"/>
      <c r="Q6" s="334"/>
    </row>
    <row r="7" spans="1:17" ht="15" customHeight="1" x14ac:dyDescent="0.25">
      <c r="A7" s="682" t="s">
        <v>4934</v>
      </c>
      <c r="B7" s="683"/>
      <c r="C7" s="684"/>
      <c r="D7" s="684"/>
      <c r="E7" s="685"/>
      <c r="F7" s="685"/>
      <c r="G7" s="685"/>
      <c r="H7" s="685"/>
      <c r="I7" s="686"/>
      <c r="J7" s="687">
        <f>IF(SUM(E7:I7)=0,SUMIFS($J8:$J$18,$A8:$A$18,$A7),G7*I7)</f>
        <v>58711</v>
      </c>
      <c r="K7" s="334"/>
      <c r="L7" s="796" t="s">
        <v>4935</v>
      </c>
      <c r="M7" s="689">
        <f>SUM(J8:J16)</f>
        <v>58711</v>
      </c>
      <c r="N7" s="689">
        <f t="shared" ref="N7:N9" si="0">SUM(M7)</f>
        <v>58711</v>
      </c>
      <c r="O7" s="334"/>
      <c r="P7" s="334"/>
      <c r="Q7" s="334"/>
    </row>
    <row r="8" spans="1:17" ht="15" customHeight="1" x14ac:dyDescent="0.25">
      <c r="A8" s="690" t="str">
        <f t="shared" ref="A8:A16" si="1">A7</f>
        <v>CLIMATIZAÇÃO</v>
      </c>
      <c r="B8" s="796" t="s">
        <v>4935</v>
      </c>
      <c r="C8" s="690" t="s">
        <v>729</v>
      </c>
      <c r="D8" s="694" t="s">
        <v>4936</v>
      </c>
      <c r="E8" s="692">
        <f>2+2+(4*3)+(2*4)+5</f>
        <v>29</v>
      </c>
      <c r="F8" s="692">
        <v>0</v>
      </c>
      <c r="G8" s="693">
        <f t="shared" ref="G8:G16" si="2">E8+(E8*F8)</f>
        <v>29</v>
      </c>
      <c r="H8" s="694" t="s">
        <v>88</v>
      </c>
      <c r="I8" s="836"/>
      <c r="J8" s="765">
        <f t="shared" ref="J8:J16" si="3">IF(SUM(E8:I8)=0,SUMIFS($J9:$J$16,$A9:$A$18,$A8),G8*I8)</f>
        <v>0</v>
      </c>
      <c r="K8" s="334"/>
      <c r="L8" s="796" t="s">
        <v>4937</v>
      </c>
      <c r="M8" s="689">
        <f>J18</f>
        <v>16800</v>
      </c>
      <c r="N8" s="689">
        <f t="shared" si="0"/>
        <v>16800</v>
      </c>
      <c r="O8" s="334"/>
      <c r="P8" s="334"/>
      <c r="Q8" s="334"/>
    </row>
    <row r="9" spans="1:17" ht="15" customHeight="1" x14ac:dyDescent="0.25">
      <c r="A9" s="690" t="str">
        <f t="shared" si="1"/>
        <v>CLIMATIZAÇÃO</v>
      </c>
      <c r="B9" s="796" t="s">
        <v>4935</v>
      </c>
      <c r="C9" s="690" t="s">
        <v>729</v>
      </c>
      <c r="D9" s="694" t="s">
        <v>4938</v>
      </c>
      <c r="E9" s="692">
        <f>6+2+1+1+4+(2*3)+(6*4)</f>
        <v>44</v>
      </c>
      <c r="F9" s="692">
        <v>0</v>
      </c>
      <c r="G9" s="693">
        <f t="shared" si="2"/>
        <v>44</v>
      </c>
      <c r="H9" s="694" t="s">
        <v>88</v>
      </c>
      <c r="I9" s="836"/>
      <c r="J9" s="765">
        <f t="shared" si="3"/>
        <v>0</v>
      </c>
      <c r="K9" s="334"/>
      <c r="L9" s="796" t="s">
        <v>4599</v>
      </c>
      <c r="M9" s="689">
        <f>J20</f>
        <v>0</v>
      </c>
      <c r="N9" s="689">
        <f t="shared" si="0"/>
        <v>0</v>
      </c>
      <c r="O9" s="334"/>
      <c r="P9" s="334"/>
      <c r="Q9" s="334"/>
    </row>
    <row r="10" spans="1:17" ht="15" customHeight="1" x14ac:dyDescent="0.25">
      <c r="A10" s="690" t="str">
        <f t="shared" si="1"/>
        <v>CLIMATIZAÇÃO</v>
      </c>
      <c r="B10" s="796" t="s">
        <v>4935</v>
      </c>
      <c r="C10" s="690" t="s">
        <v>729</v>
      </c>
      <c r="D10" s="694" t="s">
        <v>4939</v>
      </c>
      <c r="E10" s="692">
        <f>(2*3)+2</f>
        <v>8</v>
      </c>
      <c r="F10" s="692">
        <v>0</v>
      </c>
      <c r="G10" s="693">
        <f t="shared" si="2"/>
        <v>8</v>
      </c>
      <c r="H10" s="694" t="s">
        <v>88</v>
      </c>
      <c r="I10" s="836"/>
      <c r="J10" s="765">
        <f t="shared" si="3"/>
        <v>0</v>
      </c>
      <c r="K10" s="334"/>
      <c r="L10" s="334"/>
      <c r="M10" s="697" t="s">
        <v>59</v>
      </c>
      <c r="N10" s="698">
        <f>SUM(N7:N8)</f>
        <v>75511</v>
      </c>
      <c r="O10" s="831" t="str">
        <f>IF(J21=N10,"Ok!","Rever!")</f>
        <v>Ok!</v>
      </c>
      <c r="P10" s="334"/>
      <c r="Q10" s="334"/>
    </row>
    <row r="11" spans="1:17" ht="15" customHeight="1" x14ac:dyDescent="0.25">
      <c r="A11" s="690" t="str">
        <f t="shared" si="1"/>
        <v>CLIMATIZAÇÃO</v>
      </c>
      <c r="B11" s="796" t="s">
        <v>4935</v>
      </c>
      <c r="C11" s="690" t="s">
        <v>729</v>
      </c>
      <c r="D11" s="694" t="s">
        <v>4940</v>
      </c>
      <c r="E11" s="692">
        <f>6+1+1+(3*3)+(6*4)+3</f>
        <v>44</v>
      </c>
      <c r="F11" s="692">
        <v>0</v>
      </c>
      <c r="G11" s="693">
        <f t="shared" si="2"/>
        <v>44</v>
      </c>
      <c r="H11" s="694" t="s">
        <v>88</v>
      </c>
      <c r="I11" s="836"/>
      <c r="J11" s="765">
        <f t="shared" si="3"/>
        <v>0</v>
      </c>
      <c r="K11" s="334"/>
      <c r="L11" s="334"/>
      <c r="M11" s="334"/>
      <c r="N11" s="334"/>
      <c r="O11" s="334"/>
      <c r="P11" s="334"/>
      <c r="Q11" s="334"/>
    </row>
    <row r="12" spans="1:17" ht="15" customHeight="1" x14ac:dyDescent="0.25">
      <c r="A12" s="690" t="str">
        <f t="shared" si="1"/>
        <v>CLIMATIZAÇÃO</v>
      </c>
      <c r="B12" s="796" t="s">
        <v>4935</v>
      </c>
      <c r="C12" s="690" t="s">
        <v>729</v>
      </c>
      <c r="D12" s="694" t="s">
        <v>4941</v>
      </c>
      <c r="E12" s="837">
        <v>3</v>
      </c>
      <c r="F12" s="692">
        <v>0</v>
      </c>
      <c r="G12" s="693">
        <f t="shared" si="2"/>
        <v>3</v>
      </c>
      <c r="H12" s="694" t="s">
        <v>88</v>
      </c>
      <c r="I12" s="695">
        <v>4100</v>
      </c>
      <c r="J12" s="765">
        <f t="shared" si="3"/>
        <v>12300</v>
      </c>
      <c r="K12" s="334"/>
      <c r="L12" s="334"/>
      <c r="M12" s="334"/>
      <c r="N12" s="334"/>
      <c r="O12" s="334"/>
      <c r="P12" s="334"/>
      <c r="Q12" s="334"/>
    </row>
    <row r="13" spans="1:17" ht="15" customHeight="1" x14ac:dyDescent="0.25">
      <c r="A13" s="690" t="str">
        <f t="shared" si="1"/>
        <v>CLIMATIZAÇÃO</v>
      </c>
      <c r="B13" s="796" t="s">
        <v>4935</v>
      </c>
      <c r="C13" s="690" t="s">
        <v>729</v>
      </c>
      <c r="D13" s="694" t="s">
        <v>4942</v>
      </c>
      <c r="E13" s="837">
        <v>2</v>
      </c>
      <c r="F13" s="692">
        <v>0</v>
      </c>
      <c r="G13" s="693">
        <f t="shared" si="2"/>
        <v>2</v>
      </c>
      <c r="H13" s="694" t="s">
        <v>88</v>
      </c>
      <c r="I13" s="695">
        <v>3180</v>
      </c>
      <c r="J13" s="765">
        <f t="shared" si="3"/>
        <v>6360</v>
      </c>
      <c r="K13" s="334"/>
      <c r="L13" s="334"/>
      <c r="M13" s="334"/>
      <c r="N13" s="334"/>
      <c r="O13" s="334"/>
      <c r="P13" s="334"/>
      <c r="Q13" s="334"/>
    </row>
    <row r="14" spans="1:17" ht="15" customHeight="1" x14ac:dyDescent="0.25">
      <c r="A14" s="690" t="str">
        <f t="shared" si="1"/>
        <v>CLIMATIZAÇÃO</v>
      </c>
      <c r="B14" s="796" t="s">
        <v>4935</v>
      </c>
      <c r="C14" s="690" t="s">
        <v>729</v>
      </c>
      <c r="D14" s="694" t="s">
        <v>4943</v>
      </c>
      <c r="E14" s="837">
        <v>1</v>
      </c>
      <c r="F14" s="692">
        <v>0</v>
      </c>
      <c r="G14" s="693">
        <f t="shared" si="2"/>
        <v>1</v>
      </c>
      <c r="H14" s="694" t="s">
        <v>88</v>
      </c>
      <c r="I14" s="695">
        <v>2249</v>
      </c>
      <c r="J14" s="765">
        <f t="shared" si="3"/>
        <v>2249</v>
      </c>
      <c r="K14" s="334"/>
      <c r="L14" s="334"/>
      <c r="M14" s="334"/>
      <c r="N14" s="334"/>
      <c r="O14" s="334"/>
      <c r="P14" s="334"/>
      <c r="Q14" s="334"/>
    </row>
    <row r="15" spans="1:17" ht="15" customHeight="1" x14ac:dyDescent="0.25">
      <c r="A15" s="690" t="str">
        <f t="shared" si="1"/>
        <v>CLIMATIZAÇÃO</v>
      </c>
      <c r="B15" s="796" t="s">
        <v>4935</v>
      </c>
      <c r="C15" s="690" t="s">
        <v>729</v>
      </c>
      <c r="D15" s="694" t="s">
        <v>4944</v>
      </c>
      <c r="E15" s="837">
        <v>1</v>
      </c>
      <c r="F15" s="692">
        <v>0</v>
      </c>
      <c r="G15" s="693">
        <f t="shared" si="2"/>
        <v>1</v>
      </c>
      <c r="H15" s="694" t="s">
        <v>88</v>
      </c>
      <c r="I15" s="695">
        <v>1804</v>
      </c>
      <c r="J15" s="765">
        <f t="shared" si="3"/>
        <v>1804</v>
      </c>
      <c r="K15" s="334"/>
      <c r="L15" s="334"/>
      <c r="M15" s="334"/>
      <c r="N15" s="334"/>
      <c r="O15" s="334"/>
      <c r="P15" s="334"/>
      <c r="Q15" s="334"/>
    </row>
    <row r="16" spans="1:17" ht="15" customHeight="1" x14ac:dyDescent="0.25">
      <c r="A16" s="690" t="str">
        <f t="shared" si="1"/>
        <v>CLIMATIZAÇÃO</v>
      </c>
      <c r="B16" s="796" t="s">
        <v>4935</v>
      </c>
      <c r="C16" s="690" t="s">
        <v>729</v>
      </c>
      <c r="D16" s="694" t="s">
        <v>4945</v>
      </c>
      <c r="E16" s="837">
        <v>2</v>
      </c>
      <c r="F16" s="692">
        <v>0</v>
      </c>
      <c r="G16" s="693">
        <f t="shared" si="2"/>
        <v>2</v>
      </c>
      <c r="H16" s="694" t="s">
        <v>88</v>
      </c>
      <c r="I16" s="695">
        <v>17999</v>
      </c>
      <c r="J16" s="765">
        <f t="shared" si="3"/>
        <v>35998</v>
      </c>
      <c r="K16" s="334"/>
      <c r="L16" s="334"/>
      <c r="M16" s="334"/>
      <c r="N16" s="334"/>
      <c r="O16" s="334"/>
      <c r="P16" s="334"/>
      <c r="Q16" s="334"/>
    </row>
    <row r="17" spans="1:10" ht="15" customHeight="1" x14ac:dyDescent="0.25">
      <c r="A17" s="682" t="s">
        <v>4946</v>
      </c>
      <c r="B17" s="683"/>
      <c r="C17" s="684"/>
      <c r="D17" s="684"/>
      <c r="E17" s="685"/>
      <c r="F17" s="685"/>
      <c r="G17" s="685"/>
      <c r="H17" s="685"/>
      <c r="I17" s="685"/>
      <c r="J17" s="685"/>
    </row>
    <row r="18" spans="1:10" x14ac:dyDescent="0.25">
      <c r="A18" s="690" t="str">
        <f>A17</f>
        <v>EXAUSTÃO DE SANITÁRIOS</v>
      </c>
      <c r="B18" s="690" t="s">
        <v>4937</v>
      </c>
      <c r="C18" s="690" t="s">
        <v>4947</v>
      </c>
      <c r="D18" s="694" t="s">
        <v>4948</v>
      </c>
      <c r="E18" s="692">
        <f>2+6+6+3+6*4+6+1</f>
        <v>48</v>
      </c>
      <c r="F18" s="692">
        <v>0</v>
      </c>
      <c r="G18" s="693">
        <f>E18+(E18*F18)</f>
        <v>48</v>
      </c>
      <c r="H18" s="694" t="s">
        <v>177</v>
      </c>
      <c r="I18" s="695">
        <v>350</v>
      </c>
      <c r="J18" s="765">
        <f>IF(SUM(E18:I18)=0,SUMIFS(#REF!,#REF!,$A18),G18*I18)</f>
        <v>16800</v>
      </c>
    </row>
    <row r="19" spans="1:10" x14ac:dyDescent="0.25">
      <c r="A19" s="682" t="s">
        <v>4503</v>
      </c>
      <c r="B19" s="683"/>
      <c r="C19" s="684"/>
      <c r="D19" s="684"/>
      <c r="E19" s="685"/>
      <c r="F19" s="685"/>
      <c r="G19" s="685"/>
      <c r="H19" s="685"/>
      <c r="I19" s="685"/>
      <c r="J19" s="685"/>
    </row>
    <row r="20" spans="1:10" x14ac:dyDescent="0.25">
      <c r="A20" s="690" t="str">
        <f>A19</f>
        <v>Tubulação</v>
      </c>
      <c r="B20" s="690" t="s">
        <v>4599</v>
      </c>
      <c r="C20" s="690" t="s">
        <v>4949</v>
      </c>
      <c r="D20" s="694"/>
      <c r="E20" s="692">
        <v>1</v>
      </c>
      <c r="F20" s="692">
        <v>0</v>
      </c>
      <c r="G20" s="693">
        <f>E20+(E20*F20)</f>
        <v>1</v>
      </c>
      <c r="H20" s="694" t="s">
        <v>177</v>
      </c>
      <c r="I20" s="836"/>
      <c r="J20" s="765">
        <f>IF(SUM(E20:I20)=0,SUMIFS(#REF!,#REF!,$A20),G20*I20)</f>
        <v>0</v>
      </c>
    </row>
    <row r="21" spans="1:10" x14ac:dyDescent="0.25">
      <c r="A21" s="699"/>
      <c r="B21" s="699"/>
      <c r="C21" s="699"/>
      <c r="D21" s="699"/>
      <c r="E21" s="699"/>
      <c r="F21" s="699"/>
      <c r="G21" s="699"/>
      <c r="H21" s="699"/>
      <c r="I21" s="700" t="s">
        <v>4437</v>
      </c>
      <c r="J21" s="701">
        <f>SUMPRODUCT(G6:G18,I6:I18)</f>
        <v>75511</v>
      </c>
    </row>
  </sheetData>
  <mergeCells count="1">
    <mergeCell ref="A5:Q5"/>
  </mergeCells>
  <pageMargins left="0.511811024" right="0.511811024" top="0.78740157499999996" bottom="0.78740157499999996" header="0" footer="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1856D6"/>
    <outlinePr summaryBelow="0"/>
    <pageSetUpPr fitToPage="1"/>
  </sheetPr>
  <dimension ref="B1:H92"/>
  <sheetViews>
    <sheetView showGridLines="0" workbookViewId="0">
      <pane ySplit="11" topLeftCell="A63" activePane="bottomLeft" state="frozen"/>
      <selection pane="bottomLeft" activeCell="F84" sqref="F84"/>
    </sheetView>
  </sheetViews>
  <sheetFormatPr defaultColWidth="12.5703125" defaultRowHeight="15" customHeight="1" outlineLevelRow="2" x14ac:dyDescent="0.2"/>
  <cols>
    <col min="1" max="1" width="2.7109375" customWidth="1"/>
    <col min="2" max="2" width="39.28515625" customWidth="1"/>
    <col min="3" max="3" width="30.140625" customWidth="1"/>
    <col min="4" max="4" width="92.85546875" customWidth="1"/>
    <col min="5" max="5" width="17" customWidth="1"/>
    <col min="6" max="6" width="17.28515625" customWidth="1"/>
    <col min="7" max="7" width="19.85546875" customWidth="1"/>
    <col min="8" max="8" width="35" customWidth="1"/>
    <col min="9" max="26" width="2.7109375" customWidth="1"/>
  </cols>
  <sheetData>
    <row r="1" spans="2:8" s="1018" customFormat="1" ht="12.75" customHeight="1" x14ac:dyDescent="0.55000000000000004">
      <c r="B1" s="1013" t="s">
        <v>69</v>
      </c>
      <c r="C1" s="1014" t="str">
        <f>'Obra '!D1</f>
        <v>Mosaico</v>
      </c>
      <c r="D1" s="1015"/>
      <c r="E1" s="1015"/>
      <c r="F1" s="1015"/>
      <c r="G1" s="1016"/>
      <c r="H1" s="1017"/>
    </row>
    <row r="2" spans="2:8" s="1018" customFormat="1" ht="12.75" customHeight="1" x14ac:dyDescent="0.55000000000000004">
      <c r="B2" s="1019" t="s">
        <v>2</v>
      </c>
      <c r="C2" s="1020" t="str">
        <f>'Obra '!D2</f>
        <v>Grupo DUO</v>
      </c>
      <c r="D2" s="1021"/>
      <c r="E2" s="1021"/>
      <c r="F2" s="1021"/>
      <c r="G2" s="1022"/>
      <c r="H2" s="1023"/>
    </row>
    <row r="3" spans="2:8" s="1018" customFormat="1" ht="12.75" customHeight="1" x14ac:dyDescent="0.55000000000000004">
      <c r="B3" s="1024" t="s">
        <v>4</v>
      </c>
      <c r="C3" s="1020" t="s">
        <v>5</v>
      </c>
      <c r="D3" s="1025"/>
      <c r="E3" s="1025"/>
      <c r="F3" s="1025"/>
      <c r="G3" s="1026"/>
      <c r="H3" s="1023"/>
    </row>
    <row r="4" spans="2:8" s="1018" customFormat="1" ht="12.75" customHeight="1" x14ac:dyDescent="0.2">
      <c r="B4" s="1159" t="s">
        <v>4950</v>
      </c>
      <c r="C4" s="1160"/>
      <c r="D4" s="1160"/>
      <c r="E4" s="1160"/>
      <c r="F4" s="1160"/>
      <c r="G4" s="1160"/>
      <c r="H4" s="1161"/>
    </row>
    <row r="5" spans="2:8" ht="12.75" customHeight="1" x14ac:dyDescent="0.2">
      <c r="B5" s="838"/>
      <c r="C5" s="839"/>
      <c r="D5" s="840"/>
      <c r="E5" s="841"/>
      <c r="F5" s="842"/>
      <c r="G5" s="843"/>
      <c r="H5" s="843"/>
    </row>
    <row r="6" spans="2:8" ht="12.75" customHeight="1" x14ac:dyDescent="0.3">
      <c r="B6" s="844" t="s">
        <v>4951</v>
      </c>
      <c r="C6" s="845">
        <f>SUMPRODUCT($E$12:$E$92,$F$12:$F$92)</f>
        <v>393581.73000000021</v>
      </c>
      <c r="D6" s="846"/>
      <c r="E6" s="847"/>
      <c r="F6" s="848"/>
      <c r="G6" s="849"/>
      <c r="H6" s="849"/>
    </row>
    <row r="7" spans="2:8" ht="12.75" customHeight="1" x14ac:dyDescent="0.3">
      <c r="B7" s="850" t="s">
        <v>4952</v>
      </c>
      <c r="C7" s="851">
        <f>E13+E21+E25+E31+E33+E37+E45+E64+E71+E78+E85+E90</f>
        <v>289.75650000000002</v>
      </c>
      <c r="D7" s="846"/>
      <c r="E7" s="847"/>
      <c r="F7" s="848"/>
      <c r="G7" s="849"/>
      <c r="H7" s="849"/>
    </row>
    <row r="8" spans="2:8" ht="12.75" customHeight="1" x14ac:dyDescent="0.3">
      <c r="B8" s="850" t="s">
        <v>4953</v>
      </c>
      <c r="C8" s="851">
        <f>SUMIFS($G$11:$G$92,$D$11:$D$92,"Acabamentos Especiais")</f>
        <v>0</v>
      </c>
      <c r="D8" s="846"/>
      <c r="E8" s="847"/>
      <c r="F8" s="848"/>
      <c r="G8" s="849"/>
      <c r="H8" s="849"/>
    </row>
    <row r="9" spans="2:8" ht="12.75" customHeight="1" x14ac:dyDescent="0.3">
      <c r="B9" s="852" t="s">
        <v>4954</v>
      </c>
      <c r="C9" s="853">
        <f>C6/C7</f>
        <v>1358.31889879951</v>
      </c>
      <c r="D9" s="846"/>
      <c r="E9" s="847"/>
      <c r="F9" s="848"/>
      <c r="G9" s="849"/>
      <c r="H9" s="849"/>
    </row>
    <row r="10" spans="2:8" ht="12.75" customHeight="1" x14ac:dyDescent="0.2">
      <c r="B10" s="838"/>
      <c r="C10" s="839"/>
      <c r="D10" s="840"/>
      <c r="E10" s="841"/>
      <c r="F10" s="842"/>
      <c r="G10" s="854"/>
      <c r="H10" s="854"/>
    </row>
    <row r="11" spans="2:8" ht="39.75" customHeight="1" x14ac:dyDescent="0.2">
      <c r="B11" s="855" t="s">
        <v>72</v>
      </c>
      <c r="C11" s="856" t="s">
        <v>4955</v>
      </c>
      <c r="D11" s="857" t="s">
        <v>7</v>
      </c>
      <c r="E11" s="857" t="s">
        <v>4956</v>
      </c>
      <c r="F11" s="858" t="s">
        <v>4957</v>
      </c>
      <c r="G11" s="859" t="s">
        <v>4958</v>
      </c>
      <c r="H11" s="859" t="s">
        <v>4959</v>
      </c>
    </row>
    <row r="12" spans="2:8" ht="12.75" customHeight="1" x14ac:dyDescent="0.25">
      <c r="B12" s="860" t="s">
        <v>4960</v>
      </c>
      <c r="C12" s="861"/>
      <c r="D12" s="861" t="s">
        <v>4961</v>
      </c>
      <c r="E12" s="862"/>
      <c r="F12" s="863"/>
      <c r="G12" s="864">
        <f>G13+G21+G25+G31+G33+G37</f>
        <v>124690.69000000002</v>
      </c>
      <c r="H12" s="865"/>
    </row>
    <row r="13" spans="2:8" ht="12.75" customHeight="1" outlineLevel="1" x14ac:dyDescent="0.25">
      <c r="B13" s="866" t="str">
        <f t="shared" ref="B13:B23" si="0">B12</f>
        <v>TÉRREO</v>
      </c>
      <c r="C13" s="867" t="s">
        <v>4962</v>
      </c>
      <c r="D13" s="868" t="s">
        <v>4963</v>
      </c>
      <c r="E13" s="869">
        <v>39.36</v>
      </c>
      <c r="F13" s="870"/>
      <c r="G13" s="871">
        <f>SUM(G14:G20)</f>
        <v>45957.69</v>
      </c>
      <c r="H13" s="872"/>
    </row>
    <row r="14" spans="2:8" ht="15" customHeight="1" outlineLevel="2" x14ac:dyDescent="0.2">
      <c r="B14" s="873" t="str">
        <f t="shared" si="0"/>
        <v>TÉRREO</v>
      </c>
      <c r="C14" s="874" t="str">
        <f t="shared" ref="C14:C20" si="1">C13</f>
        <v>Hall</v>
      </c>
      <c r="D14" s="875" t="s">
        <v>4964</v>
      </c>
      <c r="E14" s="876">
        <v>1</v>
      </c>
      <c r="F14" s="877">
        <f>(4.2*2.96)*350</f>
        <v>4351.2</v>
      </c>
      <c r="G14" s="706">
        <f t="shared" ref="G14:G20" si="2">E14*F14</f>
        <v>4351.2</v>
      </c>
      <c r="H14" s="878" t="s">
        <v>4965</v>
      </c>
    </row>
    <row r="15" spans="2:8" ht="15" customHeight="1" outlineLevel="2" x14ac:dyDescent="0.25">
      <c r="B15" s="873" t="str">
        <f t="shared" si="0"/>
        <v>TÉRREO</v>
      </c>
      <c r="C15" s="874" t="str">
        <f t="shared" si="1"/>
        <v>Hall</v>
      </c>
      <c r="D15" s="879" t="s">
        <v>4966</v>
      </c>
      <c r="E15" s="876">
        <v>1</v>
      </c>
      <c r="F15" s="877">
        <v>2594.4899999999998</v>
      </c>
      <c r="G15" s="706">
        <f t="shared" si="2"/>
        <v>2594.4899999999998</v>
      </c>
      <c r="H15" s="880"/>
    </row>
    <row r="16" spans="2:8" ht="12.75" customHeight="1" outlineLevel="1" x14ac:dyDescent="0.25">
      <c r="B16" s="873" t="str">
        <f t="shared" si="0"/>
        <v>TÉRREO</v>
      </c>
      <c r="C16" s="874" t="str">
        <f t="shared" si="1"/>
        <v>Hall</v>
      </c>
      <c r="D16" s="879" t="s">
        <v>4967</v>
      </c>
      <c r="E16" s="876">
        <v>1</v>
      </c>
      <c r="F16" s="877">
        <v>2357</v>
      </c>
      <c r="G16" s="706">
        <f t="shared" si="2"/>
        <v>2357</v>
      </c>
      <c r="H16" s="880"/>
    </row>
    <row r="17" spans="2:8" ht="15" customHeight="1" outlineLevel="2" x14ac:dyDescent="0.25">
      <c r="B17" s="873" t="str">
        <f t="shared" si="0"/>
        <v>TÉRREO</v>
      </c>
      <c r="C17" s="874" t="str">
        <f t="shared" si="1"/>
        <v>Hall</v>
      </c>
      <c r="D17" s="879" t="s">
        <v>4968</v>
      </c>
      <c r="E17" s="876">
        <v>1</v>
      </c>
      <c r="F17" s="877">
        <v>4899</v>
      </c>
      <c r="G17" s="706">
        <f t="shared" si="2"/>
        <v>4899</v>
      </c>
      <c r="H17" s="880"/>
    </row>
    <row r="18" spans="2:8" ht="15" customHeight="1" outlineLevel="2" x14ac:dyDescent="0.25">
      <c r="B18" s="873" t="str">
        <f t="shared" si="0"/>
        <v>TÉRREO</v>
      </c>
      <c r="C18" s="874" t="str">
        <f t="shared" si="1"/>
        <v>Hall</v>
      </c>
      <c r="D18" s="879" t="s">
        <v>4969</v>
      </c>
      <c r="E18" s="876">
        <v>1</v>
      </c>
      <c r="F18" s="877">
        <v>4831</v>
      </c>
      <c r="G18" s="706">
        <f t="shared" si="2"/>
        <v>4831</v>
      </c>
      <c r="H18" s="880"/>
    </row>
    <row r="19" spans="2:8" ht="15" customHeight="1" outlineLevel="2" x14ac:dyDescent="0.25">
      <c r="B19" s="873" t="str">
        <f t="shared" si="0"/>
        <v>TÉRREO</v>
      </c>
      <c r="C19" s="874" t="str">
        <f t="shared" si="1"/>
        <v>Hall</v>
      </c>
      <c r="D19" s="879" t="s">
        <v>4970</v>
      </c>
      <c r="E19" s="876">
        <v>1</v>
      </c>
      <c r="F19" s="877">
        <v>3309</v>
      </c>
      <c r="G19" s="706">
        <f t="shared" si="2"/>
        <v>3309</v>
      </c>
      <c r="H19" s="880"/>
    </row>
    <row r="20" spans="2:8" ht="12.75" customHeight="1" outlineLevel="1" x14ac:dyDescent="0.2">
      <c r="B20" s="873" t="str">
        <f t="shared" si="0"/>
        <v>TÉRREO</v>
      </c>
      <c r="C20" s="874" t="str">
        <f t="shared" si="1"/>
        <v>Hall</v>
      </c>
      <c r="D20" s="875" t="s">
        <v>4971</v>
      </c>
      <c r="E20" s="876">
        <v>1</v>
      </c>
      <c r="F20" s="877">
        <f>E13*1500*0.4</f>
        <v>23616</v>
      </c>
      <c r="G20" s="706">
        <f t="shared" si="2"/>
        <v>23616</v>
      </c>
      <c r="H20" s="878" t="s">
        <v>4972</v>
      </c>
    </row>
    <row r="21" spans="2:8" ht="15" customHeight="1" outlineLevel="2" x14ac:dyDescent="0.25">
      <c r="B21" s="873" t="str">
        <f t="shared" si="0"/>
        <v>TÉRREO</v>
      </c>
      <c r="C21" s="867" t="s">
        <v>4973</v>
      </c>
      <c r="D21" s="881" t="s">
        <v>4963</v>
      </c>
      <c r="E21" s="882">
        <v>12.72</v>
      </c>
      <c r="F21" s="883"/>
      <c r="G21" s="884">
        <f>SUM(G22:G24)</f>
        <v>3665.31</v>
      </c>
      <c r="H21" s="872"/>
    </row>
    <row r="22" spans="2:8" ht="15" customHeight="1" outlineLevel="2" x14ac:dyDescent="0.25">
      <c r="B22" s="873" t="str">
        <f t="shared" si="0"/>
        <v>TÉRREO</v>
      </c>
      <c r="C22" s="885" t="str">
        <f t="shared" ref="C22:C23" si="3">C21</f>
        <v>Portaria</v>
      </c>
      <c r="D22" s="879" t="s">
        <v>4974</v>
      </c>
      <c r="E22" s="886">
        <v>1</v>
      </c>
      <c r="F22" s="887">
        <v>466.31</v>
      </c>
      <c r="G22" s="888">
        <f t="shared" ref="G22:G24" si="4">E22*F22</f>
        <v>466.31</v>
      </c>
      <c r="H22" s="889"/>
    </row>
    <row r="23" spans="2:8" ht="12.75" customHeight="1" outlineLevel="1" x14ac:dyDescent="0.25">
      <c r="B23" s="873" t="str">
        <f t="shared" si="0"/>
        <v>TÉRREO</v>
      </c>
      <c r="C23" s="885" t="str">
        <f t="shared" si="3"/>
        <v>Portaria</v>
      </c>
      <c r="D23" s="875" t="s">
        <v>4971</v>
      </c>
      <c r="E23" s="886">
        <v>1.2</v>
      </c>
      <c r="F23" s="887">
        <v>1500</v>
      </c>
      <c r="G23" s="888">
        <f t="shared" si="4"/>
        <v>1800</v>
      </c>
      <c r="H23" s="889"/>
    </row>
    <row r="24" spans="2:8" ht="15" customHeight="1" outlineLevel="2" x14ac:dyDescent="0.25">
      <c r="B24" s="873" t="str">
        <f t="shared" ref="B24:C24" si="5">B22</f>
        <v>TÉRREO</v>
      </c>
      <c r="C24" s="885" t="str">
        <f t="shared" si="5"/>
        <v>Portaria</v>
      </c>
      <c r="D24" s="879" t="s">
        <v>4975</v>
      </c>
      <c r="E24" s="886">
        <v>1</v>
      </c>
      <c r="F24" s="887">
        <v>1399</v>
      </c>
      <c r="G24" s="888">
        <f t="shared" si="4"/>
        <v>1399</v>
      </c>
      <c r="H24" s="889"/>
    </row>
    <row r="25" spans="2:8" ht="15" customHeight="1" outlineLevel="2" x14ac:dyDescent="0.25">
      <c r="B25" s="873" t="str">
        <f t="shared" ref="B25:B26" si="6">B24</f>
        <v>TÉRREO</v>
      </c>
      <c r="C25" s="890" t="s">
        <v>4976</v>
      </c>
      <c r="D25" s="881" t="s">
        <v>4963</v>
      </c>
      <c r="E25" s="882">
        <v>3.86</v>
      </c>
      <c r="F25" s="883"/>
      <c r="G25" s="884">
        <f>SUM(G26:G30)</f>
        <v>5296.329999999999</v>
      </c>
      <c r="H25" s="889"/>
    </row>
    <row r="26" spans="2:8" ht="15" customHeight="1" outlineLevel="2" x14ac:dyDescent="0.25">
      <c r="B26" s="873" t="str">
        <f t="shared" si="6"/>
        <v>TÉRREO</v>
      </c>
      <c r="C26" s="885" t="str">
        <f t="shared" ref="C26:C27" si="7">C25</f>
        <v>Banheiro Portaria</v>
      </c>
      <c r="D26" s="879" t="s">
        <v>4971</v>
      </c>
      <c r="E26" s="886">
        <f>0.9*0.85</f>
        <v>0.76500000000000001</v>
      </c>
      <c r="F26" s="887">
        <f>1500*E25</f>
        <v>5790</v>
      </c>
      <c r="G26" s="888">
        <f t="shared" ref="G26:G30" si="8">E26*F26</f>
        <v>4429.3500000000004</v>
      </c>
      <c r="H26" s="889"/>
    </row>
    <row r="27" spans="2:8" ht="12.75" customHeight="1" outlineLevel="2" x14ac:dyDescent="0.25">
      <c r="B27" s="873" t="str">
        <f>B25</f>
        <v>TÉRREO</v>
      </c>
      <c r="C27" s="885" t="str">
        <f t="shared" si="7"/>
        <v>Banheiro Portaria</v>
      </c>
      <c r="D27" s="879" t="s">
        <v>4977</v>
      </c>
      <c r="E27" s="886">
        <v>1</v>
      </c>
      <c r="F27" s="887">
        <v>466.28</v>
      </c>
      <c r="G27" s="888">
        <f t="shared" si="8"/>
        <v>466.28</v>
      </c>
      <c r="H27" s="889"/>
    </row>
    <row r="28" spans="2:8" ht="12.75" customHeight="1" outlineLevel="2" x14ac:dyDescent="0.25">
      <c r="B28" s="873" t="str">
        <f t="shared" ref="B28:C28" si="9">B27</f>
        <v>TÉRREO</v>
      </c>
      <c r="C28" s="885" t="str">
        <f t="shared" si="9"/>
        <v>Banheiro Portaria</v>
      </c>
      <c r="D28" s="879" t="s">
        <v>4978</v>
      </c>
      <c r="E28" s="886">
        <v>1</v>
      </c>
      <c r="F28" s="887">
        <v>209.9</v>
      </c>
      <c r="G28" s="888">
        <f t="shared" si="8"/>
        <v>209.9</v>
      </c>
      <c r="H28" s="889"/>
    </row>
    <row r="29" spans="2:8" ht="12.75" customHeight="1" outlineLevel="2" x14ac:dyDescent="0.25">
      <c r="B29" s="873" t="str">
        <f t="shared" ref="B29:C29" si="10">B28</f>
        <v>TÉRREO</v>
      </c>
      <c r="C29" s="885" t="str">
        <f t="shared" si="10"/>
        <v>Banheiro Portaria</v>
      </c>
      <c r="D29" s="879" t="s">
        <v>4979</v>
      </c>
      <c r="E29" s="886">
        <v>1</v>
      </c>
      <c r="F29" s="887">
        <v>74.900000000000006</v>
      </c>
      <c r="G29" s="888">
        <f t="shared" si="8"/>
        <v>74.900000000000006</v>
      </c>
      <c r="H29" s="889"/>
    </row>
    <row r="30" spans="2:8" ht="12.75" customHeight="1" outlineLevel="2" x14ac:dyDescent="0.25">
      <c r="B30" s="873" t="str">
        <f t="shared" ref="B30:C30" si="11">B29</f>
        <v>TÉRREO</v>
      </c>
      <c r="C30" s="885" t="str">
        <f t="shared" si="11"/>
        <v>Banheiro Portaria</v>
      </c>
      <c r="D30" s="879" t="s">
        <v>4980</v>
      </c>
      <c r="E30" s="886">
        <v>1</v>
      </c>
      <c r="F30" s="887">
        <v>115.9</v>
      </c>
      <c r="G30" s="888">
        <f t="shared" si="8"/>
        <v>115.9</v>
      </c>
      <c r="H30" s="889"/>
    </row>
    <row r="31" spans="2:8" ht="12.75" customHeight="1" outlineLevel="2" x14ac:dyDescent="0.25">
      <c r="B31" s="873" t="str">
        <f t="shared" ref="B31:B43" si="12">B30</f>
        <v>TÉRREO</v>
      </c>
      <c r="C31" s="867" t="s">
        <v>4981</v>
      </c>
      <c r="D31" s="881" t="s">
        <v>4963</v>
      </c>
      <c r="E31" s="882">
        <f>13.89+4.29</f>
        <v>18.18</v>
      </c>
      <c r="F31" s="883"/>
      <c r="G31" s="884">
        <f>SUM(G32)</f>
        <v>15130</v>
      </c>
      <c r="H31" s="872"/>
    </row>
    <row r="32" spans="2:8" ht="12.75" customHeight="1" outlineLevel="2" x14ac:dyDescent="0.25">
      <c r="B32" s="873" t="str">
        <f t="shared" si="12"/>
        <v>TÉRREO</v>
      </c>
      <c r="C32" s="885" t="str">
        <f>C31</f>
        <v>Lixo</v>
      </c>
      <c r="D32" s="879" t="s">
        <v>4982</v>
      </c>
      <c r="E32" s="886">
        <v>17</v>
      </c>
      <c r="F32" s="887">
        <v>890</v>
      </c>
      <c r="G32" s="888">
        <f>E32*F32</f>
        <v>15130</v>
      </c>
      <c r="H32" s="889"/>
    </row>
    <row r="33" spans="2:8" ht="12.75" customHeight="1" outlineLevel="2" x14ac:dyDescent="0.25">
      <c r="B33" s="873" t="str">
        <f t="shared" si="12"/>
        <v>TÉRREO</v>
      </c>
      <c r="C33" s="867" t="s">
        <v>4983</v>
      </c>
      <c r="D33" s="881" t="s">
        <v>4963</v>
      </c>
      <c r="E33" s="882">
        <v>11.82</v>
      </c>
      <c r="F33" s="883"/>
      <c r="G33" s="884">
        <f>SUM(G34:G36)</f>
        <v>51307.4</v>
      </c>
      <c r="H33" s="872"/>
    </row>
    <row r="34" spans="2:8" ht="12.75" customHeight="1" x14ac:dyDescent="0.25">
      <c r="B34" s="873" t="str">
        <f t="shared" si="12"/>
        <v>TÉRREO</v>
      </c>
      <c r="C34" s="885" t="str">
        <f t="shared" ref="C34:C36" si="13">C33</f>
        <v>Lavanderia</v>
      </c>
      <c r="D34" s="879" t="s">
        <v>4984</v>
      </c>
      <c r="E34" s="886">
        <f>ROUNDUP(E33/10,0)</f>
        <v>2</v>
      </c>
      <c r="F34" s="887">
        <v>1000</v>
      </c>
      <c r="G34" s="888">
        <f t="shared" ref="G34:G36" si="14">E34*F34</f>
        <v>2000</v>
      </c>
      <c r="H34" s="889"/>
    </row>
    <row r="35" spans="2:8" ht="12.75" customHeight="1" outlineLevel="1" x14ac:dyDescent="0.25">
      <c r="B35" s="873" t="str">
        <f t="shared" si="12"/>
        <v>TÉRREO</v>
      </c>
      <c r="C35" s="885" t="str">
        <f t="shared" si="13"/>
        <v>Lavanderia</v>
      </c>
      <c r="D35" s="879" t="s">
        <v>4971</v>
      </c>
      <c r="E35" s="886">
        <v>1</v>
      </c>
      <c r="F35" s="887">
        <f>1200*E33*0.6</f>
        <v>8510.4</v>
      </c>
      <c r="G35" s="888">
        <f t="shared" si="14"/>
        <v>8510.4</v>
      </c>
      <c r="H35" s="889"/>
    </row>
    <row r="36" spans="2:8" ht="15" customHeight="1" outlineLevel="2" x14ac:dyDescent="0.25">
      <c r="B36" s="873" t="str">
        <f t="shared" si="12"/>
        <v>TÉRREO</v>
      </c>
      <c r="C36" s="885" t="str">
        <f t="shared" si="13"/>
        <v>Lavanderia</v>
      </c>
      <c r="D36" s="879" t="s">
        <v>4985</v>
      </c>
      <c r="E36" s="886">
        <v>3</v>
      </c>
      <c r="F36" s="887">
        <v>13599</v>
      </c>
      <c r="G36" s="888">
        <f t="shared" si="14"/>
        <v>40797</v>
      </c>
      <c r="H36" s="889"/>
    </row>
    <row r="37" spans="2:8" ht="15" customHeight="1" outlineLevel="2" x14ac:dyDescent="0.25">
      <c r="B37" s="873" t="str">
        <f t="shared" si="12"/>
        <v>TÉRREO</v>
      </c>
      <c r="C37" s="867" t="s">
        <v>4986</v>
      </c>
      <c r="D37" s="881" t="s">
        <v>4963</v>
      </c>
      <c r="E37" s="882">
        <f>3.2+3.22</f>
        <v>6.42</v>
      </c>
      <c r="F37" s="883"/>
      <c r="G37" s="884">
        <f>SUM(G38:G43)</f>
        <v>3333.9600000000005</v>
      </c>
      <c r="H37" s="872"/>
    </row>
    <row r="38" spans="2:8" ht="12.75" customHeight="1" outlineLevel="2" x14ac:dyDescent="0.25">
      <c r="B38" s="873" t="str">
        <f t="shared" si="12"/>
        <v>TÉRREO</v>
      </c>
      <c r="C38" s="885" t="str">
        <f t="shared" ref="C38:C43" si="15">C37</f>
        <v>W.C PCD</v>
      </c>
      <c r="D38" s="879" t="s">
        <v>4984</v>
      </c>
      <c r="E38" s="886">
        <v>2</v>
      </c>
      <c r="F38" s="887">
        <v>400</v>
      </c>
      <c r="G38" s="888">
        <f t="shared" ref="G38:G43" si="16">E38*F38</f>
        <v>800</v>
      </c>
      <c r="H38" s="889"/>
    </row>
    <row r="39" spans="2:8" ht="12.75" customHeight="1" outlineLevel="1" x14ac:dyDescent="0.25">
      <c r="B39" s="873" t="str">
        <f t="shared" si="12"/>
        <v>TÉRREO</v>
      </c>
      <c r="C39" s="885" t="str">
        <f t="shared" si="15"/>
        <v>W.C PCD</v>
      </c>
      <c r="D39" s="879" t="s">
        <v>4977</v>
      </c>
      <c r="E39" s="886">
        <v>2</v>
      </c>
      <c r="F39" s="887">
        <v>466.28</v>
      </c>
      <c r="G39" s="888">
        <f t="shared" si="16"/>
        <v>932.56</v>
      </c>
      <c r="H39" s="889"/>
    </row>
    <row r="40" spans="2:8" ht="12.75" customHeight="1" outlineLevel="2" x14ac:dyDescent="0.25">
      <c r="B40" s="873" t="str">
        <f t="shared" si="12"/>
        <v>TÉRREO</v>
      </c>
      <c r="C40" s="885" t="str">
        <f t="shared" si="15"/>
        <v>W.C PCD</v>
      </c>
      <c r="D40" s="879" t="s">
        <v>4978</v>
      </c>
      <c r="E40" s="886">
        <v>2</v>
      </c>
      <c r="F40" s="887">
        <v>209.9</v>
      </c>
      <c r="G40" s="888">
        <f t="shared" si="16"/>
        <v>419.8</v>
      </c>
      <c r="H40" s="889"/>
    </row>
    <row r="41" spans="2:8" ht="15" customHeight="1" outlineLevel="2" x14ac:dyDescent="0.25">
      <c r="B41" s="873" t="str">
        <f t="shared" si="12"/>
        <v>TÉRREO</v>
      </c>
      <c r="C41" s="885" t="str">
        <f t="shared" si="15"/>
        <v>W.C PCD</v>
      </c>
      <c r="D41" s="879" t="s">
        <v>4979</v>
      </c>
      <c r="E41" s="886">
        <v>2</v>
      </c>
      <c r="F41" s="887">
        <v>74.900000000000006</v>
      </c>
      <c r="G41" s="888">
        <f t="shared" si="16"/>
        <v>149.80000000000001</v>
      </c>
      <c r="H41" s="889"/>
    </row>
    <row r="42" spans="2:8" ht="15" customHeight="1" outlineLevel="2" x14ac:dyDescent="0.25">
      <c r="B42" s="873" t="str">
        <f t="shared" si="12"/>
        <v>TÉRREO</v>
      </c>
      <c r="C42" s="885" t="str">
        <f t="shared" si="15"/>
        <v>W.C PCD</v>
      </c>
      <c r="D42" s="879" t="s">
        <v>4980</v>
      </c>
      <c r="E42" s="886">
        <v>2</v>
      </c>
      <c r="F42" s="887">
        <v>115.9</v>
      </c>
      <c r="G42" s="888">
        <f t="shared" si="16"/>
        <v>231.8</v>
      </c>
      <c r="H42" s="889"/>
    </row>
    <row r="43" spans="2:8" ht="15" customHeight="1" outlineLevel="2" x14ac:dyDescent="0.25">
      <c r="B43" s="873" t="str">
        <f t="shared" si="12"/>
        <v>TÉRREO</v>
      </c>
      <c r="C43" s="885" t="str">
        <f t="shared" si="15"/>
        <v>W.C PCD</v>
      </c>
      <c r="D43" s="875" t="s">
        <v>4984</v>
      </c>
      <c r="E43" s="886">
        <v>2</v>
      </c>
      <c r="F43" s="891">
        <v>400</v>
      </c>
      <c r="G43" s="888">
        <f t="shared" si="16"/>
        <v>800</v>
      </c>
      <c r="H43" s="889"/>
    </row>
    <row r="44" spans="2:8" ht="15" customHeight="1" outlineLevel="2" x14ac:dyDescent="0.25">
      <c r="B44" s="860" t="s">
        <v>67</v>
      </c>
      <c r="C44" s="861"/>
      <c r="D44" s="861"/>
      <c r="E44" s="862"/>
      <c r="F44" s="863"/>
      <c r="G44" s="864">
        <f>G45+G64+G71+G78+G85+G90</f>
        <v>268891.04000000004</v>
      </c>
      <c r="H44" s="865"/>
    </row>
    <row r="45" spans="2:8" ht="15" customHeight="1" outlineLevel="2" x14ac:dyDescent="0.25">
      <c r="B45" s="873" t="str">
        <f t="shared" ref="B45:B92" si="17">B44</f>
        <v>COBERTURA</v>
      </c>
      <c r="C45" s="867" t="s">
        <v>4987</v>
      </c>
      <c r="D45" s="892" t="s">
        <v>4963</v>
      </c>
      <c r="E45" s="882">
        <f>79.1+7.65</f>
        <v>86.75</v>
      </c>
      <c r="F45" s="883"/>
      <c r="G45" s="884">
        <f>SUM(G46:G63)</f>
        <v>152998.24</v>
      </c>
      <c r="H45" s="893"/>
    </row>
    <row r="46" spans="2:8" ht="15" customHeight="1" outlineLevel="2" x14ac:dyDescent="0.25">
      <c r="B46" s="873" t="str">
        <f t="shared" si="17"/>
        <v>COBERTURA</v>
      </c>
      <c r="C46" s="885" t="str">
        <f t="shared" ref="C46:C63" si="18">C45</f>
        <v>Salão Gourmet</v>
      </c>
      <c r="D46" s="875" t="s">
        <v>4988</v>
      </c>
      <c r="E46" s="886">
        <v>2</v>
      </c>
      <c r="F46" s="887">
        <v>12923.78</v>
      </c>
      <c r="G46" s="888">
        <f t="shared" ref="G46:G63" si="19">F46*E46</f>
        <v>25847.56</v>
      </c>
      <c r="H46" s="889"/>
    </row>
    <row r="47" spans="2:8" ht="15" customHeight="1" outlineLevel="2" x14ac:dyDescent="0.25">
      <c r="B47" s="873" t="str">
        <f t="shared" si="17"/>
        <v>COBERTURA</v>
      </c>
      <c r="C47" s="885" t="str">
        <f t="shared" si="18"/>
        <v>Salão Gourmet</v>
      </c>
      <c r="D47" s="875" t="s">
        <v>4989</v>
      </c>
      <c r="E47" s="886">
        <v>1</v>
      </c>
      <c r="F47" s="887">
        <v>12696.75</v>
      </c>
      <c r="G47" s="888">
        <f t="shared" si="19"/>
        <v>12696.75</v>
      </c>
      <c r="H47" s="889"/>
    </row>
    <row r="48" spans="2:8" ht="15" customHeight="1" outlineLevel="2" x14ac:dyDescent="0.25">
      <c r="B48" s="873" t="str">
        <f t="shared" si="17"/>
        <v>COBERTURA</v>
      </c>
      <c r="C48" s="885" t="str">
        <f t="shared" si="18"/>
        <v>Salão Gourmet</v>
      </c>
      <c r="D48" s="875" t="s">
        <v>4990</v>
      </c>
      <c r="E48" s="886">
        <v>2</v>
      </c>
      <c r="F48" s="887">
        <v>3023.1</v>
      </c>
      <c r="G48" s="888">
        <f t="shared" si="19"/>
        <v>6046.2</v>
      </c>
      <c r="H48" s="889"/>
    </row>
    <row r="49" spans="2:8" ht="15" customHeight="1" outlineLevel="2" x14ac:dyDescent="0.25">
      <c r="B49" s="873" t="str">
        <f t="shared" si="17"/>
        <v>COBERTURA</v>
      </c>
      <c r="C49" s="874" t="str">
        <f t="shared" si="18"/>
        <v>Salão Gourmet</v>
      </c>
      <c r="D49" s="879" t="s">
        <v>4969</v>
      </c>
      <c r="E49" s="876">
        <v>1</v>
      </c>
      <c r="F49" s="877">
        <v>4831</v>
      </c>
      <c r="G49" s="888">
        <f t="shared" si="19"/>
        <v>4831</v>
      </c>
      <c r="H49" s="880"/>
    </row>
    <row r="50" spans="2:8" ht="15" customHeight="1" outlineLevel="2" x14ac:dyDescent="0.25">
      <c r="B50" s="873" t="str">
        <f t="shared" si="17"/>
        <v>COBERTURA</v>
      </c>
      <c r="C50" s="874" t="str">
        <f t="shared" si="18"/>
        <v>Salão Gourmet</v>
      </c>
      <c r="D50" s="875" t="s">
        <v>4991</v>
      </c>
      <c r="E50" s="886">
        <v>2</v>
      </c>
      <c r="F50" s="887">
        <v>1124.6400000000001</v>
      </c>
      <c r="G50" s="888">
        <f t="shared" si="19"/>
        <v>2249.2800000000002</v>
      </c>
      <c r="H50" s="889"/>
    </row>
    <row r="51" spans="2:8" ht="15" customHeight="1" outlineLevel="2" x14ac:dyDescent="0.25">
      <c r="B51" s="873" t="str">
        <f t="shared" si="17"/>
        <v>COBERTURA</v>
      </c>
      <c r="C51" s="874" t="str">
        <f t="shared" si="18"/>
        <v>Salão Gourmet</v>
      </c>
      <c r="D51" s="875" t="s">
        <v>4992</v>
      </c>
      <c r="E51" s="886">
        <v>1</v>
      </c>
      <c r="F51" s="887">
        <v>6999</v>
      </c>
      <c r="G51" s="888">
        <f t="shared" si="19"/>
        <v>6999</v>
      </c>
      <c r="H51" s="889"/>
    </row>
    <row r="52" spans="2:8" ht="15" customHeight="1" outlineLevel="2" x14ac:dyDescent="0.25">
      <c r="B52" s="873" t="str">
        <f t="shared" si="17"/>
        <v>COBERTURA</v>
      </c>
      <c r="C52" s="874" t="str">
        <f t="shared" si="18"/>
        <v>Salão Gourmet</v>
      </c>
      <c r="D52" s="875" t="s">
        <v>4993</v>
      </c>
      <c r="E52" s="886">
        <v>1</v>
      </c>
      <c r="F52" s="887">
        <v>2549</v>
      </c>
      <c r="G52" s="888">
        <f t="shared" si="19"/>
        <v>2549</v>
      </c>
      <c r="H52" s="889"/>
    </row>
    <row r="53" spans="2:8" ht="15" customHeight="1" outlineLevel="2" x14ac:dyDescent="0.25">
      <c r="B53" s="873" t="str">
        <f t="shared" si="17"/>
        <v>COBERTURA</v>
      </c>
      <c r="C53" s="874" t="str">
        <f t="shared" si="18"/>
        <v>Salão Gourmet</v>
      </c>
      <c r="D53" s="875" t="s">
        <v>4984</v>
      </c>
      <c r="E53" s="886">
        <v>10</v>
      </c>
      <c r="F53" s="887">
        <v>400</v>
      </c>
      <c r="G53" s="888">
        <f t="shared" si="19"/>
        <v>4000</v>
      </c>
      <c r="H53" s="889"/>
    </row>
    <row r="54" spans="2:8" ht="12.75" customHeight="1" outlineLevel="1" x14ac:dyDescent="0.25">
      <c r="B54" s="873" t="str">
        <f t="shared" si="17"/>
        <v>COBERTURA</v>
      </c>
      <c r="C54" s="874" t="str">
        <f t="shared" si="18"/>
        <v>Salão Gourmet</v>
      </c>
      <c r="D54" s="875" t="s">
        <v>4971</v>
      </c>
      <c r="E54" s="886">
        <v>1</v>
      </c>
      <c r="F54" s="887">
        <f>1500*E45*0.4</f>
        <v>52050</v>
      </c>
      <c r="G54" s="888">
        <f t="shared" si="19"/>
        <v>52050</v>
      </c>
      <c r="H54" s="889"/>
    </row>
    <row r="55" spans="2:8" ht="15" customHeight="1" outlineLevel="2" x14ac:dyDescent="0.25">
      <c r="B55" s="873" t="str">
        <f t="shared" si="17"/>
        <v>COBERTURA</v>
      </c>
      <c r="C55" s="874" t="str">
        <f t="shared" si="18"/>
        <v>Salão Gourmet</v>
      </c>
      <c r="D55" s="875" t="s">
        <v>4994</v>
      </c>
      <c r="E55" s="886">
        <v>1</v>
      </c>
      <c r="F55" s="887">
        <v>8495</v>
      </c>
      <c r="G55" s="888">
        <f t="shared" si="19"/>
        <v>8495</v>
      </c>
      <c r="H55" s="889"/>
    </row>
    <row r="56" spans="2:8" ht="15" customHeight="1" outlineLevel="2" x14ac:dyDescent="0.25">
      <c r="B56" s="873" t="str">
        <f t="shared" si="17"/>
        <v>COBERTURA</v>
      </c>
      <c r="C56" s="874" t="str">
        <f t="shared" si="18"/>
        <v>Salão Gourmet</v>
      </c>
      <c r="D56" s="875" t="s">
        <v>4995</v>
      </c>
      <c r="E56" s="886">
        <v>1</v>
      </c>
      <c r="F56" s="887">
        <v>1042.57</v>
      </c>
      <c r="G56" s="888">
        <f t="shared" si="19"/>
        <v>1042.57</v>
      </c>
      <c r="H56" s="889"/>
    </row>
    <row r="57" spans="2:8" ht="12.75" customHeight="1" outlineLevel="1" x14ac:dyDescent="0.25">
      <c r="B57" s="873" t="str">
        <f t="shared" si="17"/>
        <v>COBERTURA</v>
      </c>
      <c r="C57" s="874" t="str">
        <f t="shared" si="18"/>
        <v>Salão Gourmet</v>
      </c>
      <c r="D57" s="875" t="s">
        <v>4996</v>
      </c>
      <c r="E57" s="886">
        <v>1</v>
      </c>
      <c r="F57" s="887">
        <v>1259.17</v>
      </c>
      <c r="G57" s="888">
        <f t="shared" si="19"/>
        <v>1259.17</v>
      </c>
      <c r="H57" s="889"/>
    </row>
    <row r="58" spans="2:8" ht="15" customHeight="1" outlineLevel="2" x14ac:dyDescent="0.25">
      <c r="B58" s="873" t="str">
        <f t="shared" si="17"/>
        <v>COBERTURA</v>
      </c>
      <c r="C58" s="874" t="str">
        <f t="shared" si="18"/>
        <v>Salão Gourmet</v>
      </c>
      <c r="D58" s="875" t="s">
        <v>4997</v>
      </c>
      <c r="E58" s="886">
        <v>1</v>
      </c>
      <c r="F58" s="887">
        <v>2279.0500000000002</v>
      </c>
      <c r="G58" s="888">
        <f t="shared" si="19"/>
        <v>2279.0500000000002</v>
      </c>
      <c r="H58" s="889"/>
    </row>
    <row r="59" spans="2:8" ht="15" customHeight="1" outlineLevel="2" x14ac:dyDescent="0.25">
      <c r="B59" s="873" t="str">
        <f t="shared" si="17"/>
        <v>COBERTURA</v>
      </c>
      <c r="C59" s="874" t="str">
        <f t="shared" si="18"/>
        <v>Salão Gourmet</v>
      </c>
      <c r="D59" s="875" t="s">
        <v>4998</v>
      </c>
      <c r="E59" s="886">
        <v>8</v>
      </c>
      <c r="F59" s="887">
        <v>889.9</v>
      </c>
      <c r="G59" s="888">
        <f t="shared" si="19"/>
        <v>7119.2</v>
      </c>
      <c r="H59" s="889"/>
    </row>
    <row r="60" spans="2:8" ht="15" customHeight="1" outlineLevel="2" x14ac:dyDescent="0.25">
      <c r="B60" s="873" t="str">
        <f t="shared" si="17"/>
        <v>COBERTURA</v>
      </c>
      <c r="C60" s="874" t="str">
        <f t="shared" si="18"/>
        <v>Salão Gourmet</v>
      </c>
      <c r="D60" s="875" t="s">
        <v>4999</v>
      </c>
      <c r="E60" s="886">
        <v>1</v>
      </c>
      <c r="F60" s="887">
        <v>2828.18</v>
      </c>
      <c r="G60" s="888">
        <f t="shared" si="19"/>
        <v>2828.18</v>
      </c>
      <c r="H60" s="889"/>
    </row>
    <row r="61" spans="2:8" ht="15" customHeight="1" outlineLevel="2" x14ac:dyDescent="0.25">
      <c r="B61" s="873" t="str">
        <f t="shared" si="17"/>
        <v>COBERTURA</v>
      </c>
      <c r="C61" s="874" t="str">
        <f t="shared" si="18"/>
        <v>Salão Gourmet</v>
      </c>
      <c r="D61" s="875" t="s">
        <v>4977</v>
      </c>
      <c r="E61" s="886">
        <v>1</v>
      </c>
      <c r="F61" s="887">
        <v>466.28</v>
      </c>
      <c r="G61" s="888">
        <f t="shared" si="19"/>
        <v>466.28</v>
      </c>
      <c r="H61" s="889"/>
    </row>
    <row r="62" spans="2:8" ht="12.75" customHeight="1" outlineLevel="1" x14ac:dyDescent="0.25">
      <c r="B62" s="873" t="str">
        <f t="shared" si="17"/>
        <v>COBERTURA</v>
      </c>
      <c r="C62" s="874" t="str">
        <f t="shared" si="18"/>
        <v>Salão Gourmet</v>
      </c>
      <c r="D62" s="875" t="s">
        <v>5000</v>
      </c>
      <c r="E62" s="894">
        <v>1</v>
      </c>
      <c r="F62" s="895">
        <v>8000</v>
      </c>
      <c r="G62" s="888">
        <f t="shared" si="19"/>
        <v>8000</v>
      </c>
      <c r="H62" s="896"/>
    </row>
    <row r="63" spans="2:8" ht="15" customHeight="1" outlineLevel="2" x14ac:dyDescent="0.25">
      <c r="B63" s="873" t="str">
        <f t="shared" si="17"/>
        <v>COBERTURA</v>
      </c>
      <c r="C63" s="874" t="str">
        <f t="shared" si="18"/>
        <v>Salão Gourmet</v>
      </c>
      <c r="D63" s="875" t="s">
        <v>5001</v>
      </c>
      <c r="E63" s="894">
        <v>1</v>
      </c>
      <c r="F63" s="895">
        <v>4240</v>
      </c>
      <c r="G63" s="888">
        <f t="shared" si="19"/>
        <v>4240</v>
      </c>
      <c r="H63" s="896"/>
    </row>
    <row r="64" spans="2:8" ht="15" customHeight="1" outlineLevel="2" x14ac:dyDescent="0.25">
      <c r="B64" s="873" t="str">
        <f t="shared" si="17"/>
        <v>COBERTURA</v>
      </c>
      <c r="C64" s="867" t="s">
        <v>5002</v>
      </c>
      <c r="D64" s="892" t="s">
        <v>4963</v>
      </c>
      <c r="E64" s="882">
        <v>1.84</v>
      </c>
      <c r="F64" s="883"/>
      <c r="G64" s="884">
        <f>SUM(G65:G70)</f>
        <v>4026.98</v>
      </c>
      <c r="H64" s="893"/>
    </row>
    <row r="65" spans="2:8" ht="15" customHeight="1" outlineLevel="2" x14ac:dyDescent="0.25">
      <c r="B65" s="873" t="str">
        <f t="shared" si="17"/>
        <v>COBERTURA</v>
      </c>
      <c r="C65" s="885" t="str">
        <f t="shared" ref="C65:C70" si="20">C64</f>
        <v>Lavabo</v>
      </c>
      <c r="D65" s="875" t="s">
        <v>4984</v>
      </c>
      <c r="E65" s="886">
        <f>ROUNDUP(E64/10,0)</f>
        <v>1</v>
      </c>
      <c r="F65" s="887">
        <v>400</v>
      </c>
      <c r="G65" s="888">
        <f t="shared" ref="G65:G70" si="21">F65*E65</f>
        <v>400</v>
      </c>
      <c r="H65" s="889"/>
    </row>
    <row r="66" spans="2:8" ht="12.75" customHeight="1" outlineLevel="1" x14ac:dyDescent="0.25">
      <c r="B66" s="873" t="str">
        <f t="shared" si="17"/>
        <v>COBERTURA</v>
      </c>
      <c r="C66" s="885" t="str">
        <f t="shared" si="20"/>
        <v>Lavabo</v>
      </c>
      <c r="D66" s="879" t="s">
        <v>4971</v>
      </c>
      <c r="E66" s="886">
        <v>1</v>
      </c>
      <c r="F66" s="887">
        <f>1500*E64</f>
        <v>2760</v>
      </c>
      <c r="G66" s="888">
        <f t="shared" si="21"/>
        <v>2760</v>
      </c>
      <c r="H66" s="889"/>
    </row>
    <row r="67" spans="2:8" ht="15" customHeight="1" outlineLevel="2" x14ac:dyDescent="0.25">
      <c r="B67" s="873" t="str">
        <f t="shared" si="17"/>
        <v>COBERTURA</v>
      </c>
      <c r="C67" s="885" t="str">
        <f t="shared" si="20"/>
        <v>Lavabo</v>
      </c>
      <c r="D67" s="875" t="s">
        <v>4977</v>
      </c>
      <c r="E67" s="886">
        <v>1</v>
      </c>
      <c r="F67" s="887">
        <v>466.28</v>
      </c>
      <c r="G67" s="888">
        <f t="shared" si="21"/>
        <v>466.28</v>
      </c>
      <c r="H67" s="889"/>
    </row>
    <row r="68" spans="2:8" ht="15" customHeight="1" outlineLevel="2" x14ac:dyDescent="0.25">
      <c r="B68" s="873" t="str">
        <f t="shared" si="17"/>
        <v>COBERTURA</v>
      </c>
      <c r="C68" s="885" t="str">
        <f t="shared" si="20"/>
        <v>Lavabo</v>
      </c>
      <c r="D68" s="875" t="s">
        <v>4978</v>
      </c>
      <c r="E68" s="886">
        <v>1</v>
      </c>
      <c r="F68" s="887">
        <v>209.9</v>
      </c>
      <c r="G68" s="888">
        <f t="shared" si="21"/>
        <v>209.9</v>
      </c>
      <c r="H68" s="889"/>
    </row>
    <row r="69" spans="2:8" ht="15" customHeight="1" outlineLevel="2" x14ac:dyDescent="0.25">
      <c r="B69" s="873" t="str">
        <f t="shared" si="17"/>
        <v>COBERTURA</v>
      </c>
      <c r="C69" s="885" t="str">
        <f t="shared" si="20"/>
        <v>Lavabo</v>
      </c>
      <c r="D69" s="875" t="s">
        <v>4979</v>
      </c>
      <c r="E69" s="886">
        <v>1</v>
      </c>
      <c r="F69" s="887">
        <v>74.900000000000006</v>
      </c>
      <c r="G69" s="888">
        <f t="shared" si="21"/>
        <v>74.900000000000006</v>
      </c>
      <c r="H69" s="889"/>
    </row>
    <row r="70" spans="2:8" ht="15" customHeight="1" outlineLevel="2" x14ac:dyDescent="0.25">
      <c r="B70" s="873" t="str">
        <f t="shared" si="17"/>
        <v>COBERTURA</v>
      </c>
      <c r="C70" s="885" t="str">
        <f t="shared" si="20"/>
        <v>Lavabo</v>
      </c>
      <c r="D70" s="875" t="s">
        <v>4980</v>
      </c>
      <c r="E70" s="886">
        <v>1</v>
      </c>
      <c r="F70" s="887">
        <v>115.9</v>
      </c>
      <c r="G70" s="888">
        <f t="shared" si="21"/>
        <v>115.9</v>
      </c>
      <c r="H70" s="889"/>
    </row>
    <row r="71" spans="2:8" ht="12.75" customHeight="1" outlineLevel="1" x14ac:dyDescent="0.25">
      <c r="B71" s="873" t="str">
        <f t="shared" si="17"/>
        <v>COBERTURA</v>
      </c>
      <c r="C71" s="867" t="s">
        <v>5003</v>
      </c>
      <c r="D71" s="892" t="s">
        <v>4963</v>
      </c>
      <c r="E71" s="882">
        <v>4.82</v>
      </c>
      <c r="F71" s="883"/>
      <c r="G71" s="884">
        <f>SUM(G72:G77)</f>
        <v>8496.98</v>
      </c>
      <c r="H71" s="893"/>
    </row>
    <row r="72" spans="2:8" ht="15" customHeight="1" outlineLevel="2" x14ac:dyDescent="0.25">
      <c r="B72" s="873" t="str">
        <f t="shared" si="17"/>
        <v>COBERTURA</v>
      </c>
      <c r="C72" s="885" t="str">
        <f t="shared" ref="C72:C77" si="22">C71</f>
        <v>Vestiario</v>
      </c>
      <c r="D72" s="875" t="s">
        <v>4984</v>
      </c>
      <c r="E72" s="886">
        <f>ROUNDUP(E71/10,0)</f>
        <v>1</v>
      </c>
      <c r="F72" s="887">
        <v>400</v>
      </c>
      <c r="G72" s="888">
        <f t="shared" ref="G72:G77" si="23">E72*F72</f>
        <v>400</v>
      </c>
      <c r="H72" s="889"/>
    </row>
    <row r="73" spans="2:8" ht="12.75" customHeight="1" outlineLevel="1" x14ac:dyDescent="0.25">
      <c r="B73" s="873" t="str">
        <f t="shared" si="17"/>
        <v>COBERTURA</v>
      </c>
      <c r="C73" s="885" t="str">
        <f t="shared" si="22"/>
        <v>Vestiario</v>
      </c>
      <c r="D73" s="879" t="s">
        <v>4971</v>
      </c>
      <c r="E73" s="886">
        <v>1</v>
      </c>
      <c r="F73" s="887">
        <f>1500*E71</f>
        <v>7230</v>
      </c>
      <c r="G73" s="888">
        <f t="shared" ref="G73" si="24">F73*E73</f>
        <v>7230</v>
      </c>
      <c r="H73" s="889"/>
    </row>
    <row r="74" spans="2:8" ht="15" customHeight="1" outlineLevel="2" x14ac:dyDescent="0.25">
      <c r="B74" s="873" t="str">
        <f>B72</f>
        <v>COBERTURA</v>
      </c>
      <c r="C74" s="885" t="str">
        <f>C72</f>
        <v>Vestiario</v>
      </c>
      <c r="D74" s="875" t="s">
        <v>4977</v>
      </c>
      <c r="E74" s="886">
        <v>1</v>
      </c>
      <c r="F74" s="887">
        <v>466.28</v>
      </c>
      <c r="G74" s="888">
        <f t="shared" si="23"/>
        <v>466.28</v>
      </c>
      <c r="H74" s="889"/>
    </row>
    <row r="75" spans="2:8" ht="15" customHeight="1" outlineLevel="2" x14ac:dyDescent="0.25">
      <c r="B75" s="873" t="str">
        <f t="shared" si="17"/>
        <v>COBERTURA</v>
      </c>
      <c r="C75" s="885" t="str">
        <f t="shared" si="22"/>
        <v>Vestiario</v>
      </c>
      <c r="D75" s="875" t="s">
        <v>4978</v>
      </c>
      <c r="E75" s="886">
        <v>1</v>
      </c>
      <c r="F75" s="887">
        <v>209.9</v>
      </c>
      <c r="G75" s="888">
        <f t="shared" si="23"/>
        <v>209.9</v>
      </c>
      <c r="H75" s="889"/>
    </row>
    <row r="76" spans="2:8" ht="15" customHeight="1" outlineLevel="2" x14ac:dyDescent="0.25">
      <c r="B76" s="873" t="str">
        <f t="shared" si="17"/>
        <v>COBERTURA</v>
      </c>
      <c r="C76" s="885" t="str">
        <f t="shared" si="22"/>
        <v>Vestiario</v>
      </c>
      <c r="D76" s="875" t="s">
        <v>4979</v>
      </c>
      <c r="E76" s="886">
        <v>1</v>
      </c>
      <c r="F76" s="887">
        <v>74.900000000000006</v>
      </c>
      <c r="G76" s="888">
        <f t="shared" si="23"/>
        <v>74.900000000000006</v>
      </c>
      <c r="H76" s="889"/>
    </row>
    <row r="77" spans="2:8" ht="15" customHeight="1" outlineLevel="2" x14ac:dyDescent="0.25">
      <c r="B77" s="873" t="str">
        <f t="shared" si="17"/>
        <v>COBERTURA</v>
      </c>
      <c r="C77" s="885" t="str">
        <f t="shared" si="22"/>
        <v>Vestiario</v>
      </c>
      <c r="D77" s="875" t="s">
        <v>4980</v>
      </c>
      <c r="E77" s="886">
        <v>1</v>
      </c>
      <c r="F77" s="887">
        <v>115.9</v>
      </c>
      <c r="G77" s="888">
        <f t="shared" si="23"/>
        <v>115.9</v>
      </c>
      <c r="H77" s="889"/>
    </row>
    <row r="78" spans="2:8" ht="15" customHeight="1" outlineLevel="2" x14ac:dyDescent="0.25">
      <c r="B78" s="873" t="str">
        <f t="shared" si="17"/>
        <v>COBERTURA</v>
      </c>
      <c r="C78" s="867" t="s">
        <v>5004</v>
      </c>
      <c r="D78" s="892" t="s">
        <v>4963</v>
      </c>
      <c r="E78" s="882">
        <v>29.48</v>
      </c>
      <c r="F78" s="883"/>
      <c r="G78" s="884">
        <f>SUM(G79:G84)</f>
        <v>48506.04</v>
      </c>
      <c r="H78" s="893"/>
    </row>
    <row r="79" spans="2:8" ht="15" customHeight="1" outlineLevel="2" x14ac:dyDescent="0.25">
      <c r="B79" s="873" t="str">
        <f t="shared" si="17"/>
        <v>COBERTURA</v>
      </c>
      <c r="C79" s="885" t="str">
        <f t="shared" ref="C79:C84" si="25">C78</f>
        <v>Academia</v>
      </c>
      <c r="D79" s="875" t="s">
        <v>5005</v>
      </c>
      <c r="E79" s="886">
        <v>2</v>
      </c>
      <c r="F79" s="887">
        <v>4557</v>
      </c>
      <c r="G79" s="888">
        <f t="shared" ref="G79:G84" si="26">E79*F79</f>
        <v>9114</v>
      </c>
      <c r="H79" s="889"/>
    </row>
    <row r="80" spans="2:8" ht="12.75" customHeight="1" outlineLevel="1" x14ac:dyDescent="0.25">
      <c r="B80" s="873" t="str">
        <f t="shared" si="17"/>
        <v>COBERTURA</v>
      </c>
      <c r="C80" s="885" t="str">
        <f t="shared" si="25"/>
        <v>Academia</v>
      </c>
      <c r="D80" s="879" t="s">
        <v>4971</v>
      </c>
      <c r="E80" s="886">
        <v>1</v>
      </c>
      <c r="F80" s="887">
        <f>E78*1500*0.2</f>
        <v>8844</v>
      </c>
      <c r="G80" s="888">
        <f t="shared" ref="G80" si="27">F80*E80</f>
        <v>8844</v>
      </c>
      <c r="H80" s="889"/>
    </row>
    <row r="81" spans="2:8" ht="12.75" customHeight="1" outlineLevel="1" x14ac:dyDescent="0.25">
      <c r="B81" s="873" t="str">
        <f>B79</f>
        <v>COBERTURA</v>
      </c>
      <c r="C81" s="885" t="str">
        <f>C79</f>
        <v>Academia</v>
      </c>
      <c r="D81" s="875" t="s">
        <v>5006</v>
      </c>
      <c r="E81" s="886">
        <v>1</v>
      </c>
      <c r="F81" s="887">
        <v>2390</v>
      </c>
      <c r="G81" s="888">
        <f t="shared" si="26"/>
        <v>2390</v>
      </c>
      <c r="H81" s="889"/>
    </row>
    <row r="82" spans="2:8" ht="15" customHeight="1" outlineLevel="2" x14ac:dyDescent="0.2">
      <c r="B82" s="873" t="str">
        <f t="shared" si="17"/>
        <v>COBERTURA</v>
      </c>
      <c r="C82" s="874" t="str">
        <f t="shared" si="25"/>
        <v>Academia</v>
      </c>
      <c r="D82" s="875" t="s">
        <v>4964</v>
      </c>
      <c r="E82" s="876">
        <v>1</v>
      </c>
      <c r="F82" s="877">
        <f>(5.63*2.78)*350</f>
        <v>5477.99</v>
      </c>
      <c r="G82" s="888">
        <f t="shared" si="26"/>
        <v>5477.99</v>
      </c>
      <c r="H82" s="878" t="s">
        <v>4965</v>
      </c>
    </row>
    <row r="83" spans="2:8" ht="15" customHeight="1" outlineLevel="2" x14ac:dyDescent="0.25">
      <c r="B83" s="873" t="str">
        <f t="shared" si="17"/>
        <v>COBERTURA</v>
      </c>
      <c r="C83" s="885" t="str">
        <f t="shared" si="25"/>
        <v>Academia</v>
      </c>
      <c r="D83" s="875" t="s">
        <v>5007</v>
      </c>
      <c r="E83" s="886">
        <v>1</v>
      </c>
      <c r="F83" s="887">
        <v>21731</v>
      </c>
      <c r="G83" s="888">
        <f t="shared" si="26"/>
        <v>21731</v>
      </c>
      <c r="H83" s="889"/>
    </row>
    <row r="84" spans="2:8" ht="15" customHeight="1" outlineLevel="2" x14ac:dyDescent="0.25">
      <c r="B84" s="873" t="str">
        <f t="shared" si="17"/>
        <v>COBERTURA</v>
      </c>
      <c r="C84" s="885" t="str">
        <f t="shared" si="25"/>
        <v>Academia</v>
      </c>
      <c r="D84" s="875" t="s">
        <v>5008</v>
      </c>
      <c r="E84" s="886">
        <v>1</v>
      </c>
      <c r="F84" s="887">
        <v>949.05</v>
      </c>
      <c r="G84" s="888">
        <f t="shared" si="26"/>
        <v>949.05</v>
      </c>
      <c r="H84" s="889"/>
    </row>
    <row r="85" spans="2:8" ht="15" customHeight="1" outlineLevel="2" x14ac:dyDescent="0.25">
      <c r="B85" s="873" t="str">
        <f t="shared" si="17"/>
        <v>COBERTURA</v>
      </c>
      <c r="C85" s="867" t="s">
        <v>5009</v>
      </c>
      <c r="D85" s="892" t="s">
        <v>4963</v>
      </c>
      <c r="E85" s="882">
        <v>24.96</v>
      </c>
      <c r="F85" s="883"/>
      <c r="G85" s="884">
        <f>SUM(G86:G89)</f>
        <v>48070.8</v>
      </c>
      <c r="H85" s="893"/>
    </row>
    <row r="86" spans="2:8" ht="15" customHeight="1" outlineLevel="2" x14ac:dyDescent="0.25">
      <c r="B86" s="873" t="str">
        <f t="shared" si="17"/>
        <v>COBERTURA</v>
      </c>
      <c r="C86" s="874" t="s">
        <v>5009</v>
      </c>
      <c r="D86" s="875" t="s">
        <v>4984</v>
      </c>
      <c r="E86" s="886">
        <v>8</v>
      </c>
      <c r="F86" s="887">
        <v>400</v>
      </c>
      <c r="G86" s="888">
        <f t="shared" ref="G86:G89" si="28">E86*F86</f>
        <v>3200</v>
      </c>
      <c r="H86" s="889"/>
    </row>
    <row r="87" spans="2:8" ht="15" customHeight="1" outlineLevel="2" x14ac:dyDescent="0.25">
      <c r="B87" s="873" t="str">
        <f t="shared" si="17"/>
        <v>COBERTURA</v>
      </c>
      <c r="C87" s="874" t="s">
        <v>5009</v>
      </c>
      <c r="D87" s="875" t="s">
        <v>4971</v>
      </c>
      <c r="E87" s="886">
        <v>2</v>
      </c>
      <c r="F87" s="887">
        <f>E85*1500*0.4</f>
        <v>14976</v>
      </c>
      <c r="G87" s="888">
        <f t="shared" si="28"/>
        <v>29952</v>
      </c>
      <c r="H87" s="889"/>
    </row>
    <row r="88" spans="2:8" ht="15" customHeight="1" outlineLevel="2" x14ac:dyDescent="0.25">
      <c r="B88" s="873" t="str">
        <f t="shared" si="17"/>
        <v>COBERTURA</v>
      </c>
      <c r="C88" s="874" t="s">
        <v>5009</v>
      </c>
      <c r="D88" s="875" t="s">
        <v>4998</v>
      </c>
      <c r="E88" s="886">
        <v>12</v>
      </c>
      <c r="F88" s="887">
        <v>889.9</v>
      </c>
      <c r="G88" s="888">
        <f t="shared" si="28"/>
        <v>10678.8</v>
      </c>
      <c r="H88" s="889"/>
    </row>
    <row r="89" spans="2:8" ht="15" customHeight="1" outlineLevel="2" x14ac:dyDescent="0.25">
      <c r="B89" s="873" t="str">
        <f t="shared" si="17"/>
        <v>COBERTURA</v>
      </c>
      <c r="C89" s="874" t="s">
        <v>5009</v>
      </c>
      <c r="D89" s="875" t="s">
        <v>5001</v>
      </c>
      <c r="E89" s="894">
        <v>1</v>
      </c>
      <c r="F89" s="895">
        <v>4240</v>
      </c>
      <c r="G89" s="888">
        <f t="shared" si="28"/>
        <v>4240</v>
      </c>
      <c r="H89" s="896"/>
    </row>
    <row r="90" spans="2:8" ht="15" customHeight="1" outlineLevel="2" x14ac:dyDescent="0.25">
      <c r="B90" s="873" t="str">
        <f t="shared" si="17"/>
        <v>COBERTURA</v>
      </c>
      <c r="C90" s="897" t="s">
        <v>1106</v>
      </c>
      <c r="D90" s="892" t="s">
        <v>4963</v>
      </c>
      <c r="E90" s="882">
        <f>4.02*(6.395+4.7+1.23)</f>
        <v>49.546499999999995</v>
      </c>
      <c r="F90" s="883"/>
      <c r="G90" s="884">
        <f>SUM(G91:G92)</f>
        <v>6792</v>
      </c>
      <c r="H90" s="893"/>
    </row>
    <row r="91" spans="2:8" ht="15" customHeight="1" outlineLevel="2" x14ac:dyDescent="0.25">
      <c r="B91" s="873" t="str">
        <f t="shared" si="17"/>
        <v>COBERTURA</v>
      </c>
      <c r="C91" s="885" t="str">
        <f t="shared" ref="C91:C92" si="29">C90</f>
        <v>Deck</v>
      </c>
      <c r="D91" s="875" t="s">
        <v>4984</v>
      </c>
      <c r="E91" s="886">
        <f>ROUND(E78/10,0)</f>
        <v>3</v>
      </c>
      <c r="F91" s="891">
        <v>400</v>
      </c>
      <c r="G91" s="888">
        <f t="shared" ref="G91:G92" si="30">F91*E91</f>
        <v>1200</v>
      </c>
      <c r="H91" s="889"/>
    </row>
    <row r="92" spans="2:8" ht="15" customHeight="1" outlineLevel="2" x14ac:dyDescent="0.25">
      <c r="B92" s="873" t="str">
        <f t="shared" si="17"/>
        <v>COBERTURA</v>
      </c>
      <c r="C92" s="885" t="str">
        <f t="shared" si="29"/>
        <v>Deck</v>
      </c>
      <c r="D92" s="875" t="s">
        <v>5010</v>
      </c>
      <c r="E92" s="886">
        <v>2</v>
      </c>
      <c r="F92" s="887">
        <v>2796</v>
      </c>
      <c r="G92" s="888">
        <f t="shared" si="30"/>
        <v>5592</v>
      </c>
      <c r="H92" s="889"/>
    </row>
  </sheetData>
  <autoFilter ref="B11:H92" xr:uid="{00000000-0009-0000-0000-00001C000000}"/>
  <mergeCells count="1">
    <mergeCell ref="B4:H4"/>
  </mergeCells>
  <pageMargins left="0.511811024" right="0.511811024" top="0.78740157499999996" bottom="0.78740157499999996" header="0" footer="0"/>
  <pageSetup paperSize="9" fitToWidth="0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1851D6"/>
    <pageSetUpPr fitToPage="1"/>
  </sheetPr>
  <dimension ref="C1:Q51"/>
  <sheetViews>
    <sheetView showGridLines="0" workbookViewId="0">
      <pane xSplit="6" ySplit="8" topLeftCell="G9" activePane="bottomRight" state="frozen"/>
      <selection pane="topRight" activeCell="G1" sqref="G1"/>
      <selection pane="bottomLeft" activeCell="A9" sqref="A9"/>
      <selection pane="bottomRight" activeCell="D7" sqref="D7:D8"/>
    </sheetView>
  </sheetViews>
  <sheetFormatPr defaultColWidth="12.5703125" defaultRowHeight="15" customHeight="1" x14ac:dyDescent="0.2"/>
  <cols>
    <col min="1" max="1" width="2.28515625" customWidth="1"/>
    <col min="2" max="2" width="1.28515625" customWidth="1"/>
    <col min="3" max="3" width="22.85546875" customWidth="1"/>
    <col min="4" max="4" width="42.85546875" customWidth="1"/>
    <col min="5" max="5" width="14.28515625" customWidth="1"/>
    <col min="6" max="6" width="12.85546875" customWidth="1"/>
    <col min="7" max="14" width="17.7109375" customWidth="1"/>
    <col min="15" max="15" width="14.140625" customWidth="1"/>
    <col min="16" max="16" width="17.7109375" customWidth="1"/>
    <col min="17" max="17" width="21.28515625" customWidth="1"/>
    <col min="18" max="24" width="8.85546875" customWidth="1"/>
    <col min="25" max="26" width="14.28515625" customWidth="1"/>
  </cols>
  <sheetData>
    <row r="1" spans="3:16" ht="12.75" x14ac:dyDescent="0.2">
      <c r="C1" s="1" t="s">
        <v>69</v>
      </c>
      <c r="D1" s="2" t="str">
        <f>'Obra '!D1</f>
        <v>Mosaico</v>
      </c>
      <c r="E1" s="2"/>
      <c r="F1" s="2"/>
      <c r="G1" s="2"/>
      <c r="H1" s="2"/>
      <c r="I1" s="2"/>
      <c r="J1" s="2"/>
      <c r="K1" s="2"/>
      <c r="L1" s="2"/>
      <c r="M1" s="1162"/>
      <c r="N1" s="1163"/>
      <c r="O1" s="1163"/>
      <c r="P1" s="1164"/>
    </row>
    <row r="2" spans="3:16" ht="12.75" x14ac:dyDescent="0.2">
      <c r="C2" s="898" t="s">
        <v>2</v>
      </c>
      <c r="D2" s="2" t="str">
        <f>'Obra '!D2</f>
        <v>Grupo DUO</v>
      </c>
      <c r="E2" s="899"/>
      <c r="F2" s="899"/>
      <c r="G2" s="899"/>
      <c r="H2" s="899"/>
      <c r="I2" s="899"/>
      <c r="J2" s="899"/>
      <c r="K2" s="899"/>
      <c r="L2" s="899"/>
      <c r="M2" s="1073"/>
      <c r="N2" s="1163"/>
      <c r="O2" s="1163"/>
      <c r="P2" s="1164"/>
    </row>
    <row r="3" spans="3:16" ht="12.75" x14ac:dyDescent="0.2">
      <c r="C3" s="898" t="s">
        <v>5011</v>
      </c>
      <c r="D3" s="900"/>
      <c r="E3" s="900"/>
      <c r="F3" s="900"/>
      <c r="G3" s="900"/>
      <c r="H3" s="900"/>
      <c r="I3" s="900"/>
      <c r="J3" s="900"/>
      <c r="K3" s="900"/>
      <c r="L3" s="900"/>
      <c r="M3" s="1073"/>
      <c r="N3" s="1163"/>
      <c r="O3" s="1163"/>
      <c r="P3" s="1164"/>
    </row>
    <row r="4" spans="3:16" ht="12.75" x14ac:dyDescent="0.2">
      <c r="C4" s="901" t="s">
        <v>4</v>
      </c>
      <c r="D4" s="902" t="s">
        <v>4441</v>
      </c>
      <c r="E4" s="902"/>
      <c r="F4" s="902"/>
      <c r="G4" s="902"/>
      <c r="H4" s="902"/>
      <c r="I4" s="902"/>
      <c r="J4" s="902"/>
      <c r="K4" s="902"/>
      <c r="L4" s="902"/>
      <c r="M4" s="1073"/>
      <c r="N4" s="1163"/>
      <c r="O4" s="1163"/>
      <c r="P4" s="1164"/>
    </row>
    <row r="5" spans="3:16" ht="12.75" customHeight="1" x14ac:dyDescent="0.2">
      <c r="C5" s="1165" t="s">
        <v>5012</v>
      </c>
      <c r="D5" s="1098"/>
      <c r="E5" s="1098"/>
      <c r="F5" s="1098"/>
      <c r="G5" s="1098"/>
      <c r="H5" s="1098"/>
      <c r="I5" s="1098"/>
      <c r="J5" s="1098"/>
      <c r="K5" s="1098"/>
      <c r="L5" s="1098"/>
      <c r="M5" s="1098"/>
      <c r="N5" s="1098"/>
      <c r="O5" s="1098"/>
      <c r="P5" s="1145"/>
    </row>
    <row r="6" spans="3:16" ht="20.25" customHeight="1" x14ac:dyDescent="0.2">
      <c r="C6" s="1166"/>
      <c r="D6" s="1063"/>
      <c r="E6" s="1063"/>
      <c r="F6" s="1064"/>
      <c r="G6" s="1167" t="s">
        <v>5013</v>
      </c>
      <c r="H6" s="1149"/>
      <c r="I6" s="1149"/>
      <c r="J6" s="1149"/>
      <c r="K6" s="1149"/>
      <c r="L6" s="1149"/>
      <c r="M6" s="1149"/>
      <c r="N6" s="1108"/>
      <c r="O6" s="1168" t="s">
        <v>128</v>
      </c>
      <c r="P6" s="1168" t="s">
        <v>238</v>
      </c>
    </row>
    <row r="7" spans="3:16" ht="12.75" customHeight="1" x14ac:dyDescent="0.2">
      <c r="C7" s="1169" t="s">
        <v>5014</v>
      </c>
      <c r="D7" s="1172" t="s">
        <v>5015</v>
      </c>
      <c r="E7" s="1172" t="s">
        <v>5016</v>
      </c>
      <c r="F7" s="1174" t="s">
        <v>5017</v>
      </c>
      <c r="G7" s="903" t="s">
        <v>4314</v>
      </c>
      <c r="H7" s="903" t="s">
        <v>5018</v>
      </c>
      <c r="I7" s="903" t="s">
        <v>5019</v>
      </c>
      <c r="J7" s="903" t="s">
        <v>5020</v>
      </c>
      <c r="K7" s="904" t="s">
        <v>5021</v>
      </c>
      <c r="L7" s="905" t="s">
        <v>5022</v>
      </c>
      <c r="M7" s="905" t="s">
        <v>5023</v>
      </c>
      <c r="N7" s="906" t="s">
        <v>5024</v>
      </c>
      <c r="O7" s="1082"/>
      <c r="P7" s="1082"/>
    </row>
    <row r="8" spans="3:16" ht="12.75" customHeight="1" x14ac:dyDescent="0.2">
      <c r="C8" s="1170"/>
      <c r="D8" s="1173"/>
      <c r="E8" s="1173"/>
      <c r="F8" s="1102"/>
      <c r="G8" s="907">
        <v>1</v>
      </c>
      <c r="H8" s="908">
        <v>1</v>
      </c>
      <c r="I8" s="908">
        <v>1</v>
      </c>
      <c r="J8" s="908">
        <v>1</v>
      </c>
      <c r="K8" s="908">
        <v>3</v>
      </c>
      <c r="L8" s="908">
        <v>4</v>
      </c>
      <c r="M8" s="909">
        <v>1</v>
      </c>
      <c r="N8" s="910">
        <v>1</v>
      </c>
      <c r="O8" s="911"/>
      <c r="P8" s="912"/>
    </row>
    <row r="9" spans="3:16" ht="12.75" customHeight="1" x14ac:dyDescent="0.2">
      <c r="C9" s="1171" t="s">
        <v>5081</v>
      </c>
      <c r="D9" s="1098"/>
      <c r="E9" s="1098"/>
      <c r="F9" s="1098"/>
      <c r="G9" s="1098"/>
      <c r="H9" s="1098"/>
      <c r="I9" s="1098"/>
      <c r="J9" s="1098"/>
      <c r="K9" s="1098"/>
      <c r="L9" s="1098"/>
      <c r="M9" s="1098"/>
      <c r="N9" s="1098"/>
      <c r="O9" s="1099"/>
      <c r="P9" s="913">
        <f>SUM(P10:P25)</f>
        <v>130606.374</v>
      </c>
    </row>
    <row r="10" spans="3:16" ht="12.75" customHeight="1" x14ac:dyDescent="0.2">
      <c r="C10" s="914" t="s">
        <v>5025</v>
      </c>
      <c r="D10" s="915" t="s">
        <v>707</v>
      </c>
      <c r="E10" s="916" t="s">
        <v>88</v>
      </c>
      <c r="F10" s="917">
        <f t="shared" ref="F10:F47" si="0">SUMPRODUCT($G$8:$N$8,$G10:$N10)</f>
        <v>112</v>
      </c>
      <c r="G10" s="918">
        <v>1</v>
      </c>
      <c r="H10" s="919"/>
      <c r="I10" s="919">
        <v>10</v>
      </c>
      <c r="J10" s="919">
        <v>10</v>
      </c>
      <c r="K10" s="919">
        <v>12</v>
      </c>
      <c r="L10" s="919">
        <v>10</v>
      </c>
      <c r="M10" s="920">
        <v>14</v>
      </c>
      <c r="N10" s="920">
        <v>1</v>
      </c>
      <c r="O10" s="921">
        <v>963.5</v>
      </c>
      <c r="P10" s="921">
        <f t="shared" ref="P10:P47" si="1">O10*F10</f>
        <v>107912</v>
      </c>
    </row>
    <row r="11" spans="3:16" ht="12.75" customHeight="1" x14ac:dyDescent="0.2">
      <c r="C11" s="922" t="s">
        <v>5025</v>
      </c>
      <c r="D11" s="923" t="s">
        <v>708</v>
      </c>
      <c r="E11" s="924" t="s">
        <v>88</v>
      </c>
      <c r="F11" s="917">
        <f t="shared" si="0"/>
        <v>3</v>
      </c>
      <c r="G11" s="925">
        <v>2</v>
      </c>
      <c r="H11" s="926"/>
      <c r="I11" s="926"/>
      <c r="J11" s="926"/>
      <c r="K11" s="926"/>
      <c r="L11" s="926"/>
      <c r="M11" s="927"/>
      <c r="N11" s="927">
        <v>1</v>
      </c>
      <c r="O11" s="921">
        <v>1177.47</v>
      </c>
      <c r="P11" s="921">
        <f t="shared" si="1"/>
        <v>3532.41</v>
      </c>
    </row>
    <row r="12" spans="3:16" ht="12.75" customHeight="1" x14ac:dyDescent="0.2">
      <c r="C12" s="922" t="s">
        <v>5025</v>
      </c>
      <c r="D12" s="923" t="s">
        <v>710</v>
      </c>
      <c r="E12" s="924" t="s">
        <v>88</v>
      </c>
      <c r="F12" s="917">
        <f t="shared" si="0"/>
        <v>0</v>
      </c>
      <c r="G12" s="925"/>
      <c r="H12" s="926"/>
      <c r="I12" s="926"/>
      <c r="J12" s="926"/>
      <c r="K12" s="926"/>
      <c r="L12" s="926"/>
      <c r="M12" s="927"/>
      <c r="N12" s="927"/>
      <c r="O12" s="921"/>
      <c r="P12" s="921">
        <f t="shared" si="1"/>
        <v>0</v>
      </c>
    </row>
    <row r="13" spans="3:16" ht="12.75" customHeight="1" x14ac:dyDescent="0.2">
      <c r="C13" s="928" t="s">
        <v>5025</v>
      </c>
      <c r="D13" s="929" t="s">
        <v>709</v>
      </c>
      <c r="E13" s="930" t="s">
        <v>88</v>
      </c>
      <c r="F13" s="917">
        <f t="shared" si="0"/>
        <v>2</v>
      </c>
      <c r="G13" s="931">
        <v>1</v>
      </c>
      <c r="H13" s="932"/>
      <c r="I13" s="932"/>
      <c r="J13" s="932"/>
      <c r="K13" s="932"/>
      <c r="L13" s="932"/>
      <c r="M13" s="933"/>
      <c r="N13" s="933">
        <v>1</v>
      </c>
      <c r="O13" s="921">
        <v>513.79</v>
      </c>
      <c r="P13" s="921">
        <f t="shared" si="1"/>
        <v>1027.58</v>
      </c>
    </row>
    <row r="14" spans="3:16" ht="12.75" customHeight="1" x14ac:dyDescent="0.2">
      <c r="C14" s="928" t="s">
        <v>5025</v>
      </c>
      <c r="D14" s="929" t="s">
        <v>5026</v>
      </c>
      <c r="E14" s="930" t="s">
        <v>88</v>
      </c>
      <c r="F14" s="917">
        <f t="shared" si="0"/>
        <v>0</v>
      </c>
      <c r="G14" s="931"/>
      <c r="H14" s="932"/>
      <c r="I14" s="932"/>
      <c r="J14" s="932"/>
      <c r="K14" s="932"/>
      <c r="L14" s="932"/>
      <c r="M14" s="933"/>
      <c r="N14" s="933"/>
      <c r="O14" s="921"/>
      <c r="P14" s="921">
        <f t="shared" si="1"/>
        <v>0</v>
      </c>
    </row>
    <row r="15" spans="3:16" ht="12.75" customHeight="1" x14ac:dyDescent="0.2">
      <c r="C15" s="928" t="s">
        <v>5025</v>
      </c>
      <c r="D15" s="929" t="s">
        <v>5027</v>
      </c>
      <c r="E15" s="930" t="s">
        <v>88</v>
      </c>
      <c r="F15" s="917">
        <f t="shared" si="0"/>
        <v>3</v>
      </c>
      <c r="G15" s="931">
        <v>2</v>
      </c>
      <c r="H15" s="932"/>
      <c r="I15" s="932"/>
      <c r="J15" s="932"/>
      <c r="K15" s="932"/>
      <c r="L15" s="932"/>
      <c r="M15" s="933"/>
      <c r="N15" s="933">
        <v>1</v>
      </c>
      <c r="O15" s="921">
        <v>721.06</v>
      </c>
      <c r="P15" s="921">
        <f t="shared" si="1"/>
        <v>2163.1799999999998</v>
      </c>
    </row>
    <row r="16" spans="3:16" ht="12.75" customHeight="1" x14ac:dyDescent="0.2">
      <c r="C16" s="928" t="s">
        <v>5025</v>
      </c>
      <c r="D16" s="929" t="s">
        <v>711</v>
      </c>
      <c r="E16" s="930" t="s">
        <v>88</v>
      </c>
      <c r="F16" s="917">
        <f t="shared" si="0"/>
        <v>2</v>
      </c>
      <c r="G16" s="931"/>
      <c r="H16" s="932"/>
      <c r="I16" s="932"/>
      <c r="J16" s="932"/>
      <c r="K16" s="932"/>
      <c r="L16" s="932"/>
      <c r="M16" s="933"/>
      <c r="N16" s="933">
        <v>2</v>
      </c>
      <c r="O16" s="921">
        <v>5845.2219999999998</v>
      </c>
      <c r="P16" s="921">
        <f t="shared" si="1"/>
        <v>11690.444</v>
      </c>
    </row>
    <row r="17" spans="3:16" ht="12.75" customHeight="1" x14ac:dyDescent="0.2">
      <c r="C17" s="928" t="s">
        <v>5025</v>
      </c>
      <c r="D17" s="929" t="s">
        <v>712</v>
      </c>
      <c r="E17" s="930" t="s">
        <v>88</v>
      </c>
      <c r="F17" s="917">
        <f t="shared" si="0"/>
        <v>0</v>
      </c>
      <c r="G17" s="931"/>
      <c r="H17" s="932"/>
      <c r="I17" s="932"/>
      <c r="J17" s="932"/>
      <c r="K17" s="932"/>
      <c r="L17" s="932"/>
      <c r="M17" s="933"/>
      <c r="N17" s="933"/>
      <c r="O17" s="921"/>
      <c r="P17" s="921">
        <f t="shared" si="1"/>
        <v>0</v>
      </c>
    </row>
    <row r="18" spans="3:16" ht="12.75" customHeight="1" x14ac:dyDescent="0.2">
      <c r="C18" s="928" t="s">
        <v>5025</v>
      </c>
      <c r="D18" s="929" t="s">
        <v>5028</v>
      </c>
      <c r="E18" s="930" t="s">
        <v>88</v>
      </c>
      <c r="F18" s="917">
        <f t="shared" si="0"/>
        <v>0</v>
      </c>
      <c r="G18" s="931"/>
      <c r="H18" s="932"/>
      <c r="I18" s="932"/>
      <c r="J18" s="932"/>
      <c r="K18" s="932"/>
      <c r="L18" s="932"/>
      <c r="M18" s="933"/>
      <c r="N18" s="933"/>
      <c r="O18" s="921"/>
      <c r="P18" s="921">
        <f t="shared" si="1"/>
        <v>0</v>
      </c>
    </row>
    <row r="19" spans="3:16" ht="12.75" customHeight="1" x14ac:dyDescent="0.2">
      <c r="C19" s="928" t="s">
        <v>5025</v>
      </c>
      <c r="D19" s="929" t="s">
        <v>5029</v>
      </c>
      <c r="E19" s="930" t="s">
        <v>88</v>
      </c>
      <c r="F19" s="917">
        <f t="shared" si="0"/>
        <v>0</v>
      </c>
      <c r="G19" s="931"/>
      <c r="H19" s="932"/>
      <c r="I19" s="932"/>
      <c r="J19" s="932"/>
      <c r="K19" s="932"/>
      <c r="L19" s="932"/>
      <c r="M19" s="933"/>
      <c r="N19" s="933"/>
      <c r="O19" s="921"/>
      <c r="P19" s="921">
        <f t="shared" si="1"/>
        <v>0</v>
      </c>
    </row>
    <row r="20" spans="3:16" ht="12.75" customHeight="1" x14ac:dyDescent="0.2">
      <c r="C20" s="928" t="s">
        <v>5025</v>
      </c>
      <c r="D20" s="929" t="s">
        <v>714</v>
      </c>
      <c r="E20" s="930" t="s">
        <v>88</v>
      </c>
      <c r="F20" s="917">
        <f t="shared" si="0"/>
        <v>0</v>
      </c>
      <c r="G20" s="931"/>
      <c r="H20" s="932"/>
      <c r="I20" s="932"/>
      <c r="J20" s="932"/>
      <c r="K20" s="932"/>
      <c r="L20" s="932"/>
      <c r="M20" s="933"/>
      <c r="N20" s="933"/>
      <c r="O20" s="921"/>
      <c r="P20" s="921">
        <f t="shared" si="1"/>
        <v>0</v>
      </c>
    </row>
    <row r="21" spans="3:16" ht="12.75" customHeight="1" x14ac:dyDescent="0.2">
      <c r="C21" s="928" t="s">
        <v>5025</v>
      </c>
      <c r="D21" s="929" t="s">
        <v>5030</v>
      </c>
      <c r="E21" s="930" t="s">
        <v>88</v>
      </c>
      <c r="F21" s="917">
        <f t="shared" si="0"/>
        <v>0</v>
      </c>
      <c r="G21" s="931"/>
      <c r="H21" s="932"/>
      <c r="I21" s="932"/>
      <c r="J21" s="932"/>
      <c r="K21" s="932"/>
      <c r="L21" s="932"/>
      <c r="M21" s="933"/>
      <c r="N21" s="933"/>
      <c r="O21" s="921"/>
      <c r="P21" s="921">
        <f t="shared" si="1"/>
        <v>0</v>
      </c>
    </row>
    <row r="22" spans="3:16" ht="12.75" customHeight="1" x14ac:dyDescent="0.2">
      <c r="C22" s="928" t="s">
        <v>5025</v>
      </c>
      <c r="D22" s="929" t="s">
        <v>5031</v>
      </c>
      <c r="E22" s="930" t="s">
        <v>88</v>
      </c>
      <c r="F22" s="917">
        <f t="shared" si="0"/>
        <v>0</v>
      </c>
      <c r="G22" s="931"/>
      <c r="H22" s="932"/>
      <c r="I22" s="932"/>
      <c r="J22" s="932"/>
      <c r="K22" s="932"/>
      <c r="L22" s="932"/>
      <c r="M22" s="933"/>
      <c r="N22" s="933"/>
      <c r="O22" s="921"/>
      <c r="P22" s="921">
        <f t="shared" si="1"/>
        <v>0</v>
      </c>
    </row>
    <row r="23" spans="3:16" ht="12.75" customHeight="1" x14ac:dyDescent="0.2">
      <c r="C23" s="928" t="s">
        <v>5025</v>
      </c>
      <c r="D23" s="929" t="s">
        <v>713</v>
      </c>
      <c r="E23" s="930" t="s">
        <v>88</v>
      </c>
      <c r="F23" s="917">
        <f t="shared" si="0"/>
        <v>3</v>
      </c>
      <c r="G23" s="931">
        <v>3</v>
      </c>
      <c r="H23" s="932"/>
      <c r="I23" s="932"/>
      <c r="J23" s="932"/>
      <c r="K23" s="932"/>
      <c r="L23" s="932"/>
      <c r="M23" s="933"/>
      <c r="N23" s="933"/>
      <c r="O23" s="921">
        <v>1426.92</v>
      </c>
      <c r="P23" s="921">
        <f t="shared" si="1"/>
        <v>4280.76</v>
      </c>
    </row>
    <row r="24" spans="3:16" ht="12.75" customHeight="1" x14ac:dyDescent="0.2">
      <c r="C24" s="928" t="s">
        <v>5025</v>
      </c>
      <c r="D24" s="929" t="s">
        <v>5032</v>
      </c>
      <c r="E24" s="930" t="s">
        <v>88</v>
      </c>
      <c r="F24" s="917">
        <f t="shared" si="0"/>
        <v>0</v>
      </c>
      <c r="G24" s="931"/>
      <c r="H24" s="932"/>
      <c r="I24" s="932"/>
      <c r="J24" s="932"/>
      <c r="K24" s="932"/>
      <c r="L24" s="932"/>
      <c r="M24" s="933"/>
      <c r="N24" s="933"/>
      <c r="O24" s="921"/>
      <c r="P24" s="921">
        <f t="shared" si="1"/>
        <v>0</v>
      </c>
    </row>
    <row r="25" spans="3:16" ht="12.75" customHeight="1" x14ac:dyDescent="0.2">
      <c r="C25" s="928" t="s">
        <v>5025</v>
      </c>
      <c r="D25" s="929" t="s">
        <v>5033</v>
      </c>
      <c r="E25" s="930" t="s">
        <v>88</v>
      </c>
      <c r="F25" s="917">
        <f t="shared" si="0"/>
        <v>0</v>
      </c>
      <c r="G25" s="931"/>
      <c r="H25" s="932"/>
      <c r="I25" s="932"/>
      <c r="J25" s="932"/>
      <c r="K25" s="932"/>
      <c r="L25" s="932"/>
      <c r="M25" s="933"/>
      <c r="N25" s="933"/>
      <c r="O25" s="921"/>
      <c r="P25" s="921">
        <f t="shared" si="1"/>
        <v>0</v>
      </c>
    </row>
    <row r="26" spans="3:16" ht="12.75" customHeight="1" x14ac:dyDescent="0.2">
      <c r="C26" s="1171" t="s">
        <v>5082</v>
      </c>
      <c r="D26" s="1098"/>
      <c r="E26" s="1098"/>
      <c r="F26" s="1098"/>
      <c r="G26" s="1098"/>
      <c r="H26" s="1098"/>
      <c r="I26" s="1098"/>
      <c r="J26" s="1098"/>
      <c r="K26" s="1098"/>
      <c r="L26" s="1098"/>
      <c r="M26" s="1098"/>
      <c r="N26" s="1098"/>
      <c r="O26" s="1099"/>
      <c r="P26" s="913">
        <f>SUM(P27:P43)</f>
        <v>68096.679999999993</v>
      </c>
    </row>
    <row r="27" spans="3:16" ht="12.75" customHeight="1" x14ac:dyDescent="0.2">
      <c r="C27" s="922" t="s">
        <v>5034</v>
      </c>
      <c r="D27" s="923" t="s">
        <v>723</v>
      </c>
      <c r="E27" s="924" t="s">
        <v>88</v>
      </c>
      <c r="F27" s="917">
        <f t="shared" si="0"/>
        <v>2</v>
      </c>
      <c r="G27" s="934">
        <v>1</v>
      </c>
      <c r="H27" s="935"/>
      <c r="I27" s="935"/>
      <c r="J27" s="935"/>
      <c r="K27" s="935"/>
      <c r="L27" s="935"/>
      <c r="M27" s="936"/>
      <c r="N27" s="936">
        <v>1</v>
      </c>
      <c r="O27" s="921">
        <v>1183.51</v>
      </c>
      <c r="P27" s="921">
        <f t="shared" si="1"/>
        <v>2367.02</v>
      </c>
    </row>
    <row r="28" spans="3:16" ht="12.75" customHeight="1" x14ac:dyDescent="0.2">
      <c r="C28" s="922" t="s">
        <v>5034</v>
      </c>
      <c r="D28" s="923" t="s">
        <v>724</v>
      </c>
      <c r="E28" s="924" t="s">
        <v>88</v>
      </c>
      <c r="F28" s="917">
        <f t="shared" si="0"/>
        <v>3</v>
      </c>
      <c r="G28" s="934"/>
      <c r="H28" s="935"/>
      <c r="I28" s="935">
        <v>2</v>
      </c>
      <c r="J28" s="935"/>
      <c r="K28" s="935"/>
      <c r="L28" s="935"/>
      <c r="M28" s="936"/>
      <c r="N28" s="936">
        <v>1</v>
      </c>
      <c r="O28" s="921">
        <v>896.32</v>
      </c>
      <c r="P28" s="921">
        <f t="shared" si="1"/>
        <v>2688.96</v>
      </c>
    </row>
    <row r="29" spans="3:16" ht="12.75" customHeight="1" x14ac:dyDescent="0.2">
      <c r="C29" s="922" t="s">
        <v>5034</v>
      </c>
      <c r="D29" s="923" t="s">
        <v>717</v>
      </c>
      <c r="E29" s="924" t="s">
        <v>88</v>
      </c>
      <c r="F29" s="917">
        <f t="shared" si="0"/>
        <v>5</v>
      </c>
      <c r="G29" s="934">
        <v>1</v>
      </c>
      <c r="H29" s="935">
        <v>1</v>
      </c>
      <c r="I29" s="935">
        <v>2</v>
      </c>
      <c r="J29" s="935"/>
      <c r="K29" s="935"/>
      <c r="L29" s="935"/>
      <c r="M29" s="936"/>
      <c r="N29" s="936">
        <v>1</v>
      </c>
      <c r="O29" s="921">
        <v>24.61</v>
      </c>
      <c r="P29" s="921">
        <f t="shared" si="1"/>
        <v>123.05</v>
      </c>
    </row>
    <row r="30" spans="3:16" ht="12.75" customHeight="1" x14ac:dyDescent="0.2">
      <c r="C30" s="922" t="s">
        <v>5034</v>
      </c>
      <c r="D30" s="923" t="s">
        <v>718</v>
      </c>
      <c r="E30" s="924" t="s">
        <v>88</v>
      </c>
      <c r="F30" s="917">
        <f t="shared" si="0"/>
        <v>2</v>
      </c>
      <c r="G30" s="934">
        <v>0</v>
      </c>
      <c r="H30" s="935"/>
      <c r="I30" s="935"/>
      <c r="J30" s="935"/>
      <c r="K30" s="935"/>
      <c r="L30" s="935"/>
      <c r="M30" s="936"/>
      <c r="N30" s="936">
        <v>2</v>
      </c>
      <c r="O30" s="921">
        <v>255.9</v>
      </c>
      <c r="P30" s="921">
        <f t="shared" si="1"/>
        <v>511.8</v>
      </c>
    </row>
    <row r="31" spans="3:16" ht="12.75" customHeight="1" x14ac:dyDescent="0.2">
      <c r="C31" s="922" t="s">
        <v>5034</v>
      </c>
      <c r="D31" s="923" t="s">
        <v>716</v>
      </c>
      <c r="E31" s="924" t="s">
        <v>88</v>
      </c>
      <c r="F31" s="917">
        <f t="shared" si="0"/>
        <v>3</v>
      </c>
      <c r="G31" s="934">
        <v>3</v>
      </c>
      <c r="H31" s="935"/>
      <c r="I31" s="935"/>
      <c r="J31" s="935"/>
      <c r="K31" s="935"/>
      <c r="L31" s="935"/>
      <c r="M31" s="936"/>
      <c r="N31" s="936">
        <v>0</v>
      </c>
      <c r="O31" s="921">
        <v>154</v>
      </c>
      <c r="P31" s="921">
        <f t="shared" si="1"/>
        <v>462</v>
      </c>
    </row>
    <row r="32" spans="3:16" ht="12.75" customHeight="1" x14ac:dyDescent="0.2">
      <c r="C32" s="922" t="s">
        <v>5034</v>
      </c>
      <c r="D32" s="923" t="s">
        <v>715</v>
      </c>
      <c r="E32" s="924" t="s">
        <v>88</v>
      </c>
      <c r="F32" s="917">
        <f t="shared" si="0"/>
        <v>5</v>
      </c>
      <c r="G32" s="934">
        <v>3</v>
      </c>
      <c r="H32" s="935"/>
      <c r="I32" s="935"/>
      <c r="J32" s="935"/>
      <c r="K32" s="935"/>
      <c r="L32" s="935"/>
      <c r="M32" s="936"/>
      <c r="N32" s="936">
        <v>2</v>
      </c>
      <c r="O32" s="921">
        <v>1054.93</v>
      </c>
      <c r="P32" s="921">
        <f t="shared" si="1"/>
        <v>5274.6500000000005</v>
      </c>
    </row>
    <row r="33" spans="3:17" ht="12.75" customHeight="1" x14ac:dyDescent="0.2">
      <c r="C33" s="922" t="s">
        <v>5034</v>
      </c>
      <c r="D33" s="923" t="s">
        <v>722</v>
      </c>
      <c r="E33" s="924" t="s">
        <v>88</v>
      </c>
      <c r="F33" s="917">
        <f t="shared" si="0"/>
        <v>24</v>
      </c>
      <c r="G33" s="934">
        <v>16</v>
      </c>
      <c r="H33" s="935"/>
      <c r="I33" s="935"/>
      <c r="J33" s="935"/>
      <c r="K33" s="935"/>
      <c r="L33" s="935"/>
      <c r="M33" s="936"/>
      <c r="N33" s="936">
        <v>8</v>
      </c>
      <c r="O33" s="921">
        <v>84.8</v>
      </c>
      <c r="P33" s="921">
        <f t="shared" si="1"/>
        <v>2035.1999999999998</v>
      </c>
    </row>
    <row r="34" spans="3:17" ht="12.75" customHeight="1" x14ac:dyDescent="0.2">
      <c r="C34" s="922" t="s">
        <v>5034</v>
      </c>
      <c r="D34" s="923" t="s">
        <v>720</v>
      </c>
      <c r="E34" s="924" t="s">
        <v>88</v>
      </c>
      <c r="F34" s="917">
        <f t="shared" si="0"/>
        <v>216</v>
      </c>
      <c r="G34" s="934">
        <v>6</v>
      </c>
      <c r="H34" s="935">
        <v>0</v>
      </c>
      <c r="I34" s="935">
        <v>21</v>
      </c>
      <c r="J34" s="935">
        <v>20</v>
      </c>
      <c r="K34" s="935">
        <v>22</v>
      </c>
      <c r="L34" s="935">
        <v>20</v>
      </c>
      <c r="M34" s="936">
        <v>21</v>
      </c>
      <c r="N34" s="936">
        <v>2</v>
      </c>
      <c r="O34" s="921">
        <v>122.85</v>
      </c>
      <c r="P34" s="921">
        <f t="shared" si="1"/>
        <v>26535.599999999999</v>
      </c>
    </row>
    <row r="35" spans="3:17" ht="12.75" customHeight="1" x14ac:dyDescent="0.2">
      <c r="C35" s="922" t="s">
        <v>5034</v>
      </c>
      <c r="D35" s="923" t="s">
        <v>721</v>
      </c>
      <c r="E35" s="924" t="s">
        <v>88</v>
      </c>
      <c r="F35" s="917">
        <f t="shared" si="0"/>
        <v>103</v>
      </c>
      <c r="G35" s="934">
        <v>1</v>
      </c>
      <c r="H35" s="935"/>
      <c r="I35" s="935">
        <v>10</v>
      </c>
      <c r="J35" s="935">
        <v>10</v>
      </c>
      <c r="K35" s="935">
        <v>10</v>
      </c>
      <c r="L35" s="935">
        <v>10</v>
      </c>
      <c r="M35" s="936">
        <v>11</v>
      </c>
      <c r="N35" s="936">
        <v>1</v>
      </c>
      <c r="O35" s="921">
        <v>272.8</v>
      </c>
      <c r="P35" s="921">
        <f t="shared" si="1"/>
        <v>28098.400000000001</v>
      </c>
    </row>
    <row r="36" spans="3:17" ht="12.75" hidden="1" customHeight="1" x14ac:dyDescent="0.2">
      <c r="C36" s="922" t="s">
        <v>5034</v>
      </c>
      <c r="D36" s="923" t="s">
        <v>5035</v>
      </c>
      <c r="E36" s="924" t="s">
        <v>88</v>
      </c>
      <c r="F36" s="917">
        <f t="shared" si="0"/>
        <v>10</v>
      </c>
      <c r="G36" s="934">
        <v>6</v>
      </c>
      <c r="H36" s="935"/>
      <c r="I36" s="935"/>
      <c r="J36" s="935"/>
      <c r="K36" s="935"/>
      <c r="L36" s="935"/>
      <c r="M36" s="936"/>
      <c r="N36" s="936">
        <v>4</v>
      </c>
      <c r="O36" s="921"/>
      <c r="P36" s="921">
        <f t="shared" si="1"/>
        <v>0</v>
      </c>
    </row>
    <row r="37" spans="3:17" ht="12.75" hidden="1" customHeight="1" x14ac:dyDescent="0.2">
      <c r="C37" s="922" t="s">
        <v>5034</v>
      </c>
      <c r="D37" s="923" t="s">
        <v>5036</v>
      </c>
      <c r="E37" s="924" t="s">
        <v>88</v>
      </c>
      <c r="F37" s="917">
        <f t="shared" si="0"/>
        <v>115</v>
      </c>
      <c r="G37" s="934">
        <f>G11+G10</f>
        <v>3</v>
      </c>
      <c r="H37" s="935">
        <f t="shared" ref="H37:N37" si="2">H11+H10</f>
        <v>0</v>
      </c>
      <c r="I37" s="935">
        <f t="shared" si="2"/>
        <v>10</v>
      </c>
      <c r="J37" s="935">
        <f t="shared" si="2"/>
        <v>10</v>
      </c>
      <c r="K37" s="935">
        <f t="shared" si="2"/>
        <v>12</v>
      </c>
      <c r="L37" s="935">
        <f t="shared" si="2"/>
        <v>10</v>
      </c>
      <c r="M37" s="936">
        <f t="shared" si="2"/>
        <v>14</v>
      </c>
      <c r="N37" s="936">
        <f t="shared" si="2"/>
        <v>2</v>
      </c>
      <c r="O37" s="921"/>
      <c r="P37" s="921">
        <f t="shared" si="1"/>
        <v>0</v>
      </c>
    </row>
    <row r="38" spans="3:17" ht="12.75" hidden="1" customHeight="1" x14ac:dyDescent="0.2">
      <c r="C38" s="928" t="s">
        <v>5034</v>
      </c>
      <c r="D38" s="929" t="s">
        <v>5037</v>
      </c>
      <c r="E38" s="930" t="s">
        <v>88</v>
      </c>
      <c r="F38" s="917">
        <f t="shared" si="0"/>
        <v>120</v>
      </c>
      <c r="G38" s="934">
        <f>G10+G11+G13+G15+G12+G14</f>
        <v>6</v>
      </c>
      <c r="H38" s="935">
        <f t="shared" ref="H38:N38" si="3">H10+H11+H13+H15+H12+H14</f>
        <v>0</v>
      </c>
      <c r="I38" s="935">
        <f t="shared" si="3"/>
        <v>10</v>
      </c>
      <c r="J38" s="935">
        <f t="shared" si="3"/>
        <v>10</v>
      </c>
      <c r="K38" s="935">
        <f t="shared" si="3"/>
        <v>12</v>
      </c>
      <c r="L38" s="935">
        <f t="shared" si="3"/>
        <v>10</v>
      </c>
      <c r="M38" s="936">
        <f t="shared" si="3"/>
        <v>14</v>
      </c>
      <c r="N38" s="936">
        <f t="shared" si="3"/>
        <v>4</v>
      </c>
      <c r="O38" s="921"/>
      <c r="P38" s="921">
        <f t="shared" si="1"/>
        <v>0</v>
      </c>
    </row>
    <row r="39" spans="3:17" ht="12.75" hidden="1" customHeight="1" x14ac:dyDescent="0.2">
      <c r="C39" s="928" t="s">
        <v>5034</v>
      </c>
      <c r="D39" s="929" t="s">
        <v>5038</v>
      </c>
      <c r="E39" s="930" t="s">
        <v>88</v>
      </c>
      <c r="F39" s="917">
        <f t="shared" si="0"/>
        <v>230</v>
      </c>
      <c r="G39" s="934">
        <f>2*(G10+G11)</f>
        <v>6</v>
      </c>
      <c r="H39" s="935">
        <f t="shared" ref="H39:N39" si="4">2*(H10+H11)</f>
        <v>0</v>
      </c>
      <c r="I39" s="935">
        <f t="shared" si="4"/>
        <v>20</v>
      </c>
      <c r="J39" s="935">
        <f t="shared" si="4"/>
        <v>20</v>
      </c>
      <c r="K39" s="935">
        <f t="shared" si="4"/>
        <v>24</v>
      </c>
      <c r="L39" s="935">
        <f t="shared" si="4"/>
        <v>20</v>
      </c>
      <c r="M39" s="936">
        <f t="shared" si="4"/>
        <v>28</v>
      </c>
      <c r="N39" s="936">
        <f t="shared" si="4"/>
        <v>4</v>
      </c>
      <c r="O39" s="921"/>
      <c r="P39" s="921">
        <f t="shared" si="1"/>
        <v>0</v>
      </c>
    </row>
    <row r="40" spans="3:17" ht="12.75" hidden="1" customHeight="1" x14ac:dyDescent="0.2">
      <c r="C40" s="914" t="s">
        <v>5034</v>
      </c>
      <c r="D40" s="915" t="s">
        <v>5039</v>
      </c>
      <c r="E40" s="916" t="s">
        <v>88</v>
      </c>
      <c r="F40" s="917">
        <f t="shared" si="0"/>
        <v>5</v>
      </c>
      <c r="G40" s="934">
        <f>G13+G15+G12+G14</f>
        <v>3</v>
      </c>
      <c r="H40" s="935">
        <f t="shared" ref="H40:N40" si="5">H13+H15+H12+H14</f>
        <v>0</v>
      </c>
      <c r="I40" s="935">
        <f t="shared" si="5"/>
        <v>0</v>
      </c>
      <c r="J40" s="935">
        <f t="shared" si="5"/>
        <v>0</v>
      </c>
      <c r="K40" s="935">
        <f t="shared" si="5"/>
        <v>0</v>
      </c>
      <c r="L40" s="935">
        <f t="shared" si="5"/>
        <v>0</v>
      </c>
      <c r="M40" s="936">
        <f t="shared" si="5"/>
        <v>0</v>
      </c>
      <c r="N40" s="936">
        <f t="shared" si="5"/>
        <v>2</v>
      </c>
      <c r="O40" s="921"/>
      <c r="P40" s="921">
        <f t="shared" si="1"/>
        <v>0</v>
      </c>
    </row>
    <row r="41" spans="3:17" ht="12.75" hidden="1" customHeight="1" x14ac:dyDescent="0.2">
      <c r="C41" s="928" t="s">
        <v>5034</v>
      </c>
      <c r="D41" s="929" t="s">
        <v>5040</v>
      </c>
      <c r="E41" s="930" t="s">
        <v>88</v>
      </c>
      <c r="F41" s="917">
        <f t="shared" si="0"/>
        <v>2</v>
      </c>
      <c r="G41" s="934">
        <f>G16+G17+G18+G19</f>
        <v>0</v>
      </c>
      <c r="H41" s="935">
        <f t="shared" ref="H41:N41" si="6">H16+H17+H18+H19</f>
        <v>0</v>
      </c>
      <c r="I41" s="935">
        <f t="shared" si="6"/>
        <v>0</v>
      </c>
      <c r="J41" s="935">
        <f t="shared" si="6"/>
        <v>0</v>
      </c>
      <c r="K41" s="935">
        <f t="shared" si="6"/>
        <v>0</v>
      </c>
      <c r="L41" s="935">
        <f t="shared" si="6"/>
        <v>0</v>
      </c>
      <c r="M41" s="936">
        <f t="shared" si="6"/>
        <v>0</v>
      </c>
      <c r="N41" s="936">
        <f t="shared" si="6"/>
        <v>2</v>
      </c>
      <c r="O41" s="921"/>
      <c r="P41" s="921">
        <f t="shared" si="1"/>
        <v>0</v>
      </c>
    </row>
    <row r="42" spans="3:17" ht="12.75" hidden="1" customHeight="1" x14ac:dyDescent="0.2">
      <c r="C42" s="937" t="s">
        <v>5034</v>
      </c>
      <c r="D42" s="938" t="s">
        <v>5041</v>
      </c>
      <c r="E42" s="939" t="s">
        <v>88</v>
      </c>
      <c r="F42" s="917">
        <f t="shared" si="0"/>
        <v>3</v>
      </c>
      <c r="G42" s="934">
        <f>G20+G21+G22+G23</f>
        <v>3</v>
      </c>
      <c r="H42" s="935">
        <f t="shared" ref="H42:N42" si="7">H20+H21+H22+H23</f>
        <v>0</v>
      </c>
      <c r="I42" s="935">
        <f t="shared" si="7"/>
        <v>0</v>
      </c>
      <c r="J42" s="935">
        <f t="shared" si="7"/>
        <v>0</v>
      </c>
      <c r="K42" s="935">
        <f t="shared" si="7"/>
        <v>0</v>
      </c>
      <c r="L42" s="935">
        <f t="shared" si="7"/>
        <v>0</v>
      </c>
      <c r="M42" s="936">
        <f t="shared" si="7"/>
        <v>0</v>
      </c>
      <c r="N42" s="936">
        <f t="shared" si="7"/>
        <v>0</v>
      </c>
      <c r="O42" s="921"/>
      <c r="P42" s="921">
        <f t="shared" si="1"/>
        <v>0</v>
      </c>
    </row>
    <row r="43" spans="3:17" ht="12.75" customHeight="1" x14ac:dyDescent="0.2">
      <c r="C43" s="937" t="s">
        <v>5034</v>
      </c>
      <c r="D43" s="938" t="s">
        <v>719</v>
      </c>
      <c r="E43" s="939"/>
      <c r="F43" s="917">
        <f t="shared" si="0"/>
        <v>0</v>
      </c>
      <c r="G43" s="940"/>
      <c r="H43" s="941"/>
      <c r="I43" s="941"/>
      <c r="J43" s="941"/>
      <c r="K43" s="941"/>
      <c r="L43" s="941"/>
      <c r="M43" s="942"/>
      <c r="N43" s="942"/>
      <c r="O43" s="921">
        <v>688.68</v>
      </c>
      <c r="P43" s="921">
        <f t="shared" si="1"/>
        <v>0</v>
      </c>
    </row>
    <row r="44" spans="3:17" ht="12.75" customHeight="1" x14ac:dyDescent="0.2">
      <c r="C44" s="1171" t="s">
        <v>5083</v>
      </c>
      <c r="D44" s="1098"/>
      <c r="E44" s="1098"/>
      <c r="F44" s="1098"/>
      <c r="G44" s="1098"/>
      <c r="H44" s="1098"/>
      <c r="I44" s="1098"/>
      <c r="J44" s="1098"/>
      <c r="K44" s="1098"/>
      <c r="L44" s="1098"/>
      <c r="M44" s="1098"/>
      <c r="N44" s="1098"/>
      <c r="O44" s="1099"/>
      <c r="P44" s="913">
        <f>SUM(P45:P47)</f>
        <v>14212.055</v>
      </c>
    </row>
    <row r="45" spans="3:17" ht="12.75" customHeight="1" x14ac:dyDescent="0.2">
      <c r="C45" s="937" t="s">
        <v>5042</v>
      </c>
      <c r="D45" s="938" t="s">
        <v>5043</v>
      </c>
      <c r="E45" s="939" t="s">
        <v>92</v>
      </c>
      <c r="F45" s="917">
        <f t="shared" si="0"/>
        <v>10.5328</v>
      </c>
      <c r="G45" s="943"/>
      <c r="H45" s="944"/>
      <c r="I45" s="944"/>
      <c r="J45" s="944"/>
      <c r="K45" s="944"/>
      <c r="L45" s="944"/>
      <c r="M45" s="945"/>
      <c r="N45" s="945">
        <v>10.5328</v>
      </c>
      <c r="O45" s="921">
        <v>1100</v>
      </c>
      <c r="P45" s="921">
        <f t="shared" si="1"/>
        <v>11586.08</v>
      </c>
    </row>
    <row r="46" spans="3:17" ht="12.75" customHeight="1" x14ac:dyDescent="0.2">
      <c r="C46" s="937" t="s">
        <v>5042</v>
      </c>
      <c r="D46" s="938" t="s">
        <v>5044</v>
      </c>
      <c r="E46" s="939" t="s">
        <v>92</v>
      </c>
      <c r="F46" s="917">
        <f t="shared" si="0"/>
        <v>1.1520000000000001</v>
      </c>
      <c r="G46" s="943">
        <v>0.49500000000000005</v>
      </c>
      <c r="H46" s="944"/>
      <c r="I46" s="944"/>
      <c r="J46" s="944"/>
      <c r="K46" s="944"/>
      <c r="L46" s="944"/>
      <c r="M46" s="945"/>
      <c r="N46" s="945">
        <v>0.65700000000000003</v>
      </c>
      <c r="O46" s="921">
        <v>850</v>
      </c>
      <c r="P46" s="921">
        <f t="shared" si="1"/>
        <v>979.20000000000016</v>
      </c>
      <c r="Q46" s="11"/>
    </row>
    <row r="47" spans="3:17" ht="12.75" customHeight="1" x14ac:dyDescent="0.2">
      <c r="C47" s="937" t="s">
        <v>5042</v>
      </c>
      <c r="D47" s="938" t="s">
        <v>5045</v>
      </c>
      <c r="E47" s="939" t="s">
        <v>92</v>
      </c>
      <c r="F47" s="917">
        <f t="shared" si="0"/>
        <v>2.1957</v>
      </c>
      <c r="G47" s="943">
        <v>2.1957</v>
      </c>
      <c r="H47" s="944"/>
      <c r="I47" s="944"/>
      <c r="J47" s="941"/>
      <c r="K47" s="941"/>
      <c r="L47" s="941"/>
      <c r="M47" s="942"/>
      <c r="N47" s="942"/>
      <c r="O47" s="921">
        <v>750</v>
      </c>
      <c r="P47" s="921">
        <f t="shared" si="1"/>
        <v>1646.7750000000001</v>
      </c>
      <c r="Q47" s="11"/>
    </row>
    <row r="48" spans="3:17" ht="12.75" customHeight="1" x14ac:dyDescent="0.2">
      <c r="C48" s="11"/>
      <c r="D48" s="11"/>
      <c r="E48" s="11"/>
      <c r="F48" s="946"/>
      <c r="G48" s="11"/>
      <c r="H48" s="11"/>
      <c r="I48" s="11"/>
      <c r="J48" s="11"/>
      <c r="K48" s="11"/>
      <c r="L48" s="11"/>
      <c r="M48" s="11"/>
      <c r="N48" s="11"/>
      <c r="O48" s="947"/>
      <c r="P48" s="948"/>
      <c r="Q48" s="11"/>
    </row>
    <row r="49" spans="3:17" ht="21.75" customHeight="1" x14ac:dyDescent="0.3">
      <c r="C49" s="11"/>
      <c r="D49" s="11"/>
      <c r="E49" s="949"/>
      <c r="F49" s="949" t="s">
        <v>5025</v>
      </c>
      <c r="G49" s="950">
        <f t="array" ref="G49">SUMPRODUCT(G$9:G$47,$O$9:$O$47,--($C$9:$C$47=$F49))*G$8</f>
        <v>9555.11</v>
      </c>
      <c r="H49" s="950">
        <f t="array" ref="H49">SUMPRODUCT(H$9:H$47,$O$9:$O$47,--($C$9:$C$47=$F49))*H$8</f>
        <v>0</v>
      </c>
      <c r="I49" s="950">
        <f t="array" ref="I49">SUMPRODUCT(I$9:I$47,$O$9:$O$47,--($C$9:$C$47=$F49))*I$8</f>
        <v>9635</v>
      </c>
      <c r="J49" s="950">
        <f t="array" ref="J49">SUMPRODUCT(J$9:J$47,$O$9:$O$47,--($C$9:$C$47=$F49))*J$8</f>
        <v>9635</v>
      </c>
      <c r="K49" s="950">
        <f t="array" ref="K49">SUMPRODUCT(K$9:K$47,$O$9:$O$47,--($C$9:$C$47=$F49))*K$8</f>
        <v>34686</v>
      </c>
      <c r="L49" s="950">
        <f t="array" ref="L49">SUMPRODUCT(L$9:L$47,$O$9:$O$47,--($C$9:$C$47=$F49))*L$8</f>
        <v>38540</v>
      </c>
      <c r="M49" s="950">
        <f t="array" ref="M49">SUMPRODUCT(M$9:M$47,$O$9:$O$47,--($C$9:$C$47=$F49))*M$8</f>
        <v>13489</v>
      </c>
      <c r="N49" s="950">
        <f t="array" ref="N49">SUMPRODUCT(N$9:N$47,$O$9:$O$47,--($C$9:$C$47=$F49))*N$8</f>
        <v>15066.263999999999</v>
      </c>
      <c r="O49" s="950">
        <f t="array" ref="O49">SUMPRODUCT(O$9:O$47,$Q$9:$Q$47,--($C$9:$C$47=$F49))*O$8</f>
        <v>0</v>
      </c>
      <c r="P49" s="660"/>
      <c r="Q49" s="951">
        <f t="shared" ref="Q49:Q51" si="8">SUM(G49:N49)</f>
        <v>130606.374</v>
      </c>
    </row>
    <row r="50" spans="3:17" ht="23.25" customHeight="1" x14ac:dyDescent="0.3">
      <c r="C50" s="11"/>
      <c r="D50" s="11"/>
      <c r="E50" s="949"/>
      <c r="F50" s="949" t="s">
        <v>5034</v>
      </c>
      <c r="G50" s="950">
        <f t="array" ref="G50">SUMPRODUCT(G$9:G$47,$O$9:$O$47,--($C$9:$C$47=$F50))*G$8</f>
        <v>7201.61</v>
      </c>
      <c r="H50" s="950">
        <f t="array" ref="H50">SUMPRODUCT(H$9:H$47,$O$9:$O$47,--($C$9:$C$47=$F50))*H$8</f>
        <v>24.61</v>
      </c>
      <c r="I50" s="950">
        <f t="array" ref="I50">SUMPRODUCT(I$9:I$47,$O$9:$O$47,--($C$9:$C$47=$F50))*I$8</f>
        <v>7149.71</v>
      </c>
      <c r="J50" s="950">
        <f t="array" ref="J50">SUMPRODUCT(J$9:J$47,$O$9:$O$47,--($C$9:$C$47=$F50))*J$8</f>
        <v>5185</v>
      </c>
      <c r="K50" s="950">
        <f t="array" ref="K50">SUMPRODUCT(K$9:K$47,$O$9:$O$47,--($C$9:$C$47=$F50))*K$8</f>
        <v>16292.099999999999</v>
      </c>
      <c r="L50" s="950">
        <f t="array" ref="L50">SUMPRODUCT(L$9:L$47,$O$9:$O$47,--($C$9:$C$47=$F50))*L$8</f>
        <v>20740</v>
      </c>
      <c r="M50" s="950">
        <f t="array" ref="M50">SUMPRODUCT(M$9:M$47,$O$9:$O$47,--($C$9:$C$47=$F50))*M$8</f>
        <v>5580.65</v>
      </c>
      <c r="N50" s="950">
        <f t="array" ref="N50">SUMPRODUCT(N$9:N$47,$O$9:$O$47,--($C$9:$C$47=$F50))*N$8</f>
        <v>5923</v>
      </c>
      <c r="O50" s="950">
        <f t="array" ref="O50">SUMPRODUCT(O$9:O$47,$Q$9:$Q$47,--($C$9:$C$47=$F50))*O$8</f>
        <v>0</v>
      </c>
      <c r="P50" s="660"/>
      <c r="Q50" s="951">
        <f t="shared" si="8"/>
        <v>68096.679999999993</v>
      </c>
    </row>
    <row r="51" spans="3:17" ht="24.75" customHeight="1" x14ac:dyDescent="0.3">
      <c r="C51" s="11"/>
      <c r="D51" s="11"/>
      <c r="E51" s="949"/>
      <c r="F51" s="949" t="s">
        <v>5042</v>
      </c>
      <c r="G51" s="950">
        <f t="array" ref="G51">SUMPRODUCT(G$9:G$47,$O$9:$O$47,--($C$9:$C$47=$F51))*G$8</f>
        <v>2067.5250000000001</v>
      </c>
      <c r="H51" s="950">
        <f t="array" ref="H51">SUMPRODUCT(H$9:H$47,$O$9:$O$47,--($C$9:$C$47=$F51))*H$8</f>
        <v>0</v>
      </c>
      <c r="I51" s="950">
        <f t="array" ref="I51">SUMPRODUCT(I$9:I$47,$O$9:$O$47,--($C$9:$C$47=$F51))*I$8</f>
        <v>0</v>
      </c>
      <c r="J51" s="950">
        <f t="array" ref="J51">SUMPRODUCT(J$9:J$47,$O$9:$O$47,--($C$9:$C$47=$F51))*J$8</f>
        <v>0</v>
      </c>
      <c r="K51" s="950">
        <f t="array" ref="K51">SUMPRODUCT(K$9:K$47,$O$9:$O$47,--($C$9:$C$47=$F51))*K$8</f>
        <v>0</v>
      </c>
      <c r="L51" s="950">
        <f t="array" ref="L51">SUMPRODUCT(L$9:L$47,$O$9:$O$47,--($C$9:$C$47=$F51))*L$8</f>
        <v>0</v>
      </c>
      <c r="M51" s="950">
        <f t="array" ref="M51">SUMPRODUCT(M$9:M$47,$O$9:$O$47,--($C$9:$C$47=$F51))*M$8</f>
        <v>0</v>
      </c>
      <c r="N51" s="950">
        <f t="array" ref="N51">SUMPRODUCT(N$9:N$47,$O$9:$O$47,--($C$9:$C$47=$F51))*N$8</f>
        <v>12144.53</v>
      </c>
      <c r="O51" s="950">
        <f t="array" ref="O51">SUMPRODUCT(O$9:O$47,$Q$9:$Q$47,--($C$9:$C$47=$F51))*O$8</f>
        <v>0</v>
      </c>
      <c r="P51" s="660"/>
      <c r="Q51" s="951">
        <f t="shared" si="8"/>
        <v>14212.055</v>
      </c>
    </row>
  </sheetData>
  <mergeCells count="13">
    <mergeCell ref="C26:O26"/>
    <mergeCell ref="C44:O44"/>
    <mergeCell ref="D7:D8"/>
    <mergeCell ref="E7:E8"/>
    <mergeCell ref="F7:F8"/>
    <mergeCell ref="C9:O9"/>
    <mergeCell ref="M1:P4"/>
    <mergeCell ref="C5:P5"/>
    <mergeCell ref="C6:F6"/>
    <mergeCell ref="G6:N6"/>
    <mergeCell ref="O6:O7"/>
    <mergeCell ref="P6:P7"/>
    <mergeCell ref="C7:C8"/>
  </mergeCells>
  <pageMargins left="0.511811024" right="0.511811024" top="0.78740157499999996" bottom="0.78740157499999996" header="0" footer="0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28</vt:i4>
      </vt:variant>
      <vt:variant>
        <vt:lpstr>Intervalos Nomeados</vt:lpstr>
      </vt:variant>
      <vt:variant>
        <vt:i4>1</vt:i4>
      </vt:variant>
    </vt:vector>
  </HeadingPairs>
  <TitlesOfParts>
    <vt:vector size="29" baseType="lpstr">
      <vt:lpstr>Obra </vt:lpstr>
      <vt:lpstr>EPCs</vt:lpstr>
      <vt:lpstr>CANTEIRO</vt:lpstr>
      <vt:lpstr>Ensaios </vt:lpstr>
      <vt:lpstr>Ger_Tec e Adm</vt:lpstr>
      <vt:lpstr>Ger_Executivo</vt:lpstr>
      <vt:lpstr>CPU</vt:lpstr>
      <vt:lpstr>Estacas</vt:lpstr>
      <vt:lpstr>Fundação Rasa</vt:lpstr>
      <vt:lpstr>Aço_Infraestrutura</vt:lpstr>
      <vt:lpstr>Supraestrutura</vt:lpstr>
      <vt:lpstr>Arquitetura</vt:lpstr>
      <vt:lpstr>Esq</vt:lpstr>
      <vt:lpstr>INSTALAÇÕES - RESUMO</vt:lpstr>
      <vt:lpstr>TELEFONECFTV</vt:lpstr>
      <vt:lpstr>TELEFONE - PREÇO</vt:lpstr>
      <vt:lpstr>PISCINA</vt:lpstr>
      <vt:lpstr>INTERFONIA</vt:lpstr>
      <vt:lpstr>PORTÕES</vt:lpstr>
      <vt:lpstr>PCISPDAGÁS</vt:lpstr>
      <vt:lpstr>PCISPDAGÁS - PREÇO</vt:lpstr>
      <vt:lpstr>HIDRO</vt:lpstr>
      <vt:lpstr>HIDRO - PREÇO</vt:lpstr>
      <vt:lpstr>ELETRICA</vt:lpstr>
      <vt:lpstr>ELETRICA - PREÇO</vt:lpstr>
      <vt:lpstr>CLIMATIZAÇÃO</vt:lpstr>
      <vt:lpstr>MOBILIÁRIO</vt:lpstr>
      <vt:lpstr>LOUÇAS E METAIS</vt:lpstr>
      <vt:lpstr>MOBILIÁRIO!Print_Area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Patricia Bragatto</cp:lastModifiedBy>
  <dcterms:created xsi:type="dcterms:W3CDTF">2011-02-08T17:53:57Z</dcterms:created>
  <dcterms:modified xsi:type="dcterms:W3CDTF">2025-10-30T23:27:09Z</dcterms:modified>
</cp:coreProperties>
</file>